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maree/projects/challenge4/data_prep/4th_autonomous_greenhouse_challenge_pretrial_dataset/"/>
    </mc:Choice>
  </mc:AlternateContent>
  <xr:revisionPtr revIDLastSave="0" documentId="13_ncr:1_{FCAE3242-9451-294B-A7A3-15CD0A3889C7}" xr6:coauthVersionLast="47" xr6:coauthVersionMax="47" xr10:uidLastSave="{00000000-0000-0000-0000-000000000000}"/>
  <bookViews>
    <workbookView xWindow="5280" yWindow="-26940" windowWidth="29120" windowHeight="18880" xr2:uid="{ACA40C41-AC7D-4862-8165-2DA71099D823}"/>
  </bookViews>
  <sheets>
    <sheet name="Info" sheetId="7" r:id="rId1"/>
    <sheet name="Leaf area factor" sheetId="2" state="hidden" r:id="rId2"/>
    <sheet name="Data_1st DH" sheetId="1" r:id="rId3"/>
    <sheet name="Data_2nd DH" sheetId="12" r:id="rId4"/>
    <sheet name="Data_3rd DH" sheetId="14" r:id="rId5"/>
    <sheet name="Data_4th DH" sheetId="20" r:id="rId6"/>
    <sheet name="All Data" sheetId="18" r:id="rId7"/>
    <sheet name="LUE_cherry" sheetId="26" state="hidden" r:id="rId8"/>
    <sheet name="Climate" sheetId="23" state="hidden" r:id="rId9"/>
  </sheets>
  <definedNames>
    <definedName name="_xlnm._FilterDatabase" localSheetId="6" hidden="1">'All Data'!$A$5:$AN$245</definedName>
    <definedName name="_xlnm._FilterDatabase" localSheetId="8" hidden="1">Climate!$R$3:$V$80</definedName>
    <definedName name="_xlnm._FilterDatabase" localSheetId="5" hidden="1">'Data_4th DH'!$A$4:$AJ$74</definedName>
  </definedNames>
  <calcPr calcId="191029"/>
  <pivotCaches>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31" i="18" l="1"/>
  <c r="AN232" i="18"/>
  <c r="AN233" i="18"/>
  <c r="AN234" i="18"/>
  <c r="AN235" i="18"/>
  <c r="AN236" i="18"/>
  <c r="AN237" i="18"/>
  <c r="AN238" i="18"/>
  <c r="AN239" i="18"/>
  <c r="AN240" i="18"/>
  <c r="AN241" i="18"/>
  <c r="AN242" i="18"/>
  <c r="AN243" i="18"/>
  <c r="AN244" i="18"/>
  <c r="AN245" i="18"/>
  <c r="AN198" i="18"/>
  <c r="AN199" i="18"/>
  <c r="AN200" i="18"/>
  <c r="AN201" i="18"/>
  <c r="AN202" i="18"/>
  <c r="AN203" i="18"/>
  <c r="AN204" i="18"/>
  <c r="AN205" i="18"/>
  <c r="AN206" i="18"/>
  <c r="AN207" i="18"/>
  <c r="AN208" i="18"/>
  <c r="AN209" i="18"/>
  <c r="AN210" i="18"/>
  <c r="AN211" i="18"/>
  <c r="AN212" i="18"/>
  <c r="AN213" i="18"/>
  <c r="AN214" i="18"/>
  <c r="AN215" i="18"/>
  <c r="AN216" i="18"/>
  <c r="AN217" i="18"/>
  <c r="AN218" i="18"/>
  <c r="AN219" i="18"/>
  <c r="AN220" i="18"/>
  <c r="AN221" i="18"/>
  <c r="AN222" i="18"/>
  <c r="AN223" i="18"/>
  <c r="AN224" i="18"/>
  <c r="AN225" i="18"/>
  <c r="AN226" i="18"/>
  <c r="AN227" i="18"/>
  <c r="AN228" i="18"/>
  <c r="AN229" i="18"/>
  <c r="AN230" i="18"/>
  <c r="AM245" i="18"/>
  <c r="AM244" i="18"/>
  <c r="AM243" i="18"/>
  <c r="AM242" i="18"/>
  <c r="AM241" i="18"/>
  <c r="AM240" i="18"/>
  <c r="AM239" i="18"/>
  <c r="AM238" i="18"/>
  <c r="AM237" i="18"/>
  <c r="AM236" i="18"/>
  <c r="AM235" i="18"/>
  <c r="AM234" i="18"/>
  <c r="AM233" i="18"/>
  <c r="AM232" i="18"/>
  <c r="AM231" i="18"/>
  <c r="AM230" i="18"/>
  <c r="AM229" i="18"/>
  <c r="AM228" i="18"/>
  <c r="AM227" i="18"/>
  <c r="AM226" i="18"/>
  <c r="AM225" i="18"/>
  <c r="AM224" i="18"/>
  <c r="AM223" i="18"/>
  <c r="AM222" i="18"/>
  <c r="AM221" i="18"/>
  <c r="AM220" i="18"/>
  <c r="AM219" i="18"/>
  <c r="AM218" i="18"/>
  <c r="AM217" i="18"/>
  <c r="AM216" i="18"/>
  <c r="AM215" i="18"/>
  <c r="AM214" i="18"/>
  <c r="AM213" i="18"/>
  <c r="AM212" i="18"/>
  <c r="AM211" i="18"/>
  <c r="AM210" i="18"/>
  <c r="AM209" i="18"/>
  <c r="AM208" i="18"/>
  <c r="AM207" i="18"/>
  <c r="AM206" i="18"/>
  <c r="AM205" i="18"/>
  <c r="AM204" i="18"/>
  <c r="AM203" i="18"/>
  <c r="AM202" i="18"/>
  <c r="AM201" i="18"/>
  <c r="AM200" i="18"/>
  <c r="AM199" i="18"/>
  <c r="AM198" i="18"/>
  <c r="A7" i="18" l="1"/>
  <c r="AC39" i="12"/>
  <c r="AC45" i="12"/>
  <c r="AC37" i="12"/>
  <c r="AC38" i="12"/>
  <c r="AB22" i="1"/>
  <c r="AB21" i="1"/>
  <c r="AB20" i="1"/>
  <c r="AA22" i="1"/>
  <c r="AA21" i="1"/>
  <c r="AA20" i="1"/>
  <c r="X22" i="1"/>
  <c r="X21" i="1"/>
  <c r="X20" i="1"/>
  <c r="B2" i="1"/>
  <c r="A103" i="18" l="1"/>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102" i="18"/>
  <c r="AI52" i="20" l="1"/>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0" i="20"/>
  <c r="AI9" i="20"/>
  <c r="AI8" i="20"/>
  <c r="AI7" i="20"/>
  <c r="AI6" i="20"/>
  <c r="AI5" i="20"/>
  <c r="A6" i="20" l="1"/>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 i="20"/>
  <c r="AE171" i="18" l="1"/>
  <c r="Z4" i="26"/>
  <c r="Z5" i="26"/>
  <c r="Z6" i="26"/>
  <c r="Z3" i="26"/>
  <c r="W4" i="26"/>
  <c r="W5" i="26"/>
  <c r="W6" i="26"/>
  <c r="W3" i="26"/>
  <c r="T4" i="26"/>
  <c r="T5" i="26"/>
  <c r="T6" i="26"/>
  <c r="T3" i="26"/>
  <c r="Q4" i="26"/>
  <c r="Q5" i="26"/>
  <c r="Q6" i="26"/>
  <c r="Q3" i="26"/>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4" i="23"/>
  <c r="T4" i="23"/>
  <c r="T5" i="23" s="1"/>
  <c r="T6" i="23" s="1"/>
  <c r="T7" i="23" s="1"/>
  <c r="T8" i="23" s="1"/>
  <c r="T9" i="23" s="1"/>
  <c r="T10" i="23" s="1"/>
  <c r="T11" i="23" s="1"/>
  <c r="T12" i="23" s="1"/>
  <c r="T13" i="23" s="1"/>
  <c r="T14" i="23" s="1"/>
  <c r="T15" i="23" s="1"/>
  <c r="T16" i="23" s="1"/>
  <c r="T17" i="23" s="1"/>
  <c r="T18" i="23" s="1"/>
  <c r="T19" i="23" s="1"/>
  <c r="T20" i="23" s="1"/>
  <c r="T21" i="23" s="1"/>
  <c r="T22" i="23" s="1"/>
  <c r="T23" i="23" s="1"/>
  <c r="T24" i="23" s="1"/>
  <c r="T25" i="23" s="1"/>
  <c r="T26" i="23" s="1"/>
  <c r="T27" i="23" s="1"/>
  <c r="T28" i="23" s="1"/>
  <c r="T29" i="23" s="1"/>
  <c r="T30" i="23" s="1"/>
  <c r="T31" i="23" s="1"/>
  <c r="T32" i="23" s="1"/>
  <c r="T33" i="23" s="1"/>
  <c r="T34" i="23" s="1"/>
  <c r="T35" i="23" s="1"/>
  <c r="T36" i="23" s="1"/>
  <c r="T37" i="23" s="1"/>
  <c r="T38" i="23" s="1"/>
  <c r="T39" i="23" s="1"/>
  <c r="T40" i="23" s="1"/>
  <c r="T41" i="23" s="1"/>
  <c r="T42" i="23" s="1"/>
  <c r="T43" i="23" s="1"/>
  <c r="T44" i="23" s="1"/>
  <c r="T45" i="23" s="1"/>
  <c r="T46" i="23" s="1"/>
  <c r="T47" i="23" s="1"/>
  <c r="T48" i="23" s="1"/>
  <c r="T49" i="23" s="1"/>
  <c r="T50" i="23" s="1"/>
  <c r="T51" i="23" s="1"/>
  <c r="T52" i="23" s="1"/>
  <c r="T53" i="23" s="1"/>
  <c r="T54" i="23" s="1"/>
  <c r="T55" i="23" s="1"/>
  <c r="T56" i="23" s="1"/>
  <c r="T57" i="23" s="1"/>
  <c r="T58" i="23" s="1"/>
  <c r="T59" i="23" s="1"/>
  <c r="T60" i="23" s="1"/>
  <c r="T61" i="23" s="1"/>
  <c r="T62" i="23" s="1"/>
  <c r="T63" i="23" s="1"/>
  <c r="T64" i="23" s="1"/>
  <c r="T65" i="23" s="1"/>
  <c r="T66" i="23" s="1"/>
  <c r="T67" i="23" s="1"/>
  <c r="T68" i="23" s="1"/>
  <c r="T69" i="23" s="1"/>
  <c r="T70" i="23" s="1"/>
  <c r="T71" i="23" s="1"/>
  <c r="T72" i="23" s="1"/>
  <c r="T73" i="23" s="1"/>
  <c r="T74" i="23" s="1"/>
  <c r="T75" i="23" s="1"/>
  <c r="T76" i="23" s="1"/>
  <c r="T77" i="23" s="1"/>
  <c r="T78" i="23" s="1"/>
  <c r="T79" i="23" s="1"/>
  <c r="T80" i="23" s="1"/>
  <c r="U4" i="23"/>
  <c r="U5" i="23" s="1"/>
  <c r="U6" i="23" s="1"/>
  <c r="U7" i="23" s="1"/>
  <c r="U8" i="23" s="1"/>
  <c r="U9" i="23" s="1"/>
  <c r="U10" i="23" s="1"/>
  <c r="U11" i="23" s="1"/>
  <c r="U12" i="23" s="1"/>
  <c r="U13" i="23" s="1"/>
  <c r="U14" i="23" s="1"/>
  <c r="U15" i="23" s="1"/>
  <c r="U16" i="23" s="1"/>
  <c r="U17" i="23" s="1"/>
  <c r="U18" i="23" s="1"/>
  <c r="U19" i="23" s="1"/>
  <c r="U20" i="23" s="1"/>
  <c r="U21" i="23" s="1"/>
  <c r="U22" i="23" s="1"/>
  <c r="U23" i="23" s="1"/>
  <c r="U24" i="23" s="1"/>
  <c r="U25" i="23" s="1"/>
  <c r="U26" i="23" s="1"/>
  <c r="U27" i="23" s="1"/>
  <c r="U28" i="23" s="1"/>
  <c r="U29" i="23" s="1"/>
  <c r="U30" i="23" s="1"/>
  <c r="U31" i="23" s="1"/>
  <c r="U32" i="23" s="1"/>
  <c r="U33" i="23" s="1"/>
  <c r="U34" i="23" s="1"/>
  <c r="U35" i="23" s="1"/>
  <c r="U36" i="23" s="1"/>
  <c r="U37" i="23" s="1"/>
  <c r="U38" i="23" s="1"/>
  <c r="U39" i="23" s="1"/>
  <c r="U40" i="23" s="1"/>
  <c r="U41" i="23" s="1"/>
  <c r="U42" i="23" s="1"/>
  <c r="U43" i="23" s="1"/>
  <c r="U44" i="23" s="1"/>
  <c r="U45" i="23" s="1"/>
  <c r="U46" i="23" s="1"/>
  <c r="U47" i="23" s="1"/>
  <c r="U48" i="23" s="1"/>
  <c r="U49" i="23" s="1"/>
  <c r="U50" i="23" s="1"/>
  <c r="U51" i="23" s="1"/>
  <c r="U52" i="23" s="1"/>
  <c r="U53" i="23" s="1"/>
  <c r="U54" i="23" s="1"/>
  <c r="U55" i="23" s="1"/>
  <c r="U56" i="23" s="1"/>
  <c r="U57" i="23" s="1"/>
  <c r="U58" i="23" s="1"/>
  <c r="U59" i="23" s="1"/>
  <c r="U60" i="23" s="1"/>
  <c r="U61" i="23" s="1"/>
  <c r="U62" i="23" s="1"/>
  <c r="U63" i="23" s="1"/>
  <c r="U64" i="23" s="1"/>
  <c r="U65" i="23" s="1"/>
  <c r="U66" i="23" s="1"/>
  <c r="U67" i="23" s="1"/>
  <c r="U68" i="23" s="1"/>
  <c r="U69" i="23" s="1"/>
  <c r="U70" i="23" s="1"/>
  <c r="U71" i="23" s="1"/>
  <c r="U72" i="23" s="1"/>
  <c r="U73" i="23" s="1"/>
  <c r="U74" i="23" s="1"/>
  <c r="U75" i="23" s="1"/>
  <c r="U76" i="23" s="1"/>
  <c r="U77" i="23" s="1"/>
  <c r="U78" i="23" s="1"/>
  <c r="U79" i="23" s="1"/>
  <c r="U80" i="23" s="1"/>
  <c r="V4" i="23"/>
  <c r="V5" i="23" s="1"/>
  <c r="V6" i="23" s="1"/>
  <c r="V7" i="23" s="1"/>
  <c r="V8" i="23" s="1"/>
  <c r="V9" i="23" s="1"/>
  <c r="V10" i="23" s="1"/>
  <c r="V11" i="23" s="1"/>
  <c r="V12" i="23" s="1"/>
  <c r="V13" i="23" s="1"/>
  <c r="V14" i="23" s="1"/>
  <c r="V15" i="23" s="1"/>
  <c r="V16" i="23" s="1"/>
  <c r="V17" i="23" s="1"/>
  <c r="V18" i="23" s="1"/>
  <c r="V19" i="23" s="1"/>
  <c r="V20" i="23" s="1"/>
  <c r="V21" i="23" s="1"/>
  <c r="V22" i="23" s="1"/>
  <c r="V23" i="23" s="1"/>
  <c r="V24" i="23" s="1"/>
  <c r="V25" i="23" s="1"/>
  <c r="V26" i="23" s="1"/>
  <c r="V27" i="23" s="1"/>
  <c r="V28" i="23" s="1"/>
  <c r="V29" i="23" s="1"/>
  <c r="V30" i="23" s="1"/>
  <c r="V31" i="23" s="1"/>
  <c r="V32" i="23" s="1"/>
  <c r="V33" i="23" s="1"/>
  <c r="V34" i="23" s="1"/>
  <c r="V35" i="23" s="1"/>
  <c r="V36" i="23" s="1"/>
  <c r="V37" i="23" s="1"/>
  <c r="V38" i="23" s="1"/>
  <c r="V39" i="23" s="1"/>
  <c r="V40" i="23" s="1"/>
  <c r="V41" i="23" s="1"/>
  <c r="V42" i="23" s="1"/>
  <c r="V43" i="23" s="1"/>
  <c r="V44" i="23" s="1"/>
  <c r="V45" i="23" s="1"/>
  <c r="V46" i="23" s="1"/>
  <c r="V47" i="23" s="1"/>
  <c r="V48" i="23" s="1"/>
  <c r="V49" i="23" s="1"/>
  <c r="V50" i="23" s="1"/>
  <c r="V51" i="23" s="1"/>
  <c r="V52" i="23" s="1"/>
  <c r="V53" i="23" s="1"/>
  <c r="V54" i="23" s="1"/>
  <c r="V55" i="23" s="1"/>
  <c r="V56" i="23" s="1"/>
  <c r="V57" i="23" s="1"/>
  <c r="V58" i="23" s="1"/>
  <c r="V59" i="23" s="1"/>
  <c r="V60" i="23" s="1"/>
  <c r="V61" i="23" s="1"/>
  <c r="V62" i="23" s="1"/>
  <c r="V63" i="23" s="1"/>
  <c r="V64" i="23" s="1"/>
  <c r="V65" i="23" s="1"/>
  <c r="V66" i="23" s="1"/>
  <c r="V67" i="23" s="1"/>
  <c r="V68" i="23" s="1"/>
  <c r="V69" i="23" s="1"/>
  <c r="V70" i="23" s="1"/>
  <c r="V71" i="23" s="1"/>
  <c r="V72" i="23" s="1"/>
  <c r="V73" i="23" s="1"/>
  <c r="V74" i="23" s="1"/>
  <c r="V75" i="23" s="1"/>
  <c r="V76" i="23" s="1"/>
  <c r="V77" i="23" s="1"/>
  <c r="V78" i="23" s="1"/>
  <c r="V79" i="23" s="1"/>
  <c r="V80" i="23" s="1"/>
  <c r="S4" i="23"/>
  <c r="S5" i="23" s="1"/>
  <c r="S6" i="23" s="1"/>
  <c r="S7" i="23" s="1"/>
  <c r="S8" i="23" s="1"/>
  <c r="S9" i="23" s="1"/>
  <c r="S10" i="23" s="1"/>
  <c r="S11" i="23" s="1"/>
  <c r="S12" i="23" s="1"/>
  <c r="S13" i="23" s="1"/>
  <c r="S14" i="23" s="1"/>
  <c r="S15" i="23" s="1"/>
  <c r="S16" i="23" s="1"/>
  <c r="S17" i="23" s="1"/>
  <c r="S18" i="23" s="1"/>
  <c r="S19" i="23" s="1"/>
  <c r="S20" i="23" s="1"/>
  <c r="S21" i="23" s="1"/>
  <c r="S22" i="23" s="1"/>
  <c r="S23" i="23" s="1"/>
  <c r="S24" i="23" s="1"/>
  <c r="S25" i="23" s="1"/>
  <c r="S26" i="23" s="1"/>
  <c r="S27" i="23" s="1"/>
  <c r="S28" i="23" s="1"/>
  <c r="S29" i="23" s="1"/>
  <c r="S30" i="23" s="1"/>
  <c r="S31" i="23" s="1"/>
  <c r="S32" i="23" s="1"/>
  <c r="S33" i="23" s="1"/>
  <c r="S34" i="23" s="1"/>
  <c r="S35" i="23" s="1"/>
  <c r="S36" i="23" s="1"/>
  <c r="S37" i="23" s="1"/>
  <c r="S38" i="23" s="1"/>
  <c r="S39" i="23" s="1"/>
  <c r="S40" i="23" s="1"/>
  <c r="S41" i="23" s="1"/>
  <c r="S42" i="23" s="1"/>
  <c r="S43" i="23" s="1"/>
  <c r="S44" i="23" s="1"/>
  <c r="S45" i="23" s="1"/>
  <c r="S46" i="23" s="1"/>
  <c r="S47" i="23" s="1"/>
  <c r="S48" i="23" s="1"/>
  <c r="S49" i="23" s="1"/>
  <c r="S50" i="23" s="1"/>
  <c r="S51" i="23" s="1"/>
  <c r="S52" i="23" s="1"/>
  <c r="S53" i="23" s="1"/>
  <c r="S54" i="23" s="1"/>
  <c r="S55" i="23" s="1"/>
  <c r="S56" i="23" s="1"/>
  <c r="S57" i="23" s="1"/>
  <c r="S58" i="23" s="1"/>
  <c r="S59" i="23" s="1"/>
  <c r="S60" i="23" s="1"/>
  <c r="S61" i="23" s="1"/>
  <c r="S62" i="23" s="1"/>
  <c r="S63" i="23" s="1"/>
  <c r="S64" i="23" s="1"/>
  <c r="S65" i="23" s="1"/>
  <c r="S66" i="23" s="1"/>
  <c r="S67" i="23" s="1"/>
  <c r="S68" i="23" s="1"/>
  <c r="S69" i="23" s="1"/>
  <c r="S70" i="23" s="1"/>
  <c r="S71" i="23" s="1"/>
  <c r="S72" i="23" s="1"/>
  <c r="S73" i="23" s="1"/>
  <c r="S74" i="23" s="1"/>
  <c r="S75" i="23" s="1"/>
  <c r="S76" i="23" s="1"/>
  <c r="S77" i="23" s="1"/>
  <c r="S78" i="23" s="1"/>
  <c r="S79" i="23" s="1"/>
  <c r="S80" i="23" s="1"/>
  <c r="N2" i="23"/>
  <c r="O2" i="23"/>
  <c r="P2" i="23"/>
  <c r="M2" i="23"/>
  <c r="AN101" i="18" l="1"/>
  <c r="AN100" i="18"/>
  <c r="AN99" i="18"/>
  <c r="AN98" i="18"/>
  <c r="AN97" i="18"/>
  <c r="AN96" i="18"/>
  <c r="AN95" i="18"/>
  <c r="AN94" i="18"/>
  <c r="AN93" i="18"/>
  <c r="AN92" i="18"/>
  <c r="AN91" i="18"/>
  <c r="AN90" i="18"/>
  <c r="AN89" i="18"/>
  <c r="AN88" i="18"/>
  <c r="AN87" i="18"/>
  <c r="AN86" i="18"/>
  <c r="AN85" i="18"/>
  <c r="AN84" i="18"/>
  <c r="AN83" i="18"/>
  <c r="AN82" i="18"/>
  <c r="AN81" i="18"/>
  <c r="AN80" i="18"/>
  <c r="AN79" i="18"/>
  <c r="AN78" i="18"/>
  <c r="AN77" i="18"/>
  <c r="AN76" i="18"/>
  <c r="AN75" i="18"/>
  <c r="AN74" i="18"/>
  <c r="AN73" i="18"/>
  <c r="AN72" i="18"/>
  <c r="AN71" i="18"/>
  <c r="AN70" i="18"/>
  <c r="AN69" i="18"/>
  <c r="AN68" i="18"/>
  <c r="AN67" i="18"/>
  <c r="AN66" i="18"/>
  <c r="AN65" i="18"/>
  <c r="AN64" i="18"/>
  <c r="AN63" i="18"/>
  <c r="AN62" i="18"/>
  <c r="AN61" i="18"/>
  <c r="AN60" i="18"/>
  <c r="AN59" i="18"/>
  <c r="AN58" i="18"/>
  <c r="AN57" i="18"/>
  <c r="AN56" i="18"/>
  <c r="AN55" i="18"/>
  <c r="AN54" i="18"/>
  <c r="AN53" i="18"/>
  <c r="AN52" i="18"/>
  <c r="AN51" i="18"/>
  <c r="AN50" i="18"/>
  <c r="AN49" i="18"/>
  <c r="AN48" i="18"/>
  <c r="AN47" i="18"/>
  <c r="AN46" i="18"/>
  <c r="AN45" i="18"/>
  <c r="AN44" i="18"/>
  <c r="AN43" i="18"/>
  <c r="AN42" i="18"/>
  <c r="AN41" i="18"/>
  <c r="AN40" i="18"/>
  <c r="AN39" i="18"/>
  <c r="AN38" i="18"/>
  <c r="AN37" i="18"/>
  <c r="AN36" i="18"/>
  <c r="AN35" i="18"/>
  <c r="AN34" i="18"/>
  <c r="AN33" i="18"/>
  <c r="AN32" i="18"/>
  <c r="AN31" i="18"/>
  <c r="AN30" i="18"/>
  <c r="AN29" i="18"/>
  <c r="AN28" i="18"/>
  <c r="AN27" i="18"/>
  <c r="AN26" i="18"/>
  <c r="AN25" i="18"/>
  <c r="AN24" i="18"/>
  <c r="AN23" i="18"/>
  <c r="AN22" i="18"/>
  <c r="AN21" i="18"/>
  <c r="AN20" i="18"/>
  <c r="AN19" i="18"/>
  <c r="AN18" i="18"/>
  <c r="AN17" i="18"/>
  <c r="AN16" i="18"/>
  <c r="AN15" i="18"/>
  <c r="AN14" i="18"/>
  <c r="AN13" i="18"/>
  <c r="AN12" i="18"/>
  <c r="AN11" i="18"/>
  <c r="AN10" i="18"/>
  <c r="AN9" i="18"/>
  <c r="AN8" i="18"/>
  <c r="AN7" i="18"/>
  <c r="AN6" i="18"/>
  <c r="AM197" i="18"/>
  <c r="AM196" i="18"/>
  <c r="AM195" i="18"/>
  <c r="AM194" i="18"/>
  <c r="AM193" i="18"/>
  <c r="AM192" i="18"/>
  <c r="AM191" i="18"/>
  <c r="AM190" i="18"/>
  <c r="AM189" i="18"/>
  <c r="AM188" i="18"/>
  <c r="AM187" i="18"/>
  <c r="AM186" i="18"/>
  <c r="AM185" i="18"/>
  <c r="AM184" i="18"/>
  <c r="AM183" i="18"/>
  <c r="AM182" i="18"/>
  <c r="AM181" i="18"/>
  <c r="AM180" i="18"/>
  <c r="AM179" i="18"/>
  <c r="AM178" i="18"/>
  <c r="AM177" i="18"/>
  <c r="AM176" i="18"/>
  <c r="AM175" i="18"/>
  <c r="AM174" i="18"/>
  <c r="AM173" i="18"/>
  <c r="AM172" i="18"/>
  <c r="AM171" i="18"/>
  <c r="AM170" i="18"/>
  <c r="AM169" i="18"/>
  <c r="AM168" i="18"/>
  <c r="AM167" i="18"/>
  <c r="AM166" i="18"/>
  <c r="AM165" i="18"/>
  <c r="AM164" i="18"/>
  <c r="AM163" i="18"/>
  <c r="AM162" i="18"/>
  <c r="AM161" i="18"/>
  <c r="AM160" i="18"/>
  <c r="AM159" i="18"/>
  <c r="AM158" i="18"/>
  <c r="AM157" i="18"/>
  <c r="AM156" i="18"/>
  <c r="AM155" i="18"/>
  <c r="AM154" i="18"/>
  <c r="AM153" i="18"/>
  <c r="AM152" i="18"/>
  <c r="AM151" i="18"/>
  <c r="AM150" i="18"/>
  <c r="AJ52" i="20"/>
  <c r="AC52" i="20"/>
  <c r="Z52" i="20"/>
  <c r="P52" i="20"/>
  <c r="N52" i="20" s="1"/>
  <c r="AJ51" i="20"/>
  <c r="AC51" i="20"/>
  <c r="Z51" i="20"/>
  <c r="P51" i="20"/>
  <c r="N51" i="20" s="1"/>
  <c r="AJ50" i="20"/>
  <c r="AC50" i="20"/>
  <c r="Z50" i="20"/>
  <c r="P50" i="20"/>
  <c r="N50" i="20" s="1"/>
  <c r="AJ49" i="20"/>
  <c r="AC49" i="20"/>
  <c r="Z49" i="20"/>
  <c r="P49" i="20"/>
  <c r="N49" i="20" s="1"/>
  <c r="AJ48" i="20"/>
  <c r="AC48" i="20"/>
  <c r="Z48" i="20"/>
  <c r="P48" i="20"/>
  <c r="N48" i="20" s="1"/>
  <c r="AJ47" i="20"/>
  <c r="AC47" i="20"/>
  <c r="Z47" i="20"/>
  <c r="P47" i="20"/>
  <c r="N47" i="20" s="1"/>
  <c r="AJ46" i="20"/>
  <c r="AC46" i="20"/>
  <c r="Z46" i="20"/>
  <c r="P46" i="20"/>
  <c r="N46" i="20" s="1"/>
  <c r="AJ45" i="20"/>
  <c r="AC45" i="20"/>
  <c r="Z45" i="20"/>
  <c r="P45" i="20"/>
  <c r="N45" i="20" s="1"/>
  <c r="AJ44" i="20"/>
  <c r="AC44" i="20"/>
  <c r="Z44" i="20"/>
  <c r="P44" i="20"/>
  <c r="N44" i="20" s="1"/>
  <c r="AJ43" i="20"/>
  <c r="AC43" i="20"/>
  <c r="Z43" i="20"/>
  <c r="P43" i="20"/>
  <c r="N43" i="20" s="1"/>
  <c r="AJ42" i="20"/>
  <c r="AC42" i="20"/>
  <c r="Z42" i="20"/>
  <c r="P42" i="20"/>
  <c r="N42" i="20" s="1"/>
  <c r="AJ41" i="20"/>
  <c r="AC41" i="20"/>
  <c r="Z41" i="20"/>
  <c r="P41" i="20"/>
  <c r="N41" i="20" s="1"/>
  <c r="AJ40" i="20"/>
  <c r="AC40" i="20"/>
  <c r="Z40" i="20"/>
  <c r="Q40" i="20"/>
  <c r="P40" i="20" s="1"/>
  <c r="N40" i="20" s="1"/>
  <c r="AJ39" i="20"/>
  <c r="AC39" i="20"/>
  <c r="Z39" i="20"/>
  <c r="Q39" i="20"/>
  <c r="P39" i="20" s="1"/>
  <c r="N39" i="20" s="1"/>
  <c r="AJ38" i="20"/>
  <c r="AC38" i="20"/>
  <c r="Z38" i="20"/>
  <c r="Q38" i="20"/>
  <c r="P38" i="20" s="1"/>
  <c r="N38" i="20" s="1"/>
  <c r="AJ37" i="20"/>
  <c r="AC37" i="20"/>
  <c r="Z37" i="20"/>
  <c r="Q37" i="20"/>
  <c r="P37" i="20" s="1"/>
  <c r="N37" i="20" s="1"/>
  <c r="AJ36" i="20"/>
  <c r="AC36" i="20"/>
  <c r="Z36" i="20"/>
  <c r="P36" i="20"/>
  <c r="N36" i="20" s="1"/>
  <c r="AJ35" i="20"/>
  <c r="AC35" i="20"/>
  <c r="Z35" i="20"/>
  <c r="Q35" i="20"/>
  <c r="P35" i="20" s="1"/>
  <c r="N35" i="20" s="1"/>
  <c r="AJ34" i="20"/>
  <c r="AC34" i="20"/>
  <c r="Z34" i="20"/>
  <c r="P34" i="20"/>
  <c r="N34" i="20" s="1"/>
  <c r="AJ33" i="20"/>
  <c r="AC33" i="20"/>
  <c r="Z33" i="20"/>
  <c r="P33" i="20"/>
  <c r="N33" i="20" s="1"/>
  <c r="AJ32" i="20"/>
  <c r="AC32" i="20"/>
  <c r="Z32" i="20"/>
  <c r="P32" i="20"/>
  <c r="N32" i="20" s="1"/>
  <c r="AJ31" i="20"/>
  <c r="AC31" i="20"/>
  <c r="Z31" i="20"/>
  <c r="P31" i="20"/>
  <c r="N31" i="20" s="1"/>
  <c r="AJ30" i="20"/>
  <c r="AC30" i="20"/>
  <c r="Z30" i="20"/>
  <c r="P30" i="20"/>
  <c r="N30" i="20" s="1"/>
  <c r="AJ29" i="20"/>
  <c r="AC29" i="20"/>
  <c r="Z29" i="20"/>
  <c r="Q29" i="20"/>
  <c r="P29" i="20" s="1"/>
  <c r="N29" i="20" s="1"/>
  <c r="AJ28" i="20"/>
  <c r="AC28" i="20"/>
  <c r="Z28" i="20"/>
  <c r="P28" i="20"/>
  <c r="N28" i="20" s="1"/>
  <c r="AJ27" i="20"/>
  <c r="AC27" i="20"/>
  <c r="Z27" i="20"/>
  <c r="P27" i="20"/>
  <c r="N27" i="20" s="1"/>
  <c r="AJ26" i="20"/>
  <c r="AC26" i="20"/>
  <c r="Z26" i="20"/>
  <c r="P26" i="20"/>
  <c r="N26" i="20" s="1"/>
  <c r="AJ25" i="20"/>
  <c r="AC25" i="20"/>
  <c r="Z25" i="20"/>
  <c r="P25" i="20"/>
  <c r="N25" i="20" s="1"/>
  <c r="AJ24" i="20"/>
  <c r="AC24" i="20"/>
  <c r="Z24" i="20"/>
  <c r="P24" i="20"/>
  <c r="N24" i="20" s="1"/>
  <c r="AJ23" i="20"/>
  <c r="AC23" i="20"/>
  <c r="Z23" i="20"/>
  <c r="P23" i="20"/>
  <c r="N23" i="20" s="1"/>
  <c r="AJ22" i="20"/>
  <c r="AC22" i="20"/>
  <c r="Z22" i="20"/>
  <c r="P22" i="20"/>
  <c r="N22" i="20" s="1"/>
  <c r="AJ21" i="20"/>
  <c r="AC21" i="20"/>
  <c r="Z21" i="20"/>
  <c r="P21" i="20"/>
  <c r="N21" i="20" s="1"/>
  <c r="AJ20" i="20"/>
  <c r="AC20" i="20"/>
  <c r="Z20" i="20"/>
  <c r="P20" i="20"/>
  <c r="N20" i="20" s="1"/>
  <c r="AJ19" i="20"/>
  <c r="AC19" i="20"/>
  <c r="P19" i="20"/>
  <c r="N19" i="20" s="1"/>
  <c r="AJ18" i="20"/>
  <c r="AC18" i="20"/>
  <c r="Z18" i="20"/>
  <c r="P18" i="20"/>
  <c r="N18" i="20" s="1"/>
  <c r="AJ17" i="20"/>
  <c r="AC17" i="20"/>
  <c r="Z17" i="20"/>
  <c r="P17" i="20"/>
  <c r="N17" i="20" s="1"/>
  <c r="AJ16" i="20"/>
  <c r="AC16" i="20"/>
  <c r="Z16" i="20"/>
  <c r="Q16" i="20"/>
  <c r="P16" i="20" s="1"/>
  <c r="N16" i="20" s="1"/>
  <c r="AJ15" i="20"/>
  <c r="AC15" i="20"/>
  <c r="Z15" i="20"/>
  <c r="P15" i="20"/>
  <c r="N15" i="20" s="1"/>
  <c r="AJ14" i="20"/>
  <c r="AC14" i="20"/>
  <c r="Z14" i="20"/>
  <c r="P14" i="20"/>
  <c r="N14" i="20" s="1"/>
  <c r="AJ13" i="20"/>
  <c r="AC13" i="20"/>
  <c r="Z13" i="20"/>
  <c r="P13" i="20"/>
  <c r="N13" i="20" s="1"/>
  <c r="AJ12" i="20"/>
  <c r="AC12" i="20"/>
  <c r="Z12" i="20"/>
  <c r="P12" i="20"/>
  <c r="N12" i="20" s="1"/>
  <c r="AJ11" i="20"/>
  <c r="AC11" i="20"/>
  <c r="Z11" i="20"/>
  <c r="P11" i="20"/>
  <c r="N11" i="20" s="1"/>
  <c r="AJ10" i="20"/>
  <c r="AC10" i="20"/>
  <c r="Z10" i="20"/>
  <c r="P10" i="20"/>
  <c r="N10" i="20" s="1"/>
  <c r="AJ9" i="20"/>
  <c r="AC9" i="20"/>
  <c r="Z9" i="20"/>
  <c r="P9" i="20"/>
  <c r="N9" i="20" s="1"/>
  <c r="AJ8" i="20"/>
  <c r="AC8" i="20"/>
  <c r="Z8" i="20"/>
  <c r="P8" i="20"/>
  <c r="N8" i="20" s="1"/>
  <c r="AJ7" i="20"/>
  <c r="AC7" i="20"/>
  <c r="Z7" i="20"/>
  <c r="Q7" i="20"/>
  <c r="P7" i="20" s="1"/>
  <c r="N7" i="20" s="1"/>
  <c r="AJ6" i="20"/>
  <c r="AC6" i="20"/>
  <c r="Z6" i="20"/>
  <c r="P6" i="20"/>
  <c r="N6" i="20" s="1"/>
  <c r="AJ5" i="20"/>
  <c r="AC5" i="20"/>
  <c r="Z5" i="20"/>
  <c r="P5" i="20"/>
  <c r="N5" i="20" s="1"/>
  <c r="AB6" i="12" l="1"/>
  <c r="AB7" i="12"/>
  <c r="AB8" i="12"/>
  <c r="AB9" i="12"/>
  <c r="AB1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48" i="12"/>
  <c r="AB49" i="12"/>
  <c r="AB50" i="12"/>
  <c r="AB51" i="12"/>
  <c r="AB52" i="12"/>
  <c r="AB5" i="12"/>
  <c r="AM7" i="18" l="1"/>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M55" i="18"/>
  <c r="AM56" i="18"/>
  <c r="AM57" i="18"/>
  <c r="AM58" i="18"/>
  <c r="AM59" i="18"/>
  <c r="AM60" i="18"/>
  <c r="AM61" i="18"/>
  <c r="AM62" i="18"/>
  <c r="AM63" i="18"/>
  <c r="AM64" i="18"/>
  <c r="AM65" i="18"/>
  <c r="AM66" i="18"/>
  <c r="AM67" i="18"/>
  <c r="AM68" i="18"/>
  <c r="AM69" i="18"/>
  <c r="AM70" i="18"/>
  <c r="AM71" i="18"/>
  <c r="AM72" i="18"/>
  <c r="AM73" i="18"/>
  <c r="AM74" i="18"/>
  <c r="AM75" i="18"/>
  <c r="AM76" i="18"/>
  <c r="AM77" i="18"/>
  <c r="AM78" i="18"/>
  <c r="AM79" i="18"/>
  <c r="AM80" i="18"/>
  <c r="AM81" i="18"/>
  <c r="AM82" i="18"/>
  <c r="AM83" i="18"/>
  <c r="AM84" i="18"/>
  <c r="AM85" i="18"/>
  <c r="AM86" i="18"/>
  <c r="AM87" i="18"/>
  <c r="AM88" i="18"/>
  <c r="AM89" i="18"/>
  <c r="AM90" i="18"/>
  <c r="AM91" i="18"/>
  <c r="AM92" i="18"/>
  <c r="AM93" i="18"/>
  <c r="AM94" i="18"/>
  <c r="AM95" i="18"/>
  <c r="AM96" i="18"/>
  <c r="AM97" i="18"/>
  <c r="AM98" i="18"/>
  <c r="AM99" i="18"/>
  <c r="AM100" i="18"/>
  <c r="AM101" i="18"/>
  <c r="AM6" i="18"/>
  <c r="AI103" i="18"/>
  <c r="AJ103" i="18"/>
  <c r="AK103" i="18"/>
  <c r="AI104" i="18"/>
  <c r="AJ104" i="18"/>
  <c r="AK104" i="18"/>
  <c r="AI105" i="18"/>
  <c r="AJ105" i="18"/>
  <c r="AK105" i="18"/>
  <c r="AI106" i="18"/>
  <c r="AJ106" i="18"/>
  <c r="AK106" i="18"/>
  <c r="AI107" i="18"/>
  <c r="AJ107" i="18"/>
  <c r="AK107" i="18"/>
  <c r="AI108" i="18"/>
  <c r="AJ108" i="18"/>
  <c r="AK108" i="18"/>
  <c r="AI109" i="18"/>
  <c r="AJ109" i="18"/>
  <c r="AK109" i="18"/>
  <c r="AI110" i="18"/>
  <c r="AJ110" i="18"/>
  <c r="AK110" i="18"/>
  <c r="AI111" i="18"/>
  <c r="AJ111" i="18"/>
  <c r="AK111" i="18"/>
  <c r="AI112" i="18"/>
  <c r="AJ112" i="18"/>
  <c r="AK112" i="18"/>
  <c r="AI113" i="18"/>
  <c r="AJ113" i="18"/>
  <c r="AK113" i="18"/>
  <c r="AI114" i="18"/>
  <c r="AJ114" i="18"/>
  <c r="AK114" i="18"/>
  <c r="AI115" i="18"/>
  <c r="AJ115" i="18"/>
  <c r="AK115" i="18"/>
  <c r="AI116" i="18"/>
  <c r="AJ116" i="18"/>
  <c r="AK116" i="18"/>
  <c r="AI117" i="18"/>
  <c r="AJ117" i="18"/>
  <c r="AK117" i="18"/>
  <c r="AI118" i="18"/>
  <c r="AJ118" i="18"/>
  <c r="AK118" i="18"/>
  <c r="AI119" i="18"/>
  <c r="AJ119" i="18"/>
  <c r="AK119" i="18"/>
  <c r="AI120" i="18"/>
  <c r="AJ120" i="18"/>
  <c r="AK120" i="18"/>
  <c r="AI121" i="18"/>
  <c r="AJ121" i="18"/>
  <c r="AK121" i="18"/>
  <c r="AI122" i="18"/>
  <c r="AJ122" i="18"/>
  <c r="AK122" i="18"/>
  <c r="AI123" i="18"/>
  <c r="AJ123" i="18"/>
  <c r="AK123" i="18"/>
  <c r="AI124" i="18"/>
  <c r="AJ124" i="18"/>
  <c r="AK124" i="18"/>
  <c r="AI125" i="18"/>
  <c r="AJ125" i="18"/>
  <c r="AK125" i="18"/>
  <c r="AI126" i="18"/>
  <c r="AJ126" i="18"/>
  <c r="AK126" i="18"/>
  <c r="AI127" i="18"/>
  <c r="AJ127" i="18"/>
  <c r="AK127" i="18"/>
  <c r="AI128" i="18"/>
  <c r="AJ128" i="18"/>
  <c r="AK128" i="18"/>
  <c r="AI129" i="18"/>
  <c r="AJ129" i="18"/>
  <c r="AK129" i="18"/>
  <c r="AI130" i="18"/>
  <c r="AJ130" i="18"/>
  <c r="AK130" i="18"/>
  <c r="AI131" i="18"/>
  <c r="AJ131" i="18"/>
  <c r="AK131" i="18"/>
  <c r="AI132" i="18"/>
  <c r="AJ132" i="18"/>
  <c r="AK132" i="18"/>
  <c r="AI133" i="18"/>
  <c r="AJ133" i="18"/>
  <c r="AK133" i="18"/>
  <c r="AI134" i="18"/>
  <c r="AJ134" i="18"/>
  <c r="AK134" i="18"/>
  <c r="AI135" i="18"/>
  <c r="AJ135" i="18"/>
  <c r="AK135" i="18"/>
  <c r="AI136" i="18"/>
  <c r="AJ136" i="18"/>
  <c r="AK136" i="18"/>
  <c r="AI137" i="18"/>
  <c r="AJ137" i="18"/>
  <c r="AK137" i="18"/>
  <c r="AI138" i="18"/>
  <c r="AJ138" i="18"/>
  <c r="AK138" i="18"/>
  <c r="AI139" i="18"/>
  <c r="AJ139" i="18"/>
  <c r="AK139" i="18"/>
  <c r="AI140" i="18"/>
  <c r="AJ140" i="18"/>
  <c r="AK140" i="18"/>
  <c r="AI141" i="18"/>
  <c r="AJ141" i="18"/>
  <c r="AK141" i="18"/>
  <c r="AI142" i="18"/>
  <c r="AJ142" i="18"/>
  <c r="AK142" i="18"/>
  <c r="AI143" i="18"/>
  <c r="AJ143" i="18"/>
  <c r="AK143" i="18"/>
  <c r="AI144" i="18"/>
  <c r="AJ144" i="18"/>
  <c r="AK144" i="18"/>
  <c r="AI145" i="18"/>
  <c r="AJ145" i="18"/>
  <c r="AK145" i="18"/>
  <c r="AI146" i="18"/>
  <c r="AJ146" i="18"/>
  <c r="AK146" i="18"/>
  <c r="AI147" i="18"/>
  <c r="AJ147" i="18"/>
  <c r="AK147" i="18"/>
  <c r="AI148" i="18"/>
  <c r="AJ148" i="18"/>
  <c r="AK148" i="18"/>
  <c r="AI149" i="18"/>
  <c r="AJ149" i="18"/>
  <c r="AK149" i="18"/>
  <c r="AJ102" i="18"/>
  <c r="AK102" i="18"/>
  <c r="AI102" i="18"/>
  <c r="AA7" i="18"/>
  <c r="AA8" i="18"/>
  <c r="AA9" i="18"/>
  <c r="AA10" i="18"/>
  <c r="AA11" i="18"/>
  <c r="AA12" i="18"/>
  <c r="AA13" i="18"/>
  <c r="AA14" i="18"/>
  <c r="AA15" i="18"/>
  <c r="AA16" i="18"/>
  <c r="AA17" i="18"/>
  <c r="AA18" i="18"/>
  <c r="AA19" i="18"/>
  <c r="AA20" i="18"/>
  <c r="AA21" i="18"/>
  <c r="AA22" i="18"/>
  <c r="AA23" i="18"/>
  <c r="AA24" i="18"/>
  <c r="AA25" i="18"/>
  <c r="AA26" i="18"/>
  <c r="AA27" i="18"/>
  <c r="AA28" i="18"/>
  <c r="AA29" i="18"/>
  <c r="AA30" i="18"/>
  <c r="AA31" i="18"/>
  <c r="AA32" i="18"/>
  <c r="AA33" i="18"/>
  <c r="AA34" i="18"/>
  <c r="AA35" i="18"/>
  <c r="AA36" i="18"/>
  <c r="AA37" i="18"/>
  <c r="AA38" i="18"/>
  <c r="AA39" i="18"/>
  <c r="AA40" i="18"/>
  <c r="AA41" i="18"/>
  <c r="AA42" i="18"/>
  <c r="AA43" i="18"/>
  <c r="AA44" i="18"/>
  <c r="AA45" i="18"/>
  <c r="AA46" i="18"/>
  <c r="AA47" i="18"/>
  <c r="AA48" i="18"/>
  <c r="AA49" i="18"/>
  <c r="AA50" i="18"/>
  <c r="AA51" i="18"/>
  <c r="AA52" i="18"/>
  <c r="AA53" i="18"/>
  <c r="AA54" i="18"/>
  <c r="AA55" i="18"/>
  <c r="AA56" i="18"/>
  <c r="AA57" i="18"/>
  <c r="AA58" i="18"/>
  <c r="AA59" i="18"/>
  <c r="AA60" i="18"/>
  <c r="AA61" i="18"/>
  <c r="AA62" i="18"/>
  <c r="AA63" i="18"/>
  <c r="AA64" i="18"/>
  <c r="AA65" i="18"/>
  <c r="AA66" i="18"/>
  <c r="AA67" i="18"/>
  <c r="AA68" i="18"/>
  <c r="AA69" i="18"/>
  <c r="AA70" i="18"/>
  <c r="AA71" i="18"/>
  <c r="AA72" i="18"/>
  <c r="AA73" i="18"/>
  <c r="AA74" i="18"/>
  <c r="AA75" i="18"/>
  <c r="AA76" i="18"/>
  <c r="AA77" i="18"/>
  <c r="AA78" i="18"/>
  <c r="AA79" i="18"/>
  <c r="AA80" i="18"/>
  <c r="AA81" i="18"/>
  <c r="AA82" i="18"/>
  <c r="AA83" i="18"/>
  <c r="AA84" i="18"/>
  <c r="AA85" i="18"/>
  <c r="AA86" i="18"/>
  <c r="AA87" i="18"/>
  <c r="AA88" i="18"/>
  <c r="AA89" i="18"/>
  <c r="AA90" i="18"/>
  <c r="AA91" i="18"/>
  <c r="AA92" i="18"/>
  <c r="AA93" i="18"/>
  <c r="AA94" i="18"/>
  <c r="AA95" i="18"/>
  <c r="AA96" i="18"/>
  <c r="AA97" i="18"/>
  <c r="AA98" i="18"/>
  <c r="AA99" i="18"/>
  <c r="AA100" i="18"/>
  <c r="AA101" i="18"/>
  <c r="AA6" i="18"/>
  <c r="K151" i="18"/>
  <c r="R151" i="18"/>
  <c r="S151" i="18"/>
  <c r="T151" i="18"/>
  <c r="U151" i="18"/>
  <c r="V151" i="18"/>
  <c r="Z151" i="18"/>
  <c r="AA151" i="18"/>
  <c r="AB151" i="18"/>
  <c r="AC151" i="18"/>
  <c r="AD151" i="18"/>
  <c r="AE151" i="18"/>
  <c r="AG151" i="18"/>
  <c r="AN151" i="18" s="1"/>
  <c r="K152" i="18"/>
  <c r="R152" i="18"/>
  <c r="S152" i="18"/>
  <c r="U152" i="18"/>
  <c r="V152" i="18"/>
  <c r="Z152" i="18"/>
  <c r="AA152" i="18"/>
  <c r="AB152" i="18"/>
  <c r="AC152" i="18"/>
  <c r="AD152" i="18"/>
  <c r="AE152" i="18"/>
  <c r="AG152" i="18"/>
  <c r="AN152" i="18" s="1"/>
  <c r="K153" i="18"/>
  <c r="R153" i="18"/>
  <c r="S153" i="18"/>
  <c r="U153" i="18"/>
  <c r="V153" i="18"/>
  <c r="Z153" i="18"/>
  <c r="AA153" i="18"/>
  <c r="AB153" i="18"/>
  <c r="AC153" i="18"/>
  <c r="AE153" i="18"/>
  <c r="AG153" i="18"/>
  <c r="AN153" i="18" s="1"/>
  <c r="K154" i="18"/>
  <c r="R154" i="18"/>
  <c r="S154" i="18"/>
  <c r="U154" i="18"/>
  <c r="V154" i="18"/>
  <c r="Z154" i="18"/>
  <c r="AA154" i="18"/>
  <c r="AB154" i="18"/>
  <c r="AC154" i="18"/>
  <c r="AD154" i="18"/>
  <c r="AE154" i="18"/>
  <c r="AG154" i="18"/>
  <c r="AN154" i="18" s="1"/>
  <c r="K155" i="18"/>
  <c r="R155" i="18"/>
  <c r="S155" i="18"/>
  <c r="U155" i="18"/>
  <c r="V155" i="18"/>
  <c r="Z155" i="18"/>
  <c r="AA155" i="18"/>
  <c r="AB155" i="18"/>
  <c r="AC155" i="18"/>
  <c r="AD155" i="18"/>
  <c r="AG155" i="18"/>
  <c r="AN155" i="18" s="1"/>
  <c r="K156" i="18"/>
  <c r="R156" i="18"/>
  <c r="S156" i="18"/>
  <c r="U156" i="18"/>
  <c r="V156" i="18"/>
  <c r="Z156" i="18"/>
  <c r="AA156" i="18"/>
  <c r="AB156" i="18"/>
  <c r="AC156" i="18"/>
  <c r="AD156" i="18"/>
  <c r="AE156" i="18"/>
  <c r="AG156" i="18"/>
  <c r="AN156" i="18" s="1"/>
  <c r="K157" i="18"/>
  <c r="R157" i="18"/>
  <c r="S157" i="18"/>
  <c r="U157" i="18"/>
  <c r="V157" i="18"/>
  <c r="Z157" i="18"/>
  <c r="AA157" i="18"/>
  <c r="AB157" i="18"/>
  <c r="AC157" i="18"/>
  <c r="AD157" i="18"/>
  <c r="AE157" i="18"/>
  <c r="AG157" i="18"/>
  <c r="AN157" i="18" s="1"/>
  <c r="K158" i="18"/>
  <c r="R158" i="18"/>
  <c r="S158" i="18"/>
  <c r="U158" i="18"/>
  <c r="V158" i="18"/>
  <c r="Z158" i="18"/>
  <c r="AA158" i="18"/>
  <c r="AB158" i="18"/>
  <c r="AC158" i="18"/>
  <c r="AD158" i="18"/>
  <c r="AE158" i="18"/>
  <c r="AG158" i="18"/>
  <c r="AN158" i="18" s="1"/>
  <c r="K159" i="18"/>
  <c r="R159" i="18"/>
  <c r="S159" i="18"/>
  <c r="U159" i="18"/>
  <c r="V159" i="18"/>
  <c r="Z159" i="18"/>
  <c r="AA159" i="18"/>
  <c r="AB159" i="18"/>
  <c r="AC159" i="18"/>
  <c r="AD159" i="18"/>
  <c r="AE159" i="18"/>
  <c r="AG159" i="18"/>
  <c r="AN159" i="18" s="1"/>
  <c r="K160" i="18"/>
  <c r="R160" i="18"/>
  <c r="S160" i="18"/>
  <c r="U160" i="18"/>
  <c r="V160" i="18"/>
  <c r="Z160" i="18"/>
  <c r="AA160" i="18"/>
  <c r="AB160" i="18"/>
  <c r="AC160" i="18"/>
  <c r="AD160" i="18"/>
  <c r="AE160" i="18"/>
  <c r="AG160" i="18"/>
  <c r="AN160" i="18" s="1"/>
  <c r="K161" i="18"/>
  <c r="R161" i="18"/>
  <c r="S161" i="18"/>
  <c r="U161" i="18"/>
  <c r="V161" i="18"/>
  <c r="Z161" i="18"/>
  <c r="AA161" i="18"/>
  <c r="AB161" i="18"/>
  <c r="AC161" i="18"/>
  <c r="AD161" i="18"/>
  <c r="AE161" i="18"/>
  <c r="AG161" i="18"/>
  <c r="AN161" i="18" s="1"/>
  <c r="K162" i="18"/>
  <c r="R162" i="18"/>
  <c r="S162" i="18"/>
  <c r="U162" i="18"/>
  <c r="V162" i="18"/>
  <c r="Z162" i="18"/>
  <c r="AA162" i="18"/>
  <c r="AB162" i="18"/>
  <c r="AC162" i="18"/>
  <c r="AD162" i="18"/>
  <c r="AE162" i="18"/>
  <c r="AG162" i="18"/>
  <c r="AN162" i="18" s="1"/>
  <c r="K163" i="18"/>
  <c r="R163" i="18"/>
  <c r="S163" i="18"/>
  <c r="U163" i="18"/>
  <c r="V163" i="18"/>
  <c r="Z163" i="18"/>
  <c r="AA163" i="18"/>
  <c r="AB163" i="18"/>
  <c r="AC163" i="18"/>
  <c r="AD163" i="18"/>
  <c r="AE163" i="18"/>
  <c r="AG163" i="18"/>
  <c r="AN163" i="18" s="1"/>
  <c r="K164" i="18"/>
  <c r="R164" i="18"/>
  <c r="U164" i="18"/>
  <c r="V164" i="18"/>
  <c r="Z164" i="18"/>
  <c r="AA164" i="18"/>
  <c r="AB164" i="18"/>
  <c r="AC164" i="18"/>
  <c r="AD164" i="18"/>
  <c r="AE164" i="18"/>
  <c r="AG164" i="18"/>
  <c r="AN164" i="18" s="1"/>
  <c r="K165" i="18"/>
  <c r="R165" i="18"/>
  <c r="S165" i="18"/>
  <c r="U165" i="18"/>
  <c r="V165" i="18"/>
  <c r="Z165" i="18"/>
  <c r="AA165" i="18"/>
  <c r="AB165" i="18"/>
  <c r="AC165" i="18"/>
  <c r="AD165" i="18"/>
  <c r="AE165" i="18"/>
  <c r="AG165" i="18"/>
  <c r="AN165" i="18" s="1"/>
  <c r="K166" i="18"/>
  <c r="R166" i="18"/>
  <c r="S166" i="18"/>
  <c r="U166" i="18"/>
  <c r="V166" i="18"/>
  <c r="Z166" i="18"/>
  <c r="AA166" i="18"/>
  <c r="AB166" i="18"/>
  <c r="AC166" i="18"/>
  <c r="AD166" i="18"/>
  <c r="AE166" i="18"/>
  <c r="AG166" i="18"/>
  <c r="AN166" i="18" s="1"/>
  <c r="K167" i="18"/>
  <c r="R167" i="18"/>
  <c r="S167" i="18"/>
  <c r="U167" i="18"/>
  <c r="V167" i="18"/>
  <c r="Z167" i="18"/>
  <c r="AA167" i="18"/>
  <c r="AB167" i="18"/>
  <c r="AC167" i="18"/>
  <c r="AD167" i="18"/>
  <c r="AE167" i="18"/>
  <c r="AG167" i="18"/>
  <c r="AN167" i="18" s="1"/>
  <c r="K168" i="18"/>
  <c r="R168" i="18"/>
  <c r="S168" i="18"/>
  <c r="U168" i="18"/>
  <c r="V168" i="18"/>
  <c r="Z168" i="18"/>
  <c r="AA168" i="18"/>
  <c r="AB168" i="18"/>
  <c r="AE168" i="18"/>
  <c r="AG168" i="18"/>
  <c r="AN168" i="18" s="1"/>
  <c r="K169" i="18"/>
  <c r="R169" i="18"/>
  <c r="S169" i="18"/>
  <c r="U169" i="18"/>
  <c r="V169" i="18"/>
  <c r="Z169" i="18"/>
  <c r="AA169" i="18"/>
  <c r="AB169" i="18"/>
  <c r="AC169" i="18"/>
  <c r="AD169" i="18"/>
  <c r="AE169" i="18"/>
  <c r="AG169" i="18"/>
  <c r="AN169" i="18" s="1"/>
  <c r="K170" i="18"/>
  <c r="R170" i="18"/>
  <c r="S170" i="18"/>
  <c r="U170" i="18"/>
  <c r="V170" i="18"/>
  <c r="Z170" i="18"/>
  <c r="AA170" i="18"/>
  <c r="AB170" i="18"/>
  <c r="AC170" i="18"/>
  <c r="AD170" i="18"/>
  <c r="AE170" i="18"/>
  <c r="AG170" i="18"/>
  <c r="AN170" i="18" s="1"/>
  <c r="K171" i="18"/>
  <c r="R171" i="18"/>
  <c r="S171" i="18"/>
  <c r="T171" i="18"/>
  <c r="U171" i="18"/>
  <c r="V171" i="18"/>
  <c r="Z171" i="18"/>
  <c r="AA171" i="18"/>
  <c r="AB171" i="18"/>
  <c r="AC171" i="18"/>
  <c r="AD171" i="18"/>
  <c r="AG171" i="18"/>
  <c r="AN171" i="18" s="1"/>
  <c r="K172" i="18"/>
  <c r="R172" i="18"/>
  <c r="S172" i="18"/>
  <c r="U172" i="18"/>
  <c r="V172" i="18"/>
  <c r="Z172" i="18"/>
  <c r="AA172" i="18"/>
  <c r="AB172" i="18"/>
  <c r="AC172" i="18"/>
  <c r="AD172" i="18"/>
  <c r="AE172" i="18"/>
  <c r="AG172" i="18"/>
  <c r="AN172" i="18" s="1"/>
  <c r="K173" i="18"/>
  <c r="R173" i="18"/>
  <c r="S173" i="18"/>
  <c r="U173" i="18"/>
  <c r="V173" i="18"/>
  <c r="Z173" i="18"/>
  <c r="AA173" i="18"/>
  <c r="AB173" i="18"/>
  <c r="AC173" i="18"/>
  <c r="AD173" i="18"/>
  <c r="AE173" i="18"/>
  <c r="AG173" i="18"/>
  <c r="AN173" i="18" s="1"/>
  <c r="K174" i="18"/>
  <c r="R174" i="18"/>
  <c r="S174" i="18"/>
  <c r="U174" i="18"/>
  <c r="V174" i="18"/>
  <c r="Z174" i="18"/>
  <c r="AA174" i="18"/>
  <c r="AB174" i="18"/>
  <c r="AC174" i="18"/>
  <c r="AD174" i="18"/>
  <c r="AE174" i="18"/>
  <c r="AG174" i="18"/>
  <c r="AN174" i="18" s="1"/>
  <c r="K175" i="18"/>
  <c r="R175" i="18"/>
  <c r="S175" i="18"/>
  <c r="U175" i="18"/>
  <c r="V175" i="18"/>
  <c r="Z175" i="18"/>
  <c r="AA175" i="18"/>
  <c r="AB175" i="18"/>
  <c r="AC175" i="18"/>
  <c r="AD175" i="18"/>
  <c r="AE175" i="18"/>
  <c r="AG175" i="18"/>
  <c r="AN175" i="18" s="1"/>
  <c r="K176" i="18"/>
  <c r="R176" i="18"/>
  <c r="S176" i="18"/>
  <c r="U176" i="18"/>
  <c r="V176" i="18"/>
  <c r="Z176" i="18"/>
  <c r="AA176" i="18"/>
  <c r="AB176" i="18"/>
  <c r="AC176" i="18"/>
  <c r="AD176" i="18"/>
  <c r="AE176" i="18"/>
  <c r="AG176" i="18"/>
  <c r="AN176" i="18" s="1"/>
  <c r="K177" i="18"/>
  <c r="R177" i="18"/>
  <c r="S177" i="18"/>
  <c r="U177" i="18"/>
  <c r="V177" i="18"/>
  <c r="Z177" i="18"/>
  <c r="AA177" i="18"/>
  <c r="AB177" i="18"/>
  <c r="AC177" i="18"/>
  <c r="AD177" i="18"/>
  <c r="AE177" i="18"/>
  <c r="AG177" i="18"/>
  <c r="AN177" i="18" s="1"/>
  <c r="K178" i="18"/>
  <c r="R178" i="18"/>
  <c r="S178" i="18"/>
  <c r="U178" i="18"/>
  <c r="V178" i="18"/>
  <c r="Z178" i="18"/>
  <c r="AA178" i="18"/>
  <c r="AB178" i="18"/>
  <c r="AC178" i="18"/>
  <c r="AD178" i="18"/>
  <c r="AE178" i="18"/>
  <c r="AG178" i="18"/>
  <c r="AN178" i="18" s="1"/>
  <c r="K179" i="18"/>
  <c r="R179" i="18"/>
  <c r="S179" i="18"/>
  <c r="U179" i="18"/>
  <c r="V179" i="18"/>
  <c r="Z179" i="18"/>
  <c r="AA179" i="18"/>
  <c r="AB179" i="18"/>
  <c r="AC179" i="18"/>
  <c r="AD179" i="18"/>
  <c r="AE179" i="18"/>
  <c r="AG179" i="18"/>
  <c r="AN179" i="18" s="1"/>
  <c r="K180" i="18"/>
  <c r="R180" i="18"/>
  <c r="S180" i="18"/>
  <c r="U180" i="18"/>
  <c r="V180" i="18"/>
  <c r="Z180" i="18"/>
  <c r="AA180" i="18"/>
  <c r="AB180" i="18"/>
  <c r="AC180" i="18"/>
  <c r="AD180" i="18"/>
  <c r="AE180" i="18"/>
  <c r="AG180" i="18"/>
  <c r="AN180" i="18" s="1"/>
  <c r="K181" i="18"/>
  <c r="R181" i="18"/>
  <c r="S181" i="18"/>
  <c r="U181" i="18"/>
  <c r="V181" i="18"/>
  <c r="Z181" i="18"/>
  <c r="AA181" i="18"/>
  <c r="AB181" i="18"/>
  <c r="AC181" i="18"/>
  <c r="AD181" i="18"/>
  <c r="AE181" i="18"/>
  <c r="AG181" i="18"/>
  <c r="AN181" i="18" s="1"/>
  <c r="K182" i="18"/>
  <c r="R182" i="18"/>
  <c r="S182" i="18"/>
  <c r="U182" i="18"/>
  <c r="V182" i="18"/>
  <c r="Z182" i="18"/>
  <c r="AA182" i="18"/>
  <c r="AB182" i="18"/>
  <c r="AC182" i="18"/>
  <c r="AD182" i="18"/>
  <c r="AE182" i="18"/>
  <c r="AG182" i="18"/>
  <c r="AN182" i="18" s="1"/>
  <c r="K183" i="18"/>
  <c r="R183" i="18"/>
  <c r="S183" i="18"/>
  <c r="U183" i="18"/>
  <c r="V183" i="18"/>
  <c r="Z183" i="18"/>
  <c r="AA183" i="18"/>
  <c r="AB183" i="18"/>
  <c r="AC183" i="18"/>
  <c r="AD183" i="18"/>
  <c r="AE183" i="18"/>
  <c r="AG183" i="18"/>
  <c r="AN183" i="18" s="1"/>
  <c r="K184" i="18"/>
  <c r="R184" i="18"/>
  <c r="S184" i="18"/>
  <c r="U184" i="18"/>
  <c r="V184" i="18"/>
  <c r="Z184" i="18"/>
  <c r="AA184" i="18"/>
  <c r="AB184" i="18"/>
  <c r="AC184" i="18"/>
  <c r="AD184" i="18"/>
  <c r="AE184" i="18"/>
  <c r="AG184" i="18"/>
  <c r="AN184" i="18" s="1"/>
  <c r="K185" i="18"/>
  <c r="R185" i="18"/>
  <c r="S185" i="18"/>
  <c r="U185" i="18"/>
  <c r="V185" i="18"/>
  <c r="Z185" i="18"/>
  <c r="AA185" i="18"/>
  <c r="AB185" i="18"/>
  <c r="AC185" i="18"/>
  <c r="AD185" i="18"/>
  <c r="AE185" i="18"/>
  <c r="AG185" i="18"/>
  <c r="AN185" i="18" s="1"/>
  <c r="K186" i="18"/>
  <c r="R186" i="18"/>
  <c r="S186" i="18"/>
  <c r="U186" i="18"/>
  <c r="V186" i="18"/>
  <c r="Z186" i="18"/>
  <c r="AA186" i="18"/>
  <c r="AB186" i="18"/>
  <c r="AC186" i="18"/>
  <c r="AD186" i="18"/>
  <c r="AE186" i="18"/>
  <c r="AG186" i="18"/>
  <c r="AN186" i="18" s="1"/>
  <c r="K187" i="18"/>
  <c r="R187" i="18"/>
  <c r="S187" i="18"/>
  <c r="U187" i="18"/>
  <c r="V187" i="18"/>
  <c r="Z187" i="18"/>
  <c r="AA187" i="18"/>
  <c r="AB187" i="18"/>
  <c r="AC187" i="18"/>
  <c r="AD187" i="18"/>
  <c r="AE187" i="18"/>
  <c r="AG187" i="18"/>
  <c r="AN187" i="18" s="1"/>
  <c r="K188" i="18"/>
  <c r="R188" i="18"/>
  <c r="S188" i="18"/>
  <c r="U188" i="18"/>
  <c r="V188" i="18"/>
  <c r="Z188" i="18"/>
  <c r="AA188" i="18"/>
  <c r="AB188" i="18"/>
  <c r="AC188" i="18"/>
  <c r="AD188" i="18"/>
  <c r="AE188" i="18"/>
  <c r="AG188" i="18"/>
  <c r="AN188" i="18" s="1"/>
  <c r="K189" i="18"/>
  <c r="R189" i="18"/>
  <c r="S189" i="18"/>
  <c r="U189" i="18"/>
  <c r="V189" i="18"/>
  <c r="Z189" i="18"/>
  <c r="AA189" i="18"/>
  <c r="AB189" i="18"/>
  <c r="AC189" i="18"/>
  <c r="AD189" i="18"/>
  <c r="AE189" i="18"/>
  <c r="AG189" i="18"/>
  <c r="AN189" i="18" s="1"/>
  <c r="K190" i="18"/>
  <c r="R190" i="18"/>
  <c r="S190" i="18"/>
  <c r="U190" i="18"/>
  <c r="V190" i="18"/>
  <c r="Z190" i="18"/>
  <c r="AA190" i="18"/>
  <c r="AB190" i="18"/>
  <c r="AC190" i="18"/>
  <c r="AD190" i="18"/>
  <c r="AE190" i="18"/>
  <c r="AG190" i="18"/>
  <c r="AN190" i="18" s="1"/>
  <c r="K191" i="18"/>
  <c r="R191" i="18"/>
  <c r="S191" i="18"/>
  <c r="U191" i="18"/>
  <c r="V191" i="18"/>
  <c r="Z191" i="18"/>
  <c r="AA191" i="18"/>
  <c r="AB191" i="18"/>
  <c r="AC191" i="18"/>
  <c r="AD191" i="18"/>
  <c r="AE191" i="18"/>
  <c r="AG191" i="18"/>
  <c r="AN191" i="18" s="1"/>
  <c r="K192" i="18"/>
  <c r="R192" i="18"/>
  <c r="S192" i="18"/>
  <c r="T192" i="18"/>
  <c r="U192" i="18"/>
  <c r="V192" i="18"/>
  <c r="Z192" i="18"/>
  <c r="AA192" i="18"/>
  <c r="AB192" i="18"/>
  <c r="AC192" i="18"/>
  <c r="AD192" i="18"/>
  <c r="AE192" i="18"/>
  <c r="AG192" i="18"/>
  <c r="AN192" i="18" s="1"/>
  <c r="K193" i="18"/>
  <c r="R193" i="18"/>
  <c r="S193" i="18"/>
  <c r="U193" i="18"/>
  <c r="V193" i="18"/>
  <c r="Z193" i="18"/>
  <c r="AA193" i="18"/>
  <c r="AB193" i="18"/>
  <c r="AC193" i="18"/>
  <c r="AD193" i="18"/>
  <c r="AE193" i="18"/>
  <c r="AG193" i="18"/>
  <c r="AN193" i="18" s="1"/>
  <c r="K194" i="18"/>
  <c r="R194" i="18"/>
  <c r="S194" i="18"/>
  <c r="T194" i="18"/>
  <c r="U194" i="18"/>
  <c r="V194" i="18"/>
  <c r="Z194" i="18"/>
  <c r="AA194" i="18"/>
  <c r="AB194" i="18"/>
  <c r="AC194" i="18"/>
  <c r="AD194" i="18"/>
  <c r="AE194" i="18"/>
  <c r="AG194" i="18"/>
  <c r="AN194" i="18" s="1"/>
  <c r="K195" i="18"/>
  <c r="R195" i="18"/>
  <c r="S195" i="18"/>
  <c r="U195" i="18"/>
  <c r="V195" i="18"/>
  <c r="Z195" i="18"/>
  <c r="AA195" i="18"/>
  <c r="AB195" i="18"/>
  <c r="AC195" i="18"/>
  <c r="AD195" i="18"/>
  <c r="AE195" i="18"/>
  <c r="AG195" i="18"/>
  <c r="AN195" i="18" s="1"/>
  <c r="K196" i="18"/>
  <c r="R196" i="18"/>
  <c r="S196" i="18"/>
  <c r="U196" i="18"/>
  <c r="V196" i="18"/>
  <c r="Z196" i="18"/>
  <c r="AA196" i="18"/>
  <c r="AB196" i="18"/>
  <c r="AC196" i="18"/>
  <c r="AD196" i="18"/>
  <c r="AE196" i="18"/>
  <c r="AG196" i="18"/>
  <c r="AN196" i="18" s="1"/>
  <c r="K197" i="18"/>
  <c r="R197" i="18"/>
  <c r="S197" i="18"/>
  <c r="U197" i="18"/>
  <c r="V197" i="18"/>
  <c r="Z197" i="18"/>
  <c r="AA197" i="18"/>
  <c r="AB197" i="18"/>
  <c r="AC197" i="18"/>
  <c r="AD197" i="18"/>
  <c r="AE197" i="18"/>
  <c r="AG197" i="18"/>
  <c r="AN197" i="18" s="1"/>
  <c r="R150" i="18"/>
  <c r="S150" i="18"/>
  <c r="U150" i="18"/>
  <c r="V150" i="18"/>
  <c r="Z150" i="18"/>
  <c r="AA150" i="18"/>
  <c r="AB150" i="18"/>
  <c r="AC150" i="18"/>
  <c r="AD150" i="18"/>
  <c r="AE150" i="18"/>
  <c r="AG150" i="18"/>
  <c r="AN150" i="18" s="1"/>
  <c r="K150" i="18"/>
  <c r="B151" i="18"/>
  <c r="A151" i="18" s="1"/>
  <c r="C151" i="18"/>
  <c r="D151" i="18"/>
  <c r="E151" i="18"/>
  <c r="F151" i="18"/>
  <c r="G151" i="18"/>
  <c r="H151" i="18"/>
  <c r="I151" i="18"/>
  <c r="J151" i="18"/>
  <c r="B152" i="18"/>
  <c r="A152" i="18" s="1"/>
  <c r="C152" i="18"/>
  <c r="D152" i="18"/>
  <c r="E152" i="18"/>
  <c r="F152" i="18"/>
  <c r="G152" i="18"/>
  <c r="H152" i="18"/>
  <c r="I152" i="18"/>
  <c r="J152" i="18"/>
  <c r="B153" i="18"/>
  <c r="A153" i="18" s="1"/>
  <c r="C153" i="18"/>
  <c r="D153" i="18"/>
  <c r="E153" i="18"/>
  <c r="F153" i="18"/>
  <c r="G153" i="18"/>
  <c r="H153" i="18"/>
  <c r="I153" i="18"/>
  <c r="J153" i="18"/>
  <c r="B154" i="18"/>
  <c r="A154" i="18" s="1"/>
  <c r="C154" i="18"/>
  <c r="D154" i="18"/>
  <c r="E154" i="18"/>
  <c r="F154" i="18"/>
  <c r="G154" i="18"/>
  <c r="H154" i="18"/>
  <c r="I154" i="18"/>
  <c r="J154" i="18"/>
  <c r="B155" i="18"/>
  <c r="A155" i="18" s="1"/>
  <c r="C155" i="18"/>
  <c r="D155" i="18"/>
  <c r="E155" i="18"/>
  <c r="F155" i="18"/>
  <c r="G155" i="18"/>
  <c r="H155" i="18"/>
  <c r="I155" i="18"/>
  <c r="J155" i="18"/>
  <c r="B156" i="18"/>
  <c r="A156" i="18" s="1"/>
  <c r="C156" i="18"/>
  <c r="D156" i="18"/>
  <c r="E156" i="18"/>
  <c r="F156" i="18"/>
  <c r="G156" i="18"/>
  <c r="H156" i="18"/>
  <c r="I156" i="18"/>
  <c r="J156" i="18"/>
  <c r="B157" i="18"/>
  <c r="A157" i="18" s="1"/>
  <c r="C157" i="18"/>
  <c r="D157" i="18"/>
  <c r="E157" i="18"/>
  <c r="F157" i="18"/>
  <c r="G157" i="18"/>
  <c r="H157" i="18"/>
  <c r="I157" i="18"/>
  <c r="J157" i="18"/>
  <c r="B158" i="18"/>
  <c r="A158" i="18" s="1"/>
  <c r="C158" i="18"/>
  <c r="D158" i="18"/>
  <c r="E158" i="18"/>
  <c r="F158" i="18"/>
  <c r="G158" i="18"/>
  <c r="H158" i="18"/>
  <c r="I158" i="18"/>
  <c r="J158" i="18"/>
  <c r="B159" i="18"/>
  <c r="A159" i="18" s="1"/>
  <c r="C159" i="18"/>
  <c r="D159" i="18"/>
  <c r="E159" i="18"/>
  <c r="F159" i="18"/>
  <c r="G159" i="18"/>
  <c r="H159" i="18"/>
  <c r="I159" i="18"/>
  <c r="J159" i="18"/>
  <c r="B160" i="18"/>
  <c r="A160" i="18" s="1"/>
  <c r="C160" i="18"/>
  <c r="D160" i="18"/>
  <c r="E160" i="18"/>
  <c r="F160" i="18"/>
  <c r="G160" i="18"/>
  <c r="H160" i="18"/>
  <c r="I160" i="18"/>
  <c r="J160" i="18"/>
  <c r="B161" i="18"/>
  <c r="A161" i="18" s="1"/>
  <c r="C161" i="18"/>
  <c r="D161" i="18"/>
  <c r="E161" i="18"/>
  <c r="F161" i="18"/>
  <c r="G161" i="18"/>
  <c r="H161" i="18"/>
  <c r="I161" i="18"/>
  <c r="J161" i="18"/>
  <c r="B162" i="18"/>
  <c r="A162" i="18" s="1"/>
  <c r="C162" i="18"/>
  <c r="D162" i="18"/>
  <c r="E162" i="18"/>
  <c r="F162" i="18"/>
  <c r="G162" i="18"/>
  <c r="H162" i="18"/>
  <c r="I162" i="18"/>
  <c r="J162" i="18"/>
  <c r="B163" i="18"/>
  <c r="A163" i="18" s="1"/>
  <c r="C163" i="18"/>
  <c r="D163" i="18"/>
  <c r="E163" i="18"/>
  <c r="F163" i="18"/>
  <c r="G163" i="18"/>
  <c r="H163" i="18"/>
  <c r="I163" i="18"/>
  <c r="J163" i="18"/>
  <c r="B164" i="18"/>
  <c r="A164" i="18" s="1"/>
  <c r="C164" i="18"/>
  <c r="D164" i="18"/>
  <c r="E164" i="18"/>
  <c r="F164" i="18"/>
  <c r="G164" i="18"/>
  <c r="H164" i="18"/>
  <c r="I164" i="18"/>
  <c r="J164" i="18"/>
  <c r="B165" i="18"/>
  <c r="A165" i="18" s="1"/>
  <c r="C165" i="18"/>
  <c r="D165" i="18"/>
  <c r="E165" i="18"/>
  <c r="F165" i="18"/>
  <c r="G165" i="18"/>
  <c r="H165" i="18"/>
  <c r="I165" i="18"/>
  <c r="J165" i="18"/>
  <c r="B166" i="18"/>
  <c r="A166" i="18" s="1"/>
  <c r="C166" i="18"/>
  <c r="D166" i="18"/>
  <c r="E166" i="18"/>
  <c r="F166" i="18"/>
  <c r="G166" i="18"/>
  <c r="H166" i="18"/>
  <c r="I166" i="18"/>
  <c r="J166" i="18"/>
  <c r="B167" i="18"/>
  <c r="A167" i="18" s="1"/>
  <c r="C167" i="18"/>
  <c r="D167" i="18"/>
  <c r="E167" i="18"/>
  <c r="F167" i="18"/>
  <c r="G167" i="18"/>
  <c r="H167" i="18"/>
  <c r="I167" i="18"/>
  <c r="J167" i="18"/>
  <c r="B168" i="18"/>
  <c r="A168" i="18" s="1"/>
  <c r="C168" i="18"/>
  <c r="D168" i="18"/>
  <c r="E168" i="18"/>
  <c r="F168" i="18"/>
  <c r="G168" i="18"/>
  <c r="H168" i="18"/>
  <c r="I168" i="18"/>
  <c r="J168" i="18"/>
  <c r="B169" i="18"/>
  <c r="A169" i="18" s="1"/>
  <c r="C169" i="18"/>
  <c r="D169" i="18"/>
  <c r="E169" i="18"/>
  <c r="F169" i="18"/>
  <c r="G169" i="18"/>
  <c r="H169" i="18"/>
  <c r="I169" i="18"/>
  <c r="J169" i="18"/>
  <c r="B170" i="18"/>
  <c r="A170" i="18" s="1"/>
  <c r="C170" i="18"/>
  <c r="D170" i="18"/>
  <c r="E170" i="18"/>
  <c r="F170" i="18"/>
  <c r="G170" i="18"/>
  <c r="H170" i="18"/>
  <c r="I170" i="18"/>
  <c r="J170" i="18"/>
  <c r="B171" i="18"/>
  <c r="A171" i="18" s="1"/>
  <c r="C171" i="18"/>
  <c r="D171" i="18"/>
  <c r="E171" i="18"/>
  <c r="F171" i="18"/>
  <c r="G171" i="18"/>
  <c r="H171" i="18"/>
  <c r="I171" i="18"/>
  <c r="J171" i="18"/>
  <c r="B172" i="18"/>
  <c r="A172" i="18" s="1"/>
  <c r="C172" i="18"/>
  <c r="D172" i="18"/>
  <c r="E172" i="18"/>
  <c r="F172" i="18"/>
  <c r="G172" i="18"/>
  <c r="H172" i="18"/>
  <c r="I172" i="18"/>
  <c r="J172" i="18"/>
  <c r="B173" i="18"/>
  <c r="A173" i="18" s="1"/>
  <c r="C173" i="18"/>
  <c r="D173" i="18"/>
  <c r="E173" i="18"/>
  <c r="F173" i="18"/>
  <c r="G173" i="18"/>
  <c r="H173" i="18"/>
  <c r="I173" i="18"/>
  <c r="J173" i="18"/>
  <c r="B174" i="18"/>
  <c r="A174" i="18" s="1"/>
  <c r="C174" i="18"/>
  <c r="D174" i="18"/>
  <c r="E174" i="18"/>
  <c r="F174" i="18"/>
  <c r="G174" i="18"/>
  <c r="H174" i="18"/>
  <c r="I174" i="18"/>
  <c r="J174" i="18"/>
  <c r="B175" i="18"/>
  <c r="A175" i="18" s="1"/>
  <c r="C175" i="18"/>
  <c r="D175" i="18"/>
  <c r="E175" i="18"/>
  <c r="F175" i="18"/>
  <c r="G175" i="18"/>
  <c r="H175" i="18"/>
  <c r="I175" i="18"/>
  <c r="J175" i="18"/>
  <c r="B176" i="18"/>
  <c r="A176" i="18" s="1"/>
  <c r="C176" i="18"/>
  <c r="D176" i="18"/>
  <c r="E176" i="18"/>
  <c r="F176" i="18"/>
  <c r="G176" i="18"/>
  <c r="H176" i="18"/>
  <c r="I176" i="18"/>
  <c r="J176" i="18"/>
  <c r="B177" i="18"/>
  <c r="A177" i="18" s="1"/>
  <c r="C177" i="18"/>
  <c r="D177" i="18"/>
  <c r="E177" i="18"/>
  <c r="F177" i="18"/>
  <c r="G177" i="18"/>
  <c r="H177" i="18"/>
  <c r="I177" i="18"/>
  <c r="J177" i="18"/>
  <c r="B178" i="18"/>
  <c r="A178" i="18" s="1"/>
  <c r="C178" i="18"/>
  <c r="D178" i="18"/>
  <c r="E178" i="18"/>
  <c r="F178" i="18"/>
  <c r="G178" i="18"/>
  <c r="H178" i="18"/>
  <c r="I178" i="18"/>
  <c r="J178" i="18"/>
  <c r="B179" i="18"/>
  <c r="A179" i="18" s="1"/>
  <c r="C179" i="18"/>
  <c r="D179" i="18"/>
  <c r="E179" i="18"/>
  <c r="F179" i="18"/>
  <c r="G179" i="18"/>
  <c r="H179" i="18"/>
  <c r="I179" i="18"/>
  <c r="J179" i="18"/>
  <c r="B180" i="18"/>
  <c r="A180" i="18" s="1"/>
  <c r="C180" i="18"/>
  <c r="D180" i="18"/>
  <c r="E180" i="18"/>
  <c r="F180" i="18"/>
  <c r="G180" i="18"/>
  <c r="H180" i="18"/>
  <c r="I180" i="18"/>
  <c r="J180" i="18"/>
  <c r="B181" i="18"/>
  <c r="A181" i="18" s="1"/>
  <c r="C181" i="18"/>
  <c r="D181" i="18"/>
  <c r="E181" i="18"/>
  <c r="F181" i="18"/>
  <c r="G181" i="18"/>
  <c r="H181" i="18"/>
  <c r="I181" i="18"/>
  <c r="J181" i="18"/>
  <c r="B182" i="18"/>
  <c r="A182" i="18" s="1"/>
  <c r="C182" i="18"/>
  <c r="D182" i="18"/>
  <c r="E182" i="18"/>
  <c r="F182" i="18"/>
  <c r="G182" i="18"/>
  <c r="H182" i="18"/>
  <c r="I182" i="18"/>
  <c r="J182" i="18"/>
  <c r="B183" i="18"/>
  <c r="A183" i="18" s="1"/>
  <c r="C183" i="18"/>
  <c r="D183" i="18"/>
  <c r="E183" i="18"/>
  <c r="F183" i="18"/>
  <c r="G183" i="18"/>
  <c r="H183" i="18"/>
  <c r="I183" i="18"/>
  <c r="J183" i="18"/>
  <c r="B184" i="18"/>
  <c r="A184" i="18" s="1"/>
  <c r="C184" i="18"/>
  <c r="D184" i="18"/>
  <c r="E184" i="18"/>
  <c r="F184" i="18"/>
  <c r="G184" i="18"/>
  <c r="H184" i="18"/>
  <c r="I184" i="18"/>
  <c r="J184" i="18"/>
  <c r="B185" i="18"/>
  <c r="A185" i="18" s="1"/>
  <c r="C185" i="18"/>
  <c r="D185" i="18"/>
  <c r="E185" i="18"/>
  <c r="F185" i="18"/>
  <c r="G185" i="18"/>
  <c r="H185" i="18"/>
  <c r="I185" i="18"/>
  <c r="J185" i="18"/>
  <c r="B186" i="18"/>
  <c r="A186" i="18" s="1"/>
  <c r="C186" i="18"/>
  <c r="D186" i="18"/>
  <c r="E186" i="18"/>
  <c r="F186" i="18"/>
  <c r="G186" i="18"/>
  <c r="H186" i="18"/>
  <c r="I186" i="18"/>
  <c r="J186" i="18"/>
  <c r="B187" i="18"/>
  <c r="A187" i="18" s="1"/>
  <c r="C187" i="18"/>
  <c r="D187" i="18"/>
  <c r="E187" i="18"/>
  <c r="F187" i="18"/>
  <c r="G187" i="18"/>
  <c r="H187" i="18"/>
  <c r="I187" i="18"/>
  <c r="J187" i="18"/>
  <c r="B188" i="18"/>
  <c r="A188" i="18" s="1"/>
  <c r="C188" i="18"/>
  <c r="D188" i="18"/>
  <c r="E188" i="18"/>
  <c r="F188" i="18"/>
  <c r="G188" i="18"/>
  <c r="H188" i="18"/>
  <c r="I188" i="18"/>
  <c r="J188" i="18"/>
  <c r="B189" i="18"/>
  <c r="A189" i="18" s="1"/>
  <c r="C189" i="18"/>
  <c r="D189" i="18"/>
  <c r="E189" i="18"/>
  <c r="F189" i="18"/>
  <c r="G189" i="18"/>
  <c r="H189" i="18"/>
  <c r="I189" i="18"/>
  <c r="J189" i="18"/>
  <c r="B190" i="18"/>
  <c r="A190" i="18" s="1"/>
  <c r="C190" i="18"/>
  <c r="D190" i="18"/>
  <c r="E190" i="18"/>
  <c r="F190" i="18"/>
  <c r="G190" i="18"/>
  <c r="H190" i="18"/>
  <c r="I190" i="18"/>
  <c r="J190" i="18"/>
  <c r="B191" i="18"/>
  <c r="A191" i="18" s="1"/>
  <c r="C191" i="18"/>
  <c r="D191" i="18"/>
  <c r="E191" i="18"/>
  <c r="F191" i="18"/>
  <c r="G191" i="18"/>
  <c r="H191" i="18"/>
  <c r="I191" i="18"/>
  <c r="J191" i="18"/>
  <c r="B192" i="18"/>
  <c r="A192" i="18" s="1"/>
  <c r="C192" i="18"/>
  <c r="D192" i="18"/>
  <c r="E192" i="18"/>
  <c r="F192" i="18"/>
  <c r="G192" i="18"/>
  <c r="H192" i="18"/>
  <c r="I192" i="18"/>
  <c r="J192" i="18"/>
  <c r="B193" i="18"/>
  <c r="A193" i="18" s="1"/>
  <c r="C193" i="18"/>
  <c r="D193" i="18"/>
  <c r="E193" i="18"/>
  <c r="F193" i="18"/>
  <c r="G193" i="18"/>
  <c r="H193" i="18"/>
  <c r="I193" i="18"/>
  <c r="J193" i="18"/>
  <c r="B194" i="18"/>
  <c r="A194" i="18" s="1"/>
  <c r="C194" i="18"/>
  <c r="D194" i="18"/>
  <c r="E194" i="18"/>
  <c r="F194" i="18"/>
  <c r="G194" i="18"/>
  <c r="H194" i="18"/>
  <c r="I194" i="18"/>
  <c r="J194" i="18"/>
  <c r="B195" i="18"/>
  <c r="A195" i="18" s="1"/>
  <c r="C195" i="18"/>
  <c r="D195" i="18"/>
  <c r="E195" i="18"/>
  <c r="F195" i="18"/>
  <c r="G195" i="18"/>
  <c r="H195" i="18"/>
  <c r="I195" i="18"/>
  <c r="J195" i="18"/>
  <c r="B196" i="18"/>
  <c r="A196" i="18" s="1"/>
  <c r="C196" i="18"/>
  <c r="D196" i="18"/>
  <c r="E196" i="18"/>
  <c r="F196" i="18"/>
  <c r="G196" i="18"/>
  <c r="H196" i="18"/>
  <c r="I196" i="18"/>
  <c r="J196" i="18"/>
  <c r="B197" i="18"/>
  <c r="A197" i="18" s="1"/>
  <c r="C197" i="18"/>
  <c r="D197" i="18"/>
  <c r="E197" i="18"/>
  <c r="F197" i="18"/>
  <c r="G197" i="18"/>
  <c r="H197" i="18"/>
  <c r="I197" i="18"/>
  <c r="J197" i="18"/>
  <c r="B150" i="18"/>
  <c r="A150" i="18" s="1"/>
  <c r="C150" i="18"/>
  <c r="D150" i="18"/>
  <c r="E150" i="18"/>
  <c r="F150" i="18"/>
  <c r="G150" i="18"/>
  <c r="H150" i="18"/>
  <c r="I150" i="18"/>
  <c r="J150" i="18"/>
  <c r="AG103" i="18"/>
  <c r="AG104" i="18"/>
  <c r="AN104" i="18" s="1"/>
  <c r="AG105" i="18"/>
  <c r="AN105" i="18" s="1"/>
  <c r="AG106" i="18"/>
  <c r="AN106" i="18" s="1"/>
  <c r="AG107" i="18"/>
  <c r="AG108" i="18"/>
  <c r="AG109" i="18"/>
  <c r="AG110" i="18"/>
  <c r="AG111" i="18"/>
  <c r="AN111" i="18" s="1"/>
  <c r="AG112" i="18"/>
  <c r="AG113" i="18"/>
  <c r="AN113" i="18" s="1"/>
  <c r="AG114" i="18"/>
  <c r="AG115" i="18"/>
  <c r="AN115" i="18" s="1"/>
  <c r="AG116" i="18"/>
  <c r="AG117" i="18"/>
  <c r="AG118" i="18"/>
  <c r="AN118" i="18" s="1"/>
  <c r="AG119" i="18"/>
  <c r="AN119" i="18" s="1"/>
  <c r="AG120" i="18"/>
  <c r="AN120" i="18" s="1"/>
  <c r="AG121" i="18"/>
  <c r="AG122" i="18"/>
  <c r="AG123" i="18"/>
  <c r="AG124" i="18"/>
  <c r="AG125" i="18"/>
  <c r="AN125" i="18" s="1"/>
  <c r="AG126" i="18"/>
  <c r="AG127" i="18"/>
  <c r="AN127" i="18" s="1"/>
  <c r="AG128" i="18"/>
  <c r="AG129" i="18"/>
  <c r="AN129" i="18" s="1"/>
  <c r="AG130" i="18"/>
  <c r="AG131" i="18"/>
  <c r="AG132" i="18"/>
  <c r="AN132" i="18" s="1"/>
  <c r="AG133" i="18"/>
  <c r="AN133" i="18" s="1"/>
  <c r="AG134" i="18"/>
  <c r="AN134" i="18" s="1"/>
  <c r="AG135" i="18"/>
  <c r="AG136" i="18"/>
  <c r="AG137" i="18"/>
  <c r="AG138" i="18"/>
  <c r="AG139" i="18"/>
  <c r="AN139" i="18" s="1"/>
  <c r="AG140" i="18"/>
  <c r="AG141" i="18"/>
  <c r="AN141" i="18" s="1"/>
  <c r="AG142" i="18"/>
  <c r="AG143" i="18"/>
  <c r="AN143" i="18" s="1"/>
  <c r="AG144" i="18"/>
  <c r="AG145" i="18"/>
  <c r="AG146" i="18"/>
  <c r="AN146" i="18" s="1"/>
  <c r="AG147" i="18"/>
  <c r="AG148" i="18"/>
  <c r="AN148" i="18" s="1"/>
  <c r="AG149" i="18"/>
  <c r="AG102" i="18"/>
  <c r="AA103" i="18"/>
  <c r="AB103" i="18"/>
  <c r="AC103" i="18"/>
  <c r="AD103" i="18"/>
  <c r="AA104" i="18"/>
  <c r="AB104" i="18"/>
  <c r="AC104" i="18"/>
  <c r="AD104" i="18"/>
  <c r="AA105" i="18"/>
  <c r="AB105" i="18"/>
  <c r="AC105" i="18"/>
  <c r="AD105" i="18"/>
  <c r="AA106" i="18"/>
  <c r="AB106" i="18"/>
  <c r="AC106" i="18"/>
  <c r="AD106" i="18"/>
  <c r="AA107" i="18"/>
  <c r="AB107" i="18"/>
  <c r="AC107" i="18"/>
  <c r="AD107" i="18"/>
  <c r="AA108" i="18"/>
  <c r="AB108" i="18"/>
  <c r="AC108" i="18"/>
  <c r="AD108" i="18"/>
  <c r="AA109" i="18"/>
  <c r="AB109" i="18"/>
  <c r="AC109" i="18"/>
  <c r="AD109" i="18"/>
  <c r="AA110" i="18"/>
  <c r="AB110" i="18"/>
  <c r="AC110" i="18"/>
  <c r="AD110" i="18"/>
  <c r="AA111" i="18"/>
  <c r="AB111" i="18"/>
  <c r="AC111" i="18"/>
  <c r="AD111" i="18"/>
  <c r="AA112" i="18"/>
  <c r="AB112" i="18"/>
  <c r="AC112" i="18"/>
  <c r="AD112" i="18"/>
  <c r="AA113" i="18"/>
  <c r="AB113" i="18"/>
  <c r="AC113" i="18"/>
  <c r="AD113" i="18"/>
  <c r="AA114" i="18"/>
  <c r="AB114" i="18"/>
  <c r="AC114" i="18"/>
  <c r="AD114" i="18"/>
  <c r="AA115" i="18"/>
  <c r="AB115" i="18"/>
  <c r="AC115" i="18"/>
  <c r="AD115" i="18"/>
  <c r="AA116" i="18"/>
  <c r="AB116" i="18"/>
  <c r="AC116" i="18"/>
  <c r="AD116" i="18"/>
  <c r="AA117" i="18"/>
  <c r="AB117" i="18"/>
  <c r="AC117" i="18"/>
  <c r="AD117" i="18"/>
  <c r="AA118" i="18"/>
  <c r="AB118" i="18"/>
  <c r="AC118" i="18"/>
  <c r="AD118" i="18"/>
  <c r="AA119" i="18"/>
  <c r="AB119" i="18"/>
  <c r="AC119" i="18"/>
  <c r="AD119" i="18"/>
  <c r="AA120" i="18"/>
  <c r="AB120" i="18"/>
  <c r="AC120" i="18"/>
  <c r="AD120" i="18"/>
  <c r="AA121" i="18"/>
  <c r="AB121" i="18"/>
  <c r="AC121" i="18"/>
  <c r="AD121" i="18"/>
  <c r="AA122" i="18"/>
  <c r="AB122" i="18"/>
  <c r="AC122" i="18"/>
  <c r="AD122" i="18"/>
  <c r="AA123" i="18"/>
  <c r="AB123" i="18"/>
  <c r="AC123" i="18"/>
  <c r="AD123" i="18"/>
  <c r="AA124" i="18"/>
  <c r="AB124" i="18"/>
  <c r="AC124" i="18"/>
  <c r="AD124" i="18"/>
  <c r="AA125" i="18"/>
  <c r="AB125" i="18"/>
  <c r="AC125" i="18"/>
  <c r="AD125" i="18"/>
  <c r="AA126" i="18"/>
  <c r="AB126" i="18"/>
  <c r="AC126" i="18"/>
  <c r="AD126" i="18"/>
  <c r="AA127" i="18"/>
  <c r="AB127" i="18"/>
  <c r="AC127" i="18"/>
  <c r="AD127" i="18"/>
  <c r="AA128" i="18"/>
  <c r="AB128" i="18"/>
  <c r="AC128" i="18"/>
  <c r="AD128" i="18"/>
  <c r="AA129" i="18"/>
  <c r="AB129" i="18"/>
  <c r="AC129" i="18"/>
  <c r="AD129" i="18"/>
  <c r="AA130" i="18"/>
  <c r="AB130" i="18"/>
  <c r="AC130" i="18"/>
  <c r="AD130" i="18"/>
  <c r="AA131" i="18"/>
  <c r="AB131" i="18"/>
  <c r="AC131" i="18"/>
  <c r="AD131" i="18"/>
  <c r="AA132" i="18"/>
  <c r="AB132" i="18"/>
  <c r="AC132" i="18"/>
  <c r="AD132" i="18"/>
  <c r="AA133" i="18"/>
  <c r="AB133" i="18"/>
  <c r="AC133" i="18"/>
  <c r="AD133" i="18"/>
  <c r="AA134" i="18"/>
  <c r="AB134" i="18"/>
  <c r="AC134" i="18"/>
  <c r="AD134" i="18"/>
  <c r="AA135" i="18"/>
  <c r="AB135" i="18"/>
  <c r="AC135" i="18"/>
  <c r="AD135" i="18"/>
  <c r="AA136" i="18"/>
  <c r="AB136" i="18"/>
  <c r="AC136" i="18"/>
  <c r="AD136" i="18"/>
  <c r="AA137" i="18"/>
  <c r="AB137" i="18"/>
  <c r="AC137" i="18"/>
  <c r="AD137" i="18"/>
  <c r="AA138" i="18"/>
  <c r="AB138" i="18"/>
  <c r="AC138" i="18"/>
  <c r="AD138" i="18"/>
  <c r="AA139" i="18"/>
  <c r="AB139" i="18"/>
  <c r="AC139" i="18"/>
  <c r="AD139" i="18"/>
  <c r="AA140" i="18"/>
  <c r="AB140" i="18"/>
  <c r="AC140" i="18"/>
  <c r="AD140" i="18"/>
  <c r="AA141" i="18"/>
  <c r="AB141" i="18"/>
  <c r="AC141" i="18"/>
  <c r="AD141" i="18"/>
  <c r="AA142" i="18"/>
  <c r="AB142" i="18"/>
  <c r="AC142" i="18"/>
  <c r="AD142" i="18"/>
  <c r="AA143" i="18"/>
  <c r="AB143" i="18"/>
  <c r="AC143" i="18"/>
  <c r="AD143" i="18"/>
  <c r="AA144" i="18"/>
  <c r="AB144" i="18"/>
  <c r="AC144" i="18"/>
  <c r="AD144" i="18"/>
  <c r="AA145" i="18"/>
  <c r="AB145" i="18"/>
  <c r="AC145" i="18"/>
  <c r="AD145" i="18"/>
  <c r="AA146" i="18"/>
  <c r="AB146" i="18"/>
  <c r="AC146" i="18"/>
  <c r="AD146" i="18"/>
  <c r="AA147" i="18"/>
  <c r="AB147" i="18"/>
  <c r="AC147" i="18"/>
  <c r="AD147" i="18"/>
  <c r="AA148" i="18"/>
  <c r="AB148" i="18"/>
  <c r="AC148" i="18"/>
  <c r="AD148" i="18"/>
  <c r="AA149" i="18"/>
  <c r="AB149" i="18"/>
  <c r="AC149" i="18"/>
  <c r="AD149" i="18"/>
  <c r="AA102" i="18"/>
  <c r="AB102" i="18"/>
  <c r="AC102" i="18"/>
  <c r="AD102" i="18"/>
  <c r="Z103" i="18"/>
  <c r="Z104" i="18"/>
  <c r="Z105" i="18"/>
  <c r="Z106" i="18"/>
  <c r="Z107" i="18"/>
  <c r="Z108" i="18"/>
  <c r="Z109" i="18"/>
  <c r="Z110" i="18"/>
  <c r="Z111" i="18"/>
  <c r="Z112" i="18"/>
  <c r="Z113" i="18"/>
  <c r="Z114" i="18"/>
  <c r="Z115" i="18"/>
  <c r="Z116" i="18"/>
  <c r="Z117" i="18"/>
  <c r="Z118" i="18"/>
  <c r="Z119" i="18"/>
  <c r="Z120" i="18"/>
  <c r="Z121" i="18"/>
  <c r="Z122" i="18"/>
  <c r="Z123" i="18"/>
  <c r="Z124" i="18"/>
  <c r="Z125" i="18"/>
  <c r="Z126" i="18"/>
  <c r="Z127" i="18"/>
  <c r="Z128" i="18"/>
  <c r="Z129" i="18"/>
  <c r="Z130" i="18"/>
  <c r="Z131" i="18"/>
  <c r="Z132" i="18"/>
  <c r="Z133" i="18"/>
  <c r="Z134" i="18"/>
  <c r="Z135" i="18"/>
  <c r="Z136" i="18"/>
  <c r="Z137" i="18"/>
  <c r="Z138" i="18"/>
  <c r="Z139" i="18"/>
  <c r="Z140" i="18"/>
  <c r="Z141" i="18"/>
  <c r="Z142" i="18"/>
  <c r="Z143" i="18"/>
  <c r="Z144" i="18"/>
  <c r="Z145" i="18"/>
  <c r="Z146" i="18"/>
  <c r="Z147" i="18"/>
  <c r="Z148" i="18"/>
  <c r="Z149" i="18"/>
  <c r="Z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02" i="18"/>
  <c r="K103" i="18"/>
  <c r="R103" i="18"/>
  <c r="S103" i="18"/>
  <c r="K104" i="18"/>
  <c r="R104" i="18"/>
  <c r="S104" i="18"/>
  <c r="K105" i="18"/>
  <c r="R105" i="18"/>
  <c r="S105" i="18"/>
  <c r="K106" i="18"/>
  <c r="R106" i="18"/>
  <c r="S106" i="18"/>
  <c r="K107" i="18"/>
  <c r="R107" i="18"/>
  <c r="S107" i="18"/>
  <c r="K108" i="18"/>
  <c r="R108" i="18"/>
  <c r="S108" i="18"/>
  <c r="K109" i="18"/>
  <c r="R109" i="18"/>
  <c r="S109" i="18"/>
  <c r="K110" i="18"/>
  <c r="R110" i="18"/>
  <c r="S110" i="18"/>
  <c r="K111" i="18"/>
  <c r="R111" i="18"/>
  <c r="S111" i="18"/>
  <c r="K112" i="18"/>
  <c r="R112" i="18"/>
  <c r="S112" i="18"/>
  <c r="K113" i="18"/>
  <c r="R113" i="18"/>
  <c r="S113" i="18"/>
  <c r="K114" i="18"/>
  <c r="R114" i="18"/>
  <c r="S114" i="18"/>
  <c r="K115" i="18"/>
  <c r="R115" i="18"/>
  <c r="S115" i="18"/>
  <c r="K116" i="18"/>
  <c r="R116" i="18"/>
  <c r="S116" i="18"/>
  <c r="K117" i="18"/>
  <c r="R117" i="18"/>
  <c r="S117" i="18"/>
  <c r="K118" i="18"/>
  <c r="R118" i="18"/>
  <c r="S118" i="18"/>
  <c r="K119" i="18"/>
  <c r="R119" i="18"/>
  <c r="S119" i="18"/>
  <c r="K120" i="18"/>
  <c r="R120" i="18"/>
  <c r="S120" i="18"/>
  <c r="K121" i="18"/>
  <c r="R121" i="18"/>
  <c r="S121" i="18"/>
  <c r="K122" i="18"/>
  <c r="R122" i="18"/>
  <c r="S122" i="18"/>
  <c r="K123" i="18"/>
  <c r="R123" i="18"/>
  <c r="S123" i="18"/>
  <c r="K124" i="18"/>
  <c r="R124" i="18"/>
  <c r="S124" i="18"/>
  <c r="K125" i="18"/>
  <c r="R125" i="18"/>
  <c r="S125" i="18"/>
  <c r="K126" i="18"/>
  <c r="R126" i="18"/>
  <c r="S126" i="18"/>
  <c r="K127" i="18"/>
  <c r="R127" i="18"/>
  <c r="S127" i="18"/>
  <c r="K128" i="18"/>
  <c r="R128" i="18"/>
  <c r="S128" i="18"/>
  <c r="K129" i="18"/>
  <c r="R129" i="18"/>
  <c r="S129" i="18"/>
  <c r="K130" i="18"/>
  <c r="R130" i="18"/>
  <c r="S130" i="18"/>
  <c r="K131" i="18"/>
  <c r="R131" i="18"/>
  <c r="S131" i="18"/>
  <c r="K132" i="18"/>
  <c r="R132" i="18"/>
  <c r="S132" i="18"/>
  <c r="K133" i="18"/>
  <c r="R133" i="18"/>
  <c r="S133" i="18"/>
  <c r="K134" i="18"/>
  <c r="R134" i="18"/>
  <c r="S134" i="18"/>
  <c r="K135" i="18"/>
  <c r="R135" i="18"/>
  <c r="S135" i="18"/>
  <c r="K136" i="18"/>
  <c r="R136" i="18"/>
  <c r="S136" i="18"/>
  <c r="K137" i="18"/>
  <c r="R137" i="18"/>
  <c r="S137" i="18"/>
  <c r="K138" i="18"/>
  <c r="R138" i="18"/>
  <c r="S138" i="18"/>
  <c r="K139" i="18"/>
  <c r="R139" i="18"/>
  <c r="S139" i="18"/>
  <c r="K140" i="18"/>
  <c r="R140" i="18"/>
  <c r="S140" i="18"/>
  <c r="K141" i="18"/>
  <c r="R141" i="18"/>
  <c r="S141" i="18"/>
  <c r="K142" i="18"/>
  <c r="R142" i="18"/>
  <c r="S142" i="18"/>
  <c r="K143" i="18"/>
  <c r="R143" i="18"/>
  <c r="S143" i="18"/>
  <c r="K144" i="18"/>
  <c r="R144" i="18"/>
  <c r="S144" i="18"/>
  <c r="K145" i="18"/>
  <c r="R145" i="18"/>
  <c r="S145" i="18"/>
  <c r="K146" i="18"/>
  <c r="R146" i="18"/>
  <c r="S146" i="18"/>
  <c r="K147" i="18"/>
  <c r="R147" i="18"/>
  <c r="S147" i="18"/>
  <c r="K148" i="18"/>
  <c r="R148" i="18"/>
  <c r="S148" i="18"/>
  <c r="K149" i="18"/>
  <c r="R149" i="18"/>
  <c r="S149" i="18"/>
  <c r="R102" i="18"/>
  <c r="S102" i="18"/>
  <c r="K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6" i="18"/>
  <c r="AN147" i="18" l="1"/>
  <c r="AN140" i="18"/>
  <c r="AN126" i="18"/>
  <c r="AN112" i="18"/>
  <c r="AN144" i="18"/>
  <c r="AN130" i="18"/>
  <c r="AN116" i="18"/>
  <c r="AN136" i="18"/>
  <c r="AN122" i="18"/>
  <c r="AN108" i="18"/>
  <c r="AN149" i="18"/>
  <c r="AN135" i="18"/>
  <c r="AN121" i="18"/>
  <c r="AN107" i="18"/>
  <c r="AN117" i="18"/>
  <c r="AN103" i="18"/>
  <c r="AN145" i="18"/>
  <c r="AN131" i="18"/>
  <c r="AN138" i="18"/>
  <c r="AN124" i="18"/>
  <c r="AN110" i="18"/>
  <c r="AN142" i="18"/>
  <c r="AN128" i="18"/>
  <c r="AN114" i="18"/>
  <c r="AN137" i="18"/>
  <c r="AN123" i="18"/>
  <c r="AN109" i="18"/>
  <c r="AM112" i="18"/>
  <c r="AM108" i="18"/>
  <c r="AM102" i="18"/>
  <c r="AN102" i="18"/>
  <c r="AM147" i="18"/>
  <c r="AM143" i="18"/>
  <c r="AM139" i="18"/>
  <c r="AM135" i="18"/>
  <c r="AM131" i="18"/>
  <c r="AM127" i="18"/>
  <c r="AM123" i="18"/>
  <c r="AM119" i="18"/>
  <c r="AM115" i="18"/>
  <c r="AM103" i="18"/>
  <c r="AM148" i="18"/>
  <c r="AM144" i="18"/>
  <c r="AM140" i="18"/>
  <c r="AM136" i="18"/>
  <c r="AM132" i="18"/>
  <c r="AM128" i="18"/>
  <c r="AM124" i="18"/>
  <c r="AM120" i="18"/>
  <c r="AM116" i="18"/>
  <c r="AM104" i="18"/>
  <c r="AM105" i="18"/>
  <c r="AM106" i="18"/>
  <c r="AM107" i="18"/>
  <c r="AM149" i="18"/>
  <c r="AM145" i="18"/>
  <c r="AM141" i="18"/>
  <c r="AM137" i="18"/>
  <c r="AM133" i="18"/>
  <c r="AM129" i="18"/>
  <c r="AM125" i="18"/>
  <c r="AM121" i="18"/>
  <c r="AM117" i="18"/>
  <c r="AM113" i="18"/>
  <c r="AM109" i="18"/>
  <c r="AM146" i="18"/>
  <c r="AM142" i="18"/>
  <c r="AM138" i="18"/>
  <c r="AM134" i="18"/>
  <c r="AM130" i="18"/>
  <c r="AM126" i="18"/>
  <c r="AM122" i="18"/>
  <c r="AM118" i="18"/>
  <c r="AM114" i="18"/>
  <c r="AM110" i="18"/>
  <c r="AM111" i="18"/>
  <c r="AC12" i="12"/>
  <c r="AC13" i="12"/>
  <c r="AC14" i="12"/>
  <c r="AC15" i="12"/>
  <c r="AC16" i="12"/>
  <c r="AC27" i="12"/>
  <c r="AC28" i="12"/>
  <c r="AG52" i="14" l="1"/>
  <c r="Z52" i="14"/>
  <c r="W52" i="14"/>
  <c r="AF197" i="18" s="1"/>
  <c r="N52" i="14"/>
  <c r="T197" i="18" s="1"/>
  <c r="A52" i="14"/>
  <c r="AG51" i="14"/>
  <c r="Z51" i="14"/>
  <c r="W51" i="14"/>
  <c r="AF196" i="18" s="1"/>
  <c r="N51" i="14"/>
  <c r="T196" i="18" s="1"/>
  <c r="A51" i="14"/>
  <c r="AG50" i="14"/>
  <c r="Z50" i="14"/>
  <c r="W50" i="14"/>
  <c r="AF195" i="18" s="1"/>
  <c r="N50" i="14"/>
  <c r="T195" i="18" s="1"/>
  <c r="A50" i="14"/>
  <c r="AG49" i="14"/>
  <c r="Z49" i="14"/>
  <c r="W49" i="14"/>
  <c r="AF194" i="18" s="1"/>
  <c r="A49" i="14"/>
  <c r="AG48" i="14"/>
  <c r="Z48" i="14"/>
  <c r="W48" i="14"/>
  <c r="AF193" i="18" s="1"/>
  <c r="N48" i="14"/>
  <c r="T193" i="18" s="1"/>
  <c r="A48" i="14"/>
  <c r="AG47" i="14"/>
  <c r="Z47" i="14"/>
  <c r="W47" i="14"/>
  <c r="AF192" i="18" s="1"/>
  <c r="A47" i="14"/>
  <c r="AG46" i="14"/>
  <c r="Z46" i="14"/>
  <c r="W46" i="14"/>
  <c r="AF191" i="18" s="1"/>
  <c r="N46" i="14"/>
  <c r="T191" i="18" s="1"/>
  <c r="A46" i="14"/>
  <c r="AG45" i="14"/>
  <c r="Z45" i="14"/>
  <c r="W45" i="14"/>
  <c r="AF190" i="18" s="1"/>
  <c r="N45" i="14"/>
  <c r="T190" i="18" s="1"/>
  <c r="A45" i="14"/>
  <c r="AG44" i="14"/>
  <c r="Z44" i="14"/>
  <c r="W44" i="14"/>
  <c r="AF189" i="18" s="1"/>
  <c r="N44" i="14"/>
  <c r="T189" i="18" s="1"/>
  <c r="A44" i="14"/>
  <c r="AG43" i="14"/>
  <c r="Z43" i="14"/>
  <c r="W43" i="14"/>
  <c r="AF188" i="18" s="1"/>
  <c r="N43" i="14"/>
  <c r="T188" i="18" s="1"/>
  <c r="A43" i="14"/>
  <c r="AG42" i="14"/>
  <c r="Z42" i="14"/>
  <c r="W42" i="14"/>
  <c r="AF187" i="18" s="1"/>
  <c r="N42" i="14"/>
  <c r="T187" i="18" s="1"/>
  <c r="A42" i="14"/>
  <c r="AG41" i="14"/>
  <c r="Z41" i="14"/>
  <c r="W41" i="14"/>
  <c r="AF186" i="18" s="1"/>
  <c r="N41" i="14"/>
  <c r="T186" i="18" s="1"/>
  <c r="A41" i="14"/>
  <c r="AG40" i="14"/>
  <c r="Z40" i="14"/>
  <c r="W40" i="14"/>
  <c r="AF185" i="18" s="1"/>
  <c r="N40" i="14"/>
  <c r="T185" i="18" s="1"/>
  <c r="A40" i="14"/>
  <c r="AG39" i="14"/>
  <c r="Z39" i="14"/>
  <c r="W39" i="14"/>
  <c r="AF184" i="18" s="1"/>
  <c r="N39" i="14"/>
  <c r="T184" i="18" s="1"/>
  <c r="A39" i="14"/>
  <c r="AG38" i="14"/>
  <c r="Z38" i="14"/>
  <c r="W38" i="14"/>
  <c r="AF183" i="18" s="1"/>
  <c r="N38" i="14"/>
  <c r="T183" i="18" s="1"/>
  <c r="A38" i="14"/>
  <c r="AG37" i="14"/>
  <c r="Z37" i="14"/>
  <c r="W37" i="14"/>
  <c r="AF182" i="18" s="1"/>
  <c r="N37" i="14"/>
  <c r="T182" i="18" s="1"/>
  <c r="A37" i="14"/>
  <c r="AG36" i="14"/>
  <c r="Z36" i="14"/>
  <c r="W36" i="14"/>
  <c r="AF181" i="18" s="1"/>
  <c r="N36" i="14"/>
  <c r="T181" i="18" s="1"/>
  <c r="A36" i="14"/>
  <c r="AG35" i="14"/>
  <c r="Z35" i="14"/>
  <c r="W35" i="14"/>
  <c r="AF180" i="18" s="1"/>
  <c r="N35" i="14"/>
  <c r="T180" i="18" s="1"/>
  <c r="A35" i="14"/>
  <c r="AG34" i="14"/>
  <c r="Z34" i="14"/>
  <c r="W34" i="14"/>
  <c r="AF179" i="18" s="1"/>
  <c r="N34" i="14"/>
  <c r="T179" i="18" s="1"/>
  <c r="A34" i="14"/>
  <c r="AG33" i="14"/>
  <c r="Z33" i="14"/>
  <c r="W33" i="14"/>
  <c r="AF178" i="18" s="1"/>
  <c r="N33" i="14"/>
  <c r="T178" i="18" s="1"/>
  <c r="A33" i="14"/>
  <c r="AG32" i="14"/>
  <c r="Z32" i="14"/>
  <c r="W32" i="14"/>
  <c r="AF177" i="18" s="1"/>
  <c r="N32" i="14"/>
  <c r="T177" i="18" s="1"/>
  <c r="A32" i="14"/>
  <c r="AG31" i="14"/>
  <c r="Z31" i="14"/>
  <c r="W31" i="14"/>
  <c r="AF176" i="18" s="1"/>
  <c r="N31" i="14"/>
  <c r="T176" i="18" s="1"/>
  <c r="A31" i="14"/>
  <c r="AG30" i="14"/>
  <c r="Z30" i="14"/>
  <c r="W30" i="14"/>
  <c r="AF175" i="18" s="1"/>
  <c r="N30" i="14"/>
  <c r="T175" i="18" s="1"/>
  <c r="A30" i="14"/>
  <c r="AG29" i="14"/>
  <c r="Z29" i="14"/>
  <c r="W29" i="14"/>
  <c r="AF174" i="18" s="1"/>
  <c r="N29" i="14"/>
  <c r="T174" i="18" s="1"/>
  <c r="A29" i="14"/>
  <c r="AG28" i="14"/>
  <c r="Z28" i="14"/>
  <c r="W28" i="14"/>
  <c r="AF173" i="18" s="1"/>
  <c r="N28" i="14"/>
  <c r="T173" i="18" s="1"/>
  <c r="A28" i="14"/>
  <c r="AG27" i="14"/>
  <c r="Z27" i="14"/>
  <c r="W27" i="14"/>
  <c r="AF172" i="18" s="1"/>
  <c r="N27" i="14"/>
  <c r="T172" i="18" s="1"/>
  <c r="A27" i="14"/>
  <c r="AG26" i="14"/>
  <c r="Z26" i="14"/>
  <c r="W26" i="14"/>
  <c r="AF171" i="18" s="1"/>
  <c r="A26" i="14"/>
  <c r="AG25" i="14"/>
  <c r="Z25" i="14"/>
  <c r="W25" i="14"/>
  <c r="AF170" i="18" s="1"/>
  <c r="N25" i="14"/>
  <c r="T170" i="18" s="1"/>
  <c r="A25" i="14"/>
  <c r="AG24" i="14"/>
  <c r="Z24" i="14"/>
  <c r="W24" i="14"/>
  <c r="AF169" i="18" s="1"/>
  <c r="N24" i="14"/>
  <c r="T169" i="18" s="1"/>
  <c r="A24" i="14"/>
  <c r="AG23" i="14"/>
  <c r="Z23" i="14"/>
  <c r="U23" i="14"/>
  <c r="AD168" i="18" s="1"/>
  <c r="T23" i="14"/>
  <c r="N23" i="14"/>
  <c r="T168" i="18" s="1"/>
  <c r="A23" i="14"/>
  <c r="AG22" i="14"/>
  <c r="Z22" i="14"/>
  <c r="W22" i="14"/>
  <c r="AF167" i="18" s="1"/>
  <c r="N22" i="14"/>
  <c r="T167" i="18" s="1"/>
  <c r="A22" i="14"/>
  <c r="AG21" i="14"/>
  <c r="Z21" i="14"/>
  <c r="W21" i="14"/>
  <c r="AF166" i="18" s="1"/>
  <c r="N21" i="14"/>
  <c r="T166" i="18" s="1"/>
  <c r="A21" i="14"/>
  <c r="AG20" i="14"/>
  <c r="Z20" i="14"/>
  <c r="W20" i="14"/>
  <c r="AF165" i="18" s="1"/>
  <c r="N20" i="14"/>
  <c r="T165" i="18" s="1"/>
  <c r="A20" i="14"/>
  <c r="AG19" i="14"/>
  <c r="Z19" i="14"/>
  <c r="W19" i="14"/>
  <c r="AF164" i="18" s="1"/>
  <c r="N19" i="14"/>
  <c r="T164" i="18" s="1"/>
  <c r="M19" i="14"/>
  <c r="S164" i="18" s="1"/>
  <c r="A19" i="14"/>
  <c r="AG18" i="14"/>
  <c r="Z18" i="14"/>
  <c r="W18" i="14"/>
  <c r="AF163" i="18" s="1"/>
  <c r="N18" i="14"/>
  <c r="T163" i="18" s="1"/>
  <c r="A18" i="14"/>
  <c r="AG17" i="14"/>
  <c r="Z17" i="14"/>
  <c r="W17" i="14"/>
  <c r="AF162" i="18" s="1"/>
  <c r="N17" i="14"/>
  <c r="T162" i="18" s="1"/>
  <c r="A17" i="14"/>
  <c r="AG16" i="14"/>
  <c r="Z16" i="14"/>
  <c r="W16" i="14"/>
  <c r="AF161" i="18" s="1"/>
  <c r="N16" i="14"/>
  <c r="T161" i="18" s="1"/>
  <c r="A16" i="14"/>
  <c r="AG15" i="14"/>
  <c r="Z15" i="14"/>
  <c r="W15" i="14"/>
  <c r="AF160" i="18" s="1"/>
  <c r="N15" i="14"/>
  <c r="T160" i="18" s="1"/>
  <c r="A15" i="14"/>
  <c r="AG14" i="14"/>
  <c r="Z14" i="14"/>
  <c r="W14" i="14"/>
  <c r="AF159" i="18" s="1"/>
  <c r="N14" i="14"/>
  <c r="T159" i="18" s="1"/>
  <c r="A14" i="14"/>
  <c r="AG13" i="14"/>
  <c r="Z13" i="14"/>
  <c r="W13" i="14"/>
  <c r="AF158" i="18" s="1"/>
  <c r="N13" i="14"/>
  <c r="T158" i="18" s="1"/>
  <c r="A13" i="14"/>
  <c r="AG12" i="14"/>
  <c r="Z12" i="14"/>
  <c r="W12" i="14"/>
  <c r="AF157" i="18" s="1"/>
  <c r="N12" i="14"/>
  <c r="T157" i="18" s="1"/>
  <c r="A12" i="14"/>
  <c r="AG11" i="14"/>
  <c r="Z11" i="14"/>
  <c r="W11" i="14"/>
  <c r="AF156" i="18" s="1"/>
  <c r="N11" i="14"/>
  <c r="T156" i="18" s="1"/>
  <c r="A11" i="14"/>
  <c r="AG10" i="14"/>
  <c r="Z10" i="14"/>
  <c r="V10" i="14"/>
  <c r="AE155" i="18" s="1"/>
  <c r="N10" i="14"/>
  <c r="T155" i="18" s="1"/>
  <c r="A10" i="14"/>
  <c r="AG9" i="14"/>
  <c r="Z9" i="14"/>
  <c r="W9" i="14"/>
  <c r="AF154" i="18" s="1"/>
  <c r="N9" i="14"/>
  <c r="T154" i="18" s="1"/>
  <c r="A9" i="14"/>
  <c r="AG8" i="14"/>
  <c r="Z8" i="14"/>
  <c r="U8" i="14"/>
  <c r="N8" i="14"/>
  <c r="T153" i="18" s="1"/>
  <c r="A8" i="14"/>
  <c r="AG7" i="14"/>
  <c r="Z7" i="14"/>
  <c r="W7" i="14"/>
  <c r="AF152" i="18" s="1"/>
  <c r="N7" i="14"/>
  <c r="T152" i="18" s="1"/>
  <c r="A7" i="14"/>
  <c r="AG6" i="14"/>
  <c r="Z6" i="14"/>
  <c r="W6" i="14"/>
  <c r="AF151" i="18" s="1"/>
  <c r="A6" i="14"/>
  <c r="AG5" i="14"/>
  <c r="Z5" i="14"/>
  <c r="W5" i="14"/>
  <c r="AF150" i="18" s="1"/>
  <c r="N5" i="14"/>
  <c r="T150" i="18" s="1"/>
  <c r="A5" i="14"/>
  <c r="W10" i="14" l="1"/>
  <c r="AF155" i="18" s="1"/>
  <c r="W23" i="14"/>
  <c r="AF168" i="18" s="1"/>
  <c r="AC168" i="18"/>
  <c r="W8" i="14"/>
  <c r="AF153" i="18" s="1"/>
  <c r="AD153" i="18"/>
  <c r="T6" i="12" l="1"/>
  <c r="AF103" i="18" s="1"/>
  <c r="T7" i="12"/>
  <c r="AF104" i="18" s="1"/>
  <c r="T8" i="12"/>
  <c r="AF105" i="18" s="1"/>
  <c r="T9" i="12"/>
  <c r="AF106" i="18" s="1"/>
  <c r="T10" i="12"/>
  <c r="AF107" i="18" s="1"/>
  <c r="T11" i="12"/>
  <c r="AF108" i="18" s="1"/>
  <c r="T12" i="12"/>
  <c r="AF109" i="18" s="1"/>
  <c r="T13" i="12"/>
  <c r="AF110" i="18" s="1"/>
  <c r="T14" i="12"/>
  <c r="AF111" i="18" s="1"/>
  <c r="T15" i="12"/>
  <c r="AF112" i="18" s="1"/>
  <c r="T16" i="12"/>
  <c r="AF113" i="18" s="1"/>
  <c r="T17" i="12"/>
  <c r="AF114" i="18" s="1"/>
  <c r="T18" i="12"/>
  <c r="AF115" i="18" s="1"/>
  <c r="T19" i="12"/>
  <c r="AF116" i="18" s="1"/>
  <c r="T20" i="12"/>
  <c r="AF117" i="18" s="1"/>
  <c r="T21" i="12"/>
  <c r="AF118" i="18" s="1"/>
  <c r="T22" i="12"/>
  <c r="AF119" i="18" s="1"/>
  <c r="T23" i="12"/>
  <c r="AF120" i="18" s="1"/>
  <c r="T24" i="12"/>
  <c r="AF121" i="18" s="1"/>
  <c r="T25" i="12"/>
  <c r="AF122" i="18" s="1"/>
  <c r="T26" i="12"/>
  <c r="AF123" i="18" s="1"/>
  <c r="T27" i="12"/>
  <c r="AF124" i="18" s="1"/>
  <c r="T28" i="12"/>
  <c r="AF125" i="18" s="1"/>
  <c r="T29" i="12"/>
  <c r="AF126" i="18" s="1"/>
  <c r="T30" i="12"/>
  <c r="AF127" i="18" s="1"/>
  <c r="T31" i="12"/>
  <c r="AF128" i="18" s="1"/>
  <c r="T32" i="12"/>
  <c r="AF129" i="18" s="1"/>
  <c r="T33" i="12"/>
  <c r="AF130" i="18" s="1"/>
  <c r="T34" i="12"/>
  <c r="AF131" i="18" s="1"/>
  <c r="T35" i="12"/>
  <c r="AF132" i="18" s="1"/>
  <c r="T36" i="12"/>
  <c r="AF133" i="18" s="1"/>
  <c r="T37" i="12"/>
  <c r="AF134" i="18" s="1"/>
  <c r="T38" i="12"/>
  <c r="AF135" i="18" s="1"/>
  <c r="T39" i="12"/>
  <c r="AF136" i="18" s="1"/>
  <c r="T40" i="12"/>
  <c r="AF137" i="18" s="1"/>
  <c r="T41" i="12"/>
  <c r="AF138" i="18" s="1"/>
  <c r="T42" i="12"/>
  <c r="AF139" i="18" s="1"/>
  <c r="T43" i="12"/>
  <c r="AF140" i="18" s="1"/>
  <c r="T44" i="12"/>
  <c r="AF141" i="18" s="1"/>
  <c r="T45" i="12"/>
  <c r="AF142" i="18" s="1"/>
  <c r="T46" i="12"/>
  <c r="AF143" i="18" s="1"/>
  <c r="T47" i="12"/>
  <c r="AF144" i="18" s="1"/>
  <c r="T48" i="12"/>
  <c r="AF145" i="18" s="1"/>
  <c r="T49" i="12"/>
  <c r="AF146" i="18" s="1"/>
  <c r="T50" i="12"/>
  <c r="AF147" i="18" s="1"/>
  <c r="T51" i="12"/>
  <c r="AF148" i="18" s="1"/>
  <c r="T52" i="12"/>
  <c r="AF149" i="18" s="1"/>
  <c r="T5" i="12"/>
  <c r="AF102" i="18" s="1"/>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6" i="12"/>
  <c r="A7" i="12"/>
  <c r="A8" i="12"/>
  <c r="A9" i="12"/>
  <c r="A10"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9" i="12"/>
  <c r="W10" i="12"/>
  <c r="W11" i="12"/>
  <c r="W12" i="12"/>
  <c r="W13" i="12"/>
  <c r="W14" i="12"/>
  <c r="W6" i="12"/>
  <c r="W7" i="12"/>
  <c r="W8" i="12"/>
  <c r="W5" i="12"/>
  <c r="AC52" i="12" l="1"/>
  <c r="AC51" i="12"/>
  <c r="AC34" i="12"/>
  <c r="AC33" i="12"/>
  <c r="AC22" i="12"/>
  <c r="AC21" i="12"/>
  <c r="AC10" i="12"/>
  <c r="AC5" i="12" l="1"/>
  <c r="AC6" i="12"/>
  <c r="AC7" i="12"/>
  <c r="AC8" i="12"/>
  <c r="AC9" i="12"/>
  <c r="AC11" i="12"/>
  <c r="AC17" i="12"/>
  <c r="AC18" i="12"/>
  <c r="AC19" i="12"/>
  <c r="AC20" i="12"/>
  <c r="AC23" i="12"/>
  <c r="AC24" i="12"/>
  <c r="AC25" i="12"/>
  <c r="AC26" i="12"/>
  <c r="AC29" i="12"/>
  <c r="AC30" i="12"/>
  <c r="AC31" i="12"/>
  <c r="AC32" i="12"/>
  <c r="AC35" i="12"/>
  <c r="AC36" i="12"/>
  <c r="AC41" i="12"/>
  <c r="AC42" i="12"/>
  <c r="AC43" i="12"/>
  <c r="AC44" i="12"/>
  <c r="AC47" i="12"/>
  <c r="AC48" i="12"/>
  <c r="AC49" i="12"/>
  <c r="AC50" i="12"/>
  <c r="A5" i="12"/>
  <c r="W22" i="1" l="1"/>
  <c r="W21" i="1"/>
  <c r="W20" i="1"/>
  <c r="V20" i="1"/>
  <c r="G20" i="1" l="1"/>
  <c r="H20" i="1"/>
  <c r="I20" i="1"/>
  <c r="K20" i="1"/>
  <c r="M20" i="1"/>
  <c r="N20" i="1"/>
  <c r="O20" i="1"/>
  <c r="R20" i="1"/>
  <c r="S20" i="1"/>
  <c r="G21" i="1"/>
  <c r="H21" i="1"/>
  <c r="I21" i="1"/>
  <c r="K21" i="1"/>
  <c r="M21" i="1"/>
  <c r="N21" i="1"/>
  <c r="O21" i="1"/>
  <c r="R21" i="1"/>
  <c r="S21" i="1"/>
  <c r="G22" i="1"/>
  <c r="H22" i="1"/>
  <c r="I22" i="1"/>
  <c r="K22" i="1"/>
  <c r="M22" i="1"/>
  <c r="N22" i="1"/>
  <c r="O22" i="1"/>
  <c r="R22" i="1"/>
  <c r="S22" i="1"/>
  <c r="F22" i="1"/>
  <c r="F21" i="1"/>
  <c r="F20" i="1"/>
  <c r="AB16" i="1"/>
  <c r="Z5" i="1"/>
  <c r="AB5" i="1" s="1"/>
  <c r="Z6" i="1"/>
  <c r="AB6" i="1" s="1"/>
  <c r="Z7" i="1"/>
  <c r="AB7" i="1" s="1"/>
  <c r="Z8" i="1"/>
  <c r="AB8" i="1" s="1"/>
  <c r="Z9" i="1"/>
  <c r="AB9" i="1" s="1"/>
  <c r="Z10" i="1"/>
  <c r="AB10" i="1" s="1"/>
  <c r="Z11" i="1"/>
  <c r="AB11" i="1" s="1"/>
  <c r="Z12" i="1"/>
  <c r="AB12" i="1" s="1"/>
  <c r="Z13" i="1"/>
  <c r="AB13" i="1" s="1"/>
  <c r="Z14" i="1"/>
  <c r="AB14" i="1" s="1"/>
  <c r="Z15" i="1"/>
  <c r="AB15" i="1" s="1"/>
  <c r="X5" i="1"/>
  <c r="AA5" i="1" s="1"/>
  <c r="X6" i="1"/>
  <c r="AA6" i="1" s="1"/>
  <c r="X7" i="1"/>
  <c r="AA7" i="1" s="1"/>
  <c r="X8" i="1"/>
  <c r="AA8" i="1" s="1"/>
  <c r="X9" i="1"/>
  <c r="AA9" i="1" s="1"/>
  <c r="X10" i="1"/>
  <c r="AA10" i="1" s="1"/>
  <c r="X11" i="1"/>
  <c r="AA11" i="1" s="1"/>
  <c r="X12" i="1"/>
  <c r="AA12" i="1" s="1"/>
  <c r="X13" i="1"/>
  <c r="AA13" i="1" s="1"/>
  <c r="X14" i="1"/>
  <c r="AA14" i="1" s="1"/>
  <c r="X15" i="1"/>
  <c r="AA15" i="1" s="1"/>
  <c r="X16" i="1"/>
  <c r="AA16" i="1" s="1"/>
  <c r="V13" i="1"/>
  <c r="V14" i="1"/>
  <c r="V15" i="1"/>
  <c r="V16" i="1"/>
  <c r="V5" i="1"/>
  <c r="V6" i="1"/>
  <c r="V7" i="1"/>
  <c r="V8" i="1"/>
  <c r="V9" i="1"/>
  <c r="V10" i="1"/>
  <c r="V11" i="1"/>
  <c r="V12" i="1"/>
  <c r="L16" i="1"/>
  <c r="L15" i="1"/>
  <c r="L14" i="1"/>
  <c r="L13" i="1"/>
  <c r="L12" i="1"/>
  <c r="L11" i="1"/>
  <c r="L10" i="1"/>
  <c r="L9" i="1"/>
  <c r="L8" i="1"/>
  <c r="L7" i="1"/>
  <c r="L6" i="1"/>
  <c r="L5" i="1"/>
  <c r="J16" i="1"/>
  <c r="J15" i="1"/>
  <c r="J14" i="1"/>
  <c r="J13" i="1"/>
  <c r="J12" i="1"/>
  <c r="J11" i="1"/>
  <c r="J10" i="1"/>
  <c r="J9" i="1"/>
  <c r="J8" i="1"/>
  <c r="J7" i="1"/>
  <c r="J6" i="1"/>
  <c r="J5" i="1"/>
  <c r="P5" i="1"/>
  <c r="Q5" i="1" s="1"/>
  <c r="P6" i="1"/>
  <c r="Q6" i="1" s="1"/>
  <c r="P7" i="1"/>
  <c r="Q7" i="1" s="1"/>
  <c r="P8" i="1"/>
  <c r="Q8" i="1" s="1"/>
  <c r="P9" i="1"/>
  <c r="Q9" i="1" s="1"/>
  <c r="P10" i="1"/>
  <c r="Q10" i="1" s="1"/>
  <c r="P11" i="1"/>
  <c r="Q11" i="1" s="1"/>
  <c r="P12" i="1"/>
  <c r="Q12" i="1" s="1"/>
  <c r="P13" i="1"/>
  <c r="Q13" i="1" s="1"/>
  <c r="P14" i="1"/>
  <c r="Q14" i="1" s="1"/>
  <c r="P15" i="1"/>
  <c r="Q15" i="1" s="1"/>
  <c r="P16" i="1"/>
  <c r="Q16" i="1" s="1"/>
  <c r="J22" i="1" l="1"/>
  <c r="L22" i="1"/>
  <c r="Q22" i="1"/>
  <c r="L21" i="1"/>
  <c r="Q20" i="1"/>
  <c r="Q21" i="1"/>
  <c r="P20" i="1"/>
  <c r="P21" i="1"/>
  <c r="P22" i="1"/>
  <c r="L20" i="1"/>
  <c r="J20" i="1"/>
  <c r="J21" i="1"/>
  <c r="C16" i="1"/>
  <c r="C15" i="1"/>
  <c r="C14" i="1"/>
  <c r="C13" i="1"/>
  <c r="C12" i="1"/>
  <c r="C11" i="1"/>
  <c r="C10" i="1"/>
  <c r="C9" i="1"/>
  <c r="C8" i="1"/>
  <c r="C7" i="1"/>
  <c r="C6" i="1"/>
  <c r="C5" i="1"/>
  <c r="D40" i="2" l="1"/>
  <c r="D41" i="2" s="1"/>
  <c r="E41" i="2" s="1"/>
  <c r="C40" i="2"/>
  <c r="C41" i="2" s="1"/>
  <c r="E21" i="2"/>
  <c r="D20" i="2"/>
  <c r="D21" i="2" s="1"/>
  <c r="C20" i="2"/>
  <c r="C21" i="2" s="1"/>
  <c r="Z19" i="20" l="1"/>
</calcChain>
</file>

<file path=xl/sharedStrings.xml><?xml version="1.0" encoding="utf-8"?>
<sst xmlns="http://schemas.openxmlformats.org/spreadsheetml/2006/main" count="3290" uniqueCount="365">
  <si>
    <t xml:space="preserve">Plant height </t>
  </si>
  <si>
    <t>FW leaves</t>
  </si>
  <si>
    <t>N. leaves &lt; 5 cm</t>
  </si>
  <si>
    <t>N. leaves &gt; 5 cm</t>
  </si>
  <si>
    <t>Sample n</t>
  </si>
  <si>
    <t>cm</t>
  </si>
  <si>
    <t>#/plant</t>
  </si>
  <si>
    <t>cm2/plant</t>
  </si>
  <si>
    <t>g/plant</t>
  </si>
  <si>
    <t>Phase</t>
  </si>
  <si>
    <t xml:space="preserve">cm </t>
  </si>
  <si>
    <t>Unit</t>
  </si>
  <si>
    <t>Parameter</t>
  </si>
  <si>
    <t>N. cotyledons</t>
  </si>
  <si>
    <t>Transplant</t>
  </si>
  <si>
    <t>average</t>
  </si>
  <si>
    <t>stdev</t>
  </si>
  <si>
    <t>Average</t>
  </si>
  <si>
    <t>Correction factor</t>
  </si>
  <si>
    <t>-</t>
  </si>
  <si>
    <t>INFO</t>
  </si>
  <si>
    <t>Date</t>
  </si>
  <si>
    <t>cm2</t>
  </si>
  <si>
    <t xml:space="preserve">Measurement n. </t>
  </si>
  <si>
    <t>transplanting (7 weeks after sowing)</t>
  </si>
  <si>
    <t>Area ref disk_measured (cm2)</t>
  </si>
  <si>
    <t>Reference circle (small)</t>
  </si>
  <si>
    <t>Reference circle (big)</t>
  </si>
  <si>
    <t>Leaf area meter</t>
  </si>
  <si>
    <t>number 1, workstation 2</t>
  </si>
  <si>
    <t>Other observations</t>
  </si>
  <si>
    <t>Range (max-min)</t>
  </si>
  <si>
    <t>N/A</t>
  </si>
  <si>
    <t>Sample name</t>
  </si>
  <si>
    <t>N. Leaves + coty</t>
  </si>
  <si>
    <t>N. leaves</t>
  </si>
  <si>
    <t>1st Destructive harvest</t>
  </si>
  <si>
    <t xml:space="preserve">Description </t>
  </si>
  <si>
    <t>Measured/Calculated</t>
  </si>
  <si>
    <t>Date of the destructive harvest</t>
  </si>
  <si>
    <t>Crop stage</t>
  </si>
  <si>
    <t>Measured</t>
  </si>
  <si>
    <t>Name of sample according to naming protocol</t>
  </si>
  <si>
    <t>Sample number</t>
  </si>
  <si>
    <t>n./plant</t>
  </si>
  <si>
    <t>Instrument</t>
  </si>
  <si>
    <t>Ruler</t>
  </si>
  <si>
    <t>Calculated</t>
  </si>
  <si>
    <t xml:space="preserve">Visual observation </t>
  </si>
  <si>
    <t>Scale (0.00xg)</t>
  </si>
  <si>
    <t xml:space="preserve">Number of cotyledons </t>
  </si>
  <si>
    <t>Sum of cotyledons and real leaves</t>
  </si>
  <si>
    <t>Other relevant observations/comments</t>
  </si>
  <si>
    <t>Fresh weight (g/bag)</t>
  </si>
  <si>
    <t>Dry weight (g/bag)</t>
  </si>
  <si>
    <t>Leaf area meter (0.00 xcm2)</t>
  </si>
  <si>
    <t>See pictures</t>
  </si>
  <si>
    <t>Total number of samples</t>
  </si>
  <si>
    <t>Description of parameters</t>
  </si>
  <si>
    <t>Leaf area meter - correction factor</t>
  </si>
  <si>
    <t>DW leaves + bags</t>
  </si>
  <si>
    <t>DW leaves</t>
  </si>
  <si>
    <t xml:space="preserve">DM leaves </t>
  </si>
  <si>
    <t>%</t>
  </si>
  <si>
    <t>NA</t>
  </si>
  <si>
    <t>Row Labels</t>
  </si>
  <si>
    <t>Grand Total</t>
  </si>
  <si>
    <t>DAS</t>
  </si>
  <si>
    <t>Sowing date</t>
  </si>
  <si>
    <t>N. real leaves</t>
  </si>
  <si>
    <t>FW plant</t>
  </si>
  <si>
    <t>FW stem</t>
  </si>
  <si>
    <t>Measurement date</t>
  </si>
  <si>
    <t>Number of real leaves (excl. cotyledons)</t>
  </si>
  <si>
    <t xml:space="preserve">FW stem </t>
  </si>
  <si>
    <t>Total fresh weight of stem</t>
  </si>
  <si>
    <t>Total fresh weight above ground ground</t>
  </si>
  <si>
    <t>DW plant</t>
  </si>
  <si>
    <t xml:space="preserve">DW stem </t>
  </si>
  <si>
    <r>
      <t xml:space="preserve">Total dry weight of stem (oven for 8 days at 80 </t>
    </r>
    <r>
      <rPr>
        <vertAlign val="superscript"/>
        <sz val="9"/>
        <color theme="1"/>
        <rFont val="Arial"/>
        <family val="2"/>
      </rPr>
      <t>o</t>
    </r>
    <r>
      <rPr>
        <sz val="9"/>
        <color theme="1"/>
        <rFont val="Arial"/>
        <family val="2"/>
      </rPr>
      <t>C)</t>
    </r>
  </si>
  <si>
    <t>DW stem + bags</t>
  </si>
  <si>
    <t>DW stem</t>
  </si>
  <si>
    <t>insert date here</t>
  </si>
  <si>
    <t>FW cotyledons</t>
  </si>
  <si>
    <t>CHERRY_1</t>
  </si>
  <si>
    <t>CHERRY_2</t>
  </si>
  <si>
    <t>CHERRY_3</t>
  </si>
  <si>
    <t>CHERRY_4</t>
  </si>
  <si>
    <t>CHERRY_5</t>
  </si>
  <si>
    <t>CHERRY_6</t>
  </si>
  <si>
    <t>CHERRY_7</t>
  </si>
  <si>
    <t>CHERRY_8</t>
  </si>
  <si>
    <t>CHERRY_9</t>
  </si>
  <si>
    <t>CHERRY_10</t>
  </si>
  <si>
    <t>CHERRY_11</t>
  </si>
  <si>
    <t>CHERRY_12</t>
  </si>
  <si>
    <t>FW plant calc</t>
  </si>
  <si>
    <t>Leaf area_cotyledons</t>
  </si>
  <si>
    <t>Leaf area (leaves+coty)</t>
  </si>
  <si>
    <t>Small envelope weight</t>
  </si>
  <si>
    <t>Medium bag weight</t>
  </si>
  <si>
    <t>E1</t>
  </si>
  <si>
    <t>E2</t>
  </si>
  <si>
    <t>Emed 1</t>
  </si>
  <si>
    <t>Emed 2</t>
  </si>
  <si>
    <t>L</t>
  </si>
  <si>
    <t>S</t>
  </si>
  <si>
    <t xml:space="preserve">DM stems </t>
  </si>
  <si>
    <t>CHERRY</t>
  </si>
  <si>
    <t>FW plant meas-calc</t>
  </si>
  <si>
    <t>Total number of leaves shorter than 5 cm (excl. cotyled)</t>
  </si>
  <si>
    <t>Total number of leaves longer than 5 cm (excl. cotyled)</t>
  </si>
  <si>
    <t xml:space="preserve">Leaf area </t>
  </si>
  <si>
    <t>Leaf area cotyledones</t>
  </si>
  <si>
    <t>Leaf area leaves (incl. cotyledones)</t>
  </si>
  <si>
    <t>FW cotyledones</t>
  </si>
  <si>
    <t>Scale (0.000xg)</t>
  </si>
  <si>
    <t>Distance between the base of the stem and its apex</t>
  </si>
  <si>
    <r>
      <t xml:space="preserve">Fresh weight of cotyledons </t>
    </r>
    <r>
      <rPr>
        <i/>
        <sz val="9"/>
        <color theme="1"/>
        <rFont val="Arial"/>
        <family val="2"/>
      </rPr>
      <t xml:space="preserve"> (just punctual measurements)</t>
    </r>
  </si>
  <si>
    <r>
      <t xml:space="preserve">Leaf area cotyledones only </t>
    </r>
    <r>
      <rPr>
        <i/>
        <sz val="9"/>
        <color theme="1"/>
        <rFont val="Arial"/>
        <family val="2"/>
      </rPr>
      <t>(just puctual measurements)</t>
    </r>
  </si>
  <si>
    <r>
      <t xml:space="preserve">Total dry weight of leaves, incl cotyledones (oven for 8 days at 80 </t>
    </r>
    <r>
      <rPr>
        <vertAlign val="superscript"/>
        <sz val="9"/>
        <color theme="1"/>
        <rFont val="Arial"/>
        <family val="2"/>
      </rPr>
      <t>o</t>
    </r>
    <r>
      <rPr>
        <sz val="9"/>
        <color theme="1"/>
        <rFont val="Arial"/>
        <family val="2"/>
      </rPr>
      <t>C)</t>
    </r>
  </si>
  <si>
    <t>Insert here</t>
  </si>
  <si>
    <t>Scale x0.0000</t>
  </si>
  <si>
    <t>Treatment</t>
  </si>
  <si>
    <t>Plant density (p/m2)</t>
  </si>
  <si>
    <t>Plant height (cm)</t>
  </si>
  <si>
    <t>Leaf Area measured (cm²/plant)</t>
  </si>
  <si>
    <t>SLA (cm2/g DW)</t>
  </si>
  <si>
    <t>2nd Destructive harvest</t>
  </si>
  <si>
    <t>Variety</t>
  </si>
  <si>
    <t>Light</t>
  </si>
  <si>
    <t>EC6</t>
  </si>
  <si>
    <t>high light</t>
  </si>
  <si>
    <t>med light</t>
  </si>
  <si>
    <t>low light</t>
  </si>
  <si>
    <t>no light</t>
  </si>
  <si>
    <t>EC3</t>
  </si>
  <si>
    <t xml:space="preserve">EC </t>
  </si>
  <si>
    <t>CALC</t>
  </si>
  <si>
    <t>Bag weight dried  (g)</t>
  </si>
  <si>
    <t>Switch to gen phase</t>
  </si>
  <si>
    <t>Cherry_EC6_HighLight</t>
  </si>
  <si>
    <t>Cherry</t>
  </si>
  <si>
    <t>Cherry_EC6_MedLight</t>
  </si>
  <si>
    <t>Cherry_EC6_LowLight</t>
  </si>
  <si>
    <t>Cherry_EC6_NoLight</t>
  </si>
  <si>
    <t>Cherry_EC3_HighLight</t>
  </si>
  <si>
    <t>Cherry_EC3_MedLight</t>
  </si>
  <si>
    <t>Cherry_EC3_LowLight</t>
  </si>
  <si>
    <t>Cherry_EC3_NoLight</t>
  </si>
  <si>
    <t>Cherry_EC6_ML_1</t>
  </si>
  <si>
    <t>Cherry_EC6_ML_2</t>
  </si>
  <si>
    <t>Cherry_EC6_ML_3</t>
  </si>
  <si>
    <t>Cherry_EC6_ML_4</t>
  </si>
  <si>
    <t>Cherry_EC6_ML_5</t>
  </si>
  <si>
    <t>Cherry_EC6_ML_6</t>
  </si>
  <si>
    <t>Cherry_EC6_LL_1</t>
  </si>
  <si>
    <t>Cherry_EC6_LL_2</t>
  </si>
  <si>
    <t>Cherry_EC6_LL_3</t>
  </si>
  <si>
    <t>Cherry_EC6_LL_4</t>
  </si>
  <si>
    <t>Cherry_EC6_LL_5</t>
  </si>
  <si>
    <t>Cherry_EC6_LL_6</t>
  </si>
  <si>
    <t>Cherry_EC6__1</t>
  </si>
  <si>
    <t>Cherry_EC6__2</t>
  </si>
  <si>
    <t>Cherry_EC6__3</t>
  </si>
  <si>
    <t>Cherry_EC6__4</t>
  </si>
  <si>
    <t>Cherry_EC6__5</t>
  </si>
  <si>
    <t>Cherry_EC6__6</t>
  </si>
  <si>
    <t>Cherry_EC3_HL_1</t>
  </si>
  <si>
    <t>Cherry_EC3_HL_2</t>
  </si>
  <si>
    <t>Cherry_EC3_HL_3</t>
  </si>
  <si>
    <t>Cherry_EC3_HL_4</t>
  </si>
  <si>
    <t>Cherry_EC3_HL_5</t>
  </si>
  <si>
    <t>Cherry_EC3_HL_6</t>
  </si>
  <si>
    <t>Cherry_EC3_ML_1</t>
  </si>
  <si>
    <t>Cherry_EC3_ML_2</t>
  </si>
  <si>
    <t>Cherry_EC3_ML_3</t>
  </si>
  <si>
    <t>Cherry_EC3_ML_4</t>
  </si>
  <si>
    <t>Cherry_EC3_ML_5</t>
  </si>
  <si>
    <t>Cherry_EC3_ML_6</t>
  </si>
  <si>
    <t>Cherry_EC3_LL_1</t>
  </si>
  <si>
    <t>Cherry_EC3_LL_2</t>
  </si>
  <si>
    <t>Cherry_EC3_LL_3</t>
  </si>
  <si>
    <t>Cherry_EC3_LL_4</t>
  </si>
  <si>
    <t>Cherry_EC3_LL_5</t>
  </si>
  <si>
    <t>Cherry_EC3_LL_6</t>
  </si>
  <si>
    <t>Cherry_EC3__1</t>
  </si>
  <si>
    <t>Cherry_EC3__2</t>
  </si>
  <si>
    <t>Cherry_EC3__3</t>
  </si>
  <si>
    <t>Cherry_EC3__4</t>
  </si>
  <si>
    <t>Cherry_EC3__5</t>
  </si>
  <si>
    <t>Cherry_EC3__6</t>
  </si>
  <si>
    <t>Cherry_EC6_HL_1</t>
  </si>
  <si>
    <t>Cherry_EC6_HL_2</t>
  </si>
  <si>
    <t>Cherry_EC6_HL_3</t>
  </si>
  <si>
    <t>Cherry_EC6_HL_4</t>
  </si>
  <si>
    <t>Cherry_EC6_HL_5</t>
  </si>
  <si>
    <t>Cherry_EC6_HL_6</t>
  </si>
  <si>
    <t>n. leaves (#/plant)</t>
  </si>
  <si>
    <t>FW leaves (g/plant)</t>
  </si>
  <si>
    <t>FW stem (g/plant)</t>
  </si>
  <si>
    <t>FW flowers (g/plant)</t>
  </si>
  <si>
    <t>FW Whole plants calc (g/plant)</t>
  </si>
  <si>
    <t>DW leaves (g/plant)</t>
  </si>
  <si>
    <t>DW stem (g/plant)</t>
  </si>
  <si>
    <t>DW flowers (g/plant)</t>
  </si>
  <si>
    <t>DW Whole plants calc (g/plant)</t>
  </si>
  <si>
    <t>FW Whole plants measured (g/plant)</t>
  </si>
  <si>
    <t>n. open flower (#/plant)</t>
  </si>
  <si>
    <t>n. flower clusters (#/plant)</t>
  </si>
  <si>
    <t>N. fruit set (#/plant)</t>
  </si>
  <si>
    <t>Small bag weight</t>
  </si>
  <si>
    <t>Med bag weight</t>
  </si>
  <si>
    <t>ES.1</t>
  </si>
  <si>
    <t>ES.2</t>
  </si>
  <si>
    <t>F</t>
  </si>
  <si>
    <t xml:space="preserve">Period </t>
  </si>
  <si>
    <t>Plants on table (# plants/table)</t>
  </si>
  <si>
    <t>Plant density (# plants/m2)</t>
  </si>
  <si>
    <t xml:space="preserve">Cultivars </t>
  </si>
  <si>
    <t>4 Sep – 18 Sep</t>
  </si>
  <si>
    <t>18 Sep – 22 Sep</t>
  </si>
  <si>
    <t>Cherry CV</t>
  </si>
  <si>
    <t>Avg n of fruits/cluster</t>
  </si>
  <si>
    <t>n. fruiting clusters (#/plant)</t>
  </si>
  <si>
    <t>FW fruits clusters(g/plant)</t>
  </si>
  <si>
    <t>Cherry_EC6_HL_7</t>
  </si>
  <si>
    <t>Cherry_EC6_HL_8</t>
  </si>
  <si>
    <t>Cherry_EC6_HL_9</t>
  </si>
  <si>
    <t>Cherry_EC6_HL_10</t>
  </si>
  <si>
    <t>Cherry_EC6_HL_11</t>
  </si>
  <si>
    <t>Cherry_EC6_HL_12</t>
  </si>
  <si>
    <t>Cherry_EC6_ML_7</t>
  </si>
  <si>
    <t>Cherry_EC6_ML_8</t>
  </si>
  <si>
    <t>Cherry_EC6_ML_9</t>
  </si>
  <si>
    <t>Cherry_EC6_ML_10</t>
  </si>
  <si>
    <t>Cherry_EC6_ML_11</t>
  </si>
  <si>
    <t>Cherry_EC6_ML_12</t>
  </si>
  <si>
    <t>Cherry_EC6_LL_7</t>
  </si>
  <si>
    <t>Cherry_EC6_LL_8</t>
  </si>
  <si>
    <t>Cherry_EC6_LL_9</t>
  </si>
  <si>
    <t>Cherry_EC6_LL_10</t>
  </si>
  <si>
    <t>Cherry_EC6_LL_11</t>
  </si>
  <si>
    <t>Cherry_EC6_LL_12</t>
  </si>
  <si>
    <t>Cherry_EC6_1</t>
  </si>
  <si>
    <t>Cherry_EC6_2</t>
  </si>
  <si>
    <t>Cherry_EC6_3</t>
  </si>
  <si>
    <t>Cherry_EC6_4</t>
  </si>
  <si>
    <t>Cherry_EC6_5</t>
  </si>
  <si>
    <t>Cherry_EC6_6</t>
  </si>
  <si>
    <t>Cherry_EC6_7</t>
  </si>
  <si>
    <t>Cherry_EC6_8</t>
  </si>
  <si>
    <t>Cherry_EC6_9</t>
  </si>
  <si>
    <t>Cherry_EC6_10</t>
  </si>
  <si>
    <t>Cherry_EC6_11</t>
  </si>
  <si>
    <t>Cherry_EC6_12</t>
  </si>
  <si>
    <t>Cherry_EC3_HL_7</t>
  </si>
  <si>
    <t>Cherry_EC3_HL_8</t>
  </si>
  <si>
    <t>Cherry_EC3_HL_9</t>
  </si>
  <si>
    <t>Cherry_EC3_HL_10</t>
  </si>
  <si>
    <t>Cherry_EC3_HL_11</t>
  </si>
  <si>
    <t>Cherry_EC3_HL_12</t>
  </si>
  <si>
    <t>Cherry_EC3_ML_7</t>
  </si>
  <si>
    <t>Cherry_EC3_ML_8</t>
  </si>
  <si>
    <t>Cherry_EC3_ML_9</t>
  </si>
  <si>
    <t>Cherry_EC3_ML_10</t>
  </si>
  <si>
    <t>Cherry_EC3_ML_11</t>
  </si>
  <si>
    <t>Cherry_EC3_ML_12</t>
  </si>
  <si>
    <t>Cherry_EC3_LL_7</t>
  </si>
  <si>
    <t>Cherry_EC3_LL_8</t>
  </si>
  <si>
    <t>Cherry_EC3_LL_9</t>
  </si>
  <si>
    <t>Cherry_EC3_LL_10</t>
  </si>
  <si>
    <t>Cherry_EC3_LL_11</t>
  </si>
  <si>
    <t>Cherry_EC3_LL_12</t>
  </si>
  <si>
    <t>Cherry_EC3_1</t>
  </si>
  <si>
    <t>Cherry_EC3_2</t>
  </si>
  <si>
    <t>Cherry_EC3_3</t>
  </si>
  <si>
    <t>Cherry_EC3_4</t>
  </si>
  <si>
    <t>Cherry_EC3_5</t>
  </si>
  <si>
    <t>Cherry_EC3_6</t>
  </si>
  <si>
    <t>Cherry_EC3_7</t>
  </si>
  <si>
    <t>Cherry_EC3_8</t>
  </si>
  <si>
    <t>Cherry_EC3_9</t>
  </si>
  <si>
    <t>Cherry_EC3_10</t>
  </si>
  <si>
    <t>Cherry_EC3_11</t>
  </si>
  <si>
    <t>Cherry_EC3_12</t>
  </si>
  <si>
    <t>Fruit set/green fruits</t>
  </si>
  <si>
    <t>Leaf area cotyledones (cm²/plant)</t>
  </si>
  <si>
    <t>DW fruits (g/plant)</t>
  </si>
  <si>
    <t>DW whole plant (g/plant)</t>
  </si>
  <si>
    <t>DW fruiting clusters</t>
  </si>
  <si>
    <t>V</t>
  </si>
  <si>
    <t>Total number of flower cluster per plant</t>
  </si>
  <si>
    <t>Tota number of open flowers on plant</t>
  </si>
  <si>
    <t>Number of cluster with at least 1 fruit set</t>
  </si>
  <si>
    <t>Number of green fruits (from very small to big green fruits) on the plant</t>
  </si>
  <si>
    <t xml:space="preserve">n. fruiting clusters </t>
  </si>
  <si>
    <t>N. fruit set/plant</t>
  </si>
  <si>
    <t>n. open flower /plant</t>
  </si>
  <si>
    <t>n. flower clusters / plant</t>
  </si>
  <si>
    <t xml:space="preserve">It is the total number of fruit attachment points on the cluster (these points can still be flowers or already fruits). It is to get an idea of how many fruits there could potentially be on a cluster. </t>
  </si>
  <si>
    <t xml:space="preserve">DW Flower </t>
  </si>
  <si>
    <t>Sum DW of all above ground organs</t>
  </si>
  <si>
    <r>
      <t xml:space="preserve">Total dry weight of flower clusters (oven for 8 days at 80 </t>
    </r>
    <r>
      <rPr>
        <vertAlign val="superscript"/>
        <sz val="9"/>
        <color theme="1"/>
        <rFont val="Arial"/>
        <family val="2"/>
      </rPr>
      <t>o</t>
    </r>
    <r>
      <rPr>
        <sz val="9"/>
        <color theme="1"/>
        <rFont val="Arial"/>
        <family val="2"/>
      </rPr>
      <t>C)</t>
    </r>
  </si>
  <si>
    <t>Total fresh weight of leaves (incl cotyledons at 1DH)</t>
  </si>
  <si>
    <t>Total fresh weight of flower clusters</t>
  </si>
  <si>
    <t xml:space="preserve">FW flowers </t>
  </si>
  <si>
    <t xml:space="preserve">FW fruiting cluster </t>
  </si>
  <si>
    <t>Dry weight of fruiting cluster (full cluster, not only individual fruits)</t>
  </si>
  <si>
    <t>22 Sep – 29 Sep</t>
  </si>
  <si>
    <t>#green</t>
  </si>
  <si>
    <t>#orange</t>
  </si>
  <si>
    <t>#red</t>
  </si>
  <si>
    <t>Column Labels</t>
  </si>
  <si>
    <t>date</t>
  </si>
  <si>
    <t>Tdiurnal</t>
  </si>
  <si>
    <t>Tday</t>
  </si>
  <si>
    <t>Tnight</t>
  </si>
  <si>
    <t>Rhdiurnal</t>
  </si>
  <si>
    <t>Rhday</t>
  </si>
  <si>
    <t>Rhnight</t>
  </si>
  <si>
    <t>HDday</t>
  </si>
  <si>
    <t>HDnight</t>
  </si>
  <si>
    <t>CO2</t>
  </si>
  <si>
    <t>total PAR [mol/(m2 day)]</t>
  </si>
  <si>
    <t>HL</t>
  </si>
  <si>
    <t>ML</t>
  </si>
  <si>
    <t>LL</t>
  </si>
  <si>
    <t>NL</t>
  </si>
  <si>
    <t>Cumulative PAR (mol/m2)</t>
  </si>
  <si>
    <t>HighLight</t>
  </si>
  <si>
    <t>MedLight</t>
  </si>
  <si>
    <t>LowLight</t>
  </si>
  <si>
    <t>NoLight</t>
  </si>
  <si>
    <t>4-Sep</t>
  </si>
  <si>
    <t>18-Sep</t>
  </si>
  <si>
    <t>29-Sep</t>
  </si>
  <si>
    <t>Average of FW fruits clusters(g/plant)</t>
  </si>
  <si>
    <t>End product</t>
  </si>
  <si>
    <t>N. green fruits (#/plant)</t>
  </si>
  <si>
    <t>N. orange fruits (#/plant)</t>
  </si>
  <si>
    <t>N. red fruits (#/plant)</t>
  </si>
  <si>
    <t>9-Nov</t>
  </si>
  <si>
    <t>PAR (mol/m2)</t>
  </si>
  <si>
    <t>FW fruits (g/plant)</t>
  </si>
  <si>
    <t>mol/plant</t>
  </si>
  <si>
    <t>9 October - 9 November</t>
  </si>
  <si>
    <t># green fruits</t>
  </si>
  <si>
    <t># orange fruits</t>
  </si>
  <si>
    <t># red fruits</t>
  </si>
  <si>
    <t>Number of fruits with all colours between green and red (see picture 2) on the plant</t>
  </si>
  <si>
    <t xml:space="preserve">Orange </t>
  </si>
  <si>
    <t>Green</t>
  </si>
  <si>
    <t>Red</t>
  </si>
  <si>
    <t>Number of red, ripe fruits on the plant (See picture 2)</t>
  </si>
  <si>
    <t>Total fresh weight of fruiting cluster (this includes all fruits + cluster stem)</t>
  </si>
  <si>
    <t>No treatment</t>
  </si>
  <si>
    <t>N. Cotyledons (#/plant)</t>
  </si>
  <si>
    <t>FW cotyledons (g/plant)</t>
  </si>
  <si>
    <t>N. real leaves (#/plant)</t>
  </si>
  <si>
    <t>N. Leaves + coty (#/plant)</t>
  </si>
  <si>
    <t>N. leaves &lt; 5 cm (#/plant)</t>
  </si>
  <si>
    <t>N. leaves &gt; 5 cm (#/plant)</t>
  </si>
  <si>
    <t>3rd Destructive harvest</t>
  </si>
  <si>
    <t>4th Destructive harvest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</si>
</sst>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409]d\-mmm"/>
    <numFmt numFmtId="167" formatCode="0.0000"/>
    <numFmt numFmtId="168" formatCode="[$-409]d\-mmm;@"/>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Light"/>
      <family val="2"/>
      <scheme val="major"/>
    </font>
    <font>
      <b/>
      <sz val="11"/>
      <color theme="1"/>
      <name val="Calibri Light"/>
      <family val="2"/>
      <scheme val="major"/>
    </font>
    <font>
      <sz val="16"/>
      <color theme="1"/>
      <name val="Calibri"/>
      <family val="2"/>
      <scheme val="minor"/>
    </font>
    <font>
      <sz val="11"/>
      <color theme="1"/>
      <name val="Arial"/>
      <family val="2"/>
    </font>
    <font>
      <b/>
      <sz val="11"/>
      <color theme="1"/>
      <name val="Calibri"/>
      <family val="2"/>
    </font>
    <font>
      <sz val="11"/>
      <color theme="1"/>
      <name val="Calibri"/>
      <family val="2"/>
    </font>
    <font>
      <b/>
      <sz val="11"/>
      <name val="Calibri"/>
      <family val="2"/>
    </font>
    <font>
      <sz val="11"/>
      <color theme="0" tint="-0.499984740745262"/>
      <name val="Calibri Light"/>
      <family val="2"/>
      <scheme val="major"/>
    </font>
    <font>
      <b/>
      <sz val="9"/>
      <color theme="1"/>
      <name val="Arial"/>
      <family val="2"/>
    </font>
    <font>
      <sz val="9"/>
      <color theme="1"/>
      <name val="Arial"/>
      <family val="2"/>
    </font>
    <font>
      <vertAlign val="superscript"/>
      <sz val="9"/>
      <color theme="1"/>
      <name val="Arial"/>
      <family val="2"/>
    </font>
    <font>
      <sz val="9"/>
      <name val="Arial"/>
      <family val="2"/>
    </font>
    <font>
      <sz val="11"/>
      <color theme="5" tint="-0.249977111117893"/>
      <name val="Calibri Light"/>
      <family val="2"/>
      <scheme val="major"/>
    </font>
    <font>
      <i/>
      <sz val="9"/>
      <color theme="1"/>
      <name val="Arial"/>
      <family val="2"/>
    </font>
    <font>
      <sz val="10"/>
      <color theme="1"/>
      <name val="Calibri"/>
      <family val="2"/>
      <scheme val="minor"/>
    </font>
    <font>
      <sz val="11"/>
      <color theme="2" tint="-0.249977111117893"/>
      <name val="Calibri Light"/>
      <family val="2"/>
      <scheme val="major"/>
    </font>
    <font>
      <sz val="11"/>
      <color rgb="FFFF0000"/>
      <name val="Calibri"/>
      <family val="2"/>
      <scheme val="minor"/>
    </font>
    <font>
      <sz val="10"/>
      <color theme="1"/>
      <name val="Calibri Light"/>
      <family val="2"/>
      <scheme val="major"/>
    </font>
    <font>
      <sz val="1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rgb="FFDEEAF6"/>
        <bgColor rgb="FFDEEAF6"/>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thin">
        <color theme="0" tint="-0.14999847407452621"/>
      </right>
      <top style="medium">
        <color indexed="64"/>
      </top>
      <bottom style="thin">
        <color theme="0" tint="-0.14999847407452621"/>
      </bottom>
      <diagonal/>
    </border>
    <border>
      <left style="thin">
        <color theme="0" tint="-0.14999847407452621"/>
      </left>
      <right style="thin">
        <color indexed="64"/>
      </right>
      <top style="thin">
        <color theme="0" tint="-0.14999847407452621"/>
      </top>
      <bottom style="medium">
        <color indexed="64"/>
      </bottom>
      <diagonal/>
    </border>
  </borders>
  <cellStyleXfs count="3">
    <xf numFmtId="0" fontId="0" fillId="0" borderId="0"/>
    <xf numFmtId="9" fontId="1" fillId="0" borderId="0" applyFont="0" applyFill="0" applyBorder="0" applyAlignment="0" applyProtection="0"/>
    <xf numFmtId="0" fontId="7" fillId="0" borderId="0"/>
  </cellStyleXfs>
  <cellXfs count="181">
    <xf numFmtId="0" fontId="0" fillId="0" borderId="0" xfId="0"/>
    <xf numFmtId="0" fontId="0" fillId="0" borderId="0" xfId="0" applyAlignment="1">
      <alignment horizontal="center"/>
    </xf>
    <xf numFmtId="0" fontId="4" fillId="0" borderId="0" xfId="0" applyFont="1"/>
    <xf numFmtId="0" fontId="4" fillId="0" borderId="0" xfId="0" applyFont="1" applyAlignment="1">
      <alignment horizontal="center"/>
    </xf>
    <xf numFmtId="0" fontId="5" fillId="0" borderId="1" xfId="0" applyFont="1" applyBorder="1" applyAlignment="1">
      <alignment horizontal="center"/>
    </xf>
    <xf numFmtId="0" fontId="4" fillId="0" borderId="1" xfId="0" applyFont="1" applyBorder="1" applyAlignment="1">
      <alignment horizontal="center"/>
    </xf>
    <xf numFmtId="0" fontId="5" fillId="2" borderId="1" xfId="0" applyFont="1" applyFill="1" applyBorder="1" applyAlignment="1">
      <alignment horizontal="center"/>
    </xf>
    <xf numFmtId="164" fontId="4" fillId="0" borderId="0" xfId="1" applyNumberFormat="1" applyFont="1" applyAlignment="1">
      <alignment horizontal="center"/>
    </xf>
    <xf numFmtId="2" fontId="4" fillId="0" borderId="1" xfId="0" applyNumberFormat="1" applyFont="1" applyBorder="1" applyAlignment="1">
      <alignment horizontal="center"/>
    </xf>
    <xf numFmtId="165" fontId="4" fillId="0" borderId="1" xfId="0" applyNumberFormat="1" applyFont="1" applyBorder="1" applyAlignment="1">
      <alignment horizontal="center"/>
    </xf>
    <xf numFmtId="0" fontId="6" fillId="3" borderId="0" xfId="0" applyFont="1" applyFill="1" applyAlignment="1">
      <alignment vertical="top"/>
    </xf>
    <xf numFmtId="0" fontId="0" fillId="3" borderId="0" xfId="0" applyFill="1"/>
    <xf numFmtId="0" fontId="0" fillId="3" borderId="0" xfId="0" applyFill="1" applyAlignment="1">
      <alignment horizontal="center"/>
    </xf>
    <xf numFmtId="0" fontId="6" fillId="0" borderId="0" xfId="0" applyFont="1" applyAlignment="1">
      <alignment vertical="top"/>
    </xf>
    <xf numFmtId="0" fontId="8" fillId="4" borderId="0" xfId="2" applyFont="1" applyFill="1"/>
    <xf numFmtId="166" fontId="9" fillId="4" borderId="0" xfId="2" applyNumberFormat="1" applyFont="1" applyFill="1"/>
    <xf numFmtId="0" fontId="9" fillId="4" borderId="0" xfId="2" applyFont="1" applyFill="1"/>
    <xf numFmtId="0" fontId="9" fillId="4" borderId="2" xfId="2" applyFont="1" applyFill="1" applyBorder="1"/>
    <xf numFmtId="0" fontId="9" fillId="4" borderId="2" xfId="2" applyFont="1" applyFill="1" applyBorder="1" applyAlignment="1">
      <alignment horizontal="center"/>
    </xf>
    <xf numFmtId="2" fontId="9" fillId="4" borderId="0" xfId="2" applyNumberFormat="1" applyFont="1" applyFill="1" applyAlignment="1">
      <alignment horizontal="center"/>
    </xf>
    <xf numFmtId="0" fontId="8" fillId="4" borderId="2" xfId="2" applyFont="1" applyFill="1" applyBorder="1" applyAlignment="1">
      <alignment horizontal="center"/>
    </xf>
    <xf numFmtId="166" fontId="9" fillId="4" borderId="0" xfId="2" applyNumberFormat="1" applyFont="1" applyFill="1" applyAlignment="1">
      <alignment horizontal="right"/>
    </xf>
    <xf numFmtId="2" fontId="10" fillId="4" borderId="0" xfId="2" applyNumberFormat="1" applyFont="1" applyFill="1" applyAlignment="1">
      <alignment horizontal="center"/>
    </xf>
    <xf numFmtId="2" fontId="2" fillId="5" borderId="0" xfId="0" applyNumberFormat="1" applyFont="1" applyFill="1" applyAlignment="1">
      <alignment horizontal="center"/>
    </xf>
    <xf numFmtId="0" fontId="5" fillId="0" borderId="3" xfId="0" applyFont="1" applyBorder="1" applyAlignment="1">
      <alignment horizontal="center"/>
    </xf>
    <xf numFmtId="0" fontId="11" fillId="0" borderId="4" xfId="0" applyFont="1" applyBorder="1" applyAlignment="1">
      <alignment horizontal="center"/>
    </xf>
    <xf numFmtId="0" fontId="5" fillId="6" borderId="1" xfId="0" applyFont="1" applyFill="1" applyBorder="1" applyAlignment="1">
      <alignment horizontal="right"/>
    </xf>
    <xf numFmtId="165" fontId="4" fillId="6" borderId="1" xfId="0" applyNumberFormat="1" applyFont="1" applyFill="1" applyBorder="1" applyAlignment="1">
      <alignment horizontal="center"/>
    </xf>
    <xf numFmtId="2" fontId="4" fillId="6" borderId="1" xfId="0" applyNumberFormat="1" applyFont="1" applyFill="1" applyBorder="1" applyAlignment="1">
      <alignment horizontal="center"/>
    </xf>
    <xf numFmtId="0" fontId="4" fillId="6" borderId="1" xfId="0" applyFont="1" applyFill="1" applyBorder="1" applyAlignment="1">
      <alignment horizontal="center"/>
    </xf>
    <xf numFmtId="0" fontId="12" fillId="0" borderId="1" xfId="0" applyFont="1" applyBorder="1" applyAlignment="1">
      <alignment horizontal="right" vertical="center"/>
    </xf>
    <xf numFmtId="0" fontId="12" fillId="0" borderId="1" xfId="0" applyFont="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horizontal="center" vertical="center"/>
    </xf>
    <xf numFmtId="0" fontId="13" fillId="0" borderId="1" xfId="0" applyFont="1" applyBorder="1" applyAlignment="1">
      <alignment vertical="center"/>
    </xf>
    <xf numFmtId="0" fontId="12" fillId="0" borderId="3" xfId="0" applyFont="1" applyBorder="1" applyAlignment="1">
      <alignment horizontal="right"/>
    </xf>
    <xf numFmtId="0" fontId="13" fillId="0" borderId="1" xfId="0" applyFont="1" applyBorder="1" applyAlignment="1">
      <alignment horizontal="left" vertical="center"/>
    </xf>
    <xf numFmtId="0" fontId="5" fillId="0" borderId="1" xfId="0" applyFont="1" applyBorder="1"/>
    <xf numFmtId="0" fontId="4" fillId="0" borderId="1" xfId="0" applyFont="1" applyBorder="1"/>
    <xf numFmtId="0" fontId="11" fillId="0" borderId="0" xfId="0" applyFont="1" applyAlignment="1">
      <alignment horizontal="right"/>
    </xf>
    <xf numFmtId="2" fontId="9" fillId="4" borderId="2" xfId="2" applyNumberFormat="1" applyFont="1" applyFill="1" applyBorder="1" applyAlignment="1">
      <alignment horizontal="center"/>
    </xf>
    <xf numFmtId="9" fontId="4" fillId="6" borderId="1" xfId="1" applyFont="1" applyFill="1" applyBorder="1" applyAlignment="1">
      <alignment horizontal="center"/>
    </xf>
    <xf numFmtId="0" fontId="4" fillId="0" borderId="5" xfId="0" applyFont="1" applyBorder="1" applyAlignment="1">
      <alignment horizontal="center"/>
    </xf>
    <xf numFmtId="0" fontId="11" fillId="0" borderId="0" xfId="0" applyFont="1" applyAlignment="1">
      <alignment horizontal="center"/>
    </xf>
    <xf numFmtId="165" fontId="4" fillId="0" borderId="5" xfId="0" applyNumberFormat="1" applyFont="1" applyBorder="1" applyAlignment="1">
      <alignment horizontal="center"/>
    </xf>
    <xf numFmtId="2" fontId="4" fillId="0" borderId="5" xfId="0" applyNumberFormat="1" applyFont="1" applyBorder="1" applyAlignment="1">
      <alignment horizontal="center"/>
    </xf>
    <xf numFmtId="165" fontId="0" fillId="0" borderId="0" xfId="0" applyNumberFormat="1" applyAlignment="1">
      <alignment horizontal="center"/>
    </xf>
    <xf numFmtId="15" fontId="4" fillId="0" borderId="0" xfId="0" applyNumberFormat="1" applyFont="1" applyAlignment="1">
      <alignment horizontal="center"/>
    </xf>
    <xf numFmtId="0" fontId="4" fillId="7" borderId="1" xfId="0" applyFont="1" applyFill="1" applyBorder="1" applyAlignment="1">
      <alignment horizontal="center"/>
    </xf>
    <xf numFmtId="16" fontId="4" fillId="7" borderId="1" xfId="0" applyNumberFormat="1" applyFont="1" applyFill="1" applyBorder="1" applyAlignment="1">
      <alignment horizontal="center"/>
    </xf>
    <xf numFmtId="0" fontId="4" fillId="7" borderId="5" xfId="0" applyFont="1" applyFill="1" applyBorder="1" applyAlignment="1">
      <alignment horizontal="center"/>
    </xf>
    <xf numFmtId="16" fontId="4" fillId="7" borderId="5" xfId="0" applyNumberFormat="1" applyFont="1" applyFill="1" applyBorder="1" applyAlignment="1">
      <alignment horizontal="center"/>
    </xf>
    <xf numFmtId="0" fontId="4" fillId="7" borderId="3" xfId="0" applyFont="1" applyFill="1" applyBorder="1" applyAlignment="1">
      <alignment horizontal="center"/>
    </xf>
    <xf numFmtId="0" fontId="5" fillId="0" borderId="0" xfId="0" applyFont="1" applyAlignment="1">
      <alignment horizontal="center"/>
    </xf>
    <xf numFmtId="0" fontId="4" fillId="0" borderId="0" xfId="0" applyFont="1" applyAlignment="1">
      <alignment horizontal="left"/>
    </xf>
    <xf numFmtId="0" fontId="4" fillId="6" borderId="0" xfId="0" applyFont="1" applyFill="1"/>
    <xf numFmtId="0" fontId="5" fillId="6" borderId="3" xfId="0" applyFont="1" applyFill="1" applyBorder="1" applyAlignment="1">
      <alignment horizontal="center"/>
    </xf>
    <xf numFmtId="9" fontId="4" fillId="0" borderId="1" xfId="1" applyFont="1" applyBorder="1" applyAlignment="1">
      <alignment horizontal="center"/>
    </xf>
    <xf numFmtId="0" fontId="4" fillId="0" borderId="3" xfId="0" applyFont="1" applyBorder="1" applyAlignment="1">
      <alignment horizontal="center"/>
    </xf>
    <xf numFmtId="9" fontId="4" fillId="0" borderId="5" xfId="1" applyFont="1" applyBorder="1" applyAlignment="1">
      <alignment horizontal="center"/>
    </xf>
    <xf numFmtId="16" fontId="4" fillId="5" borderId="0" xfId="0" applyNumberFormat="1" applyFont="1" applyFill="1" applyAlignment="1">
      <alignment horizontal="center"/>
    </xf>
    <xf numFmtId="0" fontId="5" fillId="6" borderId="1" xfId="0" applyFont="1" applyFill="1" applyBorder="1" applyAlignment="1">
      <alignment horizontal="center"/>
    </xf>
    <xf numFmtId="9" fontId="4" fillId="6" borderId="5" xfId="1" applyFont="1" applyFill="1" applyBorder="1" applyAlignment="1">
      <alignment horizontal="center"/>
    </xf>
    <xf numFmtId="0" fontId="15" fillId="0" borderId="1" xfId="0" applyFont="1" applyBorder="1" applyAlignment="1">
      <alignment horizontal="left" vertical="center"/>
    </xf>
    <xf numFmtId="0" fontId="15" fillId="0" borderId="1" xfId="0" applyFont="1" applyBorder="1" applyAlignment="1">
      <alignment vertical="center"/>
    </xf>
    <xf numFmtId="2" fontId="16" fillId="0" borderId="1" xfId="0" applyNumberFormat="1" applyFont="1" applyBorder="1" applyAlignment="1">
      <alignment horizontal="center"/>
    </xf>
    <xf numFmtId="2" fontId="16" fillId="0" borderId="5" xfId="0" applyNumberFormat="1" applyFont="1" applyBorder="1" applyAlignment="1">
      <alignment horizontal="center"/>
    </xf>
    <xf numFmtId="0" fontId="16" fillId="0" borderId="0" xfId="0" applyFont="1" applyAlignment="1">
      <alignment horizontal="center"/>
    </xf>
    <xf numFmtId="0" fontId="16" fillId="0" borderId="1" xfId="0" applyFont="1" applyBorder="1" applyAlignment="1">
      <alignment horizontal="center"/>
    </xf>
    <xf numFmtId="0" fontId="16" fillId="0" borderId="5" xfId="0" applyFont="1" applyBorder="1" applyAlignment="1">
      <alignment horizontal="center"/>
    </xf>
    <xf numFmtId="0" fontId="0" fillId="0" borderId="0" xfId="0" applyAlignment="1">
      <alignment horizontal="left"/>
    </xf>
    <xf numFmtId="0" fontId="11" fillId="6" borderId="4" xfId="0" applyFont="1" applyFill="1" applyBorder="1" applyAlignment="1">
      <alignment horizontal="center"/>
    </xf>
    <xf numFmtId="15" fontId="0" fillId="3" borderId="0" xfId="0" applyNumberFormat="1" applyFill="1" applyAlignment="1">
      <alignment horizontal="center"/>
    </xf>
    <xf numFmtId="0" fontId="11" fillId="5" borderId="4" xfId="0" applyFont="1" applyFill="1" applyBorder="1" applyAlignment="1">
      <alignment horizontal="center"/>
    </xf>
    <xf numFmtId="0" fontId="4" fillId="5" borderId="1" xfId="0" applyFont="1" applyFill="1" applyBorder="1" applyAlignment="1">
      <alignment horizontal="center"/>
    </xf>
    <xf numFmtId="2" fontId="4" fillId="0" borderId="0" xfId="0" applyNumberFormat="1" applyFont="1"/>
    <xf numFmtId="167" fontId="4" fillId="0" borderId="1" xfId="0" applyNumberFormat="1" applyFont="1" applyBorder="1" applyAlignment="1">
      <alignment horizontal="center"/>
    </xf>
    <xf numFmtId="167" fontId="4" fillId="6" borderId="1" xfId="0" applyNumberFormat="1" applyFont="1" applyFill="1" applyBorder="1" applyAlignment="1">
      <alignment horizontal="center"/>
    </xf>
    <xf numFmtId="167" fontId="4" fillId="0" borderId="5" xfId="0" applyNumberFormat="1" applyFont="1" applyBorder="1" applyAlignment="1">
      <alignment horizontal="center"/>
    </xf>
    <xf numFmtId="167" fontId="4" fillId="6" borderId="5" xfId="0" applyNumberFormat="1" applyFont="1" applyFill="1" applyBorder="1" applyAlignment="1">
      <alignment horizontal="center"/>
    </xf>
    <xf numFmtId="0" fontId="13" fillId="9" borderId="4" xfId="0" applyFont="1" applyFill="1" applyBorder="1" applyAlignment="1">
      <alignment horizontal="center" vertical="center" wrapText="1"/>
    </xf>
    <xf numFmtId="0" fontId="0" fillId="3" borderId="8" xfId="0" applyFill="1" applyBorder="1"/>
    <xf numFmtId="0" fontId="4" fillId="0" borderId="8" xfId="0" applyFont="1" applyBorder="1"/>
    <xf numFmtId="0" fontId="13" fillId="9" borderId="9" xfId="0" applyFont="1" applyFill="1" applyBorder="1" applyAlignment="1">
      <alignment horizontal="center" vertical="center" wrapText="1"/>
    </xf>
    <xf numFmtId="0" fontId="4" fillId="0" borderId="8" xfId="0"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8" borderId="0" xfId="0" applyFill="1" applyAlignment="1">
      <alignment horizontal="center"/>
    </xf>
    <xf numFmtId="0" fontId="0" fillId="8" borderId="10" xfId="0" applyFill="1" applyBorder="1" applyAlignment="1">
      <alignment horizontal="center"/>
    </xf>
    <xf numFmtId="0" fontId="4" fillId="0" borderId="13" xfId="0" applyFont="1" applyBorder="1" applyAlignment="1">
      <alignment horizontal="center"/>
    </xf>
    <xf numFmtId="0" fontId="4" fillId="0" borderId="12" xfId="0" applyFont="1" applyBorder="1" applyAlignment="1">
      <alignment horizontal="center"/>
    </xf>
    <xf numFmtId="0" fontId="0" fillId="0" borderId="12" xfId="0" applyBorder="1" applyAlignment="1">
      <alignment horizontal="center"/>
    </xf>
    <xf numFmtId="0" fontId="13" fillId="9" borderId="14" xfId="0" applyFont="1" applyFill="1" applyBorder="1" applyAlignment="1">
      <alignment horizontal="center" vertical="center"/>
    </xf>
    <xf numFmtId="0" fontId="13" fillId="9" borderId="14" xfId="0" applyFont="1" applyFill="1" applyBorder="1" applyAlignment="1">
      <alignment horizontal="center" vertical="center" wrapText="1"/>
    </xf>
    <xf numFmtId="0" fontId="0" fillId="7" borderId="14" xfId="0" applyFill="1" applyBorder="1" applyAlignment="1">
      <alignment horizontal="center"/>
    </xf>
    <xf numFmtId="0" fontId="18" fillId="7" borderId="14" xfId="0" applyFont="1" applyFill="1" applyBorder="1" applyAlignment="1">
      <alignment horizontal="center"/>
    </xf>
    <xf numFmtId="0" fontId="0" fillId="7" borderId="14" xfId="0" applyFill="1" applyBorder="1"/>
    <xf numFmtId="0" fontId="0" fillId="7" borderId="17" xfId="0" applyFill="1" applyBorder="1" applyAlignment="1">
      <alignment horizontal="center"/>
    </xf>
    <xf numFmtId="0" fontId="18" fillId="7" borderId="17" xfId="0" applyFont="1" applyFill="1" applyBorder="1" applyAlignment="1">
      <alignment horizontal="center"/>
    </xf>
    <xf numFmtId="0" fontId="0" fillId="7" borderId="17" xfId="0" applyFill="1" applyBorder="1"/>
    <xf numFmtId="0" fontId="0" fillId="7" borderId="16" xfId="0" applyFill="1" applyBorder="1" applyAlignment="1">
      <alignment horizontal="center"/>
    </xf>
    <xf numFmtId="0" fontId="18" fillId="7" borderId="16" xfId="0" applyFont="1" applyFill="1" applyBorder="1" applyAlignment="1">
      <alignment horizontal="center"/>
    </xf>
    <xf numFmtId="0" fontId="0" fillId="7" borderId="16" xfId="0" applyFill="1" applyBorder="1"/>
    <xf numFmtId="0" fontId="5" fillId="8" borderId="0" xfId="0" applyFont="1" applyFill="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19" fillId="0" borderId="0" xfId="0" applyFont="1"/>
    <xf numFmtId="0" fontId="0" fillId="7" borderId="15" xfId="0" applyFill="1" applyBorder="1" applyAlignment="1">
      <alignment horizontal="center"/>
    </xf>
    <xf numFmtId="0" fontId="19" fillId="0" borderId="10" xfId="0" applyFont="1" applyBorder="1"/>
    <xf numFmtId="0" fontId="13" fillId="9"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0" xfId="0" applyFont="1" applyFill="1" applyBorder="1" applyAlignment="1">
      <alignment horizontal="center" vertical="center" wrapText="1"/>
    </xf>
    <xf numFmtId="168" fontId="0" fillId="7" borderId="14" xfId="0" applyNumberFormat="1" applyFill="1" applyBorder="1" applyAlignment="1">
      <alignment horizontal="center"/>
    </xf>
    <xf numFmtId="168" fontId="0" fillId="7" borderId="16" xfId="0" applyNumberFormat="1" applyFill="1" applyBorder="1" applyAlignment="1">
      <alignment horizontal="center"/>
    </xf>
    <xf numFmtId="0" fontId="13" fillId="9" borderId="18" xfId="0" applyFont="1" applyFill="1" applyBorder="1" applyAlignment="1">
      <alignment horizontal="center" vertical="center" wrapText="1"/>
    </xf>
    <xf numFmtId="0" fontId="13" fillId="8" borderId="4" xfId="0" applyFont="1" applyFill="1" applyBorder="1" applyAlignment="1">
      <alignment horizontal="center" vertical="center" wrapText="1"/>
    </xf>
    <xf numFmtId="165" fontId="4" fillId="0" borderId="12" xfId="0" applyNumberFormat="1" applyFont="1" applyBorder="1" applyAlignment="1">
      <alignment horizontal="center"/>
    </xf>
    <xf numFmtId="165" fontId="4" fillId="0" borderId="0" xfId="0" applyNumberFormat="1" applyFont="1" applyAlignment="1">
      <alignment horizontal="center"/>
    </xf>
    <xf numFmtId="165" fontId="0" fillId="0" borderId="10" xfId="0" applyNumberFormat="1" applyBorder="1" applyAlignment="1">
      <alignment horizontal="center"/>
    </xf>
    <xf numFmtId="0" fontId="0" fillId="0" borderId="0" xfId="0" pivotButton="1"/>
    <xf numFmtId="0" fontId="0" fillId="0" borderId="0" xfId="0" applyAlignment="1">
      <alignment horizontal="left" indent="1"/>
    </xf>
    <xf numFmtId="2" fontId="0" fillId="0" borderId="0" xfId="0" applyNumberFormat="1" applyAlignment="1">
      <alignment horizontal="center"/>
    </xf>
    <xf numFmtId="0" fontId="2" fillId="0" borderId="0" xfId="0" applyFont="1" applyAlignment="1">
      <alignment horizontal="center"/>
    </xf>
    <xf numFmtId="16" fontId="0" fillId="0" borderId="0" xfId="0" applyNumberFormat="1"/>
    <xf numFmtId="0" fontId="15" fillId="0" borderId="1" xfId="0" applyFont="1" applyBorder="1" applyAlignment="1">
      <alignment vertical="center" wrapText="1"/>
    </xf>
    <xf numFmtId="0" fontId="12" fillId="0" borderId="3" xfId="0" applyFont="1" applyBorder="1" applyAlignment="1">
      <alignment horizontal="right" vertical="center"/>
    </xf>
    <xf numFmtId="0" fontId="20" fillId="0" borderId="0" xfId="0" applyFont="1" applyAlignment="1">
      <alignment horizontal="center"/>
    </xf>
    <xf numFmtId="2" fontId="0" fillId="0" borderId="0" xfId="0" applyNumberFormat="1"/>
    <xf numFmtId="165" fontId="0" fillId="0" borderId="7" xfId="0" applyNumberFormat="1" applyBorder="1" applyAlignment="1">
      <alignment horizontal="center" vertical="center"/>
    </xf>
    <xf numFmtId="165" fontId="0" fillId="0" borderId="1" xfId="0" applyNumberFormat="1" applyBorder="1" applyAlignment="1">
      <alignment horizontal="center" vertical="center"/>
    </xf>
    <xf numFmtId="1" fontId="0" fillId="0" borderId="1" xfId="0" applyNumberFormat="1" applyBorder="1" applyAlignment="1">
      <alignment horizontal="center" vertical="center"/>
    </xf>
    <xf numFmtId="16" fontId="0" fillId="0" borderId="1" xfId="0" applyNumberFormat="1" applyBorder="1"/>
    <xf numFmtId="2" fontId="0" fillId="10" borderId="0" xfId="0" applyNumberFormat="1" applyFill="1" applyAlignment="1">
      <alignment horizontal="center" vertical="center"/>
    </xf>
    <xf numFmtId="2" fontId="0" fillId="11" borderId="0" xfId="0" applyNumberFormat="1" applyFill="1"/>
    <xf numFmtId="2" fontId="0" fillId="7" borderId="0" xfId="0" applyNumberFormat="1" applyFill="1"/>
    <xf numFmtId="2" fontId="0" fillId="12" borderId="0" xfId="0" applyNumberFormat="1" applyFill="1"/>
    <xf numFmtId="2" fontId="0" fillId="13" borderId="0" xfId="0" applyNumberFormat="1" applyFill="1"/>
    <xf numFmtId="2" fontId="0" fillId="14" borderId="0" xfId="0" applyNumberFormat="1" applyFill="1"/>
    <xf numFmtId="2" fontId="0" fillId="15" borderId="0" xfId="0" applyNumberFormat="1" applyFill="1"/>
    <xf numFmtId="2" fontId="0" fillId="10" borderId="0" xfId="0" applyNumberFormat="1" applyFill="1"/>
    <xf numFmtId="0" fontId="2" fillId="7" borderId="0" xfId="0" applyFont="1" applyFill="1" applyAlignment="1">
      <alignment horizontal="center"/>
    </xf>
    <xf numFmtId="165" fontId="0" fillId="7" borderId="0" xfId="0" applyNumberFormat="1" applyFill="1" applyAlignment="1">
      <alignment horizontal="center"/>
    </xf>
    <xf numFmtId="0" fontId="0" fillId="0" borderId="15" xfId="0" applyBorder="1" applyAlignment="1">
      <alignment horizontal="center"/>
    </xf>
    <xf numFmtId="0" fontId="12" fillId="0" borderId="1" xfId="0" applyFont="1" applyBorder="1" applyAlignment="1">
      <alignment horizontal="right"/>
    </xf>
    <xf numFmtId="0" fontId="0" fillId="0" borderId="1" xfId="0" applyBorder="1"/>
    <xf numFmtId="0" fontId="13" fillId="9" borderId="0" xfId="0" applyFont="1" applyFill="1" applyAlignment="1">
      <alignment horizontal="center" vertical="center"/>
    </xf>
    <xf numFmtId="0" fontId="13" fillId="9" borderId="0" xfId="0" applyFont="1" applyFill="1" applyAlignment="1">
      <alignment horizontal="center" vertical="center" wrapText="1"/>
    </xf>
    <xf numFmtId="0" fontId="13" fillId="8" borderId="0" xfId="0" applyFont="1" applyFill="1" applyAlignment="1">
      <alignment horizontal="center" vertical="center" wrapText="1"/>
    </xf>
    <xf numFmtId="0" fontId="4" fillId="7" borderId="0" xfId="0" applyFont="1" applyFill="1" applyAlignment="1">
      <alignment horizontal="center"/>
    </xf>
    <xf numFmtId="16" fontId="4" fillId="7" borderId="0" xfId="0" applyNumberFormat="1" applyFont="1" applyFill="1" applyAlignment="1">
      <alignment horizontal="center"/>
    </xf>
    <xf numFmtId="168" fontId="4" fillId="7" borderId="0" xfId="0" applyNumberFormat="1" applyFont="1" applyFill="1" applyAlignment="1">
      <alignment horizontal="center"/>
    </xf>
    <xf numFmtId="0" fontId="21" fillId="7" borderId="0" xfId="0" applyFont="1" applyFill="1" applyAlignment="1">
      <alignment horizontal="center"/>
    </xf>
    <xf numFmtId="0" fontId="4" fillId="7" borderId="0" xfId="0" applyFont="1" applyFill="1"/>
    <xf numFmtId="0" fontId="4" fillId="8" borderId="0" xfId="0" applyFont="1" applyFill="1" applyAlignment="1">
      <alignment horizontal="center"/>
    </xf>
    <xf numFmtId="168" fontId="4" fillId="8" borderId="0" xfId="0" applyNumberFormat="1" applyFont="1" applyFill="1" applyAlignment="1">
      <alignment horizontal="center"/>
    </xf>
    <xf numFmtId="0" fontId="21" fillId="8" borderId="0" xfId="0" applyFont="1" applyFill="1" applyAlignment="1">
      <alignment horizontal="center"/>
    </xf>
    <xf numFmtId="0" fontId="4" fillId="8" borderId="0" xfId="0" applyFont="1" applyFill="1"/>
    <xf numFmtId="0" fontId="22" fillId="0" borderId="0" xfId="0" applyFont="1" applyAlignment="1">
      <alignment horizontal="center"/>
    </xf>
    <xf numFmtId="0" fontId="22" fillId="0" borderId="8" xfId="0" applyFont="1" applyBorder="1" applyAlignment="1">
      <alignment horizontal="center"/>
    </xf>
    <xf numFmtId="0" fontId="22" fillId="0" borderId="0" xfId="0" applyFont="1"/>
    <xf numFmtId="9" fontId="0" fillId="0" borderId="0" xfId="1" applyFont="1"/>
    <xf numFmtId="0" fontId="4" fillId="8" borderId="4" xfId="0" applyFont="1" applyFill="1" applyBorder="1" applyAlignment="1">
      <alignment horizontal="center"/>
    </xf>
    <xf numFmtId="168" fontId="4" fillId="8" borderId="4" xfId="0" applyNumberFormat="1" applyFont="1" applyFill="1" applyBorder="1" applyAlignment="1">
      <alignment horizontal="center"/>
    </xf>
    <xf numFmtId="0" fontId="21" fillId="8" borderId="4" xfId="0" applyFont="1" applyFill="1" applyBorder="1" applyAlignment="1">
      <alignment horizontal="center"/>
    </xf>
    <xf numFmtId="0" fontId="4" fillId="8" borderId="4" xfId="0" applyFont="1" applyFill="1" applyBorder="1"/>
    <xf numFmtId="0" fontId="0" fillId="0" borderId="4" xfId="0" applyBorder="1" applyAlignment="1">
      <alignment horizontal="center"/>
    </xf>
    <xf numFmtId="2" fontId="0" fillId="0" borderId="4" xfId="0" applyNumberFormat="1" applyBorder="1"/>
    <xf numFmtId="9" fontId="0" fillId="0" borderId="4" xfId="1" applyFont="1" applyBorder="1"/>
    <xf numFmtId="0" fontId="0" fillId="0" borderId="4" xfId="0" applyBorder="1"/>
    <xf numFmtId="0" fontId="4" fillId="7" borderId="4" xfId="0" applyFont="1" applyFill="1" applyBorder="1" applyAlignment="1">
      <alignment horizontal="center"/>
    </xf>
    <xf numFmtId="168" fontId="4" fillId="7" borderId="4" xfId="0" applyNumberFormat="1" applyFont="1" applyFill="1" applyBorder="1" applyAlignment="1">
      <alignment horizontal="center"/>
    </xf>
    <xf numFmtId="0" fontId="21" fillId="7" borderId="4" xfId="0" applyFont="1" applyFill="1" applyBorder="1" applyAlignment="1">
      <alignment horizontal="center"/>
    </xf>
    <xf numFmtId="0" fontId="4" fillId="7" borderId="4" xfId="0" applyFont="1" applyFill="1" applyBorder="1"/>
    <xf numFmtId="16" fontId="4" fillId="7" borderId="4" xfId="0" applyNumberFormat="1" applyFont="1" applyFill="1" applyBorder="1" applyAlignment="1">
      <alignment horizontal="center"/>
    </xf>
    <xf numFmtId="0" fontId="4" fillId="0" borderId="4" xfId="0" applyFont="1" applyBorder="1" applyAlignment="1">
      <alignment horizontal="center"/>
    </xf>
    <xf numFmtId="0" fontId="0" fillId="0" borderId="1" xfId="0"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5" fillId="6" borderId="0" xfId="0" applyFont="1" applyFill="1" applyAlignment="1">
      <alignment horizontal="center"/>
    </xf>
  </cellXfs>
  <cellStyles count="3">
    <cellStyle name="Normal" xfId="0" builtinId="0"/>
    <cellStyle name="Normal 2" xfId="2" xr:uid="{9B62E42D-DB74-429C-9DDF-48CEB8A24E42}"/>
    <cellStyle name="Per cent" xfId="1" builtinId="5"/>
  </cellStyles>
  <dxfs count="6">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[DestructiveHarvest.xlsx]LUE_cherry!PivotTable2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LUE_cherry!$B$4:$B$5</c:f>
              <c:strCache>
                <c:ptCount val="1"/>
                <c:pt idx="0">
                  <c:v>EC3</c:v>
                </c:pt>
              </c:strCache>
            </c:strRef>
          </c:tx>
          <c:spPr>
            <a:solidFill>
              <a:schemeClr val="accent1"/>
            </a:solidFill>
            <a:ln>
              <a:noFill/>
            </a:ln>
            <a:effectLst/>
          </c:spPr>
          <c:invertIfNegative val="0"/>
          <c:cat>
            <c:multiLvlStrRef>
              <c:f>LUE_cherry!$A$6:$A$26</c:f>
              <c:multiLvlStrCache>
                <c:ptCount val="16"/>
                <c:lvl>
                  <c:pt idx="0">
                    <c:v>4-Sep</c:v>
                  </c:pt>
                  <c:pt idx="1">
                    <c:v>18-Sep</c:v>
                  </c:pt>
                  <c:pt idx="2">
                    <c:v>29-Sep</c:v>
                  </c:pt>
                  <c:pt idx="3">
                    <c:v>9-Nov</c:v>
                  </c:pt>
                  <c:pt idx="4">
                    <c:v>4-Sep</c:v>
                  </c:pt>
                  <c:pt idx="5">
                    <c:v>18-Sep</c:v>
                  </c:pt>
                  <c:pt idx="6">
                    <c:v>29-Sep</c:v>
                  </c:pt>
                  <c:pt idx="7">
                    <c:v>9-Nov</c:v>
                  </c:pt>
                  <c:pt idx="8">
                    <c:v>4-Sep</c:v>
                  </c:pt>
                  <c:pt idx="9">
                    <c:v>18-Sep</c:v>
                  </c:pt>
                  <c:pt idx="10">
                    <c:v>29-Sep</c:v>
                  </c:pt>
                  <c:pt idx="11">
                    <c:v>9-Nov</c:v>
                  </c:pt>
                  <c:pt idx="12">
                    <c:v>4-Sep</c:v>
                  </c:pt>
                  <c:pt idx="13">
                    <c:v>18-Sep</c:v>
                  </c:pt>
                  <c:pt idx="14">
                    <c:v>29-Sep</c:v>
                  </c:pt>
                  <c:pt idx="15">
                    <c:v>9-Nov</c:v>
                  </c:pt>
                </c:lvl>
                <c:lvl>
                  <c:pt idx="0">
                    <c:v>high light</c:v>
                  </c:pt>
                  <c:pt idx="4">
                    <c:v>med light</c:v>
                  </c:pt>
                  <c:pt idx="8">
                    <c:v>low light</c:v>
                  </c:pt>
                  <c:pt idx="12">
                    <c:v>no light</c:v>
                  </c:pt>
                </c:lvl>
              </c:multiLvlStrCache>
            </c:multiLvlStrRef>
          </c:cat>
          <c:val>
            <c:numRef>
              <c:f>LUE_cherry!$B$6:$B$26</c:f>
              <c:numCache>
                <c:formatCode>General</c:formatCode>
                <c:ptCount val="16"/>
                <c:pt idx="0">
                  <c:v>#N/A</c:v>
                </c:pt>
                <c:pt idx="1">
                  <c:v>0</c:v>
                </c:pt>
                <c:pt idx="2">
                  <c:v>9.9733333333333309</c:v>
                </c:pt>
                <c:pt idx="3">
                  <c:v>256.66333333333336</c:v>
                </c:pt>
                <c:pt idx="4">
                  <c:v>#N/A</c:v>
                </c:pt>
                <c:pt idx="5">
                  <c:v>0</c:v>
                </c:pt>
                <c:pt idx="6">
                  <c:v>11.196666666666667</c:v>
                </c:pt>
                <c:pt idx="7">
                  <c:v>220.70833333333337</c:v>
                </c:pt>
                <c:pt idx="8">
                  <c:v>#N/A</c:v>
                </c:pt>
                <c:pt idx="9">
                  <c:v>0</c:v>
                </c:pt>
                <c:pt idx="10">
                  <c:v>4.0783333333333331</c:v>
                </c:pt>
                <c:pt idx="11">
                  <c:v>193.23333333333335</c:v>
                </c:pt>
                <c:pt idx="12">
                  <c:v>#N/A</c:v>
                </c:pt>
                <c:pt idx="13">
                  <c:v>0</c:v>
                </c:pt>
                <c:pt idx="14">
                  <c:v>4.541666666666667</c:v>
                </c:pt>
                <c:pt idx="15">
                  <c:v>164.39666666666668</c:v>
                </c:pt>
              </c:numCache>
            </c:numRef>
          </c:val>
          <c:extLst>
            <c:ext xmlns:c16="http://schemas.microsoft.com/office/drawing/2014/chart" uri="{C3380CC4-5D6E-409C-BE32-E72D297353CC}">
              <c16:uniqueId val="{00000000-BE3D-4BF4-B0AD-B16A882638F7}"/>
            </c:ext>
          </c:extLst>
        </c:ser>
        <c:ser>
          <c:idx val="1"/>
          <c:order val="1"/>
          <c:tx>
            <c:strRef>
              <c:f>LUE_cherry!$C$4:$C$5</c:f>
              <c:strCache>
                <c:ptCount val="1"/>
                <c:pt idx="0">
                  <c:v>EC6</c:v>
                </c:pt>
              </c:strCache>
            </c:strRef>
          </c:tx>
          <c:spPr>
            <a:solidFill>
              <a:schemeClr val="accent2"/>
            </a:solidFill>
            <a:ln>
              <a:noFill/>
            </a:ln>
            <a:effectLst/>
          </c:spPr>
          <c:invertIfNegative val="0"/>
          <c:cat>
            <c:multiLvlStrRef>
              <c:f>LUE_cherry!$A$6:$A$26</c:f>
              <c:multiLvlStrCache>
                <c:ptCount val="16"/>
                <c:lvl>
                  <c:pt idx="0">
                    <c:v>4-Sep</c:v>
                  </c:pt>
                  <c:pt idx="1">
                    <c:v>18-Sep</c:v>
                  </c:pt>
                  <c:pt idx="2">
                    <c:v>29-Sep</c:v>
                  </c:pt>
                  <c:pt idx="3">
                    <c:v>9-Nov</c:v>
                  </c:pt>
                  <c:pt idx="4">
                    <c:v>4-Sep</c:v>
                  </c:pt>
                  <c:pt idx="5">
                    <c:v>18-Sep</c:v>
                  </c:pt>
                  <c:pt idx="6">
                    <c:v>29-Sep</c:v>
                  </c:pt>
                  <c:pt idx="7">
                    <c:v>9-Nov</c:v>
                  </c:pt>
                  <c:pt idx="8">
                    <c:v>4-Sep</c:v>
                  </c:pt>
                  <c:pt idx="9">
                    <c:v>18-Sep</c:v>
                  </c:pt>
                  <c:pt idx="10">
                    <c:v>29-Sep</c:v>
                  </c:pt>
                  <c:pt idx="11">
                    <c:v>9-Nov</c:v>
                  </c:pt>
                  <c:pt idx="12">
                    <c:v>4-Sep</c:v>
                  </c:pt>
                  <c:pt idx="13">
                    <c:v>18-Sep</c:v>
                  </c:pt>
                  <c:pt idx="14">
                    <c:v>29-Sep</c:v>
                  </c:pt>
                  <c:pt idx="15">
                    <c:v>9-Nov</c:v>
                  </c:pt>
                </c:lvl>
                <c:lvl>
                  <c:pt idx="0">
                    <c:v>high light</c:v>
                  </c:pt>
                  <c:pt idx="4">
                    <c:v>med light</c:v>
                  </c:pt>
                  <c:pt idx="8">
                    <c:v>low light</c:v>
                  </c:pt>
                  <c:pt idx="12">
                    <c:v>no light</c:v>
                  </c:pt>
                </c:lvl>
              </c:multiLvlStrCache>
            </c:multiLvlStrRef>
          </c:cat>
          <c:val>
            <c:numRef>
              <c:f>LUE_cherry!$C$6:$C$26</c:f>
              <c:numCache>
                <c:formatCode>General</c:formatCode>
                <c:ptCount val="16"/>
                <c:pt idx="0">
                  <c:v>#N/A</c:v>
                </c:pt>
                <c:pt idx="1">
                  <c:v>0</c:v>
                </c:pt>
                <c:pt idx="2">
                  <c:v>9.9566666666666652</c:v>
                </c:pt>
                <c:pt idx="3">
                  <c:v>193.09666666666669</c:v>
                </c:pt>
                <c:pt idx="4">
                  <c:v>#N/A</c:v>
                </c:pt>
                <c:pt idx="5">
                  <c:v>0</c:v>
                </c:pt>
                <c:pt idx="6">
                  <c:v>6.4366666666666674</c:v>
                </c:pt>
                <c:pt idx="7">
                  <c:v>202.9383333333333</c:v>
                </c:pt>
                <c:pt idx="8">
                  <c:v>#N/A</c:v>
                </c:pt>
                <c:pt idx="9">
                  <c:v>0</c:v>
                </c:pt>
                <c:pt idx="10">
                  <c:v>6.1033333333333326</c:v>
                </c:pt>
                <c:pt idx="11">
                  <c:v>194.5633333333333</c:v>
                </c:pt>
                <c:pt idx="12">
                  <c:v>#N/A</c:v>
                </c:pt>
                <c:pt idx="13">
                  <c:v>0</c:v>
                </c:pt>
                <c:pt idx="14">
                  <c:v>5.5316666666666663</c:v>
                </c:pt>
                <c:pt idx="15">
                  <c:v>147.5</c:v>
                </c:pt>
              </c:numCache>
            </c:numRef>
          </c:val>
          <c:extLst>
            <c:ext xmlns:c16="http://schemas.microsoft.com/office/drawing/2014/chart" uri="{C3380CC4-5D6E-409C-BE32-E72D297353CC}">
              <c16:uniqueId val="{00000001-BE3D-4BF4-B0AD-B16A882638F7}"/>
            </c:ext>
          </c:extLst>
        </c:ser>
        <c:dLbls>
          <c:showLegendKey val="0"/>
          <c:showVal val="0"/>
          <c:showCatName val="0"/>
          <c:showSerName val="0"/>
          <c:showPercent val="0"/>
          <c:showBubbleSize val="0"/>
        </c:dLbls>
        <c:gapWidth val="219"/>
        <c:overlap val="-27"/>
        <c:axId val="735025224"/>
        <c:axId val="735020184"/>
      </c:barChart>
      <c:catAx>
        <c:axId val="73502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5020184"/>
        <c:crosses val="autoZero"/>
        <c:auto val="1"/>
        <c:lblAlgn val="ctr"/>
        <c:lblOffset val="100"/>
        <c:noMultiLvlLbl val="0"/>
      </c:catAx>
      <c:valAx>
        <c:axId val="7350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502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scatterChart>
        <c:scatterStyle val="lineMarker"/>
        <c:varyColors val="0"/>
        <c:ser>
          <c:idx val="0"/>
          <c:order val="0"/>
          <c:tx>
            <c:strRef>
              <c:f>LUE_cherry!$P$1</c:f>
              <c:strCache>
                <c:ptCount val="1"/>
                <c:pt idx="0">
                  <c:v>HL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5664206504101516E-2"/>
                  <c:y val="-6.606372120151647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NL"/>
                </a:p>
              </c:txPr>
            </c:trendlineLbl>
          </c:trendline>
          <c:xVal>
            <c:numRef>
              <c:f>LUE_cherry!$Q$5:$Q$6</c:f>
              <c:numCache>
                <c:formatCode>0.0</c:formatCode>
                <c:ptCount val="2"/>
                <c:pt idx="0">
                  <c:v>14.210407027749843</c:v>
                </c:pt>
                <c:pt idx="1">
                  <c:v>41.934073444335823</c:v>
                </c:pt>
              </c:numCache>
            </c:numRef>
          </c:xVal>
          <c:yVal>
            <c:numRef>
              <c:f>LUE_cherry!$R$5:$R$6</c:f>
              <c:numCache>
                <c:formatCode>0.0</c:formatCode>
                <c:ptCount val="2"/>
                <c:pt idx="0">
                  <c:v>9.9733333333333309</c:v>
                </c:pt>
                <c:pt idx="1">
                  <c:v>256.66333333333336</c:v>
                </c:pt>
              </c:numCache>
            </c:numRef>
          </c:yVal>
          <c:smooth val="0"/>
          <c:extLst>
            <c:ext xmlns:c16="http://schemas.microsoft.com/office/drawing/2014/chart" uri="{C3380CC4-5D6E-409C-BE32-E72D297353CC}">
              <c16:uniqueId val="{00000000-0BE8-4182-B519-E7C677129E69}"/>
            </c:ext>
          </c:extLst>
        </c:ser>
        <c:ser>
          <c:idx val="1"/>
          <c:order val="1"/>
          <c:tx>
            <c:strRef>
              <c:f>LUE_cherry!$S$1</c:f>
              <c:strCache>
                <c:ptCount val="1"/>
                <c:pt idx="0">
                  <c:v>ML</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4198831983608887"/>
                  <c:y val="9.695064158646836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NL"/>
                </a:p>
              </c:txPr>
            </c:trendlineLbl>
          </c:trendline>
          <c:xVal>
            <c:numRef>
              <c:f>LUE_cherry!$T$5:$T$6</c:f>
              <c:numCache>
                <c:formatCode>0.0</c:formatCode>
                <c:ptCount val="2"/>
                <c:pt idx="0">
                  <c:v>13.487455029118484</c:v>
                </c:pt>
                <c:pt idx="1">
                  <c:v>39.001357089634482</c:v>
                </c:pt>
              </c:numCache>
            </c:numRef>
          </c:xVal>
          <c:yVal>
            <c:numRef>
              <c:f>LUE_cherry!$U$5:$U$6</c:f>
              <c:numCache>
                <c:formatCode>0.0</c:formatCode>
                <c:ptCount val="2"/>
                <c:pt idx="0">
                  <c:v>11.196666666666667</c:v>
                </c:pt>
                <c:pt idx="1">
                  <c:v>220.70833333333337</c:v>
                </c:pt>
              </c:numCache>
            </c:numRef>
          </c:yVal>
          <c:smooth val="0"/>
          <c:extLst>
            <c:ext xmlns:c16="http://schemas.microsoft.com/office/drawing/2014/chart" uri="{C3380CC4-5D6E-409C-BE32-E72D297353CC}">
              <c16:uniqueId val="{00000002-0BE8-4182-B519-E7C677129E69}"/>
            </c:ext>
          </c:extLst>
        </c:ser>
        <c:ser>
          <c:idx val="2"/>
          <c:order val="2"/>
          <c:tx>
            <c:strRef>
              <c:f>LUE_cherry!$V$1</c:f>
              <c:strCache>
                <c:ptCount val="1"/>
                <c:pt idx="0">
                  <c:v>LL</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9394082149987661E-2"/>
                  <c:y val="-8.66141732283464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NL"/>
                </a:p>
              </c:txPr>
            </c:trendlineLbl>
          </c:trendline>
          <c:xVal>
            <c:numRef>
              <c:f>LUE_cherry!$W$5:$W$6</c:f>
              <c:numCache>
                <c:formatCode>0.0</c:formatCode>
                <c:ptCount val="2"/>
                <c:pt idx="0">
                  <c:v>11.880895032159911</c:v>
                </c:pt>
                <c:pt idx="1">
                  <c:v>32.484209634742612</c:v>
                </c:pt>
              </c:numCache>
            </c:numRef>
          </c:xVal>
          <c:yVal>
            <c:numRef>
              <c:f>LUE_cherry!$X$5:$X$6</c:f>
              <c:numCache>
                <c:formatCode>0.0</c:formatCode>
                <c:ptCount val="2"/>
                <c:pt idx="0">
                  <c:v>4.0783333333333331</c:v>
                </c:pt>
                <c:pt idx="1">
                  <c:v>193.23333333333335</c:v>
                </c:pt>
              </c:numCache>
            </c:numRef>
          </c:yVal>
          <c:smooth val="0"/>
          <c:extLst>
            <c:ext xmlns:c16="http://schemas.microsoft.com/office/drawing/2014/chart" uri="{C3380CC4-5D6E-409C-BE32-E72D297353CC}">
              <c16:uniqueId val="{00000003-0BE8-4182-B519-E7C677129E69}"/>
            </c:ext>
          </c:extLst>
        </c:ser>
        <c:ser>
          <c:idx val="3"/>
          <c:order val="3"/>
          <c:tx>
            <c:strRef>
              <c:f>LUE_cherry!$Y$1</c:f>
              <c:strCache>
                <c:ptCount val="1"/>
                <c:pt idx="0">
                  <c:v>NL</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342224315977596E-4"/>
                  <c:y val="-1.01104549431321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NL"/>
                </a:p>
              </c:txPr>
            </c:trendlineLbl>
          </c:trendline>
          <c:xVal>
            <c:numRef>
              <c:f>LUE_cherry!$Z$5:$Z$6</c:f>
              <c:numCache>
                <c:formatCode>0.0</c:formatCode>
                <c:ptCount val="2"/>
                <c:pt idx="0">
                  <c:v>10.916959033984766</c:v>
                </c:pt>
                <c:pt idx="1">
                  <c:v>28.573921161807487</c:v>
                </c:pt>
              </c:numCache>
            </c:numRef>
          </c:xVal>
          <c:yVal>
            <c:numRef>
              <c:f>LUE_cherry!$AA$5:$AA$6</c:f>
              <c:numCache>
                <c:formatCode>0.0</c:formatCode>
                <c:ptCount val="2"/>
                <c:pt idx="0">
                  <c:v>4.541666666666667</c:v>
                </c:pt>
                <c:pt idx="1">
                  <c:v>164.39666666666668</c:v>
                </c:pt>
              </c:numCache>
            </c:numRef>
          </c:yVal>
          <c:smooth val="0"/>
          <c:extLst>
            <c:ext xmlns:c16="http://schemas.microsoft.com/office/drawing/2014/chart" uri="{C3380CC4-5D6E-409C-BE32-E72D297353CC}">
              <c16:uniqueId val="{00000004-0BE8-4182-B519-E7C677129E69}"/>
            </c:ext>
          </c:extLst>
        </c:ser>
        <c:dLbls>
          <c:showLegendKey val="0"/>
          <c:showVal val="0"/>
          <c:showCatName val="0"/>
          <c:showSerName val="0"/>
          <c:showPercent val="0"/>
          <c:showBubbleSize val="0"/>
        </c:dLbls>
        <c:axId val="504661056"/>
        <c:axId val="504670776"/>
      </c:scatterChart>
      <c:valAx>
        <c:axId val="504661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mol PAR/plant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4670776"/>
        <c:crosses val="autoZero"/>
        <c:crossBetween val="midCat"/>
      </c:valAx>
      <c:valAx>
        <c:axId val="504670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 FW/plant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466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91441</xdr:colOff>
      <xdr:row>72</xdr:row>
      <xdr:rowOff>137159</xdr:rowOff>
    </xdr:from>
    <xdr:to>
      <xdr:col>5</xdr:col>
      <xdr:colOff>1333501</xdr:colOff>
      <xdr:row>74</xdr:row>
      <xdr:rowOff>76199</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7040881" y="10462259"/>
          <a:ext cx="12420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T2_6 01.05.2023</a:t>
          </a:r>
        </a:p>
      </xdr:txBody>
    </xdr:sp>
    <xdr:clientData/>
  </xdr:twoCellAnchor>
  <xdr:twoCellAnchor editAs="oneCell">
    <xdr:from>
      <xdr:col>6</xdr:col>
      <xdr:colOff>600075</xdr:colOff>
      <xdr:row>40</xdr:row>
      <xdr:rowOff>28575</xdr:rowOff>
    </xdr:from>
    <xdr:to>
      <xdr:col>13</xdr:col>
      <xdr:colOff>570971</xdr:colOff>
      <xdr:row>46</xdr:row>
      <xdr:rowOff>56970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163175" y="5057775"/>
          <a:ext cx="4238095" cy="1438095"/>
        </a:xfrm>
        <a:prstGeom prst="rect">
          <a:avLst/>
        </a:prstGeom>
      </xdr:spPr>
    </xdr:pic>
    <xdr:clientData/>
  </xdr:twoCellAnchor>
  <xdr:twoCellAnchor>
    <xdr:from>
      <xdr:col>10</xdr:col>
      <xdr:colOff>47625</xdr:colOff>
      <xdr:row>36</xdr:row>
      <xdr:rowOff>66675</xdr:rowOff>
    </xdr:from>
    <xdr:to>
      <xdr:col>13</xdr:col>
      <xdr:colOff>276225</xdr:colOff>
      <xdr:row>40</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308205" y="4173855"/>
          <a:ext cx="2057400" cy="683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the cluster</a:t>
          </a:r>
          <a:r>
            <a:rPr lang="en-US" sz="1100" baseline="0"/>
            <a:t> has at least one of these fruits, it is considered a fruiting cluster </a:t>
          </a:r>
          <a:endParaRPr lang="en-US" sz="1100"/>
        </a:p>
      </xdr:txBody>
    </xdr:sp>
    <xdr:clientData/>
  </xdr:twoCellAnchor>
  <xdr:twoCellAnchor>
    <xdr:from>
      <xdr:col>11</xdr:col>
      <xdr:colOff>238125</xdr:colOff>
      <xdr:row>40</xdr:row>
      <xdr:rowOff>142875</xdr:rowOff>
    </xdr:from>
    <xdr:to>
      <xdr:col>11</xdr:col>
      <xdr:colOff>552450</xdr:colOff>
      <xdr:row>45</xdr:row>
      <xdr:rowOff>66675</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12849225" y="5172075"/>
          <a:ext cx="314325" cy="1143000"/>
        </a:xfrm>
        <a:prstGeom prst="ellipse">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0</xdr:colOff>
      <xdr:row>57</xdr:row>
      <xdr:rowOff>0</xdr:rowOff>
    </xdr:from>
    <xdr:to>
      <xdr:col>8</xdr:col>
      <xdr:colOff>304800</xdr:colOff>
      <xdr:row>58</xdr:row>
      <xdr:rowOff>121920</xdr:rowOff>
    </xdr:to>
    <xdr:sp macro="" textlink="">
      <xdr:nvSpPr>
        <xdr:cNvPr id="6148" name="AutoShape 4">
          <a:extLst>
            <a:ext uri="{FF2B5EF4-FFF2-40B4-BE49-F238E27FC236}">
              <a16:creationId xmlns:a16="http://schemas.microsoft.com/office/drawing/2014/main" id="{00000000-0008-0000-0100-000004180000}"/>
            </a:ext>
          </a:extLst>
        </xdr:cNvPr>
        <xdr:cNvSpPr>
          <a:spLocks noChangeAspect="1" noChangeArrowheads="1"/>
        </xdr:cNvSpPr>
      </xdr:nvSpPr>
      <xdr:spPr bwMode="auto">
        <a:xfrm>
          <a:off x="11041380" y="819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411480</xdr:colOff>
      <xdr:row>44</xdr:row>
      <xdr:rowOff>60960</xdr:rowOff>
    </xdr:from>
    <xdr:to>
      <xdr:col>8</xdr:col>
      <xdr:colOff>510540</xdr:colOff>
      <xdr:row>45</xdr:row>
      <xdr:rowOff>91440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843260" y="5882640"/>
          <a:ext cx="708660" cy="213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Figure 1</a:t>
          </a:r>
        </a:p>
      </xdr:txBody>
    </xdr:sp>
    <xdr:clientData/>
  </xdr:twoCellAnchor>
  <xdr:twoCellAnchor>
    <xdr:from>
      <xdr:col>13</xdr:col>
      <xdr:colOff>83820</xdr:colOff>
      <xdr:row>49</xdr:row>
      <xdr:rowOff>15240</xdr:rowOff>
    </xdr:from>
    <xdr:to>
      <xdr:col>13</xdr:col>
      <xdr:colOff>251460</xdr:colOff>
      <xdr:row>50</xdr:row>
      <xdr:rowOff>7620</xdr:rowOff>
    </xdr:to>
    <xdr:sp macro="" textlink="">
      <xdr:nvSpPr>
        <xdr:cNvPr id="20" name="Star: 5 Points 19">
          <a:extLst>
            <a:ext uri="{FF2B5EF4-FFF2-40B4-BE49-F238E27FC236}">
              <a16:creationId xmlns:a16="http://schemas.microsoft.com/office/drawing/2014/main" id="{00000000-0008-0000-0100-000014000000}"/>
            </a:ext>
          </a:extLst>
        </xdr:cNvPr>
        <xdr:cNvSpPr/>
      </xdr:nvSpPr>
      <xdr:spPr>
        <a:xfrm>
          <a:off x="14173200" y="6751320"/>
          <a:ext cx="167640" cy="175260"/>
        </a:xfrm>
        <a:prstGeom prst="star5">
          <a:avLst/>
        </a:prstGeom>
        <a:solidFill>
          <a:schemeClr val="accent2"/>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83820</xdr:colOff>
      <xdr:row>50</xdr:row>
      <xdr:rowOff>53340</xdr:rowOff>
    </xdr:from>
    <xdr:to>
      <xdr:col>13</xdr:col>
      <xdr:colOff>251460</xdr:colOff>
      <xdr:row>51</xdr:row>
      <xdr:rowOff>45720</xdr:rowOff>
    </xdr:to>
    <xdr:sp macro="" textlink="">
      <xdr:nvSpPr>
        <xdr:cNvPr id="21" name="Star: 5 Points 20">
          <a:extLst>
            <a:ext uri="{FF2B5EF4-FFF2-40B4-BE49-F238E27FC236}">
              <a16:creationId xmlns:a16="http://schemas.microsoft.com/office/drawing/2014/main" id="{00000000-0008-0000-0100-000015000000}"/>
            </a:ext>
          </a:extLst>
        </xdr:cNvPr>
        <xdr:cNvSpPr/>
      </xdr:nvSpPr>
      <xdr:spPr>
        <a:xfrm>
          <a:off x="14173200" y="6972300"/>
          <a:ext cx="167640" cy="175260"/>
        </a:xfrm>
        <a:prstGeom prst="star5">
          <a:avLst/>
        </a:prstGeom>
        <a:solidFill>
          <a:srgbClr val="92D05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160020</xdr:colOff>
      <xdr:row>47</xdr:row>
      <xdr:rowOff>114301</xdr:rowOff>
    </xdr:from>
    <xdr:to>
      <xdr:col>12</xdr:col>
      <xdr:colOff>291597</xdr:colOff>
      <xdr:row>67</xdr:row>
      <xdr:rowOff>144780</xdr:rowOff>
    </xdr:to>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
        <a:stretch>
          <a:fillRect/>
        </a:stretch>
      </xdr:blipFill>
      <xdr:spPr>
        <a:xfrm>
          <a:off x="12420600" y="6484621"/>
          <a:ext cx="1350778" cy="3688080"/>
        </a:xfrm>
        <a:prstGeom prst="rect">
          <a:avLst/>
        </a:prstGeom>
      </xdr:spPr>
    </xdr:pic>
    <xdr:clientData/>
  </xdr:twoCellAnchor>
  <xdr:twoCellAnchor>
    <xdr:from>
      <xdr:col>13</xdr:col>
      <xdr:colOff>83820</xdr:colOff>
      <xdr:row>47</xdr:row>
      <xdr:rowOff>137160</xdr:rowOff>
    </xdr:from>
    <xdr:to>
      <xdr:col>13</xdr:col>
      <xdr:colOff>251460</xdr:colOff>
      <xdr:row>48</xdr:row>
      <xdr:rowOff>129540</xdr:rowOff>
    </xdr:to>
    <xdr:sp macro="" textlink="">
      <xdr:nvSpPr>
        <xdr:cNvPr id="27" name="Star: 5 Points 26">
          <a:extLst>
            <a:ext uri="{FF2B5EF4-FFF2-40B4-BE49-F238E27FC236}">
              <a16:creationId xmlns:a16="http://schemas.microsoft.com/office/drawing/2014/main" id="{00000000-0008-0000-0100-00001B000000}"/>
            </a:ext>
          </a:extLst>
        </xdr:cNvPr>
        <xdr:cNvSpPr/>
      </xdr:nvSpPr>
      <xdr:spPr>
        <a:xfrm>
          <a:off x="14173200" y="6507480"/>
          <a:ext cx="167640" cy="175260"/>
        </a:xfrm>
        <a:prstGeom prst="star5">
          <a:avLst/>
        </a:prstGeom>
        <a:solidFill>
          <a:srgbClr val="FF000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365760</xdr:colOff>
      <xdr:row>50</xdr:row>
      <xdr:rowOff>30480</xdr:rowOff>
    </xdr:from>
    <xdr:to>
      <xdr:col>11</xdr:col>
      <xdr:colOff>533400</xdr:colOff>
      <xdr:row>51</xdr:row>
      <xdr:rowOff>22860</xdr:rowOff>
    </xdr:to>
    <xdr:sp macro="" textlink="">
      <xdr:nvSpPr>
        <xdr:cNvPr id="28" name="Star: 5 Points 27">
          <a:extLst>
            <a:ext uri="{FF2B5EF4-FFF2-40B4-BE49-F238E27FC236}">
              <a16:creationId xmlns:a16="http://schemas.microsoft.com/office/drawing/2014/main" id="{00000000-0008-0000-0100-00001C000000}"/>
            </a:ext>
          </a:extLst>
        </xdr:cNvPr>
        <xdr:cNvSpPr/>
      </xdr:nvSpPr>
      <xdr:spPr>
        <a:xfrm>
          <a:off x="13235940" y="6949440"/>
          <a:ext cx="167640" cy="175260"/>
        </a:xfrm>
        <a:prstGeom prst="star5">
          <a:avLst/>
        </a:prstGeom>
        <a:solidFill>
          <a:srgbClr val="FF000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510540</xdr:colOff>
      <xdr:row>54</xdr:row>
      <xdr:rowOff>144780</xdr:rowOff>
    </xdr:from>
    <xdr:to>
      <xdr:col>11</xdr:col>
      <xdr:colOff>68580</xdr:colOff>
      <xdr:row>55</xdr:row>
      <xdr:rowOff>137160</xdr:rowOff>
    </xdr:to>
    <xdr:sp macro="" textlink="">
      <xdr:nvSpPr>
        <xdr:cNvPr id="29" name="Star: 5 Points 28">
          <a:extLst>
            <a:ext uri="{FF2B5EF4-FFF2-40B4-BE49-F238E27FC236}">
              <a16:creationId xmlns:a16="http://schemas.microsoft.com/office/drawing/2014/main" id="{00000000-0008-0000-0100-00001D000000}"/>
            </a:ext>
          </a:extLst>
        </xdr:cNvPr>
        <xdr:cNvSpPr/>
      </xdr:nvSpPr>
      <xdr:spPr>
        <a:xfrm>
          <a:off x="12771120" y="7795260"/>
          <a:ext cx="167640" cy="175260"/>
        </a:xfrm>
        <a:prstGeom prst="star5">
          <a:avLst/>
        </a:prstGeom>
        <a:solidFill>
          <a:srgbClr val="FF000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188595</xdr:colOff>
      <xdr:row>2</xdr:row>
      <xdr:rowOff>188595</xdr:rowOff>
    </xdr:from>
    <xdr:to>
      <xdr:col>10</xdr:col>
      <xdr:colOff>249555</xdr:colOff>
      <xdr:row>15</xdr:row>
      <xdr:rowOff>20955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89320" y="645795"/>
          <a:ext cx="371856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Why a correction factor: </a:t>
          </a:r>
        </a:p>
        <a:p>
          <a:endParaRPr lang="en-US" sz="1100"/>
        </a:p>
        <a:p>
          <a:r>
            <a:rPr lang="en-US" sz="1100"/>
            <a:t>Leaf area meter</a:t>
          </a:r>
          <a:r>
            <a:rPr lang="en-US" sz="1100" baseline="0"/>
            <a:t>s in Bleiswijk are calibrated on a regular basis (annual basis I think). However, if they are not properly clean after use, they usually overestimate the value of leaf area (because of small dirty spots or pieces of dried leaves). </a:t>
          </a:r>
        </a:p>
        <a:p>
          <a:r>
            <a:rPr lang="en-US" sz="1100" baseline="0"/>
            <a:t>Before doing any measurements, I usually: </a:t>
          </a:r>
        </a:p>
        <a:p>
          <a:r>
            <a:rPr lang="en-US" sz="1100" baseline="0"/>
            <a:t>-  clean the instrument as much as possible. </a:t>
          </a:r>
        </a:p>
        <a:p>
          <a:r>
            <a:rPr lang="en-US" sz="1100" baseline="0"/>
            <a:t>- Then, I use reference disks of known area, and similar to small and big leaves (10 and 50 cm2, respectively) and I derive a correction factor to apply to my data.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1</xdr:row>
      <xdr:rowOff>38100</xdr:rowOff>
    </xdr:from>
    <xdr:to>
      <xdr:col>11</xdr:col>
      <xdr:colOff>571500</xdr:colOff>
      <xdr:row>15</xdr:row>
      <xdr:rowOff>114300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9</xdr:row>
      <xdr:rowOff>4762</xdr:rowOff>
    </xdr:from>
    <xdr:to>
      <xdr:col>22</xdr:col>
      <xdr:colOff>447675</xdr:colOff>
      <xdr:row>28</xdr:row>
      <xdr:rowOff>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ghini, Isabella" refreshedDate="45268.745239814816" createdVersion="8" refreshedVersion="8" minRefreshableVersion="3" recordCount="768" xr:uid="{954B5A19-9A5B-45FC-A36B-1627A0C3F679}">
  <cacheSource type="worksheet">
    <worksheetSource ref="A5:AN245" sheet="All Data"/>
  </cacheSource>
  <cacheFields count="43">
    <cacheField name="DAS" numFmtId="0">
      <sharedItems containsSemiMixedTypes="0" containsString="0" containsNumber="1" containsInteger="1" minValue="20" maxValue="86"/>
    </cacheField>
    <cacheField name="Date" numFmtId="0">
      <sharedItems containsSemiMixedTypes="0" containsNonDate="0" containsDate="1" containsString="0" minDate="2023-09-04T00:00:00" maxDate="2023-11-10T00:00:00" count="6">
        <d v="2023-09-04T00:00:00"/>
        <d v="2023-09-18T00:00:00"/>
        <d v="2023-09-22T00:00:00"/>
        <d v="2023-09-29T00:00:00"/>
        <d v="2023-10-09T00:00:00"/>
        <d v="2023-11-09T00:00:00"/>
      </sharedItems>
      <fieldGroup par="42" base="1">
        <rangePr groupBy="days" startDate="2023-09-04T00:00:00" endDate="2023-11-10T00:00:00"/>
        <groupItems count="368">
          <s v="&lt;9/4/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0/2023"/>
        </groupItems>
      </fieldGroup>
    </cacheField>
    <cacheField name="Observer name" numFmtId="0">
      <sharedItems containsDate="1" containsBlank="1" containsMixedTypes="1" minDate="1899-12-31T00:00:00" maxDate="1899-12-31T00:00:00"/>
    </cacheField>
    <cacheField name="Phase" numFmtId="0">
      <sharedItems count="4">
        <s v="Transplant"/>
        <s v="Switch to gen phase"/>
        <s v="Fruit set/green fruits"/>
        <s v="End product"/>
      </sharedItems>
    </cacheField>
    <cacheField name="Plant density (p/m2)" numFmtId="0">
      <sharedItems containsSemiMixedTypes="0" containsString="0" containsNumber="1" containsInteger="1" minValue="20" maxValue="1050"/>
    </cacheField>
    <cacheField name="Treatment" numFmtId="0">
      <sharedItems/>
    </cacheField>
    <cacheField name="Variety" numFmtId="0">
      <sharedItems count="4">
        <s v="Cherry"/>
        <s v="Plum"/>
        <s v="Heart"/>
        <s v="NC"/>
      </sharedItems>
    </cacheField>
    <cacheField name="EC " numFmtId="0">
      <sharedItems count="2">
        <s v="EC6"/>
        <s v="EC3"/>
      </sharedItems>
    </cacheField>
    <cacheField name="Light" numFmtId="0">
      <sharedItems count="4">
        <s v="high light"/>
        <s v="med light"/>
        <s v="low light"/>
        <s v="no light"/>
      </sharedItems>
    </cacheField>
    <cacheField name="Sample name" numFmtId="0">
      <sharedItems/>
    </cacheField>
    <cacheField name="Sample n" numFmtId="0">
      <sharedItems containsSemiMixedTypes="0" containsString="0" containsNumber="1" containsInteger="1" minValue="1" maxValue="12"/>
    </cacheField>
    <cacheField name="Label " numFmtId="0">
      <sharedItems containsNonDate="0" containsString="0" containsBlank="1"/>
    </cacheField>
    <cacheField name="Plant height " numFmtId="0">
      <sharedItems containsSemiMixedTypes="0" containsString="0" containsNumber="1" minValue="4" maxValue="54"/>
    </cacheField>
    <cacheField name="N. cotyledons" numFmtId="0">
      <sharedItems containsString="0" containsBlank="1" containsNumber="1" containsInteger="1" minValue="2" maxValue="2"/>
    </cacheField>
    <cacheField name="FW cotyledons" numFmtId="0">
      <sharedItems containsBlank="1" containsMixedTypes="1" containsNumber="1" minValue="0.05" maxValue="0.13"/>
    </cacheField>
    <cacheField name="N. real leaves" numFmtId="0">
      <sharedItems containsString="0" containsBlank="1" containsNumber="1" containsInteger="1" minValue="3" maxValue="5"/>
    </cacheField>
    <cacheField name="N. Leaves + coty" numFmtId="0">
      <sharedItems containsString="0" containsBlank="1" containsNumber="1" containsInteger="1" minValue="5" maxValue="7"/>
    </cacheField>
    <cacheField name="N. leaves &lt; 5 cm" numFmtId="0">
      <sharedItems containsString="0" containsBlank="1" containsNumber="1" containsInteger="1" minValue="1" maxValue="4"/>
    </cacheField>
    <cacheField name="N. leaves &gt; 5 cm" numFmtId="0">
      <sharedItems containsString="0" containsBlank="1" containsNumber="1" containsInteger="1" minValue="0" maxValue="4"/>
    </cacheField>
    <cacheField name="n. flower clusters (#/plant)" numFmtId="0">
      <sharedItems containsBlank="1" containsMixedTypes="1" containsNumber="1" containsInteger="1" minValue="0" maxValue="26"/>
    </cacheField>
    <cacheField name="n. open flower (#/plant)" numFmtId="0">
      <sharedItems containsBlank="1" containsMixedTypes="1" containsNumber="1" containsInteger="1" minValue="0" maxValue="10"/>
    </cacheField>
    <cacheField name="Avg n of fruits/cluster" numFmtId="0">
      <sharedItems containsBlank="1" containsMixedTypes="1" containsNumber="1" minValue="0" maxValue="18"/>
    </cacheField>
    <cacheField name="n. fruiting clusters (#/plant)" numFmtId="0">
      <sharedItems containsBlank="1" containsMixedTypes="1" containsNumber="1" containsInteger="1" minValue="0" maxValue="26"/>
    </cacheField>
    <cacheField name="N. fruit set (#/plant)" numFmtId="0">
      <sharedItems containsMixedTypes="1" containsNumber="1" containsInteger="1" minValue="0" maxValue="112"/>
    </cacheField>
    <cacheField name="N. green fruits (#/plant)" numFmtId="0">
      <sharedItems containsString="0" containsBlank="1" containsNumber="1" containsInteger="1" minValue="3" maxValue="102"/>
    </cacheField>
    <cacheField name="N. orange fruits (#/plant)" numFmtId="0">
      <sharedItems containsString="0" containsBlank="1" containsNumber="1" containsInteger="1" minValue="1" maxValue="15"/>
    </cacheField>
    <cacheField name="N. red fruits (#/plant)" numFmtId="0">
      <sharedItems containsString="0" containsBlank="1" containsNumber="1" containsInteger="1" minValue="1" maxValue="15"/>
    </cacheField>
    <cacheField name="FW Whole plants measured (g/plant)" numFmtId="0">
      <sharedItems containsString="0" containsBlank="1" containsNumber="1" minValue="0.78" maxValue="441.85"/>
    </cacheField>
    <cacheField name="n. leaves (#/plant)" numFmtId="0">
      <sharedItems containsSemiMixedTypes="0" containsString="0" containsNumber="1" containsInteger="1" minValue="3" maxValue="74"/>
    </cacheField>
    <cacheField name="FW leaves (g/plant)" numFmtId="0">
      <sharedItems containsSemiMixedTypes="0" containsString="0" containsNumber="1" minValue="0.55000000000000004" maxValue="122.77"/>
    </cacheField>
    <cacheField name="FW stem (g/plant)" numFmtId="0">
      <sharedItems containsSemiMixedTypes="0" containsString="0" containsNumber="1" minValue="7.0000000000000007E-2" maxValue="1204"/>
    </cacheField>
    <cacheField name="FW flowers (g/plant)" numFmtId="0">
      <sharedItems containsBlank="1" containsMixedTypes="1" containsNumber="1" minValue="0" maxValue="11.32"/>
    </cacheField>
    <cacheField name="FW fruits clusters(g/plant)" numFmtId="0">
      <sharedItems containsMixedTypes="1" containsNumber="1" minValue="0" maxValue="341.37"/>
    </cacheField>
    <cacheField name="FW Whole plants calc (g/plant)" numFmtId="0">
      <sharedItems containsSemiMixedTypes="0" containsString="0" containsNumber="1" minValue="0.77" maxValue="1224.0300000000002"/>
    </cacheField>
    <cacheField name="Leaf Area measured (cm²/plant)" numFmtId="0">
      <sharedItems containsString="0" containsBlank="1" containsNumber="1" minValue="19.739999999999998" maxValue="3613.15"/>
    </cacheField>
    <cacheField name="Leaf area cotyledones (cm²/plant)" numFmtId="0">
      <sharedItems containsBlank="1" containsMixedTypes="1" containsNumber="1" minValue="1.37" maxValue="3.38"/>
    </cacheField>
    <cacheField name="DW leaves (g/plant)" numFmtId="0">
      <sharedItems containsString="0" containsBlank="1" containsNumber="1" minValue="1.2999999999999901E-2" maxValue="13.836"/>
    </cacheField>
    <cacheField name="DW stem (g/plant)" numFmtId="0">
      <sharedItems containsString="0" containsBlank="1" containsNumber="1" minValue="-7.0000000000001172E-3" maxValue="7.0049999999999999"/>
    </cacheField>
    <cacheField name="DW flowers (g/plant)" numFmtId="0">
      <sharedItems containsString="0" containsBlank="1" containsNumber="1" minValue="4.0000000000000001E-3" maxValue="0.72699999999999998"/>
    </cacheField>
    <cacheField name="DW fruits (g/plant)" numFmtId="0">
      <sharedItems containsString="0" containsBlank="1" containsNumber="1" minValue="6.8000000000000005E-2" maxValue="6.508"/>
    </cacheField>
    <cacheField name="DW whole plant (g/plant)" numFmtId="0">
      <sharedItems containsString="0" containsBlank="1" containsNumber="1" minValue="8.999999999999897E-3" maxValue="26.645000000000003"/>
    </cacheField>
    <cacheField name="SLA (cm2/g DW)" numFmtId="0">
      <sharedItems containsString="0" containsBlank="1" containsNumber="1" minValue="37.056300268096514" maxValue="2336.1538461538639"/>
    </cacheField>
    <cacheField name="Months" numFmtId="0" databaseField="0">
      <fieldGroup base="1">
        <rangePr groupBy="months" startDate="2023-09-04T00:00:00" endDate="2023-11-10T00:00:00"/>
        <groupItems count="14">
          <s v="&lt;9/4/2023"/>
          <s v="Jan"/>
          <s v="Feb"/>
          <s v="Mar"/>
          <s v="Apr"/>
          <s v="May"/>
          <s v="Jun"/>
          <s v="Jul"/>
          <s v="Aug"/>
          <s v="Sep"/>
          <s v="Oct"/>
          <s v="Nov"/>
          <s v="Dec"/>
          <s v="&gt;11/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20"/>
    <x v="0"/>
    <m/>
    <x v="0"/>
    <n v="1050"/>
    <s v="No treatment"/>
    <x v="0"/>
    <x v="0"/>
    <x v="0"/>
    <s v="Cherry_EC6_HL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0"/>
    <x v="0"/>
    <s v="Cherry_EC6_HL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0"/>
    <x v="0"/>
    <s v="Cherry_EC6_HL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0"/>
    <x v="0"/>
    <s v="Cherry_EC6_HL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0"/>
    <x v="0"/>
    <s v="Cherry_EC6_HL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0"/>
    <x v="0"/>
    <s v="Cherry_EC6_HL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0"/>
    <x v="0"/>
    <s v="Cherry_EC6_HL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0"/>
    <x v="0"/>
    <s v="Cherry_EC6_HL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0"/>
    <x v="0"/>
    <s v="Cherry_EC6_HL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0"/>
    <x v="0"/>
    <s v="Cherry_EC6_HL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0"/>
    <x v="0"/>
    <s v="Cherry_EC6_HL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0"/>
    <x v="0"/>
    <s v="Cherry_EC6_HL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0"/>
    <x v="1"/>
    <s v="Cherry_EC6_ML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0"/>
    <x v="1"/>
    <s v="Cherry_EC6_ML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0"/>
    <x v="1"/>
    <s v="Cherry_EC6_ML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0"/>
    <x v="1"/>
    <s v="Cherry_EC6_ML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0"/>
    <x v="1"/>
    <s v="Cherry_EC6_ML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0"/>
    <x v="1"/>
    <s v="Cherry_EC6_ML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0"/>
    <x v="1"/>
    <s v="Cherry_EC6_ML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0"/>
    <x v="1"/>
    <s v="Cherry_EC6_ML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0"/>
    <x v="1"/>
    <s v="Cherry_EC6_ML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0"/>
    <x v="1"/>
    <s v="Cherry_EC6_ML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0"/>
    <x v="1"/>
    <s v="Cherry_EC6_ML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0"/>
    <x v="1"/>
    <s v="Cherry_EC6_ML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0"/>
    <x v="2"/>
    <s v="Cherry_EC6_LL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0"/>
    <x v="2"/>
    <s v="Cherry_EC6_LL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0"/>
    <x v="2"/>
    <s v="Cherry_EC6_LL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0"/>
    <x v="2"/>
    <s v="Cherry_EC6_LL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0"/>
    <x v="2"/>
    <s v="Cherry_EC6_LL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0"/>
    <x v="2"/>
    <s v="Cherry_EC6_LL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0"/>
    <x v="2"/>
    <s v="Cherry_EC6_LL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0"/>
    <x v="2"/>
    <s v="Cherry_EC6_LL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0"/>
    <x v="2"/>
    <s v="Cherry_EC6_LL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0"/>
    <x v="2"/>
    <s v="Cherry_EC6_LL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0"/>
    <x v="2"/>
    <s v="Cherry_EC6_LL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0"/>
    <x v="2"/>
    <s v="Cherry_EC6_LL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0"/>
    <x v="3"/>
    <s v="Cherry_EC6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0"/>
    <x v="3"/>
    <s v="Cherry_EC6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0"/>
    <x v="3"/>
    <s v="Cherry_EC6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0"/>
    <x v="3"/>
    <s v="Cherry_EC6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0"/>
    <x v="3"/>
    <s v="Cherry_EC6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0"/>
    <x v="3"/>
    <s v="Cherry_EC6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0"/>
    <x v="3"/>
    <s v="Cherry_EC6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0"/>
    <x v="3"/>
    <s v="Cherry_EC6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0"/>
    <x v="3"/>
    <s v="Cherry_EC6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0"/>
    <x v="3"/>
    <s v="Cherry_EC6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0"/>
    <x v="3"/>
    <s v="Cherry_EC6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0"/>
    <x v="3"/>
    <s v="Cherry_EC6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1"/>
    <x v="0"/>
    <s v="Cherry_EC3_HL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1"/>
    <x v="0"/>
    <s v="Cherry_EC3_HL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1"/>
    <x v="0"/>
    <s v="Cherry_EC3_HL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1"/>
    <x v="0"/>
    <s v="Cherry_EC3_HL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1"/>
    <x v="0"/>
    <s v="Cherry_EC3_HL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1"/>
    <x v="0"/>
    <s v="Cherry_EC3_HL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1"/>
    <x v="0"/>
    <s v="Cherry_EC3_HL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1"/>
    <x v="0"/>
    <s v="Cherry_EC3_HL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1"/>
    <x v="0"/>
    <s v="Cherry_EC3_HL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1"/>
    <x v="0"/>
    <s v="Cherry_EC3_HL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1"/>
    <x v="0"/>
    <s v="Cherry_EC3_HL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1"/>
    <x v="0"/>
    <s v="Cherry_EC3_HL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1"/>
    <x v="1"/>
    <s v="Cherry_EC3_ML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1"/>
    <x v="1"/>
    <s v="Cherry_EC3_ML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1"/>
    <x v="1"/>
    <s v="Cherry_EC3_ML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1"/>
    <x v="1"/>
    <s v="Cherry_EC3_ML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1"/>
    <x v="1"/>
    <s v="Cherry_EC3_ML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1"/>
    <x v="1"/>
    <s v="Cherry_EC3_ML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1"/>
    <x v="1"/>
    <s v="Cherry_EC3_ML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1"/>
    <x v="1"/>
    <s v="Cherry_EC3_ML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1"/>
    <x v="1"/>
    <s v="Cherry_EC3_ML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1"/>
    <x v="1"/>
    <s v="Cherry_EC3_ML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1"/>
    <x v="1"/>
    <s v="Cherry_EC3_ML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1"/>
    <x v="1"/>
    <s v="Cherry_EC3_ML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1"/>
    <x v="2"/>
    <s v="Cherry_EC3_LL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1"/>
    <x v="2"/>
    <s v="Cherry_EC3_LL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1"/>
    <x v="2"/>
    <s v="Cherry_EC3_LL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1"/>
    <x v="2"/>
    <s v="Cherry_EC3_LL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1"/>
    <x v="2"/>
    <s v="Cherry_EC3_LL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1"/>
    <x v="2"/>
    <s v="Cherry_EC3_LL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1"/>
    <x v="2"/>
    <s v="Cherry_EC3_LL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1"/>
    <x v="2"/>
    <s v="Cherry_EC3_LL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1"/>
    <x v="2"/>
    <s v="Cherry_EC3_LL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1"/>
    <x v="2"/>
    <s v="Cherry_EC3_LL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1"/>
    <x v="2"/>
    <s v="Cherry_EC3_LL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1"/>
    <x v="2"/>
    <s v="Cherry_EC3_LL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0"/>
    <x v="1"/>
    <x v="3"/>
    <s v="Cherry_EC3_1"/>
    <n v="1"/>
    <m/>
    <n v="11"/>
    <n v="2"/>
    <s v="N/A"/>
    <n v="5"/>
    <n v="7"/>
    <n v="3"/>
    <n v="2"/>
    <s v="N/A"/>
    <s v="N/A"/>
    <s v="N/A"/>
    <s v="N/A"/>
    <s v="N/A"/>
    <m/>
    <m/>
    <m/>
    <n v="1.37"/>
    <n v="5"/>
    <n v="0.7"/>
    <n v="0.65"/>
    <s v="N/A"/>
    <s v="N/A"/>
    <n v="1.35"/>
    <n v="29.43"/>
    <s v="N/A"/>
    <n v="7.3999999999999844E-2"/>
    <n v="5.699999999999994E-2"/>
    <m/>
    <m/>
    <n v="0.13099999999999978"/>
    <n v="397.70270270270356"/>
  </r>
  <r>
    <n v="20"/>
    <x v="0"/>
    <m/>
    <x v="0"/>
    <n v="1050"/>
    <s v="No treatment"/>
    <x v="0"/>
    <x v="1"/>
    <x v="3"/>
    <s v="Cherry_EC3_2"/>
    <n v="2"/>
    <m/>
    <n v="12"/>
    <n v="2"/>
    <n v="0.05"/>
    <n v="5"/>
    <n v="7"/>
    <n v="1"/>
    <n v="4"/>
    <s v="N/A"/>
    <s v="N/A"/>
    <s v="N/A"/>
    <s v="N/A"/>
    <s v="N/A"/>
    <m/>
    <m/>
    <m/>
    <n v="1.77"/>
    <n v="5"/>
    <n v="0.92"/>
    <n v="0.84"/>
    <s v="N/A"/>
    <s v="N/A"/>
    <n v="1.76"/>
    <n v="38.950000000000003"/>
    <s v="N/A"/>
    <n v="6.4000000000000057E-2"/>
    <n v="5.699999999999994E-2"/>
    <m/>
    <m/>
    <n v="0.121"/>
    <n v="608.59374999999955"/>
  </r>
  <r>
    <n v="20"/>
    <x v="0"/>
    <m/>
    <x v="0"/>
    <n v="1050"/>
    <s v="No treatment"/>
    <x v="0"/>
    <x v="1"/>
    <x v="3"/>
    <s v="Cherry_EC3_3"/>
    <n v="3"/>
    <m/>
    <n v="11"/>
    <n v="2"/>
    <n v="7.0000000000000007E-2"/>
    <n v="5"/>
    <n v="7"/>
    <n v="2"/>
    <n v="3"/>
    <s v="N/A"/>
    <s v="N/A"/>
    <s v="N/A"/>
    <s v="N/A"/>
    <s v="N/A"/>
    <m/>
    <m/>
    <m/>
    <n v="1.75"/>
    <n v="5"/>
    <n v="0.91"/>
    <n v="0.8"/>
    <s v="N/A"/>
    <s v="N/A"/>
    <n v="1.71"/>
    <n v="38.58"/>
    <s v="N/A"/>
    <n v="5.4999999999999716E-2"/>
    <n v="6.800000000000006E-2"/>
    <m/>
    <m/>
    <n v="0.12299999999999978"/>
    <n v="701.45454545454902"/>
  </r>
  <r>
    <n v="20"/>
    <x v="0"/>
    <m/>
    <x v="0"/>
    <n v="1050"/>
    <s v="No treatment"/>
    <x v="0"/>
    <x v="1"/>
    <x v="3"/>
    <s v="Cherry_EC3_4"/>
    <n v="4"/>
    <m/>
    <n v="12.5"/>
    <n v="2"/>
    <n v="0.11"/>
    <n v="5"/>
    <n v="7"/>
    <n v="2"/>
    <n v="3"/>
    <s v="N/A"/>
    <s v="N/A"/>
    <s v="N/A"/>
    <s v="N/A"/>
    <s v="N/A"/>
    <m/>
    <m/>
    <m/>
    <n v="1.88"/>
    <n v="5"/>
    <n v="1.05"/>
    <n v="0.79"/>
    <s v="N/A"/>
    <s v="N/A"/>
    <n v="1.84"/>
    <n v="41.88"/>
    <n v="2.5099999999999998"/>
    <n v="7.8999999999999737E-2"/>
    <n v="6.9999999999996732E-3"/>
    <m/>
    <m/>
    <n v="8.599999999999941E-2"/>
    <n v="530.12658227848283"/>
  </r>
  <r>
    <n v="20"/>
    <x v="0"/>
    <m/>
    <x v="0"/>
    <n v="1050"/>
    <s v="No treatment"/>
    <x v="0"/>
    <x v="1"/>
    <x v="3"/>
    <s v="Cherry_EC3_5"/>
    <n v="5"/>
    <m/>
    <n v="10.5"/>
    <n v="2"/>
    <n v="7.0000000000000007E-2"/>
    <n v="5"/>
    <n v="7"/>
    <n v="2"/>
    <n v="3"/>
    <s v="N/A"/>
    <s v="N/A"/>
    <s v="N/A"/>
    <s v="N/A"/>
    <s v="N/A"/>
    <m/>
    <m/>
    <m/>
    <n v="1.77"/>
    <n v="5"/>
    <n v="0.96"/>
    <n v="0.81"/>
    <s v="N/A"/>
    <s v="N/A"/>
    <n v="1.77"/>
    <n v="39.25"/>
    <n v="2.66"/>
    <n v="0.10199999999999987"/>
    <n v="1.399999999999979E-2"/>
    <m/>
    <m/>
    <n v="0.11599999999999966"/>
    <n v="384.80392156862797"/>
  </r>
  <r>
    <n v="20"/>
    <x v="0"/>
    <m/>
    <x v="0"/>
    <n v="1050"/>
    <s v="No treatment"/>
    <x v="0"/>
    <x v="1"/>
    <x v="3"/>
    <s v="Cherry_EC3_6"/>
    <n v="6"/>
    <m/>
    <n v="12"/>
    <n v="2"/>
    <n v="0.1"/>
    <n v="5"/>
    <n v="7"/>
    <n v="2"/>
    <n v="3"/>
    <s v="N/A"/>
    <s v="N/A"/>
    <s v="N/A"/>
    <s v="N/A"/>
    <s v="N/A"/>
    <m/>
    <m/>
    <m/>
    <n v="1.79"/>
    <n v="5"/>
    <n v="0.9"/>
    <n v="0.87"/>
    <s v="N/A"/>
    <s v="N/A"/>
    <n v="1.77"/>
    <n v="39.85"/>
    <n v="2.41"/>
    <n v="7.2999999999999954E-2"/>
    <n v="2.2999999999999687E-2"/>
    <m/>
    <m/>
    <n v="9.5999999999999641E-2"/>
    <n v="545.89041095890445"/>
  </r>
  <r>
    <n v="20"/>
    <x v="0"/>
    <m/>
    <x v="0"/>
    <n v="1050"/>
    <s v="No treatment"/>
    <x v="0"/>
    <x v="1"/>
    <x v="3"/>
    <s v="Cherry_EC3_7"/>
    <n v="7"/>
    <m/>
    <n v="11"/>
    <n v="2"/>
    <n v="0.09"/>
    <n v="5"/>
    <n v="7"/>
    <n v="3"/>
    <n v="2"/>
    <s v="N/A"/>
    <s v="N/A"/>
    <s v="N/A"/>
    <s v="N/A"/>
    <s v="N/A"/>
    <m/>
    <m/>
    <m/>
    <n v="1.75"/>
    <n v="5"/>
    <n v="0.84"/>
    <n v="0.93"/>
    <s v="N/A"/>
    <s v="N/A"/>
    <n v="1.77"/>
    <n v="30"/>
    <n v="2.86"/>
    <n v="6.6999999999999726E-2"/>
    <n v="4.4999999999999929E-2"/>
    <m/>
    <m/>
    <n v="0.11199999999999966"/>
    <n v="447.76119402985256"/>
  </r>
  <r>
    <n v="20"/>
    <x v="0"/>
    <m/>
    <x v="0"/>
    <n v="1050"/>
    <s v="No treatment"/>
    <x v="0"/>
    <x v="1"/>
    <x v="3"/>
    <s v="Cherry_EC3_8"/>
    <n v="8"/>
    <m/>
    <n v="9.5"/>
    <n v="2"/>
    <n v="7.0000000000000007E-2"/>
    <n v="5"/>
    <n v="7"/>
    <n v="2"/>
    <n v="3"/>
    <s v="N/A"/>
    <s v="N/A"/>
    <s v="N/A"/>
    <s v="N/A"/>
    <s v="N/A"/>
    <m/>
    <m/>
    <m/>
    <n v="1.5"/>
    <n v="5"/>
    <n v="0.84"/>
    <n v="0.64"/>
    <s v="N/A"/>
    <s v="N/A"/>
    <n v="1.48"/>
    <n v="31.2"/>
    <n v="3.01"/>
    <n v="8.1999999999999851E-2"/>
    <n v="5.4999999999999716E-2"/>
    <m/>
    <m/>
    <n v="0.13699999999999957"/>
    <n v="380.48780487804947"/>
  </r>
  <r>
    <n v="20"/>
    <x v="0"/>
    <m/>
    <x v="0"/>
    <n v="1050"/>
    <s v="No treatment"/>
    <x v="0"/>
    <x v="1"/>
    <x v="3"/>
    <s v="Cherry_EC3_9"/>
    <n v="9"/>
    <m/>
    <n v="11.5"/>
    <n v="2"/>
    <n v="0.09"/>
    <n v="5"/>
    <n v="7"/>
    <n v="1"/>
    <n v="4"/>
    <s v="N/A"/>
    <s v="N/A"/>
    <s v="N/A"/>
    <s v="N/A"/>
    <s v="N/A"/>
    <m/>
    <m/>
    <m/>
    <n v="1.73"/>
    <n v="5"/>
    <n v="0.83"/>
    <n v="0.86"/>
    <s v="N/A"/>
    <s v="N/A"/>
    <n v="1.69"/>
    <n v="35.57"/>
    <n v="2.29"/>
    <n v="6.1999999999999833E-2"/>
    <n v="1.8999999999999684E-2"/>
    <m/>
    <m/>
    <n v="8.0999999999999517E-2"/>
    <n v="573.70967741935635"/>
  </r>
  <r>
    <n v="20"/>
    <x v="0"/>
    <m/>
    <x v="0"/>
    <n v="1050"/>
    <s v="No treatment"/>
    <x v="0"/>
    <x v="1"/>
    <x v="3"/>
    <s v="Cherry_EC3_10"/>
    <n v="10"/>
    <m/>
    <n v="12.5"/>
    <n v="2"/>
    <n v="0.1"/>
    <n v="5"/>
    <n v="7"/>
    <n v="1"/>
    <n v="4"/>
    <s v="N/A"/>
    <s v="N/A"/>
    <s v="N/A"/>
    <s v="N/A"/>
    <s v="N/A"/>
    <m/>
    <m/>
    <m/>
    <n v="1.65"/>
    <n v="5"/>
    <n v="0.87"/>
    <n v="0.76"/>
    <s v="N/A"/>
    <s v="N/A"/>
    <n v="1.63"/>
    <n v="35.89"/>
    <n v="2.78"/>
    <n v="6.5999999999999837E-2"/>
    <n v="3.2000000000000028E-2"/>
    <m/>
    <m/>
    <n v="9.7999999999999865E-2"/>
    <n v="543.78787878788012"/>
  </r>
  <r>
    <n v="20"/>
    <x v="0"/>
    <m/>
    <x v="0"/>
    <n v="1050"/>
    <s v="No treatment"/>
    <x v="0"/>
    <x v="1"/>
    <x v="3"/>
    <s v="Cherry_EC3_11"/>
    <n v="11"/>
    <m/>
    <n v="11.5"/>
    <n v="2"/>
    <n v="0.09"/>
    <n v="5"/>
    <n v="7"/>
    <n v="2"/>
    <n v="3"/>
    <s v="N/A"/>
    <s v="N/A"/>
    <s v="N/A"/>
    <s v="N/A"/>
    <s v="N/A"/>
    <m/>
    <m/>
    <m/>
    <n v="1.48"/>
    <n v="5"/>
    <n v="0.75"/>
    <n v="0.72"/>
    <s v="N/A"/>
    <s v="N/A"/>
    <n v="1.47"/>
    <n v="29.31"/>
    <n v="2.99"/>
    <n v="4.6999999999999709E-2"/>
    <n v="4.8000000000000043E-2"/>
    <m/>
    <m/>
    <n v="9.4999999999999751E-2"/>
    <n v="623.61702127659953"/>
  </r>
  <r>
    <n v="20"/>
    <x v="0"/>
    <m/>
    <x v="0"/>
    <n v="1050"/>
    <s v="No treatment"/>
    <x v="0"/>
    <x v="1"/>
    <x v="3"/>
    <s v="Cherry_EC3_12"/>
    <n v="12"/>
    <m/>
    <n v="12.5"/>
    <n v="2"/>
    <n v="7.0000000000000007E-2"/>
    <n v="5"/>
    <n v="7"/>
    <n v="2"/>
    <n v="3"/>
    <s v="N/A"/>
    <s v="N/A"/>
    <s v="N/A"/>
    <s v="N/A"/>
    <s v="N/A"/>
    <m/>
    <m/>
    <m/>
    <n v="1.71"/>
    <n v="5"/>
    <n v="0.82"/>
    <n v="0.87"/>
    <s v="N/A"/>
    <s v="N/A"/>
    <n v="1.69"/>
    <n v="31.24"/>
    <n v="1.37"/>
    <n v="4.4999999999999929E-2"/>
    <n v="9.4999999999999751E-2"/>
    <m/>
    <m/>
    <n v="0.13999999999999968"/>
    <n v="694.22222222222331"/>
  </r>
  <r>
    <n v="20"/>
    <x v="0"/>
    <m/>
    <x v="0"/>
    <n v="1050"/>
    <s v="No treatment"/>
    <x v="1"/>
    <x v="0"/>
    <x v="0"/>
    <s v="Plum_EC6_HL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0"/>
    <x v="0"/>
    <s v="Plum_EC6_HL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0"/>
    <x v="0"/>
    <s v="Plum_EC6_HL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0"/>
    <x v="0"/>
    <s v="Plum_EC6_HL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0"/>
    <x v="0"/>
    <s v="Plum_EC6_HL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0"/>
    <x v="0"/>
    <s v="Plum_EC6_HL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0"/>
    <x v="0"/>
    <s v="Plum_EC6_HL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0"/>
    <x v="0"/>
    <s v="Plum_EC6_HL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0"/>
    <x v="0"/>
    <s v="Plum_EC6_HL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0"/>
    <x v="0"/>
    <s v="Plum_EC6_HL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0"/>
    <x v="0"/>
    <s v="Plum_EC6_HL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0"/>
    <x v="0"/>
    <s v="Plum_EC6_HL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0"/>
    <x v="1"/>
    <s v="Plum_EC6_ML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0"/>
    <x v="1"/>
    <s v="Plum_EC6_ML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0"/>
    <x v="1"/>
    <s v="Plum_EC6_ML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0"/>
    <x v="1"/>
    <s v="Plum_EC6_ML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0"/>
    <x v="1"/>
    <s v="Plum_EC6_ML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0"/>
    <x v="1"/>
    <s v="Plum_EC6_ML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0"/>
    <x v="1"/>
    <s v="Plum_EC6_ML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0"/>
    <x v="1"/>
    <s v="Plum_EC6_ML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0"/>
    <x v="1"/>
    <s v="Plum_EC6_ML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0"/>
    <x v="1"/>
    <s v="Plum_EC6_ML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0"/>
    <x v="1"/>
    <s v="Plum_EC6_ML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0"/>
    <x v="1"/>
    <s v="Plum_EC6_ML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0"/>
    <x v="2"/>
    <s v="Plum_EC6_LL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0"/>
    <x v="2"/>
    <s v="Plum_EC6_LL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0"/>
    <x v="2"/>
    <s v="Plum_EC6_LL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0"/>
    <x v="2"/>
    <s v="Plum_EC6_LL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0"/>
    <x v="2"/>
    <s v="Plum_EC6_LL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0"/>
    <x v="2"/>
    <s v="Plum_EC6_LL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0"/>
    <x v="2"/>
    <s v="Plum_EC6_LL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0"/>
    <x v="2"/>
    <s v="Plum_EC6_LL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0"/>
    <x v="2"/>
    <s v="Plum_EC6_LL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0"/>
    <x v="2"/>
    <s v="Plum_EC6_LL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0"/>
    <x v="2"/>
    <s v="Plum_EC6_LL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0"/>
    <x v="2"/>
    <s v="Plum_EC6_LL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0"/>
    <x v="3"/>
    <s v="Plum_EC6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0"/>
    <x v="3"/>
    <s v="Plum_EC6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0"/>
    <x v="3"/>
    <s v="Plum_EC6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0"/>
    <x v="3"/>
    <s v="Plum_EC6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0"/>
    <x v="3"/>
    <s v="Plum_EC6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0"/>
    <x v="3"/>
    <s v="Plum_EC6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0"/>
    <x v="3"/>
    <s v="Plum_EC6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0"/>
    <x v="3"/>
    <s v="Plum_EC6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0"/>
    <x v="3"/>
    <s v="Plum_EC6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0"/>
    <x v="3"/>
    <s v="Plum_EC6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0"/>
    <x v="3"/>
    <s v="Plum_EC6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0"/>
    <x v="3"/>
    <s v="Plum_EC6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1"/>
    <x v="0"/>
    <s v="Plum_EC3_HL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1"/>
    <x v="0"/>
    <s v="Plum_EC3_HL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1"/>
    <x v="0"/>
    <s v="Plum_EC3_HL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1"/>
    <x v="0"/>
    <s v="Plum_EC3_HL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1"/>
    <x v="0"/>
    <s v="Plum_EC3_HL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1"/>
    <x v="0"/>
    <s v="Plum_EC3_HL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1"/>
    <x v="0"/>
    <s v="Plum_EC3_HL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1"/>
    <x v="0"/>
    <s v="Plum_EC3_HL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1"/>
    <x v="0"/>
    <s v="Plum_EC3_HL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1"/>
    <x v="0"/>
    <s v="Plum_EC3_HL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1"/>
    <x v="0"/>
    <s v="Plum_EC3_HL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1"/>
    <x v="0"/>
    <s v="Plum_EC3_HL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1"/>
    <x v="1"/>
    <s v="Plum_EC3_ML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1"/>
    <x v="1"/>
    <s v="Plum_EC3_ML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1"/>
    <x v="1"/>
    <s v="Plum_EC3_ML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1"/>
    <x v="1"/>
    <s v="Plum_EC3_ML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1"/>
    <x v="1"/>
    <s v="Plum_EC3_ML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1"/>
    <x v="1"/>
    <s v="Plum_EC3_ML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1"/>
    <x v="1"/>
    <s v="Plum_EC3_ML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1"/>
    <x v="1"/>
    <s v="Plum_EC3_ML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1"/>
    <x v="1"/>
    <s v="Plum_EC3_ML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1"/>
    <x v="1"/>
    <s v="Plum_EC3_ML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1"/>
    <x v="1"/>
    <s v="Plum_EC3_ML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1"/>
    <x v="1"/>
    <s v="Plum_EC3_ML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1"/>
    <x v="2"/>
    <s v="Plum_EC3_LL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1"/>
    <x v="2"/>
    <s v="Plum_EC3_LL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1"/>
    <x v="2"/>
    <s v="Plum_EC3_LL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1"/>
    <x v="2"/>
    <s v="Plum_EC3_LL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1"/>
    <x v="2"/>
    <s v="Plum_EC3_LL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1"/>
    <x v="2"/>
    <s v="Plum_EC3_LL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1"/>
    <x v="2"/>
    <s v="Plum_EC3_LL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1"/>
    <x v="2"/>
    <s v="Plum_EC3_LL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1"/>
    <x v="2"/>
    <s v="Plum_EC3_LL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1"/>
    <x v="2"/>
    <s v="Plum_EC3_LL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1"/>
    <x v="2"/>
    <s v="Plum_EC3_LL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1"/>
    <x v="2"/>
    <s v="Plum_EC3_LL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1"/>
    <x v="1"/>
    <x v="3"/>
    <s v="Plum_EC3_1"/>
    <n v="1"/>
    <m/>
    <n v="10"/>
    <n v="2"/>
    <s v="N/A"/>
    <n v="4"/>
    <n v="6"/>
    <n v="4"/>
    <n v="0"/>
    <s v="N/A"/>
    <s v="N/A"/>
    <s v="N/A"/>
    <s v="N/A"/>
    <s v="N/A"/>
    <m/>
    <m/>
    <m/>
    <n v="1.58"/>
    <n v="4"/>
    <n v="0.93"/>
    <n v="0.67"/>
    <s v="N/A"/>
    <s v="N/A"/>
    <n v="1.6"/>
    <n v="32.33"/>
    <s v="N/A"/>
    <n v="4.6999999999999709E-2"/>
    <n v="6.5999999999999837E-2"/>
    <m/>
    <m/>
    <n v="0.11299999999999955"/>
    <n v="687.87234042553609"/>
  </r>
  <r>
    <n v="20"/>
    <x v="0"/>
    <m/>
    <x v="0"/>
    <n v="1050"/>
    <s v="No treatment"/>
    <x v="1"/>
    <x v="1"/>
    <x v="3"/>
    <s v="Plum_EC3_2"/>
    <n v="2"/>
    <m/>
    <n v="11.5"/>
    <n v="2"/>
    <s v="N/A"/>
    <n v="4"/>
    <n v="6"/>
    <n v="2"/>
    <n v="2"/>
    <s v="N/A"/>
    <s v="N/A"/>
    <s v="N/A"/>
    <s v="N/A"/>
    <s v="N/A"/>
    <m/>
    <m/>
    <m/>
    <n v="1.55"/>
    <n v="4"/>
    <n v="0.86"/>
    <n v="0.69"/>
    <s v="N/A"/>
    <s v="N/A"/>
    <n v="1.5499999999999998"/>
    <n v="32.369999999999997"/>
    <s v="N/A"/>
    <n v="7.6000000000000068E-2"/>
    <n v="5.4999999999999716E-2"/>
    <m/>
    <m/>
    <n v="0.13099999999999978"/>
    <n v="425.92105263157856"/>
  </r>
  <r>
    <n v="20"/>
    <x v="0"/>
    <m/>
    <x v="0"/>
    <n v="1050"/>
    <s v="No treatment"/>
    <x v="1"/>
    <x v="1"/>
    <x v="3"/>
    <s v="Plum_EC3_3"/>
    <n v="3"/>
    <m/>
    <n v="11.5"/>
    <n v="2"/>
    <s v="N/A"/>
    <n v="4"/>
    <n v="6"/>
    <n v="3"/>
    <n v="1"/>
    <s v="N/A"/>
    <s v="N/A"/>
    <s v="N/A"/>
    <s v="N/A"/>
    <s v="N/A"/>
    <m/>
    <m/>
    <m/>
    <n v="1.75"/>
    <n v="4"/>
    <n v="1.01"/>
    <n v="0.79"/>
    <s v="N/A"/>
    <s v="N/A"/>
    <n v="1.8"/>
    <n v="36.299999999999997"/>
    <s v="N/A"/>
    <n v="4.4999999999999929E-2"/>
    <n v="3.8999999999999702E-2"/>
    <m/>
    <m/>
    <n v="8.3999999999999631E-2"/>
    <n v="806.66666666666788"/>
  </r>
  <r>
    <n v="20"/>
    <x v="0"/>
    <m/>
    <x v="0"/>
    <n v="1050"/>
    <s v="No treatment"/>
    <x v="1"/>
    <x v="1"/>
    <x v="3"/>
    <s v="Plum_EC3_4"/>
    <n v="4"/>
    <m/>
    <n v="10.5"/>
    <n v="2"/>
    <s v="N/A"/>
    <n v="4"/>
    <n v="6"/>
    <n v="4"/>
    <n v="0"/>
    <s v="N/A"/>
    <s v="N/A"/>
    <s v="N/A"/>
    <s v="N/A"/>
    <s v="N/A"/>
    <m/>
    <m/>
    <m/>
    <n v="1.52"/>
    <n v="4"/>
    <n v="0.87"/>
    <n v="0.65"/>
    <s v="N/A"/>
    <s v="N/A"/>
    <n v="1.52"/>
    <n v="33.479999999999997"/>
    <s v="N/A"/>
    <n v="1.7999999999999794E-2"/>
    <n v="3.3999999999999808E-2"/>
    <m/>
    <m/>
    <n v="5.1999999999999602E-2"/>
    <n v="1860.0000000000211"/>
  </r>
  <r>
    <n v="20"/>
    <x v="0"/>
    <m/>
    <x v="0"/>
    <n v="1050"/>
    <s v="No treatment"/>
    <x v="1"/>
    <x v="1"/>
    <x v="3"/>
    <s v="Plum_EC3_5"/>
    <n v="5"/>
    <m/>
    <n v="10"/>
    <n v="2"/>
    <s v="N/A"/>
    <n v="3"/>
    <n v="5"/>
    <n v="3"/>
    <n v="0"/>
    <s v="N/A"/>
    <s v="N/A"/>
    <s v="N/A"/>
    <s v="N/A"/>
    <s v="N/A"/>
    <m/>
    <m/>
    <m/>
    <n v="1.03"/>
    <n v="3"/>
    <n v="0.56000000000000005"/>
    <n v="0.46"/>
    <s v="N/A"/>
    <s v="N/A"/>
    <n v="1.02"/>
    <n v="22.07"/>
    <s v="N/A"/>
    <n v="1.6000000000000014E-2"/>
    <n v="-7.0000000000001172E-3"/>
    <m/>
    <m/>
    <n v="8.999999999999897E-3"/>
    <n v="1379.3749999999989"/>
  </r>
  <r>
    <n v="20"/>
    <x v="0"/>
    <m/>
    <x v="0"/>
    <n v="1050"/>
    <s v="No treatment"/>
    <x v="1"/>
    <x v="1"/>
    <x v="3"/>
    <s v="Plum_EC3_6"/>
    <n v="6"/>
    <m/>
    <n v="11.5"/>
    <n v="2"/>
    <s v="N/A"/>
    <n v="4"/>
    <n v="6"/>
    <n v="3"/>
    <n v="1"/>
    <s v="N/A"/>
    <s v="N/A"/>
    <s v="N/A"/>
    <s v="N/A"/>
    <s v="N/A"/>
    <m/>
    <m/>
    <m/>
    <n v="1.56"/>
    <n v="4"/>
    <n v="1"/>
    <n v="0.59"/>
    <s v="N/A"/>
    <s v="N/A"/>
    <n v="1.5899999999999999"/>
    <n v="38.04"/>
    <s v="N/A"/>
    <n v="5.600000000000005E-2"/>
    <n v="2.1999999999999797E-2"/>
    <m/>
    <m/>
    <n v="7.7999999999999847E-2"/>
    <n v="679.28571428571365"/>
  </r>
  <r>
    <n v="20"/>
    <x v="0"/>
    <m/>
    <x v="0"/>
    <n v="1050"/>
    <s v="No treatment"/>
    <x v="1"/>
    <x v="1"/>
    <x v="3"/>
    <s v="Plum_EC3_7"/>
    <n v="7"/>
    <m/>
    <n v="9.5"/>
    <n v="2"/>
    <s v="N/A"/>
    <n v="4"/>
    <n v="6"/>
    <n v="3"/>
    <n v="1"/>
    <s v="N/A"/>
    <s v="N/A"/>
    <s v="N/A"/>
    <s v="N/A"/>
    <s v="N/A"/>
    <m/>
    <m/>
    <m/>
    <n v="1.31"/>
    <n v="4"/>
    <n v="0.78"/>
    <n v="0.54"/>
    <s v="N/A"/>
    <s v="N/A"/>
    <n v="1.32"/>
    <n v="29.31"/>
    <s v="N/A"/>
    <n v="6.1999999999999833E-2"/>
    <n v="-7.0000000000001172E-3"/>
    <m/>
    <m/>
    <n v="5.4999999999999716E-2"/>
    <n v="472.74193548387223"/>
  </r>
  <r>
    <n v="20"/>
    <x v="0"/>
    <m/>
    <x v="0"/>
    <n v="1050"/>
    <s v="No treatment"/>
    <x v="1"/>
    <x v="1"/>
    <x v="3"/>
    <s v="Plum_EC3_8"/>
    <n v="8"/>
    <m/>
    <n v="9"/>
    <n v="2"/>
    <s v="N/A"/>
    <n v="4"/>
    <n v="6"/>
    <n v="3"/>
    <n v="1"/>
    <s v="N/A"/>
    <s v="N/A"/>
    <s v="N/A"/>
    <s v="N/A"/>
    <s v="N/A"/>
    <m/>
    <m/>
    <m/>
    <n v="1.39"/>
    <n v="4"/>
    <n v="0.83"/>
    <n v="0.56000000000000005"/>
    <s v="N/A"/>
    <s v="N/A"/>
    <n v="1.3900000000000001"/>
    <n v="30.37"/>
    <s v="N/A"/>
    <n v="1.2999999999999901E-2"/>
    <n v="1.399999999999979E-2"/>
    <m/>
    <m/>
    <n v="2.6999999999999691E-2"/>
    <n v="2336.1538461538639"/>
  </r>
  <r>
    <n v="20"/>
    <x v="0"/>
    <m/>
    <x v="0"/>
    <n v="1050"/>
    <s v="No treatment"/>
    <x v="1"/>
    <x v="1"/>
    <x v="3"/>
    <s v="Plum_EC3_9"/>
    <n v="9"/>
    <m/>
    <n v="10.5"/>
    <n v="2"/>
    <s v="N/A"/>
    <n v="4"/>
    <n v="6"/>
    <n v="2"/>
    <n v="2"/>
    <s v="N/A"/>
    <s v="N/A"/>
    <s v="N/A"/>
    <s v="N/A"/>
    <s v="N/A"/>
    <m/>
    <m/>
    <m/>
    <n v="1.54"/>
    <n v="4"/>
    <n v="0.9"/>
    <n v="0.62"/>
    <s v="N/A"/>
    <s v="N/A"/>
    <n v="1.52"/>
    <n v="36.090000000000003"/>
    <s v="N/A"/>
    <n v="2.4999999999999911E-2"/>
    <n v="2.2999999999999687E-2"/>
    <m/>
    <m/>
    <n v="4.7999999999999599E-2"/>
    <n v="1443.6000000000054"/>
  </r>
  <r>
    <n v="20"/>
    <x v="0"/>
    <m/>
    <x v="0"/>
    <n v="1050"/>
    <s v="No treatment"/>
    <x v="1"/>
    <x v="1"/>
    <x v="3"/>
    <s v="Plum_EC3_10"/>
    <n v="10"/>
    <m/>
    <n v="8.5"/>
    <n v="2"/>
    <s v="N/A"/>
    <n v="3"/>
    <n v="5"/>
    <n v="2"/>
    <n v="1"/>
    <s v="N/A"/>
    <s v="N/A"/>
    <s v="N/A"/>
    <s v="N/A"/>
    <s v="N/A"/>
    <m/>
    <m/>
    <m/>
    <n v="1.1200000000000001"/>
    <n v="3"/>
    <n v="0.73"/>
    <n v="0.4"/>
    <s v="N/A"/>
    <s v="N/A"/>
    <n v="1.1299999999999999"/>
    <n v="27.5"/>
    <s v="N/A"/>
    <n v="5.8999999999999719E-2"/>
    <n v="1.0999999999999677E-2"/>
    <m/>
    <m/>
    <n v="6.9999999999999396E-2"/>
    <n v="466.10169491525647"/>
  </r>
  <r>
    <n v="20"/>
    <x v="0"/>
    <m/>
    <x v="0"/>
    <n v="1050"/>
    <s v="No treatment"/>
    <x v="1"/>
    <x v="1"/>
    <x v="3"/>
    <s v="Plum_EC3_11"/>
    <n v="11"/>
    <m/>
    <n v="12"/>
    <n v="2"/>
    <s v="N/A"/>
    <n v="4"/>
    <n v="6"/>
    <n v="4"/>
    <n v="0"/>
    <s v="N/A"/>
    <s v="N/A"/>
    <s v="N/A"/>
    <s v="N/A"/>
    <s v="N/A"/>
    <m/>
    <m/>
    <m/>
    <n v="1.52"/>
    <n v="4"/>
    <n v="0.79"/>
    <n v="0.73"/>
    <s v="N/A"/>
    <s v="N/A"/>
    <n v="1.52"/>
    <n v="29.2"/>
    <n v="1.83"/>
    <n v="7.6000000000000068E-2"/>
    <n v="5.600000000000005E-2"/>
    <m/>
    <m/>
    <n v="0.13200000000000012"/>
    <n v="384.21052631578914"/>
  </r>
  <r>
    <n v="20"/>
    <x v="0"/>
    <m/>
    <x v="0"/>
    <n v="1050"/>
    <s v="No treatment"/>
    <x v="1"/>
    <x v="1"/>
    <x v="3"/>
    <s v="Plum_EC3_12"/>
    <n v="12"/>
    <m/>
    <n v="9.5"/>
    <n v="2"/>
    <s v="N/A"/>
    <n v="4"/>
    <n v="6"/>
    <n v="3"/>
    <n v="1"/>
    <s v="N/A"/>
    <s v="N/A"/>
    <s v="N/A"/>
    <s v="N/A"/>
    <s v="N/A"/>
    <m/>
    <m/>
    <m/>
    <n v="1.46"/>
    <n v="4"/>
    <n v="0.84"/>
    <n v="0.6"/>
    <s v="N/A"/>
    <s v="N/A"/>
    <n v="1.44"/>
    <n v="32.79"/>
    <n v="2.2999999999999998"/>
    <n v="9.3999999999999861E-2"/>
    <n v="3.8999999999999702E-2"/>
    <m/>
    <m/>
    <n v="0.13299999999999956"/>
    <n v="348.82978723404307"/>
  </r>
  <r>
    <n v="20"/>
    <x v="0"/>
    <m/>
    <x v="0"/>
    <n v="1050"/>
    <s v="No treatment"/>
    <x v="2"/>
    <x v="0"/>
    <x v="0"/>
    <s v="Heart_EC6_HL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0"/>
    <x v="0"/>
    <s v="Heart_EC6_HL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0"/>
    <x v="0"/>
    <s v="Heart_EC6_HL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0"/>
    <x v="0"/>
    <s v="Heart_EC6_HL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0"/>
    <x v="0"/>
    <s v="Heart_EC6_HL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0"/>
    <x v="0"/>
    <s v="Heart_EC6_HL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0"/>
    <x v="0"/>
    <s v="Heart_EC6_HL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0"/>
    <x v="0"/>
    <s v="Heart_EC6_HL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0"/>
    <x v="0"/>
    <s v="Heart_EC6_HL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0"/>
    <x v="0"/>
    <s v="Heart_EC6_HL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0"/>
    <x v="0"/>
    <s v="Heart_EC6_HL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0"/>
    <x v="0"/>
    <s v="Heart_EC6_HL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0"/>
    <x v="1"/>
    <s v="Heart_EC6_ML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0"/>
    <x v="1"/>
    <s v="Heart_EC6_ML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0"/>
    <x v="1"/>
    <s v="Heart_EC6_ML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0"/>
    <x v="1"/>
    <s v="Heart_EC6_ML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0"/>
    <x v="1"/>
    <s v="Heart_EC6_ML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0"/>
    <x v="1"/>
    <s v="Heart_EC6_ML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0"/>
    <x v="1"/>
    <s v="Heart_EC6_ML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0"/>
    <x v="1"/>
    <s v="Heart_EC6_ML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0"/>
    <x v="1"/>
    <s v="Heart_EC6_ML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0"/>
    <x v="1"/>
    <s v="Heart_EC6_ML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0"/>
    <x v="1"/>
    <s v="Heart_EC6_ML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0"/>
    <x v="1"/>
    <s v="Heart_EC6_ML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0"/>
    <x v="2"/>
    <s v="Heart_EC6_LL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0"/>
    <x v="2"/>
    <s v="Heart_EC6_LL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0"/>
    <x v="2"/>
    <s v="Heart_EC6_LL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0"/>
    <x v="2"/>
    <s v="Heart_EC6_LL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0"/>
    <x v="2"/>
    <s v="Heart_EC6_LL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0"/>
    <x v="2"/>
    <s v="Heart_EC6_LL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0"/>
    <x v="2"/>
    <s v="Heart_EC6_LL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0"/>
    <x v="2"/>
    <s v="Heart_EC6_LL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0"/>
    <x v="2"/>
    <s v="Heart_EC6_LL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0"/>
    <x v="2"/>
    <s v="Heart_EC6_LL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0"/>
    <x v="2"/>
    <s v="Heart_EC6_LL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0"/>
    <x v="2"/>
    <s v="Heart_EC6_LL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0"/>
    <x v="3"/>
    <s v="Heart_EC6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0"/>
    <x v="3"/>
    <s v="Heart_EC6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0"/>
    <x v="3"/>
    <s v="Heart_EC6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0"/>
    <x v="3"/>
    <s v="Heart_EC6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0"/>
    <x v="3"/>
    <s v="Heart_EC6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0"/>
    <x v="3"/>
    <s v="Heart_EC6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0"/>
    <x v="3"/>
    <s v="Heart_EC6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0"/>
    <x v="3"/>
    <s v="Heart_EC6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0"/>
    <x v="3"/>
    <s v="Heart_EC6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0"/>
    <x v="3"/>
    <s v="Heart_EC6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0"/>
    <x v="3"/>
    <s v="Heart_EC6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0"/>
    <x v="3"/>
    <s v="Heart_EC6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1"/>
    <x v="0"/>
    <s v="Heart_EC3_HL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1"/>
    <x v="0"/>
    <s v="Heart_EC3_HL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1"/>
    <x v="0"/>
    <s v="Heart_EC3_HL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1"/>
    <x v="0"/>
    <s v="Heart_EC3_HL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1"/>
    <x v="0"/>
    <s v="Heart_EC3_HL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1"/>
    <x v="0"/>
    <s v="Heart_EC3_HL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1"/>
    <x v="0"/>
    <s v="Heart_EC3_HL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1"/>
    <x v="0"/>
    <s v="Heart_EC3_HL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1"/>
    <x v="0"/>
    <s v="Heart_EC3_HL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1"/>
    <x v="0"/>
    <s v="Heart_EC3_HL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1"/>
    <x v="0"/>
    <s v="Heart_EC3_HL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1"/>
    <x v="0"/>
    <s v="Heart_EC3_HL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1"/>
    <x v="1"/>
    <s v="Heart_EC3_ML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1"/>
    <x v="1"/>
    <s v="Heart_EC3_ML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1"/>
    <x v="1"/>
    <s v="Heart_EC3_ML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1"/>
    <x v="1"/>
    <s v="Heart_EC3_ML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1"/>
    <x v="1"/>
    <s v="Heart_EC3_ML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1"/>
    <x v="1"/>
    <s v="Heart_EC3_ML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1"/>
    <x v="1"/>
    <s v="Heart_EC3_ML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1"/>
    <x v="1"/>
    <s v="Heart_EC3_ML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1"/>
    <x v="1"/>
    <s v="Heart_EC3_ML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1"/>
    <x v="1"/>
    <s v="Heart_EC3_ML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1"/>
    <x v="1"/>
    <s v="Heart_EC3_ML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1"/>
    <x v="1"/>
    <s v="Heart_EC3_ML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1"/>
    <x v="2"/>
    <s v="Heart_EC3_LL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1"/>
    <x v="2"/>
    <s v="Heart_EC3_LL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1"/>
    <x v="2"/>
    <s v="Heart_EC3_LL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1"/>
    <x v="2"/>
    <s v="Heart_EC3_LL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1"/>
    <x v="2"/>
    <s v="Heart_EC3_LL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1"/>
    <x v="2"/>
    <s v="Heart_EC3_LL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1"/>
    <x v="2"/>
    <s v="Heart_EC3_LL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1"/>
    <x v="2"/>
    <s v="Heart_EC3_LL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1"/>
    <x v="2"/>
    <s v="Heart_EC3_LL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1"/>
    <x v="2"/>
    <s v="Heart_EC3_LL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1"/>
    <x v="2"/>
    <s v="Heart_EC3_LL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1"/>
    <x v="2"/>
    <s v="Heart_EC3_LL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2"/>
    <x v="1"/>
    <x v="3"/>
    <s v="Heart_EC3_1"/>
    <n v="1"/>
    <m/>
    <n v="12"/>
    <n v="2"/>
    <s v="N/A"/>
    <n v="5"/>
    <n v="7"/>
    <n v="1"/>
    <n v="4"/>
    <s v="N/A"/>
    <s v="N/A"/>
    <s v="N/A"/>
    <s v="N/A"/>
    <s v="N/A"/>
    <m/>
    <m/>
    <m/>
    <n v="1.72"/>
    <n v="5"/>
    <n v="0.85"/>
    <n v="0.86"/>
    <s v="N/A"/>
    <s v="N/A"/>
    <n v="1.71"/>
    <n v="39.76"/>
    <s v="N/A"/>
    <n v="0.11899999999999977"/>
    <n v="7.8999999999999737E-2"/>
    <m/>
    <m/>
    <n v="0.19799999999999951"/>
    <n v="334.11764705882416"/>
  </r>
  <r>
    <n v="20"/>
    <x v="0"/>
    <m/>
    <x v="0"/>
    <n v="1050"/>
    <s v="No treatment"/>
    <x v="2"/>
    <x v="1"/>
    <x v="3"/>
    <s v="Heart_EC3_2"/>
    <n v="2"/>
    <m/>
    <n v="14"/>
    <n v="2"/>
    <s v="N/A"/>
    <n v="4"/>
    <n v="6"/>
    <n v="2"/>
    <n v="2"/>
    <s v="N/A"/>
    <s v="N/A"/>
    <s v="N/A"/>
    <s v="N/A"/>
    <s v="N/A"/>
    <m/>
    <m/>
    <m/>
    <n v="1.71"/>
    <n v="4"/>
    <n v="0.76"/>
    <n v="0.89"/>
    <s v="N/A"/>
    <s v="N/A"/>
    <n v="1.65"/>
    <n v="38.71"/>
    <s v="N/A"/>
    <n v="0.10499999999999998"/>
    <n v="6.1999999999999833E-2"/>
    <m/>
    <m/>
    <n v="0.16699999999999982"/>
    <n v="368.66666666666674"/>
  </r>
  <r>
    <n v="20"/>
    <x v="0"/>
    <m/>
    <x v="0"/>
    <n v="1050"/>
    <s v="No treatment"/>
    <x v="2"/>
    <x v="1"/>
    <x v="3"/>
    <s v="Heart_EC3_3"/>
    <n v="3"/>
    <m/>
    <n v="13"/>
    <n v="2"/>
    <s v="N/A"/>
    <n v="4"/>
    <n v="6"/>
    <n v="2"/>
    <n v="2"/>
    <s v="N/A"/>
    <s v="N/A"/>
    <s v="N/A"/>
    <s v="N/A"/>
    <s v="N/A"/>
    <m/>
    <m/>
    <m/>
    <n v="1.45"/>
    <n v="4"/>
    <n v="0.77"/>
    <n v="0.66"/>
    <s v="N/A"/>
    <s v="N/A"/>
    <n v="1.4300000000000002"/>
    <n v="36.659999999999997"/>
    <s v="N/A"/>
    <n v="0.11499999999999977"/>
    <n v="5.7999999999999829E-2"/>
    <m/>
    <m/>
    <n v="0.1729999999999996"/>
    <n v="318.78260869565281"/>
  </r>
  <r>
    <n v="20"/>
    <x v="0"/>
    <m/>
    <x v="0"/>
    <n v="1050"/>
    <s v="No treatment"/>
    <x v="2"/>
    <x v="1"/>
    <x v="3"/>
    <s v="Heart_EC3_4"/>
    <n v="4"/>
    <m/>
    <n v="13"/>
    <n v="2"/>
    <s v="N/A"/>
    <n v="4"/>
    <n v="6"/>
    <n v="2"/>
    <n v="2"/>
    <s v="N/A"/>
    <s v="N/A"/>
    <s v="N/A"/>
    <s v="N/A"/>
    <s v="N/A"/>
    <m/>
    <m/>
    <m/>
    <n v="1.52"/>
    <n v="4"/>
    <n v="0.72"/>
    <n v="0.9"/>
    <s v="N/A"/>
    <s v="N/A"/>
    <n v="1.62"/>
    <n v="35.700000000000003"/>
    <s v="N/A"/>
    <n v="8.8000000000000078E-2"/>
    <n v="6.4999999999999947E-2"/>
    <m/>
    <m/>
    <n v="0.15300000000000002"/>
    <n v="405.68181818181785"/>
  </r>
  <r>
    <n v="20"/>
    <x v="0"/>
    <m/>
    <x v="0"/>
    <n v="1050"/>
    <s v="No treatment"/>
    <x v="2"/>
    <x v="1"/>
    <x v="3"/>
    <s v="Heart_EC3_5"/>
    <n v="5"/>
    <m/>
    <n v="11"/>
    <n v="2"/>
    <s v="N/A"/>
    <n v="4"/>
    <n v="6"/>
    <n v="2"/>
    <n v="2"/>
    <s v="N/A"/>
    <s v="N/A"/>
    <s v="N/A"/>
    <s v="N/A"/>
    <s v="N/A"/>
    <m/>
    <m/>
    <m/>
    <n v="1.66"/>
    <n v="4"/>
    <n v="0.81"/>
    <n v="0.84"/>
    <s v="N/A"/>
    <s v="N/A"/>
    <n v="1.65"/>
    <n v="38.44"/>
    <s v="N/A"/>
    <n v="7.4999999999999734E-2"/>
    <n v="4.0000000000000036E-2"/>
    <m/>
    <m/>
    <n v="0.11499999999999977"/>
    <n v="512.53333333333512"/>
  </r>
  <r>
    <n v="20"/>
    <x v="0"/>
    <m/>
    <x v="0"/>
    <n v="1050"/>
    <s v="No treatment"/>
    <x v="2"/>
    <x v="1"/>
    <x v="3"/>
    <s v="Heart_EC3_6"/>
    <n v="6"/>
    <m/>
    <n v="12"/>
    <n v="2"/>
    <s v="N/A"/>
    <n v="4"/>
    <n v="6"/>
    <n v="2"/>
    <n v="2"/>
    <s v="N/A"/>
    <s v="N/A"/>
    <s v="N/A"/>
    <s v="N/A"/>
    <s v="N/A"/>
    <m/>
    <m/>
    <m/>
    <n v="1.49"/>
    <n v="4"/>
    <n v="0.74"/>
    <n v="0.74"/>
    <s v="N/A"/>
    <s v="N/A"/>
    <n v="1.48"/>
    <n v="34.549999999999997"/>
    <s v="N/A"/>
    <n v="8.0999999999999961E-2"/>
    <n v="1.8999999999999684E-2"/>
    <m/>
    <m/>
    <n v="9.9999999999999645E-2"/>
    <n v="426.54320987654336"/>
  </r>
  <r>
    <n v="20"/>
    <x v="0"/>
    <m/>
    <x v="0"/>
    <n v="1050"/>
    <s v="No treatment"/>
    <x v="2"/>
    <x v="1"/>
    <x v="3"/>
    <s v="Heart_EC3_7"/>
    <n v="7"/>
    <m/>
    <n v="11"/>
    <n v="2"/>
    <s v="N/A"/>
    <n v="4"/>
    <n v="6"/>
    <n v="3"/>
    <n v="1"/>
    <s v="N/A"/>
    <s v="N/A"/>
    <s v="N/A"/>
    <s v="N/A"/>
    <s v="N/A"/>
    <m/>
    <m/>
    <m/>
    <n v="1.47"/>
    <n v="4"/>
    <n v="0.69"/>
    <n v="0.74"/>
    <s v="N/A"/>
    <s v="N/A"/>
    <n v="1.43"/>
    <n v="33.25"/>
    <s v="N/A"/>
    <n v="4.8000000000000043E-2"/>
    <n v="1.2000000000000011E-2"/>
    <m/>
    <m/>
    <n v="6.0000000000000053E-2"/>
    <n v="692.70833333333269"/>
  </r>
  <r>
    <n v="20"/>
    <x v="0"/>
    <m/>
    <x v="0"/>
    <n v="1050"/>
    <s v="No treatment"/>
    <x v="2"/>
    <x v="1"/>
    <x v="3"/>
    <s v="Heart_EC3_8"/>
    <n v="8"/>
    <m/>
    <n v="13"/>
    <n v="2"/>
    <s v="N/A"/>
    <n v="4"/>
    <n v="6"/>
    <n v="2"/>
    <n v="2"/>
    <s v="N/A"/>
    <s v="N/A"/>
    <s v="N/A"/>
    <s v="N/A"/>
    <s v="N/A"/>
    <m/>
    <m/>
    <m/>
    <n v="1.67"/>
    <n v="4"/>
    <n v="0.77"/>
    <n v="0.89"/>
    <s v="N/A"/>
    <s v="N/A"/>
    <n v="1.6600000000000001"/>
    <n v="35.75"/>
    <s v="N/A"/>
    <n v="8.0000000000000071E-2"/>
    <n v="2.6999999999999691E-2"/>
    <m/>
    <m/>
    <n v="0.10699999999999976"/>
    <n v="446.8749999999996"/>
  </r>
  <r>
    <n v="20"/>
    <x v="0"/>
    <m/>
    <x v="0"/>
    <n v="1050"/>
    <s v="No treatment"/>
    <x v="2"/>
    <x v="1"/>
    <x v="3"/>
    <s v="Heart_EC3_9"/>
    <n v="9"/>
    <m/>
    <n v="11"/>
    <n v="2"/>
    <s v="N/A"/>
    <n v="4"/>
    <n v="6"/>
    <n v="2"/>
    <n v="2"/>
    <s v="N/A"/>
    <s v="N/A"/>
    <s v="N/A"/>
    <s v="N/A"/>
    <s v="N/A"/>
    <m/>
    <m/>
    <m/>
    <n v="1.75"/>
    <n v="4"/>
    <n v="0.96"/>
    <n v="0.78"/>
    <s v="N/A"/>
    <s v="N/A"/>
    <n v="1.74"/>
    <n v="43.55"/>
    <n v="2.2000000000000002"/>
    <n v="6.0999999999999943E-2"/>
    <n v="4.9999999999999822E-2"/>
    <m/>
    <m/>
    <n v="0.11099999999999977"/>
    <n v="713.93442622950886"/>
  </r>
  <r>
    <n v="20"/>
    <x v="0"/>
    <m/>
    <x v="0"/>
    <n v="1050"/>
    <s v="No treatment"/>
    <x v="2"/>
    <x v="1"/>
    <x v="3"/>
    <s v="Heart_EC3_10"/>
    <n v="10"/>
    <m/>
    <n v="12"/>
    <n v="2"/>
    <s v="N/A"/>
    <n v="4"/>
    <n v="6"/>
    <n v="2"/>
    <n v="2"/>
    <s v="N/A"/>
    <s v="N/A"/>
    <s v="N/A"/>
    <s v="N/A"/>
    <s v="N/A"/>
    <m/>
    <m/>
    <m/>
    <n v="1.76"/>
    <n v="4"/>
    <n v="0.8"/>
    <n v="0.93"/>
    <s v="N/A"/>
    <s v="N/A"/>
    <n v="1.73"/>
    <n v="37.950000000000003"/>
    <n v="1.48"/>
    <n v="6.4000000000000057E-2"/>
    <n v="2.4999999999999911E-2"/>
    <m/>
    <m/>
    <n v="8.8999999999999968E-2"/>
    <n v="592.96874999999955"/>
  </r>
  <r>
    <n v="20"/>
    <x v="0"/>
    <m/>
    <x v="0"/>
    <n v="1050"/>
    <s v="No treatment"/>
    <x v="2"/>
    <x v="1"/>
    <x v="3"/>
    <s v="Heart_EC3_11"/>
    <n v="11"/>
    <m/>
    <n v="12.5"/>
    <n v="2"/>
    <s v="N/A"/>
    <n v="4"/>
    <n v="6"/>
    <n v="2"/>
    <n v="2"/>
    <s v="N/A"/>
    <s v="N/A"/>
    <s v="N/A"/>
    <s v="N/A"/>
    <s v="N/A"/>
    <m/>
    <m/>
    <m/>
    <n v="1.56"/>
    <n v="4"/>
    <n v="0.71"/>
    <n v="0.84"/>
    <s v="N/A"/>
    <s v="N/A"/>
    <n v="1.5499999999999998"/>
    <n v="31.27"/>
    <n v="1.7"/>
    <n v="3.8999999999999702E-2"/>
    <n v="5.600000000000005E-2"/>
    <m/>
    <m/>
    <n v="9.4999999999999751E-2"/>
    <n v="801.79487179487796"/>
  </r>
  <r>
    <n v="20"/>
    <x v="0"/>
    <m/>
    <x v="0"/>
    <n v="1050"/>
    <s v="No treatment"/>
    <x v="2"/>
    <x v="1"/>
    <x v="3"/>
    <s v="Heart_EC3_12"/>
    <n v="12"/>
    <m/>
    <n v="11"/>
    <n v="2"/>
    <s v="N/A"/>
    <n v="3"/>
    <n v="5"/>
    <n v="2"/>
    <n v="1"/>
    <s v="N/A"/>
    <s v="N/A"/>
    <s v="N/A"/>
    <s v="N/A"/>
    <s v="N/A"/>
    <m/>
    <m/>
    <m/>
    <n v="1.1399999999999999"/>
    <n v="3"/>
    <n v="0.55000000000000004"/>
    <n v="0.56999999999999995"/>
    <s v="N/A"/>
    <s v="N/A"/>
    <n v="1.1200000000000001"/>
    <n v="28.2"/>
    <n v="1.71"/>
    <n v="6.999999999999984E-2"/>
    <n v="6.4000000000000057E-2"/>
    <m/>
    <m/>
    <n v="0.1339999999999999"/>
    <n v="402.85714285714374"/>
  </r>
  <r>
    <n v="20"/>
    <x v="0"/>
    <m/>
    <x v="0"/>
    <n v="1050"/>
    <s v="No treatment"/>
    <x v="3"/>
    <x v="0"/>
    <x v="0"/>
    <s v="NC_EC6_HL_1"/>
    <n v="1"/>
    <m/>
    <n v="5"/>
    <n v="2"/>
    <s v="N/A"/>
    <n v="3"/>
    <n v="5"/>
    <n v="2"/>
    <n v="1"/>
    <s v="N/A"/>
    <s v="N/A"/>
    <s v="N/A"/>
    <s v="N/A"/>
    <s v="N/A"/>
    <m/>
    <m/>
    <m/>
    <n v="0.86"/>
    <n v="3"/>
    <n v="0.68"/>
    <n v="0.17"/>
    <s v="N/A"/>
    <s v="N/A"/>
    <n v="0.85000000000000009"/>
    <n v="23.48"/>
    <s v="N/A"/>
    <n v="0.11899999999999977"/>
    <n v="7.8999999999999737E-2"/>
    <m/>
    <m/>
    <n v="0.19799999999999951"/>
    <n v="197.31092436974828"/>
  </r>
  <r>
    <n v="20"/>
    <x v="0"/>
    <m/>
    <x v="0"/>
    <n v="1050"/>
    <s v="No treatment"/>
    <x v="3"/>
    <x v="0"/>
    <x v="0"/>
    <s v="NC_EC6_HL_2"/>
    <n v="2"/>
    <m/>
    <n v="4"/>
    <n v="2"/>
    <s v="N/A"/>
    <n v="3"/>
    <n v="5"/>
    <n v="1"/>
    <n v="2"/>
    <s v="N/A"/>
    <s v="N/A"/>
    <s v="N/A"/>
    <s v="N/A"/>
    <s v="N/A"/>
    <m/>
    <m/>
    <m/>
    <n v="1.1000000000000001"/>
    <n v="3"/>
    <n v="0.89"/>
    <n v="0.23"/>
    <s v="N/A"/>
    <s v="N/A"/>
    <n v="1.1200000000000001"/>
    <n v="29.4"/>
    <s v="N/A"/>
    <n v="0.10499999999999998"/>
    <n v="6.1999999999999833E-2"/>
    <m/>
    <m/>
    <n v="0.16699999999999982"/>
    <n v="280.00000000000006"/>
  </r>
  <r>
    <n v="20"/>
    <x v="0"/>
    <m/>
    <x v="0"/>
    <n v="1050"/>
    <s v="No treatment"/>
    <x v="3"/>
    <x v="0"/>
    <x v="0"/>
    <s v="NC_EC6_HL_3"/>
    <n v="3"/>
    <m/>
    <n v="4.5"/>
    <n v="2"/>
    <s v="N/A"/>
    <n v="3"/>
    <n v="5"/>
    <n v="3"/>
    <n v="0"/>
    <s v="N/A"/>
    <s v="N/A"/>
    <s v="N/A"/>
    <s v="N/A"/>
    <s v="N/A"/>
    <m/>
    <m/>
    <m/>
    <n v="0.8"/>
    <n v="3"/>
    <n v="0.63"/>
    <n v="0.18"/>
    <s v="N/A"/>
    <s v="N/A"/>
    <n v="0.81"/>
    <n v="22.08"/>
    <s v="N/A"/>
    <n v="0.11499999999999977"/>
    <n v="5.7999999999999829E-2"/>
    <m/>
    <m/>
    <n v="0.1729999999999996"/>
    <n v="192.00000000000037"/>
  </r>
  <r>
    <n v="20"/>
    <x v="0"/>
    <m/>
    <x v="0"/>
    <n v="1050"/>
    <s v="No treatment"/>
    <x v="3"/>
    <x v="0"/>
    <x v="0"/>
    <s v="NC_EC6_HL_4"/>
    <n v="4"/>
    <m/>
    <n v="5.5"/>
    <n v="2"/>
    <s v="N/A"/>
    <n v="4"/>
    <n v="6"/>
    <n v="2"/>
    <n v="2"/>
    <s v="N/A"/>
    <s v="N/A"/>
    <s v="N/A"/>
    <s v="N/A"/>
    <s v="N/A"/>
    <m/>
    <m/>
    <m/>
    <n v="1.36"/>
    <n v="4"/>
    <n v="1.07"/>
    <n v="0.28000000000000003"/>
    <s v="N/A"/>
    <s v="N/A"/>
    <n v="1.35"/>
    <n v="34.96"/>
    <s v="N/A"/>
    <n v="8.8000000000000078E-2"/>
    <n v="6.4999999999999947E-2"/>
    <m/>
    <m/>
    <n v="0.15300000000000002"/>
    <n v="397.27272727272691"/>
  </r>
  <r>
    <n v="20"/>
    <x v="0"/>
    <m/>
    <x v="0"/>
    <n v="1050"/>
    <s v="No treatment"/>
    <x v="3"/>
    <x v="0"/>
    <x v="0"/>
    <s v="NC_EC6_HL_5"/>
    <n v="5"/>
    <m/>
    <n v="5"/>
    <n v="2"/>
    <s v="N/A"/>
    <n v="4"/>
    <n v="6"/>
    <n v="2"/>
    <n v="2"/>
    <s v="N/A"/>
    <s v="N/A"/>
    <s v="N/A"/>
    <s v="N/A"/>
    <s v="N/A"/>
    <m/>
    <m/>
    <m/>
    <n v="0.93"/>
    <n v="4"/>
    <n v="0.73"/>
    <n v="0.18"/>
    <s v="N/A"/>
    <s v="N/A"/>
    <n v="0.90999999999999992"/>
    <n v="25.1"/>
    <s v="N/A"/>
    <n v="7.4999999999999734E-2"/>
    <n v="4.0000000000000036E-2"/>
    <m/>
    <m/>
    <n v="0.11499999999999977"/>
    <n v="334.66666666666788"/>
  </r>
  <r>
    <n v="20"/>
    <x v="0"/>
    <m/>
    <x v="0"/>
    <n v="1050"/>
    <s v="No treatment"/>
    <x v="3"/>
    <x v="0"/>
    <x v="0"/>
    <s v="NC_EC6_HL_6"/>
    <n v="6"/>
    <m/>
    <n v="5"/>
    <n v="2"/>
    <s v="N/A"/>
    <n v="4"/>
    <n v="6"/>
    <n v="2"/>
    <n v="2"/>
    <s v="N/A"/>
    <s v="N/A"/>
    <s v="N/A"/>
    <s v="N/A"/>
    <s v="N/A"/>
    <m/>
    <m/>
    <m/>
    <n v="1.05"/>
    <n v="4"/>
    <n v="0.82"/>
    <n v="0.21"/>
    <s v="N/A"/>
    <s v="N/A"/>
    <n v="1.03"/>
    <n v="27.9"/>
    <s v="N/A"/>
    <n v="8.0999999999999961E-2"/>
    <n v="1.8999999999999684E-2"/>
    <m/>
    <m/>
    <n v="9.9999999999999645E-2"/>
    <n v="344.44444444444457"/>
  </r>
  <r>
    <n v="20"/>
    <x v="0"/>
    <m/>
    <x v="0"/>
    <n v="1050"/>
    <s v="No treatment"/>
    <x v="3"/>
    <x v="0"/>
    <x v="0"/>
    <s v="NC_EC6_HL_7"/>
    <n v="7"/>
    <m/>
    <n v="5"/>
    <n v="2"/>
    <n v="0.12"/>
    <n v="4"/>
    <n v="6"/>
    <n v="1"/>
    <n v="3"/>
    <s v="N/A"/>
    <s v="N/A"/>
    <s v="N/A"/>
    <s v="N/A"/>
    <s v="N/A"/>
    <m/>
    <m/>
    <m/>
    <n v="1.05"/>
    <n v="4"/>
    <n v="0.82"/>
    <n v="0.19"/>
    <s v="N/A"/>
    <s v="N/A"/>
    <n v="1.01"/>
    <n v="26.73"/>
    <n v="2.81"/>
    <n v="4.8000000000000043E-2"/>
    <n v="1.2000000000000011E-2"/>
    <m/>
    <m/>
    <n v="6.0000000000000053E-2"/>
    <n v="556.87499999999955"/>
  </r>
  <r>
    <n v="20"/>
    <x v="0"/>
    <m/>
    <x v="0"/>
    <n v="1050"/>
    <s v="No treatment"/>
    <x v="3"/>
    <x v="0"/>
    <x v="0"/>
    <s v="NC_EC6_HL_8"/>
    <n v="8"/>
    <m/>
    <n v="5"/>
    <n v="2"/>
    <n v="0.09"/>
    <n v="3"/>
    <n v="5"/>
    <n v="1"/>
    <n v="2"/>
    <s v="N/A"/>
    <s v="N/A"/>
    <s v="N/A"/>
    <s v="N/A"/>
    <s v="N/A"/>
    <m/>
    <m/>
    <m/>
    <n v="0.78"/>
    <n v="3"/>
    <n v="0.61"/>
    <n v="0.16"/>
    <s v="N/A"/>
    <s v="N/A"/>
    <n v="0.77"/>
    <n v="19.739999999999998"/>
    <n v="2.96"/>
    <n v="8.0000000000000071E-2"/>
    <n v="2.6999999999999691E-2"/>
    <m/>
    <m/>
    <n v="0.10699999999999976"/>
    <n v="246.74999999999977"/>
  </r>
  <r>
    <n v="20"/>
    <x v="0"/>
    <m/>
    <x v="0"/>
    <n v="1050"/>
    <s v="No treatment"/>
    <x v="3"/>
    <x v="0"/>
    <x v="0"/>
    <s v="NC_EC6_HL_9"/>
    <n v="9"/>
    <m/>
    <n v="5.5"/>
    <n v="2"/>
    <n v="0.13"/>
    <n v="3"/>
    <n v="5"/>
    <n v="1"/>
    <n v="2"/>
    <s v="N/A"/>
    <s v="N/A"/>
    <s v="N/A"/>
    <s v="N/A"/>
    <s v="N/A"/>
    <m/>
    <m/>
    <m/>
    <n v="1.0900000000000001"/>
    <n v="3"/>
    <n v="0.84"/>
    <n v="0.23"/>
    <s v="N/A"/>
    <s v="N/A"/>
    <n v="1.07"/>
    <n v="27.6"/>
    <n v="3.38"/>
    <n v="6.0999999999999943E-2"/>
    <n v="4.9999999999999822E-2"/>
    <m/>
    <m/>
    <n v="0.11099999999999977"/>
    <n v="452.45901639344305"/>
  </r>
  <r>
    <n v="20"/>
    <x v="0"/>
    <m/>
    <x v="0"/>
    <n v="1050"/>
    <s v="No treatment"/>
    <x v="3"/>
    <x v="0"/>
    <x v="0"/>
    <s v="NC_EC6_HL_10"/>
    <n v="10"/>
    <m/>
    <n v="4.5"/>
    <n v="2"/>
    <n v="0.11"/>
    <n v="3"/>
    <n v="5"/>
    <n v="1"/>
    <n v="2"/>
    <s v="N/A"/>
    <s v="N/A"/>
    <s v="N/A"/>
    <s v="N/A"/>
    <s v="N/A"/>
    <m/>
    <m/>
    <m/>
    <n v="0.98"/>
    <n v="3"/>
    <n v="0.79"/>
    <n v="0.19"/>
    <s v="N/A"/>
    <s v="N/A"/>
    <n v="0.98"/>
    <n v="25.9"/>
    <n v="3.09"/>
    <n v="6.4000000000000057E-2"/>
    <n v="2.4999999999999911E-2"/>
    <m/>
    <m/>
    <n v="8.8999999999999968E-2"/>
    <n v="404.6874999999996"/>
  </r>
  <r>
    <n v="20"/>
    <x v="0"/>
    <m/>
    <x v="0"/>
    <n v="1050"/>
    <s v="No treatment"/>
    <x v="3"/>
    <x v="0"/>
    <x v="0"/>
    <s v="NC_EC6_HL_11"/>
    <n v="11"/>
    <m/>
    <n v="5"/>
    <n v="2"/>
    <n v="0.12"/>
    <n v="4"/>
    <n v="6"/>
    <n v="2"/>
    <n v="2"/>
    <s v="N/A"/>
    <s v="N/A"/>
    <s v="N/A"/>
    <s v="N/A"/>
    <s v="N/A"/>
    <m/>
    <m/>
    <m/>
    <n v="1.45"/>
    <n v="4"/>
    <n v="1.1000000000000001"/>
    <n v="0.34"/>
    <s v="N/A"/>
    <s v="N/A"/>
    <n v="1.4400000000000002"/>
    <n v="38.29"/>
    <n v="3.29"/>
    <n v="3.8999999999999702E-2"/>
    <n v="5.600000000000005E-2"/>
    <m/>
    <m/>
    <n v="9.4999999999999751E-2"/>
    <n v="981.79487179487933"/>
  </r>
  <r>
    <n v="20"/>
    <x v="0"/>
    <m/>
    <x v="0"/>
    <n v="1050"/>
    <s v="No treatment"/>
    <x v="3"/>
    <x v="0"/>
    <x v="0"/>
    <s v="NC_EC6_HL_12"/>
    <n v="12"/>
    <m/>
    <n v="5.5"/>
    <n v="2"/>
    <n v="0.12"/>
    <n v="3"/>
    <n v="5"/>
    <n v="1"/>
    <n v="2"/>
    <s v="N/A"/>
    <s v="N/A"/>
    <s v="N/A"/>
    <s v="N/A"/>
    <s v="N/A"/>
    <m/>
    <m/>
    <m/>
    <n v="1.26"/>
    <n v="3"/>
    <n v="0.97"/>
    <n v="0.28000000000000003"/>
    <s v="N/A"/>
    <s v="N/A"/>
    <n v="1.25"/>
    <n v="32.14"/>
    <n v="3.23"/>
    <n v="6.999999999999984E-2"/>
    <n v="6.4000000000000057E-2"/>
    <m/>
    <m/>
    <n v="0.1339999999999999"/>
    <n v="459.14285714285819"/>
  </r>
  <r>
    <n v="20"/>
    <x v="0"/>
    <m/>
    <x v="0"/>
    <n v="1050"/>
    <s v="No treatment"/>
    <x v="3"/>
    <x v="0"/>
    <x v="1"/>
    <s v="NC_EC6_ML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0"/>
    <x v="1"/>
    <s v="NC_EC6_ML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0"/>
    <x v="1"/>
    <s v="NC_EC6_ML_3"/>
    <n v="3"/>
    <m/>
    <n v="4.5"/>
    <n v="2"/>
    <s v="N/A"/>
    <n v="3"/>
    <n v="5"/>
    <n v="3"/>
    <n v="0"/>
    <s v="N/A"/>
    <s v="N/A"/>
    <s v="N/A"/>
    <s v="N/A"/>
    <s v="N/A"/>
    <m/>
    <m/>
    <m/>
    <n v="0.8"/>
    <n v="3"/>
    <n v="0.63"/>
    <n v="0.18"/>
    <s v="N/A"/>
    <s v="N/A"/>
    <n v="0.81"/>
    <n v="22.08"/>
    <s v="N/A"/>
    <n v="4.6999999999999709E-2"/>
    <n v="1.2E-2"/>
    <m/>
    <m/>
    <n v="5.8999999999999705E-2"/>
    <n v="469.78723404255607"/>
  </r>
  <r>
    <n v="20"/>
    <x v="0"/>
    <m/>
    <x v="0"/>
    <n v="1050"/>
    <s v="No treatment"/>
    <x v="3"/>
    <x v="0"/>
    <x v="1"/>
    <s v="NC_EC6_ML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0"/>
    <x v="1"/>
    <s v="NC_EC6_ML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0"/>
    <x v="1"/>
    <s v="NC_EC6_ML_6"/>
    <n v="6"/>
    <m/>
    <n v="5"/>
    <n v="2"/>
    <s v="N/A"/>
    <n v="4"/>
    <n v="6"/>
    <n v="2"/>
    <n v="2"/>
    <s v="N/A"/>
    <s v="N/A"/>
    <s v="N/A"/>
    <s v="N/A"/>
    <s v="N/A"/>
    <m/>
    <m/>
    <m/>
    <n v="1.05"/>
    <n v="4"/>
    <n v="0.82"/>
    <n v="0.21"/>
    <s v="N/A"/>
    <s v="N/A"/>
    <n v="1.03"/>
    <n v="27.9"/>
    <s v="N/A"/>
    <n v="7.7999999999999847E-2"/>
    <n v="1.4E-2"/>
    <m/>
    <m/>
    <n v="9.1999999999999846E-2"/>
    <n v="357.69230769230836"/>
  </r>
  <r>
    <n v="20"/>
    <x v="0"/>
    <m/>
    <x v="0"/>
    <n v="1050"/>
    <s v="No treatment"/>
    <x v="3"/>
    <x v="0"/>
    <x v="1"/>
    <s v="NC_EC6_ML_7"/>
    <n v="7"/>
    <m/>
    <n v="5"/>
    <n v="2"/>
    <n v="0.12"/>
    <n v="4"/>
    <n v="6"/>
    <n v="1"/>
    <n v="3"/>
    <s v="N/A"/>
    <s v="N/A"/>
    <s v="N/A"/>
    <s v="N/A"/>
    <s v="N/A"/>
    <m/>
    <m/>
    <m/>
    <n v="1.05"/>
    <n v="4"/>
    <n v="0.82"/>
    <n v="0.19"/>
    <s v="N/A"/>
    <s v="N/A"/>
    <n v="1.01"/>
    <n v="26.73"/>
    <n v="2.81"/>
    <n v="0.1080000000000001"/>
    <n v="1.4E-2"/>
    <m/>
    <m/>
    <n v="0.12200000000000009"/>
    <n v="247.49999999999977"/>
  </r>
  <r>
    <n v="20"/>
    <x v="0"/>
    <m/>
    <x v="0"/>
    <n v="1050"/>
    <s v="No treatment"/>
    <x v="3"/>
    <x v="0"/>
    <x v="1"/>
    <s v="NC_EC6_ML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0"/>
    <x v="1"/>
    <s v="NC_EC6_ML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0"/>
    <x v="1"/>
    <s v="NC_EC6_ML_10"/>
    <n v="10"/>
    <m/>
    <n v="4.5"/>
    <n v="2"/>
    <n v="0.11"/>
    <n v="3"/>
    <n v="5"/>
    <n v="1"/>
    <n v="2"/>
    <s v="N/A"/>
    <s v="N/A"/>
    <s v="N/A"/>
    <s v="N/A"/>
    <s v="N/A"/>
    <m/>
    <m/>
    <m/>
    <n v="0.98"/>
    <n v="3"/>
    <n v="0.79"/>
    <n v="0.19"/>
    <s v="N/A"/>
    <s v="N/A"/>
    <n v="0.98"/>
    <n v="25.9"/>
    <n v="3.09"/>
    <n v="7.3999999999999844E-2"/>
    <n v="1.2E-2"/>
    <m/>
    <m/>
    <n v="8.599999999999984E-2"/>
    <n v="350.00000000000074"/>
  </r>
  <r>
    <n v="20"/>
    <x v="0"/>
    <m/>
    <x v="0"/>
    <n v="1050"/>
    <s v="No treatment"/>
    <x v="3"/>
    <x v="0"/>
    <x v="1"/>
    <s v="NC_EC6_ML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0"/>
    <x v="1"/>
    <s v="NC_EC6_ML_12"/>
    <n v="12"/>
    <m/>
    <n v="5.5"/>
    <n v="2"/>
    <n v="0.12"/>
    <n v="3"/>
    <n v="5"/>
    <n v="1"/>
    <n v="2"/>
    <s v="N/A"/>
    <s v="N/A"/>
    <s v="N/A"/>
    <s v="N/A"/>
    <s v="N/A"/>
    <m/>
    <m/>
    <m/>
    <n v="1.26"/>
    <n v="3"/>
    <n v="0.97"/>
    <n v="0.28000000000000003"/>
    <s v="N/A"/>
    <s v="N/A"/>
    <n v="1.25"/>
    <n v="32.14"/>
    <n v="3.23"/>
    <n v="0.10599999999999987"/>
    <n v="1.7000000000000001E-2"/>
    <m/>
    <m/>
    <n v="0.12299999999999987"/>
    <n v="303.20754716981168"/>
  </r>
  <r>
    <n v="20"/>
    <x v="0"/>
    <m/>
    <x v="0"/>
    <n v="1050"/>
    <s v="No treatment"/>
    <x v="3"/>
    <x v="0"/>
    <x v="2"/>
    <s v="NC_EC6_LL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0"/>
    <x v="2"/>
    <s v="NC_EC6_LL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0"/>
    <x v="2"/>
    <s v="NC_EC6_LL_3"/>
    <n v="3"/>
    <m/>
    <n v="4.5"/>
    <n v="2"/>
    <s v="N/A"/>
    <n v="3"/>
    <n v="5"/>
    <n v="3"/>
    <n v="0"/>
    <s v="N/A"/>
    <s v="N/A"/>
    <s v="N/A"/>
    <s v="N/A"/>
    <s v="N/A"/>
    <m/>
    <m/>
    <m/>
    <n v="0.8"/>
    <n v="3"/>
    <n v="0.63"/>
    <n v="0.18"/>
    <s v="N/A"/>
    <s v="N/A"/>
    <n v="0.81"/>
    <n v="22.08"/>
    <s v="N/A"/>
    <n v="4.6999999999999709E-2"/>
    <n v="1.2E-2"/>
    <m/>
    <m/>
    <n v="5.8999999999999705E-2"/>
    <n v="469.78723404255607"/>
  </r>
  <r>
    <n v="20"/>
    <x v="0"/>
    <m/>
    <x v="0"/>
    <n v="1050"/>
    <s v="No treatment"/>
    <x v="3"/>
    <x v="0"/>
    <x v="2"/>
    <s v="NC_EC6_LL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0"/>
    <x v="2"/>
    <s v="NC_EC6_LL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0"/>
    <x v="2"/>
    <s v="NC_EC6_LL_6"/>
    <n v="6"/>
    <m/>
    <n v="5"/>
    <n v="2"/>
    <s v="N/A"/>
    <n v="4"/>
    <n v="6"/>
    <n v="2"/>
    <n v="2"/>
    <s v="N/A"/>
    <s v="N/A"/>
    <s v="N/A"/>
    <s v="N/A"/>
    <s v="N/A"/>
    <m/>
    <m/>
    <m/>
    <n v="1.05"/>
    <n v="4"/>
    <n v="0.82"/>
    <n v="0.21"/>
    <s v="N/A"/>
    <s v="N/A"/>
    <n v="1.03"/>
    <n v="27.9"/>
    <s v="N/A"/>
    <n v="7.7999999999999847E-2"/>
    <n v="1.4E-2"/>
    <m/>
    <m/>
    <n v="9.1999999999999846E-2"/>
    <n v="357.69230769230836"/>
  </r>
  <r>
    <n v="20"/>
    <x v="0"/>
    <m/>
    <x v="0"/>
    <n v="1050"/>
    <s v="No treatment"/>
    <x v="3"/>
    <x v="0"/>
    <x v="2"/>
    <s v="NC_EC6_LL_7"/>
    <n v="7"/>
    <m/>
    <n v="5"/>
    <n v="2"/>
    <n v="0.12"/>
    <n v="4"/>
    <n v="6"/>
    <n v="1"/>
    <n v="3"/>
    <s v="N/A"/>
    <s v="N/A"/>
    <s v="N/A"/>
    <s v="N/A"/>
    <s v="N/A"/>
    <m/>
    <m/>
    <m/>
    <n v="1.05"/>
    <n v="4"/>
    <n v="0.82"/>
    <n v="0.19"/>
    <s v="N/A"/>
    <s v="N/A"/>
    <n v="1.01"/>
    <n v="26.73"/>
    <n v="2.81"/>
    <n v="0.1080000000000001"/>
    <n v="1.4E-2"/>
    <m/>
    <m/>
    <n v="0.12200000000000009"/>
    <n v="247.49999999999977"/>
  </r>
  <r>
    <n v="20"/>
    <x v="0"/>
    <m/>
    <x v="0"/>
    <n v="1050"/>
    <s v="No treatment"/>
    <x v="3"/>
    <x v="0"/>
    <x v="2"/>
    <s v="NC_EC6_LL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0"/>
    <x v="2"/>
    <s v="NC_EC6_LL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0"/>
    <x v="2"/>
    <s v="NC_EC6_LL_10"/>
    <n v="10"/>
    <m/>
    <n v="4.5"/>
    <n v="2"/>
    <n v="0.11"/>
    <n v="3"/>
    <n v="5"/>
    <n v="1"/>
    <n v="2"/>
    <s v="N/A"/>
    <s v="N/A"/>
    <s v="N/A"/>
    <s v="N/A"/>
    <s v="N/A"/>
    <m/>
    <m/>
    <m/>
    <n v="0.98"/>
    <n v="3"/>
    <n v="0.79"/>
    <n v="0.19"/>
    <s v="N/A"/>
    <s v="N/A"/>
    <n v="0.98"/>
    <n v="25.9"/>
    <n v="3.09"/>
    <n v="7.3999999999999844E-2"/>
    <n v="1.2E-2"/>
    <m/>
    <m/>
    <n v="8.599999999999984E-2"/>
    <n v="350.00000000000074"/>
  </r>
  <r>
    <n v="20"/>
    <x v="0"/>
    <m/>
    <x v="0"/>
    <n v="1050"/>
    <s v="No treatment"/>
    <x v="3"/>
    <x v="0"/>
    <x v="2"/>
    <s v="NC_EC6_LL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0"/>
    <x v="2"/>
    <s v="NC_EC6_LL_12"/>
    <n v="12"/>
    <m/>
    <n v="5.5"/>
    <n v="2"/>
    <n v="0.12"/>
    <n v="3"/>
    <n v="5"/>
    <n v="1"/>
    <n v="2"/>
    <s v="N/A"/>
    <s v="N/A"/>
    <s v="N/A"/>
    <s v="N/A"/>
    <s v="N/A"/>
    <m/>
    <m/>
    <m/>
    <n v="1.26"/>
    <n v="3"/>
    <n v="0.97"/>
    <n v="0.28000000000000003"/>
    <s v="N/A"/>
    <s v="N/A"/>
    <n v="1.25"/>
    <n v="32.14"/>
    <n v="3.23"/>
    <n v="0.10599999999999987"/>
    <n v="1.7000000000000001E-2"/>
    <m/>
    <m/>
    <n v="0.12299999999999987"/>
    <n v="303.20754716981168"/>
  </r>
  <r>
    <n v="20"/>
    <x v="0"/>
    <m/>
    <x v="0"/>
    <n v="1050"/>
    <s v="No treatment"/>
    <x v="3"/>
    <x v="0"/>
    <x v="3"/>
    <s v="NC_EC6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0"/>
    <x v="3"/>
    <s v="NC_EC6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0"/>
    <x v="3"/>
    <s v="NC_EC6_3"/>
    <n v="3"/>
    <m/>
    <n v="4.5"/>
    <n v="2"/>
    <s v="N/A"/>
    <n v="3"/>
    <n v="5"/>
    <n v="3"/>
    <n v="0"/>
    <s v="N/A"/>
    <s v="N/A"/>
    <s v="N/A"/>
    <s v="N/A"/>
    <s v="N/A"/>
    <m/>
    <m/>
    <m/>
    <n v="0.8"/>
    <n v="3"/>
    <n v="0.63"/>
    <n v="0.18"/>
    <s v="N/A"/>
    <s v="N/A"/>
    <n v="0.81"/>
    <n v="22.08"/>
    <s v="N/A"/>
    <n v="4.6999999999999709E-2"/>
    <n v="1.2E-2"/>
    <m/>
    <m/>
    <n v="5.8999999999999705E-2"/>
    <n v="469.78723404255607"/>
  </r>
  <r>
    <n v="20"/>
    <x v="0"/>
    <m/>
    <x v="0"/>
    <n v="1050"/>
    <s v="No treatment"/>
    <x v="3"/>
    <x v="0"/>
    <x v="3"/>
    <s v="NC_EC6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0"/>
    <x v="3"/>
    <s v="NC_EC6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0"/>
    <x v="3"/>
    <s v="NC_EC6_6"/>
    <n v="6"/>
    <m/>
    <n v="5"/>
    <n v="2"/>
    <s v="N/A"/>
    <n v="4"/>
    <n v="6"/>
    <n v="2"/>
    <n v="2"/>
    <s v="N/A"/>
    <s v="N/A"/>
    <s v="N/A"/>
    <s v="N/A"/>
    <s v="N/A"/>
    <m/>
    <m/>
    <m/>
    <n v="1.05"/>
    <n v="4"/>
    <n v="0.82"/>
    <n v="0.21"/>
    <s v="N/A"/>
    <s v="N/A"/>
    <n v="1.03"/>
    <n v="27.9"/>
    <s v="N/A"/>
    <n v="7.7999999999999847E-2"/>
    <n v="1.4E-2"/>
    <m/>
    <m/>
    <n v="9.1999999999999846E-2"/>
    <n v="357.69230769230836"/>
  </r>
  <r>
    <n v="20"/>
    <x v="0"/>
    <m/>
    <x v="0"/>
    <n v="1050"/>
    <s v="No treatment"/>
    <x v="3"/>
    <x v="0"/>
    <x v="3"/>
    <s v="NC_EC6_7"/>
    <n v="7"/>
    <m/>
    <n v="5"/>
    <n v="2"/>
    <n v="0.12"/>
    <n v="4"/>
    <n v="6"/>
    <n v="1"/>
    <n v="3"/>
    <s v="N/A"/>
    <s v="N/A"/>
    <s v="N/A"/>
    <s v="N/A"/>
    <s v="N/A"/>
    <m/>
    <m/>
    <m/>
    <n v="1.05"/>
    <n v="4"/>
    <n v="0.82"/>
    <n v="0.19"/>
    <s v="N/A"/>
    <s v="N/A"/>
    <n v="1.01"/>
    <n v="26.73"/>
    <n v="2.81"/>
    <n v="0.1080000000000001"/>
    <n v="1.4E-2"/>
    <m/>
    <m/>
    <n v="0.12200000000000009"/>
    <n v="247.49999999999977"/>
  </r>
  <r>
    <n v="20"/>
    <x v="0"/>
    <m/>
    <x v="0"/>
    <n v="1050"/>
    <s v="No treatment"/>
    <x v="3"/>
    <x v="0"/>
    <x v="3"/>
    <s v="NC_EC6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0"/>
    <x v="3"/>
    <s v="NC_EC6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0"/>
    <x v="3"/>
    <s v="NC_EC6_10"/>
    <n v="10"/>
    <m/>
    <n v="4.5"/>
    <n v="2"/>
    <n v="0.11"/>
    <n v="3"/>
    <n v="5"/>
    <n v="1"/>
    <n v="2"/>
    <s v="N/A"/>
    <s v="N/A"/>
    <s v="N/A"/>
    <s v="N/A"/>
    <s v="N/A"/>
    <m/>
    <m/>
    <m/>
    <n v="0.98"/>
    <n v="3"/>
    <n v="0.79"/>
    <n v="0.19"/>
    <s v="N/A"/>
    <s v="N/A"/>
    <n v="0.98"/>
    <n v="25.9"/>
    <n v="3.09"/>
    <n v="7.3999999999999844E-2"/>
    <n v="1.2E-2"/>
    <m/>
    <m/>
    <n v="8.599999999999984E-2"/>
    <n v="350.00000000000074"/>
  </r>
  <r>
    <n v="20"/>
    <x v="0"/>
    <m/>
    <x v="0"/>
    <n v="1050"/>
    <s v="No treatment"/>
    <x v="3"/>
    <x v="0"/>
    <x v="3"/>
    <s v="NC_EC6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0"/>
    <x v="3"/>
    <s v="NC_EC6_12"/>
    <n v="12"/>
    <m/>
    <n v="5.5"/>
    <n v="2"/>
    <n v="0.12"/>
    <n v="3"/>
    <n v="5"/>
    <n v="1"/>
    <n v="2"/>
    <s v="N/A"/>
    <s v="N/A"/>
    <s v="N/A"/>
    <s v="N/A"/>
    <s v="N/A"/>
    <m/>
    <m/>
    <m/>
    <n v="1.26"/>
    <n v="3"/>
    <n v="0.97"/>
    <n v="0.28000000000000003"/>
    <s v="N/A"/>
    <s v="N/A"/>
    <n v="1.25"/>
    <n v="32.14"/>
    <n v="3.23"/>
    <n v="0.10599999999999987"/>
    <n v="1.7000000000000001E-2"/>
    <m/>
    <m/>
    <n v="0.12299999999999987"/>
    <n v="303.20754716981168"/>
  </r>
  <r>
    <n v="20"/>
    <x v="0"/>
    <m/>
    <x v="0"/>
    <n v="1050"/>
    <s v="No treatment"/>
    <x v="3"/>
    <x v="1"/>
    <x v="0"/>
    <s v="NC_EC3_HL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1"/>
    <x v="0"/>
    <s v="NC_EC3_HL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1"/>
    <x v="0"/>
    <s v="NC_EC3_HL_3"/>
    <n v="3"/>
    <m/>
    <n v="4.5"/>
    <n v="2"/>
    <s v="N/A"/>
    <n v="3"/>
    <n v="5"/>
    <n v="3"/>
    <n v="0"/>
    <s v="N/A"/>
    <s v="N/A"/>
    <s v="N/A"/>
    <s v="N/A"/>
    <s v="N/A"/>
    <m/>
    <m/>
    <m/>
    <n v="0.8"/>
    <n v="3"/>
    <n v="0.63"/>
    <n v="0.18"/>
    <s v="N/A"/>
    <s v="N/A"/>
    <n v="0.81"/>
    <n v="22.08"/>
    <s v="N/A"/>
    <n v="4.6999999999999709E-2"/>
    <n v="1.2E-2"/>
    <m/>
    <m/>
    <n v="5.8999999999999705E-2"/>
    <n v="469.78723404255607"/>
  </r>
  <r>
    <n v="20"/>
    <x v="0"/>
    <m/>
    <x v="0"/>
    <n v="1050"/>
    <s v="No treatment"/>
    <x v="3"/>
    <x v="1"/>
    <x v="0"/>
    <s v="NC_EC3_HL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1"/>
    <x v="0"/>
    <s v="NC_EC3_HL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1"/>
    <x v="0"/>
    <s v="NC_EC3_HL_6"/>
    <n v="6"/>
    <m/>
    <n v="5"/>
    <n v="2"/>
    <s v="N/A"/>
    <n v="4"/>
    <n v="6"/>
    <n v="2"/>
    <n v="2"/>
    <s v="N/A"/>
    <s v="N/A"/>
    <s v="N/A"/>
    <s v="N/A"/>
    <s v="N/A"/>
    <m/>
    <m/>
    <m/>
    <n v="1.05"/>
    <n v="4"/>
    <n v="0.82"/>
    <n v="0.21"/>
    <s v="N/A"/>
    <s v="N/A"/>
    <n v="1.03"/>
    <n v="27.9"/>
    <s v="N/A"/>
    <n v="7.7999999999999847E-2"/>
    <n v="1.4E-2"/>
    <m/>
    <m/>
    <n v="9.1999999999999846E-2"/>
    <n v="357.69230769230836"/>
  </r>
  <r>
    <n v="20"/>
    <x v="0"/>
    <m/>
    <x v="0"/>
    <n v="1050"/>
    <s v="No treatment"/>
    <x v="3"/>
    <x v="1"/>
    <x v="0"/>
    <s v="NC_EC3_HL_7"/>
    <n v="7"/>
    <m/>
    <n v="5"/>
    <n v="2"/>
    <n v="0.12"/>
    <n v="4"/>
    <n v="6"/>
    <n v="1"/>
    <n v="3"/>
    <s v="N/A"/>
    <s v="N/A"/>
    <s v="N/A"/>
    <s v="N/A"/>
    <s v="N/A"/>
    <m/>
    <m/>
    <m/>
    <n v="1.05"/>
    <n v="4"/>
    <n v="0.82"/>
    <n v="0.19"/>
    <s v="N/A"/>
    <s v="N/A"/>
    <n v="1.01"/>
    <n v="26.73"/>
    <n v="2.81"/>
    <n v="0.1080000000000001"/>
    <n v="1.4E-2"/>
    <m/>
    <m/>
    <n v="0.12200000000000009"/>
    <n v="247.49999999999977"/>
  </r>
  <r>
    <n v="20"/>
    <x v="0"/>
    <m/>
    <x v="0"/>
    <n v="1050"/>
    <s v="No treatment"/>
    <x v="3"/>
    <x v="1"/>
    <x v="0"/>
    <s v="NC_EC3_HL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1"/>
    <x v="0"/>
    <s v="NC_EC3_HL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1"/>
    <x v="0"/>
    <s v="NC_EC3_HL_10"/>
    <n v="10"/>
    <m/>
    <n v="4.5"/>
    <n v="2"/>
    <n v="0.11"/>
    <n v="3"/>
    <n v="5"/>
    <n v="1"/>
    <n v="2"/>
    <s v="N/A"/>
    <s v="N/A"/>
    <s v="N/A"/>
    <s v="N/A"/>
    <s v="N/A"/>
    <m/>
    <m/>
    <m/>
    <n v="0.98"/>
    <n v="3"/>
    <n v="0.79"/>
    <n v="0.19"/>
    <s v="N/A"/>
    <s v="N/A"/>
    <n v="0.98"/>
    <n v="25.9"/>
    <n v="3.09"/>
    <n v="7.3999999999999844E-2"/>
    <n v="1.2E-2"/>
    <m/>
    <m/>
    <n v="8.599999999999984E-2"/>
    <n v="350.00000000000074"/>
  </r>
  <r>
    <n v="20"/>
    <x v="0"/>
    <m/>
    <x v="0"/>
    <n v="1050"/>
    <s v="No treatment"/>
    <x v="3"/>
    <x v="1"/>
    <x v="0"/>
    <s v="NC_EC3_HL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1"/>
    <x v="0"/>
    <s v="NC_EC3_HL_12"/>
    <n v="12"/>
    <m/>
    <n v="5.5"/>
    <n v="2"/>
    <n v="0.12"/>
    <n v="3"/>
    <n v="5"/>
    <n v="1"/>
    <n v="2"/>
    <s v="N/A"/>
    <s v="N/A"/>
    <s v="N/A"/>
    <s v="N/A"/>
    <s v="N/A"/>
    <m/>
    <m/>
    <m/>
    <n v="1.26"/>
    <n v="3"/>
    <n v="0.97"/>
    <n v="0.28000000000000003"/>
    <s v="N/A"/>
    <s v="N/A"/>
    <n v="1.25"/>
    <n v="32.14"/>
    <n v="3.23"/>
    <n v="0.10599999999999987"/>
    <n v="1.7000000000000001E-2"/>
    <m/>
    <m/>
    <n v="0.12299999999999987"/>
    <n v="303.20754716981168"/>
  </r>
  <r>
    <n v="20"/>
    <x v="0"/>
    <m/>
    <x v="0"/>
    <n v="1050"/>
    <s v="No treatment"/>
    <x v="3"/>
    <x v="1"/>
    <x v="1"/>
    <s v="NC_EC3_ML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1"/>
    <x v="1"/>
    <s v="NC_EC3_ML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1"/>
    <x v="1"/>
    <s v="NC_EC3_ML_3"/>
    <n v="3"/>
    <m/>
    <n v="4.5"/>
    <n v="2"/>
    <s v="N/A"/>
    <n v="3"/>
    <n v="5"/>
    <n v="3"/>
    <n v="0"/>
    <s v="N/A"/>
    <s v="N/A"/>
    <s v="N/A"/>
    <s v="N/A"/>
    <s v="N/A"/>
    <m/>
    <m/>
    <m/>
    <n v="0.8"/>
    <n v="3"/>
    <n v="0.63"/>
    <n v="0.18"/>
    <s v="N/A"/>
    <s v="N/A"/>
    <n v="0.81"/>
    <n v="22.08"/>
    <s v="N/A"/>
    <n v="4.6999999999999709E-2"/>
    <n v="1.2E-2"/>
    <m/>
    <m/>
    <n v="5.8999999999999705E-2"/>
    <n v="469.78723404255607"/>
  </r>
  <r>
    <n v="20"/>
    <x v="0"/>
    <m/>
    <x v="0"/>
    <n v="1050"/>
    <s v="No treatment"/>
    <x v="3"/>
    <x v="1"/>
    <x v="1"/>
    <s v="NC_EC3_ML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1"/>
    <x v="1"/>
    <s v="NC_EC3_ML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1"/>
    <x v="1"/>
    <s v="NC_EC3_ML_6"/>
    <n v="6"/>
    <m/>
    <n v="5"/>
    <n v="2"/>
    <s v="N/A"/>
    <n v="4"/>
    <n v="6"/>
    <n v="2"/>
    <n v="2"/>
    <s v="N/A"/>
    <s v="N/A"/>
    <s v="N/A"/>
    <s v="N/A"/>
    <s v="N/A"/>
    <m/>
    <m/>
    <m/>
    <n v="1.05"/>
    <n v="4"/>
    <n v="0.82"/>
    <n v="0.21"/>
    <s v="N/A"/>
    <s v="N/A"/>
    <n v="1.03"/>
    <n v="27.9"/>
    <s v="N/A"/>
    <n v="7.7999999999999847E-2"/>
    <n v="1.4E-2"/>
    <m/>
    <m/>
    <n v="9.1999999999999846E-2"/>
    <n v="357.69230769230836"/>
  </r>
  <r>
    <n v="20"/>
    <x v="0"/>
    <m/>
    <x v="0"/>
    <n v="1050"/>
    <s v="No treatment"/>
    <x v="3"/>
    <x v="1"/>
    <x v="1"/>
    <s v="NC_EC3_ML_7"/>
    <n v="7"/>
    <m/>
    <n v="5"/>
    <n v="2"/>
    <n v="0.12"/>
    <n v="4"/>
    <n v="6"/>
    <n v="1"/>
    <n v="3"/>
    <s v="N/A"/>
    <s v="N/A"/>
    <s v="N/A"/>
    <s v="N/A"/>
    <s v="N/A"/>
    <m/>
    <m/>
    <m/>
    <n v="1.05"/>
    <n v="4"/>
    <n v="0.82"/>
    <n v="0.19"/>
    <s v="N/A"/>
    <s v="N/A"/>
    <n v="1.01"/>
    <n v="26.73"/>
    <n v="2.81"/>
    <n v="0.1080000000000001"/>
    <n v="1.4E-2"/>
    <m/>
    <m/>
    <n v="0.12200000000000009"/>
    <n v="247.49999999999977"/>
  </r>
  <r>
    <n v="20"/>
    <x v="0"/>
    <m/>
    <x v="0"/>
    <n v="1050"/>
    <s v="No treatment"/>
    <x v="3"/>
    <x v="1"/>
    <x v="1"/>
    <s v="NC_EC3_ML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1"/>
    <x v="1"/>
    <s v="NC_EC3_ML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1"/>
    <x v="1"/>
    <s v="NC_EC3_ML_10"/>
    <n v="10"/>
    <m/>
    <n v="4.5"/>
    <n v="2"/>
    <n v="0.11"/>
    <n v="3"/>
    <n v="5"/>
    <n v="1"/>
    <n v="2"/>
    <s v="N/A"/>
    <s v="N/A"/>
    <s v="N/A"/>
    <s v="N/A"/>
    <s v="N/A"/>
    <m/>
    <m/>
    <m/>
    <n v="0.98"/>
    <n v="3"/>
    <n v="0.79"/>
    <n v="0.19"/>
    <s v="N/A"/>
    <s v="N/A"/>
    <n v="0.98"/>
    <n v="25.9"/>
    <n v="3.09"/>
    <n v="7.3999999999999844E-2"/>
    <n v="1.2E-2"/>
    <m/>
    <m/>
    <n v="8.599999999999984E-2"/>
    <n v="350.00000000000074"/>
  </r>
  <r>
    <n v="20"/>
    <x v="0"/>
    <m/>
    <x v="0"/>
    <n v="1050"/>
    <s v="No treatment"/>
    <x v="3"/>
    <x v="1"/>
    <x v="1"/>
    <s v="NC_EC3_ML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1"/>
    <x v="1"/>
    <s v="NC_EC3_ML_12"/>
    <n v="12"/>
    <m/>
    <n v="5.5"/>
    <n v="2"/>
    <n v="0.12"/>
    <n v="3"/>
    <n v="5"/>
    <n v="1"/>
    <n v="2"/>
    <s v="N/A"/>
    <s v="N/A"/>
    <s v="N/A"/>
    <s v="N/A"/>
    <s v="N/A"/>
    <m/>
    <m/>
    <m/>
    <n v="1.26"/>
    <n v="3"/>
    <n v="0.97"/>
    <n v="0.28000000000000003"/>
    <s v="N/A"/>
    <s v="N/A"/>
    <n v="1.25"/>
    <n v="32.14"/>
    <n v="3.23"/>
    <n v="0.10599999999999987"/>
    <n v="1.7000000000000001E-2"/>
    <m/>
    <m/>
    <n v="0.12299999999999987"/>
    <n v="303.20754716981168"/>
  </r>
  <r>
    <n v="20"/>
    <x v="0"/>
    <m/>
    <x v="0"/>
    <n v="1050"/>
    <s v="No treatment"/>
    <x v="3"/>
    <x v="1"/>
    <x v="2"/>
    <s v="NC_EC3_LL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1"/>
    <x v="2"/>
    <s v="NC_EC3_LL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1"/>
    <x v="2"/>
    <s v="NC_EC3_LL_3"/>
    <n v="3"/>
    <m/>
    <n v="4.5"/>
    <n v="2"/>
    <s v="N/A"/>
    <n v="3"/>
    <n v="5"/>
    <n v="3"/>
    <n v="0"/>
    <s v="N/A"/>
    <s v="N/A"/>
    <s v="N/A"/>
    <s v="N/A"/>
    <s v="N/A"/>
    <m/>
    <m/>
    <m/>
    <n v="0.8"/>
    <n v="3"/>
    <n v="0.63"/>
    <n v="0.18"/>
    <s v="N/A"/>
    <s v="N/A"/>
    <n v="0.81"/>
    <n v="22.08"/>
    <s v="N/A"/>
    <n v="4.6999999999999709E-2"/>
    <n v="1.2E-2"/>
    <m/>
    <m/>
    <n v="5.8999999999999705E-2"/>
    <n v="469.78723404255607"/>
  </r>
  <r>
    <n v="20"/>
    <x v="0"/>
    <m/>
    <x v="0"/>
    <n v="1050"/>
    <s v="No treatment"/>
    <x v="3"/>
    <x v="1"/>
    <x v="2"/>
    <s v="NC_EC3_LL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1"/>
    <x v="2"/>
    <s v="NC_EC3_LL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1"/>
    <x v="2"/>
    <s v="NC_EC3_LL_6"/>
    <n v="6"/>
    <m/>
    <n v="5"/>
    <n v="2"/>
    <s v="N/A"/>
    <n v="4"/>
    <n v="6"/>
    <n v="2"/>
    <n v="2"/>
    <s v="N/A"/>
    <s v="N/A"/>
    <s v="N/A"/>
    <s v="N/A"/>
    <s v="N/A"/>
    <m/>
    <m/>
    <m/>
    <n v="1.05"/>
    <n v="4"/>
    <n v="0.82"/>
    <n v="0.21"/>
    <s v="N/A"/>
    <s v="N/A"/>
    <n v="1.03"/>
    <n v="27.9"/>
    <s v="N/A"/>
    <n v="7.7999999999999847E-2"/>
    <n v="1.4E-2"/>
    <m/>
    <m/>
    <n v="9.1999999999999846E-2"/>
    <n v="357.69230769230836"/>
  </r>
  <r>
    <n v="20"/>
    <x v="0"/>
    <m/>
    <x v="0"/>
    <n v="1050"/>
    <s v="No treatment"/>
    <x v="3"/>
    <x v="1"/>
    <x v="2"/>
    <s v="NC_EC3_LL_7"/>
    <n v="7"/>
    <m/>
    <n v="5"/>
    <n v="2"/>
    <n v="0.12"/>
    <n v="4"/>
    <n v="6"/>
    <n v="1"/>
    <n v="3"/>
    <s v="N/A"/>
    <s v="N/A"/>
    <s v="N/A"/>
    <s v="N/A"/>
    <s v="N/A"/>
    <m/>
    <m/>
    <m/>
    <n v="1.05"/>
    <n v="4"/>
    <n v="0.82"/>
    <n v="0.19"/>
    <s v="N/A"/>
    <s v="N/A"/>
    <n v="1.01"/>
    <n v="26.73"/>
    <n v="2.81"/>
    <n v="0.1080000000000001"/>
    <n v="1.4E-2"/>
    <m/>
    <m/>
    <n v="0.12200000000000009"/>
    <n v="247.49999999999977"/>
  </r>
  <r>
    <n v="20"/>
    <x v="0"/>
    <m/>
    <x v="0"/>
    <n v="1050"/>
    <s v="No treatment"/>
    <x v="3"/>
    <x v="1"/>
    <x v="2"/>
    <s v="NC_EC3_LL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1"/>
    <x v="2"/>
    <s v="NC_EC3_LL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1"/>
    <x v="2"/>
    <s v="NC_EC3_LL_10"/>
    <n v="10"/>
    <m/>
    <n v="4.5"/>
    <n v="2"/>
    <n v="0.11"/>
    <n v="3"/>
    <n v="5"/>
    <n v="1"/>
    <n v="2"/>
    <s v="N/A"/>
    <s v="N/A"/>
    <s v="N/A"/>
    <s v="N/A"/>
    <s v="N/A"/>
    <m/>
    <m/>
    <m/>
    <n v="0.98"/>
    <n v="3"/>
    <n v="0.79"/>
    <n v="0.19"/>
    <s v="N/A"/>
    <s v="N/A"/>
    <n v="0.98"/>
    <n v="25.9"/>
    <n v="3.09"/>
    <n v="7.3999999999999844E-2"/>
    <n v="1.2E-2"/>
    <m/>
    <m/>
    <n v="8.599999999999984E-2"/>
    <n v="350.00000000000074"/>
  </r>
  <r>
    <n v="20"/>
    <x v="0"/>
    <m/>
    <x v="0"/>
    <n v="1050"/>
    <s v="No treatment"/>
    <x v="3"/>
    <x v="1"/>
    <x v="2"/>
    <s v="NC_EC3_LL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1"/>
    <x v="2"/>
    <s v="NC_EC3_LL_12"/>
    <n v="12"/>
    <m/>
    <n v="5.5"/>
    <n v="2"/>
    <n v="0.12"/>
    <n v="3"/>
    <n v="5"/>
    <n v="1"/>
    <n v="2"/>
    <s v="N/A"/>
    <s v="N/A"/>
    <s v="N/A"/>
    <s v="N/A"/>
    <s v="N/A"/>
    <m/>
    <m/>
    <m/>
    <n v="1.26"/>
    <n v="3"/>
    <n v="0.97"/>
    <n v="0.28000000000000003"/>
    <s v="N/A"/>
    <s v="N/A"/>
    <n v="1.25"/>
    <n v="32.14"/>
    <n v="3.23"/>
    <n v="0.10599999999999987"/>
    <n v="1.7000000000000001E-2"/>
    <m/>
    <m/>
    <n v="0.12299999999999987"/>
    <n v="303.20754716981168"/>
  </r>
  <r>
    <n v="20"/>
    <x v="0"/>
    <m/>
    <x v="0"/>
    <n v="1050"/>
    <s v="No treatment"/>
    <x v="3"/>
    <x v="1"/>
    <x v="3"/>
    <s v="NC_EC3_1"/>
    <n v="1"/>
    <m/>
    <n v="5"/>
    <n v="2"/>
    <s v="N/A"/>
    <n v="3"/>
    <n v="5"/>
    <n v="2"/>
    <n v="1"/>
    <s v="N/A"/>
    <s v="N/A"/>
    <s v="N/A"/>
    <s v="N/A"/>
    <s v="N/A"/>
    <m/>
    <m/>
    <m/>
    <n v="0.86"/>
    <n v="3"/>
    <n v="0.68"/>
    <n v="0.17"/>
    <s v="N/A"/>
    <s v="N/A"/>
    <n v="0.85000000000000009"/>
    <n v="23.48"/>
    <s v="N/A"/>
    <n v="7.099999999999973E-2"/>
    <n v="0.01"/>
    <m/>
    <m/>
    <n v="8.0999999999999725E-2"/>
    <n v="330.70422535211395"/>
  </r>
  <r>
    <n v="20"/>
    <x v="0"/>
    <m/>
    <x v="0"/>
    <n v="1050"/>
    <s v="No treatment"/>
    <x v="3"/>
    <x v="1"/>
    <x v="3"/>
    <s v="NC_EC3_2"/>
    <n v="2"/>
    <m/>
    <n v="4"/>
    <n v="2"/>
    <s v="N/A"/>
    <n v="3"/>
    <n v="5"/>
    <n v="1"/>
    <n v="2"/>
    <s v="N/A"/>
    <s v="N/A"/>
    <s v="N/A"/>
    <s v="N/A"/>
    <s v="N/A"/>
    <m/>
    <m/>
    <m/>
    <n v="1.1000000000000001"/>
    <n v="3"/>
    <n v="0.89"/>
    <n v="0.23"/>
    <s v="N/A"/>
    <s v="N/A"/>
    <n v="1.1200000000000001"/>
    <n v="29.4"/>
    <s v="N/A"/>
    <n v="9.2999999999999972E-2"/>
    <n v="1.4E-2"/>
    <m/>
    <m/>
    <n v="0.10699999999999997"/>
    <n v="316.12903225806457"/>
  </r>
  <r>
    <n v="20"/>
    <x v="0"/>
    <m/>
    <x v="0"/>
    <n v="1050"/>
    <s v="No treatment"/>
    <x v="3"/>
    <x v="1"/>
    <x v="3"/>
    <s v="NC_EC3_3"/>
    <n v="3"/>
    <m/>
    <n v="4.5"/>
    <n v="2"/>
    <s v="N/A"/>
    <n v="3"/>
    <n v="5"/>
    <n v="3"/>
    <n v="0"/>
    <s v="N/A"/>
    <s v="N/A"/>
    <s v="N/A"/>
    <s v="N/A"/>
    <s v="N/A"/>
    <m/>
    <m/>
    <m/>
    <n v="0.8"/>
    <n v="3"/>
    <n v="0.63"/>
    <n v="0.18"/>
    <s v="N/A"/>
    <s v="N/A"/>
    <n v="0.81"/>
    <n v="22.08"/>
    <s v="N/A"/>
    <n v="4.6999999999999709E-2"/>
    <n v="1.2E-2"/>
    <m/>
    <m/>
    <n v="5.8999999999999705E-2"/>
    <n v="469.78723404255607"/>
  </r>
  <r>
    <n v="20"/>
    <x v="0"/>
    <m/>
    <x v="0"/>
    <n v="1050"/>
    <s v="No treatment"/>
    <x v="3"/>
    <x v="1"/>
    <x v="3"/>
    <s v="NC_EC3_4"/>
    <n v="4"/>
    <m/>
    <n v="5.5"/>
    <n v="2"/>
    <s v="N/A"/>
    <n v="4"/>
    <n v="6"/>
    <n v="2"/>
    <n v="2"/>
    <s v="N/A"/>
    <s v="N/A"/>
    <s v="N/A"/>
    <s v="N/A"/>
    <s v="N/A"/>
    <m/>
    <m/>
    <m/>
    <n v="1.36"/>
    <n v="4"/>
    <n v="1.07"/>
    <n v="0.28000000000000003"/>
    <s v="N/A"/>
    <s v="N/A"/>
    <n v="1.35"/>
    <n v="34.96"/>
    <s v="N/A"/>
    <n v="9.0999999999999748E-2"/>
    <n v="0.02"/>
    <m/>
    <m/>
    <n v="0.11099999999999975"/>
    <n v="384.17582417582526"/>
  </r>
  <r>
    <n v="20"/>
    <x v="0"/>
    <m/>
    <x v="0"/>
    <n v="1050"/>
    <s v="No treatment"/>
    <x v="3"/>
    <x v="1"/>
    <x v="3"/>
    <s v="NC_EC3_5"/>
    <n v="5"/>
    <m/>
    <n v="5"/>
    <n v="2"/>
    <s v="N/A"/>
    <n v="4"/>
    <n v="6"/>
    <n v="2"/>
    <n v="2"/>
    <s v="N/A"/>
    <s v="N/A"/>
    <s v="N/A"/>
    <s v="N/A"/>
    <s v="N/A"/>
    <m/>
    <m/>
    <m/>
    <n v="0.93"/>
    <n v="4"/>
    <n v="0.73"/>
    <n v="0.18"/>
    <s v="N/A"/>
    <s v="N/A"/>
    <n v="0.90999999999999992"/>
    <n v="25.1"/>
    <s v="N/A"/>
    <n v="6.0999999999999943E-2"/>
    <n v="1.2E-2"/>
    <m/>
    <m/>
    <n v="7.299999999999994E-2"/>
    <n v="411.47540983606598"/>
  </r>
  <r>
    <n v="20"/>
    <x v="0"/>
    <m/>
    <x v="0"/>
    <n v="1050"/>
    <s v="No treatment"/>
    <x v="3"/>
    <x v="1"/>
    <x v="3"/>
    <s v="NC_EC3_6"/>
    <n v="6"/>
    <m/>
    <n v="5"/>
    <n v="2"/>
    <s v="N/A"/>
    <n v="4"/>
    <n v="6"/>
    <n v="2"/>
    <n v="2"/>
    <s v="N/A"/>
    <s v="N/A"/>
    <s v="N/A"/>
    <s v="N/A"/>
    <s v="N/A"/>
    <m/>
    <m/>
    <m/>
    <n v="1.05"/>
    <n v="4"/>
    <n v="0.82"/>
    <n v="0.21"/>
    <s v="N/A"/>
    <s v="N/A"/>
    <n v="1.03"/>
    <n v="27.9"/>
    <s v="N/A"/>
    <n v="7.7999999999999847E-2"/>
    <n v="1.4E-2"/>
    <m/>
    <m/>
    <n v="9.1999999999999846E-2"/>
    <n v="357.69230769230836"/>
  </r>
  <r>
    <n v="20"/>
    <x v="0"/>
    <m/>
    <x v="0"/>
    <n v="1050"/>
    <s v="No treatment"/>
    <x v="3"/>
    <x v="1"/>
    <x v="3"/>
    <s v="NC_EC3_7"/>
    <n v="7"/>
    <m/>
    <n v="5"/>
    <n v="2"/>
    <n v="0.12"/>
    <n v="4"/>
    <n v="6"/>
    <n v="1"/>
    <n v="3"/>
    <s v="N/A"/>
    <s v="N/A"/>
    <s v="N/A"/>
    <s v="N/A"/>
    <s v="N/A"/>
    <m/>
    <m/>
    <m/>
    <n v="1.05"/>
    <n v="4"/>
    <n v="0.82"/>
    <n v="0.19"/>
    <s v="N/A"/>
    <s v="N/A"/>
    <n v="1.01"/>
    <n v="26.73"/>
    <n v="2.81"/>
    <n v="0.1080000000000001"/>
    <n v="1.4E-2"/>
    <m/>
    <m/>
    <n v="0.12200000000000009"/>
    <n v="247.49999999999977"/>
  </r>
  <r>
    <n v="20"/>
    <x v="0"/>
    <m/>
    <x v="0"/>
    <n v="1050"/>
    <s v="No treatment"/>
    <x v="3"/>
    <x v="1"/>
    <x v="3"/>
    <s v="NC_EC3_8"/>
    <n v="8"/>
    <m/>
    <n v="5"/>
    <n v="2"/>
    <n v="0.09"/>
    <n v="3"/>
    <n v="5"/>
    <n v="1"/>
    <n v="2"/>
    <s v="N/A"/>
    <s v="N/A"/>
    <s v="N/A"/>
    <s v="N/A"/>
    <s v="N/A"/>
    <m/>
    <m/>
    <m/>
    <n v="0.78"/>
    <n v="3"/>
    <n v="0.61"/>
    <n v="0.16"/>
    <s v="N/A"/>
    <s v="N/A"/>
    <n v="0.77"/>
    <n v="19.739999999999998"/>
    <n v="2.96"/>
    <n v="9.3999999999999861E-2"/>
    <n v="1.0999999999999999E-2"/>
    <m/>
    <m/>
    <n v="0.10499999999999986"/>
    <n v="210.00000000000028"/>
  </r>
  <r>
    <n v="20"/>
    <x v="0"/>
    <m/>
    <x v="0"/>
    <n v="1050"/>
    <s v="No treatment"/>
    <x v="3"/>
    <x v="1"/>
    <x v="3"/>
    <s v="NC_EC3_9"/>
    <n v="9"/>
    <m/>
    <n v="5.5"/>
    <n v="2"/>
    <n v="0.13"/>
    <n v="3"/>
    <n v="5"/>
    <n v="1"/>
    <n v="2"/>
    <s v="N/A"/>
    <s v="N/A"/>
    <s v="N/A"/>
    <s v="N/A"/>
    <s v="N/A"/>
    <m/>
    <m/>
    <m/>
    <n v="1.0900000000000001"/>
    <n v="3"/>
    <n v="0.84"/>
    <n v="0.23"/>
    <s v="N/A"/>
    <s v="N/A"/>
    <n v="1.07"/>
    <n v="27.6"/>
    <n v="3.38"/>
    <n v="7.3999999999999844E-2"/>
    <n v="1.7000000000000001E-2"/>
    <m/>
    <m/>
    <n v="9.0999999999999845E-2"/>
    <n v="372.97297297297376"/>
  </r>
  <r>
    <n v="20"/>
    <x v="0"/>
    <m/>
    <x v="0"/>
    <n v="1050"/>
    <s v="No treatment"/>
    <x v="3"/>
    <x v="1"/>
    <x v="3"/>
    <s v="NC_EC3_10"/>
    <n v="10"/>
    <m/>
    <n v="4.5"/>
    <n v="2"/>
    <n v="0.11"/>
    <n v="3"/>
    <n v="5"/>
    <n v="1"/>
    <n v="2"/>
    <s v="N/A"/>
    <s v="N/A"/>
    <s v="N/A"/>
    <s v="N/A"/>
    <s v="N/A"/>
    <m/>
    <m/>
    <m/>
    <n v="0.98"/>
    <n v="3"/>
    <n v="0.79"/>
    <n v="0.19"/>
    <s v="N/A"/>
    <s v="N/A"/>
    <n v="0.98"/>
    <n v="25.9"/>
    <n v="3.09"/>
    <n v="7.3999999999999844E-2"/>
    <n v="1.2E-2"/>
    <m/>
    <m/>
    <n v="8.599999999999984E-2"/>
    <n v="350.00000000000074"/>
  </r>
  <r>
    <n v="20"/>
    <x v="0"/>
    <m/>
    <x v="0"/>
    <n v="1050"/>
    <s v="No treatment"/>
    <x v="3"/>
    <x v="1"/>
    <x v="3"/>
    <s v="NC_EC3_11"/>
    <n v="11"/>
    <m/>
    <n v="5"/>
    <n v="2"/>
    <n v="0.12"/>
    <n v="4"/>
    <n v="6"/>
    <n v="2"/>
    <n v="2"/>
    <s v="N/A"/>
    <s v="N/A"/>
    <s v="N/A"/>
    <s v="N/A"/>
    <s v="N/A"/>
    <m/>
    <m/>
    <m/>
    <n v="1.45"/>
    <n v="4"/>
    <n v="1.1000000000000001"/>
    <n v="0.34"/>
    <s v="N/A"/>
    <s v="N/A"/>
    <n v="1.4400000000000002"/>
    <n v="38.29"/>
    <n v="3.29"/>
    <n v="9.3999999999999861E-2"/>
    <n v="2.1000000000000001E-2"/>
    <m/>
    <m/>
    <n v="0.11499999999999987"/>
    <n v="407.34042553191546"/>
  </r>
  <r>
    <n v="20"/>
    <x v="0"/>
    <m/>
    <x v="0"/>
    <n v="1050"/>
    <s v="No treatment"/>
    <x v="3"/>
    <x v="1"/>
    <x v="3"/>
    <s v="NC_EC3_12"/>
    <n v="12"/>
    <m/>
    <n v="5.5"/>
    <n v="2"/>
    <n v="0.12"/>
    <n v="3"/>
    <n v="5"/>
    <n v="1"/>
    <n v="2"/>
    <s v="N/A"/>
    <s v="N/A"/>
    <s v="N/A"/>
    <s v="N/A"/>
    <s v="N/A"/>
    <m/>
    <m/>
    <m/>
    <n v="1.26"/>
    <n v="3"/>
    <n v="0.97"/>
    <n v="0.28000000000000003"/>
    <s v="N/A"/>
    <s v="N/A"/>
    <n v="1.25"/>
    <n v="32.14"/>
    <n v="3.23"/>
    <n v="0.10599999999999987"/>
    <n v="1.7000000000000001E-2"/>
    <m/>
    <m/>
    <n v="0.12299999999999987"/>
    <n v="303.20754716981168"/>
  </r>
  <r>
    <n v="34"/>
    <x v="1"/>
    <s v="Elisa "/>
    <x v="1"/>
    <n v="48"/>
    <s v="Cherry_EC6_HighLight"/>
    <x v="0"/>
    <x v="0"/>
    <x v="0"/>
    <s v="Cherry_EC6_HL_1"/>
    <n v="1"/>
    <m/>
    <n v="22"/>
    <m/>
    <m/>
    <m/>
    <m/>
    <m/>
    <m/>
    <n v="3"/>
    <n v="0"/>
    <m/>
    <m/>
    <n v="0"/>
    <m/>
    <m/>
    <m/>
    <n v="18.079999999999998"/>
    <n v="11"/>
    <n v="10.32"/>
    <n v="6.78"/>
    <n v="0.97"/>
    <n v="0"/>
    <n v="18.07"/>
    <n v="292.26"/>
    <m/>
    <n v="0.89200000000000002"/>
    <n v="0.503"/>
    <n v="8.8999999999999996E-2"/>
    <m/>
    <n v="1.484"/>
    <n v="327.64573991031386"/>
  </r>
  <r>
    <n v="34"/>
    <x v="1"/>
    <s v="Elisa "/>
    <x v="1"/>
    <n v="48"/>
    <s v="Cherry_EC6_HighLight"/>
    <x v="0"/>
    <x v="0"/>
    <x v="0"/>
    <s v="Cherry_EC6_HL_2"/>
    <n v="2"/>
    <m/>
    <n v="19"/>
    <m/>
    <m/>
    <m/>
    <m/>
    <m/>
    <m/>
    <n v="4"/>
    <n v="1"/>
    <m/>
    <m/>
    <n v="0"/>
    <m/>
    <m/>
    <m/>
    <n v="18.59"/>
    <n v="12"/>
    <n v="10.73"/>
    <n v="6.33"/>
    <n v="1.53"/>
    <n v="0"/>
    <n v="18.590000000000003"/>
    <n v="315.97000000000003"/>
    <m/>
    <n v="0.91400000000000003"/>
    <n v="0.44900000000000001"/>
    <n v="0.123"/>
    <m/>
    <n v="1.486"/>
    <n v="345.70021881838073"/>
  </r>
  <r>
    <n v="34"/>
    <x v="1"/>
    <s v="Elisa "/>
    <x v="1"/>
    <n v="48"/>
    <s v="Cherry_EC6_HighLight"/>
    <x v="0"/>
    <x v="0"/>
    <x v="0"/>
    <s v="Cherry_EC6_HL_3"/>
    <n v="3"/>
    <m/>
    <n v="24.5"/>
    <m/>
    <m/>
    <m/>
    <m/>
    <m/>
    <m/>
    <n v="4"/>
    <n v="2"/>
    <m/>
    <m/>
    <n v="0"/>
    <m/>
    <m/>
    <m/>
    <n v="18.600000000000001"/>
    <n v="13"/>
    <n v="9.93"/>
    <n v="6.36"/>
    <n v="2.23"/>
    <n v="0"/>
    <n v="18.52"/>
    <n v="292.97000000000003"/>
    <m/>
    <n v="0.88400000000000001"/>
    <n v="0.52"/>
    <n v="0.17799999999999999"/>
    <m/>
    <n v="1.5819999999999999"/>
    <n v="331.41402714932127"/>
  </r>
  <r>
    <n v="34"/>
    <x v="1"/>
    <s v="Elisa "/>
    <x v="1"/>
    <n v="48"/>
    <s v="Cherry_EC6_HighLight"/>
    <x v="0"/>
    <x v="0"/>
    <x v="0"/>
    <s v="Cherry_EC6_HL_4"/>
    <n v="4"/>
    <m/>
    <n v="22.5"/>
    <m/>
    <m/>
    <m/>
    <m/>
    <m/>
    <m/>
    <n v="4"/>
    <n v="2"/>
    <m/>
    <m/>
    <n v="0"/>
    <m/>
    <m/>
    <m/>
    <n v="22.14"/>
    <n v="13"/>
    <n v="12.18"/>
    <n v="8.3800000000000008"/>
    <n v="1.55"/>
    <n v="0"/>
    <n v="22.110000000000003"/>
    <n v="356.71"/>
    <m/>
    <n v="1.145"/>
    <n v="0.69099999999999995"/>
    <n v="0.154"/>
    <m/>
    <n v="1.9899999999999998"/>
    <n v="311.5371179039301"/>
  </r>
  <r>
    <n v="34"/>
    <x v="1"/>
    <s v="Elisa "/>
    <x v="1"/>
    <n v="48"/>
    <s v="Cherry_EC6_HighLight"/>
    <x v="0"/>
    <x v="0"/>
    <x v="0"/>
    <s v="Cherry_EC6_HL_5"/>
    <n v="5"/>
    <m/>
    <n v="23.4"/>
    <m/>
    <m/>
    <m/>
    <m/>
    <m/>
    <m/>
    <n v="4"/>
    <n v="2"/>
    <m/>
    <m/>
    <n v="0"/>
    <m/>
    <m/>
    <m/>
    <n v="18.38"/>
    <n v="12"/>
    <n v="9.94"/>
    <n v="7.33"/>
    <n v="1.01"/>
    <n v="0"/>
    <n v="18.28"/>
    <n v="307.82"/>
    <m/>
    <n v="0.92"/>
    <n v="0.57599999999999996"/>
    <n v="0.106"/>
    <m/>
    <n v="1.6020000000000001"/>
    <n v="334.58695652173913"/>
  </r>
  <r>
    <n v="34"/>
    <x v="1"/>
    <s v="Elisa "/>
    <x v="1"/>
    <n v="48"/>
    <s v="Cherry_EC6_HighLight"/>
    <x v="0"/>
    <x v="0"/>
    <x v="0"/>
    <s v="Cherry_EC6_HL_6"/>
    <n v="6"/>
    <m/>
    <n v="24"/>
    <m/>
    <m/>
    <m/>
    <m/>
    <m/>
    <m/>
    <n v="5"/>
    <n v="1"/>
    <m/>
    <m/>
    <n v="0"/>
    <m/>
    <m/>
    <m/>
    <n v="18.82"/>
    <n v="14"/>
    <n v="10.52"/>
    <n v="7.51"/>
    <n v="0.77"/>
    <n v="0"/>
    <n v="18.8"/>
    <n v="319.14"/>
    <m/>
    <n v="0.95099999999999996"/>
    <n v="0.54700000000000004"/>
    <n v="0.08"/>
    <m/>
    <n v="1.5780000000000001"/>
    <n v="335.58359621451103"/>
  </r>
  <r>
    <n v="34"/>
    <x v="1"/>
    <s v="Viola"/>
    <x v="1"/>
    <n v="48"/>
    <s v="Cherry_EC6_MedLight"/>
    <x v="0"/>
    <x v="0"/>
    <x v="1"/>
    <s v="Cherry_EC6_ML_1"/>
    <n v="1"/>
    <m/>
    <n v="21"/>
    <m/>
    <m/>
    <m/>
    <m/>
    <m/>
    <m/>
    <n v="2"/>
    <n v="0"/>
    <m/>
    <m/>
    <n v="0"/>
    <m/>
    <m/>
    <m/>
    <n v="9.6300000000000008"/>
    <n v="11"/>
    <n v="5.36"/>
    <n v="0.26"/>
    <n v="3.97"/>
    <n v="0"/>
    <n v="9.59"/>
    <n v="194.67"/>
    <m/>
    <n v="0.51400000000000001"/>
    <n v="0.314"/>
    <n v="2.8000000000000001E-2"/>
    <m/>
    <n v="0.85600000000000009"/>
    <n v="378.73540856031127"/>
  </r>
  <r>
    <n v="34"/>
    <x v="1"/>
    <s v="Viola"/>
    <x v="1"/>
    <n v="48"/>
    <s v="Cherry_EC6_MedLight"/>
    <x v="0"/>
    <x v="0"/>
    <x v="1"/>
    <s v="Cherry_EC6_ML_2"/>
    <n v="2"/>
    <m/>
    <n v="20"/>
    <m/>
    <m/>
    <m/>
    <m/>
    <m/>
    <m/>
    <n v="5"/>
    <n v="4"/>
    <m/>
    <m/>
    <n v="0"/>
    <m/>
    <m/>
    <m/>
    <n v="20.83"/>
    <n v="11"/>
    <n v="11.35"/>
    <n v="1.58"/>
    <n v="7.91"/>
    <n v="0"/>
    <n v="20.84"/>
    <n v="324.07"/>
    <m/>
    <n v="0.94699999999999995"/>
    <n v="0.54700000000000004"/>
    <n v="0.155"/>
    <m/>
    <n v="1.649"/>
    <n v="342.20696937697994"/>
  </r>
  <r>
    <n v="34"/>
    <x v="1"/>
    <s v="Viola"/>
    <x v="1"/>
    <n v="48"/>
    <s v="Cherry_EC6_MedLight"/>
    <x v="0"/>
    <x v="0"/>
    <x v="1"/>
    <s v="Cherry_EC6_ML_3"/>
    <n v="3"/>
    <m/>
    <n v="21.5"/>
    <m/>
    <m/>
    <m/>
    <m/>
    <m/>
    <m/>
    <n v="4"/>
    <n v="1"/>
    <m/>
    <m/>
    <n v="0"/>
    <m/>
    <m/>
    <m/>
    <n v="15.05"/>
    <n v="11"/>
    <n v="8.11"/>
    <n v="1.05"/>
    <n v="5.81"/>
    <n v="0"/>
    <n v="14.969999999999999"/>
    <n v="242.03"/>
    <m/>
    <n v="0.75800000000000001"/>
    <n v="0.47799999999999998"/>
    <n v="0.1"/>
    <m/>
    <n v="1.3360000000000001"/>
    <n v="319.30079155672826"/>
  </r>
  <r>
    <n v="34"/>
    <x v="1"/>
    <s v="Viola"/>
    <x v="1"/>
    <n v="48"/>
    <s v="Cherry_EC6_MedLight"/>
    <x v="0"/>
    <x v="0"/>
    <x v="1"/>
    <s v="Cherry_EC6_ML_4"/>
    <n v="4"/>
    <m/>
    <n v="22"/>
    <m/>
    <m/>
    <m/>
    <m/>
    <m/>
    <m/>
    <n v="4"/>
    <n v="2"/>
    <m/>
    <m/>
    <n v="0"/>
    <m/>
    <m/>
    <m/>
    <n v="16.43"/>
    <n v="11"/>
    <n v="8.65"/>
    <n v="1.04"/>
    <n v="6.73"/>
    <n v="0"/>
    <n v="16.420000000000002"/>
    <n v="273.45999999999998"/>
    <m/>
    <n v="0.79600000000000004"/>
    <n v="0.52300000000000002"/>
    <n v="0.113"/>
    <m/>
    <n v="1.4319999999999999"/>
    <n v="343.54271356783914"/>
  </r>
  <r>
    <n v="34"/>
    <x v="1"/>
    <s v="Viola"/>
    <x v="1"/>
    <n v="48"/>
    <s v="Cherry_EC6_MedLight"/>
    <x v="0"/>
    <x v="0"/>
    <x v="1"/>
    <s v="Cherry_EC6_ML_5"/>
    <n v="5"/>
    <m/>
    <n v="20"/>
    <m/>
    <m/>
    <m/>
    <m/>
    <m/>
    <m/>
    <n v="2"/>
    <n v="0"/>
    <m/>
    <m/>
    <n v="0"/>
    <m/>
    <m/>
    <m/>
    <n v="14.4"/>
    <n v="10"/>
    <n v="8.11"/>
    <n v="0.28999999999999998"/>
    <n v="5.83"/>
    <n v="0"/>
    <n v="14.229999999999999"/>
    <n v="249"/>
    <m/>
    <n v="0.63700000000000001"/>
    <n v="0.377"/>
    <n v="3.3000000000000002E-2"/>
    <m/>
    <n v="1.0469999999999999"/>
    <n v="390.89481946624801"/>
  </r>
  <r>
    <n v="34"/>
    <x v="1"/>
    <s v="Viola"/>
    <x v="1"/>
    <n v="48"/>
    <s v="Cherry_EC6_MedLight"/>
    <x v="0"/>
    <x v="0"/>
    <x v="1"/>
    <s v="Cherry_EC6_ML_6"/>
    <n v="6"/>
    <m/>
    <n v="24.5"/>
    <m/>
    <m/>
    <m/>
    <m/>
    <m/>
    <m/>
    <n v="5"/>
    <n v="5"/>
    <m/>
    <m/>
    <n v="0"/>
    <m/>
    <m/>
    <m/>
    <n v="18.649999999999999"/>
    <n v="12"/>
    <n v="9.2799999999999994"/>
    <n v="1.61"/>
    <n v="7.69"/>
    <n v="0"/>
    <n v="18.579999999999998"/>
    <n v="294.2"/>
    <m/>
    <n v="0.80900000000000005"/>
    <n v="0.60499999999999998"/>
    <n v="0.156"/>
    <m/>
    <n v="1.57"/>
    <n v="363.65883807169342"/>
  </r>
  <r>
    <n v="34"/>
    <x v="1"/>
    <s v="Elisa "/>
    <x v="1"/>
    <n v="48"/>
    <s v="Cherry_EC6_LowLight"/>
    <x v="0"/>
    <x v="0"/>
    <x v="2"/>
    <s v="Cherry_EC6_LL_1"/>
    <n v="1"/>
    <m/>
    <n v="21.5"/>
    <m/>
    <m/>
    <m/>
    <m/>
    <m/>
    <m/>
    <n v="3"/>
    <n v="0"/>
    <m/>
    <m/>
    <n v="0"/>
    <m/>
    <m/>
    <m/>
    <n v="15.85"/>
    <n v="13"/>
    <n v="9.16"/>
    <n v="5.8"/>
    <n v="0.9"/>
    <n v="0"/>
    <n v="15.860000000000001"/>
    <n v="282.76"/>
    <m/>
    <n v="0.81599999999999995"/>
    <n v="0.40300000000000002"/>
    <n v="7.4999999999999997E-2"/>
    <m/>
    <n v="1.2939999999999998"/>
    <n v="346.51960784313729"/>
  </r>
  <r>
    <n v="34"/>
    <x v="1"/>
    <s v="Elisa "/>
    <x v="1"/>
    <n v="48"/>
    <s v="Cherry_EC6_LowLight"/>
    <x v="0"/>
    <x v="0"/>
    <x v="2"/>
    <s v="Cherry_EC6_LL_2"/>
    <n v="2"/>
    <m/>
    <n v="19"/>
    <m/>
    <m/>
    <m/>
    <m/>
    <m/>
    <m/>
    <n v="4"/>
    <n v="3"/>
    <m/>
    <m/>
    <n v="0"/>
    <m/>
    <m/>
    <m/>
    <n v="13.83"/>
    <n v="12"/>
    <n v="7.71"/>
    <n v="4.99"/>
    <n v="1.04"/>
    <n v="0"/>
    <n v="13.739999999999998"/>
    <n v="238.06"/>
    <m/>
    <n v="0.66300000000000003"/>
    <n v="0.379"/>
    <n v="9.7000000000000003E-2"/>
    <m/>
    <n v="1.139"/>
    <n v="359.06485671191552"/>
  </r>
  <r>
    <n v="34"/>
    <x v="1"/>
    <s v="Elisa "/>
    <x v="1"/>
    <n v="48"/>
    <s v="Cherry_EC6_LowLight"/>
    <x v="0"/>
    <x v="0"/>
    <x v="2"/>
    <s v="Cherry_EC6_LL_3"/>
    <n v="3"/>
    <m/>
    <n v="18.5"/>
    <m/>
    <m/>
    <m/>
    <m/>
    <m/>
    <m/>
    <n v="3"/>
    <n v="4"/>
    <m/>
    <m/>
    <n v="0"/>
    <m/>
    <m/>
    <m/>
    <n v="13.68"/>
    <n v="10"/>
    <n v="7.54"/>
    <n v="5.03"/>
    <n v="1.08"/>
    <n v="0"/>
    <n v="13.65"/>
    <n v="233.44"/>
    <m/>
    <n v="0.65600000000000003"/>
    <n v="0.40200000000000002"/>
    <n v="0.10299999999999999"/>
    <m/>
    <n v="1.161"/>
    <n v="355.85365853658533"/>
  </r>
  <r>
    <n v="34"/>
    <x v="1"/>
    <s v="Elisa "/>
    <x v="1"/>
    <n v="48"/>
    <s v="Cherry_EC6_LowLight"/>
    <x v="0"/>
    <x v="0"/>
    <x v="2"/>
    <s v="Cherry_EC6_LL_4"/>
    <n v="4"/>
    <m/>
    <n v="20"/>
    <m/>
    <m/>
    <m/>
    <m/>
    <m/>
    <m/>
    <n v="2"/>
    <n v="0"/>
    <m/>
    <m/>
    <n v="0"/>
    <m/>
    <m/>
    <m/>
    <n v="10.24"/>
    <n v="10"/>
    <n v="5.84"/>
    <n v="4.07"/>
    <n v="0.35"/>
    <n v="0"/>
    <n v="10.26"/>
    <n v="189.68"/>
    <m/>
    <n v="0.48"/>
    <n v="0.26200000000000001"/>
    <n v="3.1E-2"/>
    <m/>
    <n v="0.77300000000000002"/>
    <n v="395.16666666666669"/>
  </r>
  <r>
    <n v="34"/>
    <x v="1"/>
    <s v="Elisa "/>
    <x v="1"/>
    <n v="48"/>
    <s v="Cherry_EC6_LowLight"/>
    <x v="0"/>
    <x v="0"/>
    <x v="2"/>
    <s v="Cherry_EC6_LL_5"/>
    <n v="5"/>
    <m/>
    <n v="20"/>
    <m/>
    <m/>
    <m/>
    <m/>
    <m/>
    <m/>
    <n v="3"/>
    <n v="0"/>
    <m/>
    <m/>
    <n v="0"/>
    <m/>
    <m/>
    <m/>
    <n v="15.98"/>
    <n v="13"/>
    <n v="9.33"/>
    <n v="5.9"/>
    <n v="0.75"/>
    <n v="0"/>
    <n v="15.98"/>
    <n v="270.39999999999998"/>
    <m/>
    <n v="0.78"/>
    <n v="0.44"/>
    <n v="6.0999999999999999E-2"/>
    <m/>
    <n v="1.2809999999999999"/>
    <n v="346.66666666666663"/>
  </r>
  <r>
    <n v="34"/>
    <x v="1"/>
    <s v="Elisa "/>
    <x v="1"/>
    <n v="48"/>
    <s v="Cherry_EC6_LowLight"/>
    <x v="0"/>
    <x v="0"/>
    <x v="2"/>
    <s v="Cherry_EC6_LL_6"/>
    <n v="6"/>
    <m/>
    <n v="25"/>
    <m/>
    <m/>
    <m/>
    <m/>
    <m/>
    <m/>
    <n v="4"/>
    <n v="2"/>
    <m/>
    <m/>
    <n v="0"/>
    <m/>
    <m/>
    <m/>
    <n v="16.989999999999998"/>
    <n v="13"/>
    <n v="8.84"/>
    <n v="6.96"/>
    <n v="1.04"/>
    <n v="0"/>
    <n v="16.84"/>
    <n v="293.36"/>
    <m/>
    <n v="0.84599999999999997"/>
    <n v="0.56399999999999995"/>
    <n v="8.2000000000000003E-2"/>
    <m/>
    <n v="1.492"/>
    <n v="346.7612293144208"/>
  </r>
  <r>
    <n v="34"/>
    <x v="1"/>
    <s v="Viola"/>
    <x v="1"/>
    <n v="48"/>
    <s v="Cherry_EC6_NoLight"/>
    <x v="0"/>
    <x v="0"/>
    <x v="3"/>
    <s v="Cherry_EC6__1"/>
    <n v="1"/>
    <m/>
    <n v="19.5"/>
    <m/>
    <m/>
    <m/>
    <m/>
    <m/>
    <m/>
    <n v="4"/>
    <n v="4"/>
    <m/>
    <m/>
    <n v="0"/>
    <m/>
    <m/>
    <m/>
    <n v="14.7"/>
    <n v="11"/>
    <n v="7.9"/>
    <n v="0.9"/>
    <n v="5.85"/>
    <n v="0"/>
    <n v="14.65"/>
    <n v="247.07"/>
    <m/>
    <n v="0.69"/>
    <n v="0.438"/>
    <n v="0.10199999999999999"/>
    <m/>
    <n v="1.23"/>
    <n v="358.07246376811594"/>
  </r>
  <r>
    <n v="34"/>
    <x v="1"/>
    <s v="Viola"/>
    <x v="1"/>
    <n v="48"/>
    <s v="Cherry_EC6_NoLight"/>
    <x v="0"/>
    <x v="0"/>
    <x v="3"/>
    <s v="Cherry_EC6__2"/>
    <n v="2"/>
    <m/>
    <n v="23.5"/>
    <m/>
    <m/>
    <m/>
    <m/>
    <m/>
    <m/>
    <n v="4"/>
    <n v="1"/>
    <m/>
    <m/>
    <n v="0"/>
    <m/>
    <m/>
    <m/>
    <n v="15.47"/>
    <n v="13"/>
    <n v="8.44"/>
    <n v="0.61"/>
    <n v="6.36"/>
    <n v="0"/>
    <n v="15.41"/>
    <n v="271.89"/>
    <m/>
    <n v="0.77100000000000002"/>
    <n v="0.49399999999999999"/>
    <n v="7.3999999999999996E-2"/>
    <m/>
    <n v="1.3390000000000002"/>
    <n v="352.64591439688712"/>
  </r>
  <r>
    <n v="34"/>
    <x v="1"/>
    <s v="Viola"/>
    <x v="1"/>
    <n v="48"/>
    <s v="Cherry_EC6_NoLight"/>
    <x v="0"/>
    <x v="0"/>
    <x v="3"/>
    <s v="Cherry_EC6__3"/>
    <n v="3"/>
    <m/>
    <n v="21.5"/>
    <m/>
    <m/>
    <m/>
    <m/>
    <m/>
    <m/>
    <n v="2"/>
    <n v="0"/>
    <m/>
    <m/>
    <n v="0"/>
    <m/>
    <m/>
    <m/>
    <n v="14.15"/>
    <n v="12"/>
    <n v="8.09"/>
    <n v="0.47"/>
    <n v="5.56"/>
    <n v="0"/>
    <n v="14.120000000000001"/>
    <n v="248.91"/>
    <m/>
    <n v="0.72299999999999998"/>
    <n v="0.42399999999999999"/>
    <n v="5.7000000000000002E-2"/>
    <m/>
    <n v="1.204"/>
    <n v="344.27385892116183"/>
  </r>
  <r>
    <n v="34"/>
    <x v="1"/>
    <s v="Viola"/>
    <x v="1"/>
    <n v="48"/>
    <s v="Cherry_EC6_NoLight"/>
    <x v="0"/>
    <x v="0"/>
    <x v="3"/>
    <s v="Cherry_EC6__4"/>
    <n v="4"/>
    <m/>
    <n v="22"/>
    <m/>
    <m/>
    <m/>
    <m/>
    <m/>
    <m/>
    <n v="2"/>
    <n v="1"/>
    <m/>
    <m/>
    <n v="0"/>
    <m/>
    <m/>
    <m/>
    <n v="14.62"/>
    <n v="10"/>
    <n v="8.51"/>
    <n v="0.49"/>
    <n v="5.66"/>
    <n v="0"/>
    <n v="14.66"/>
    <n v="272.05"/>
    <m/>
    <n v="0.74"/>
    <n v="0.39200000000000002"/>
    <n v="5.3999999999999999E-2"/>
    <m/>
    <n v="1.1860000000000002"/>
    <n v="367.63513513513516"/>
  </r>
  <r>
    <n v="34"/>
    <x v="1"/>
    <s v="Viola"/>
    <x v="1"/>
    <n v="48"/>
    <s v="Cherry_EC6_NoLight"/>
    <x v="0"/>
    <x v="0"/>
    <x v="3"/>
    <s v="Cherry_EC6__5"/>
    <n v="5"/>
    <m/>
    <n v="20"/>
    <m/>
    <m/>
    <m/>
    <m/>
    <m/>
    <m/>
    <n v="3"/>
    <n v="2"/>
    <m/>
    <m/>
    <n v="0"/>
    <m/>
    <m/>
    <m/>
    <n v="13.91"/>
    <n v="10"/>
    <n v="7.25"/>
    <n v="0.73"/>
    <n v="5.87"/>
    <n v="0"/>
    <n v="13.850000000000001"/>
    <n v="226.04"/>
    <m/>
    <n v="0.629"/>
    <n v="0.41699999999999998"/>
    <n v="7.3999999999999996E-2"/>
    <m/>
    <n v="1.1200000000000001"/>
    <n v="359.36406995230521"/>
  </r>
  <r>
    <n v="34"/>
    <x v="1"/>
    <s v="Viola"/>
    <x v="1"/>
    <n v="48"/>
    <s v="Cherry_EC6_NoLight"/>
    <x v="0"/>
    <x v="0"/>
    <x v="3"/>
    <s v="Cherry_EC6__6"/>
    <n v="6"/>
    <m/>
    <n v="20"/>
    <m/>
    <m/>
    <m/>
    <m/>
    <m/>
    <m/>
    <n v="2"/>
    <n v="0"/>
    <m/>
    <m/>
    <n v="0"/>
    <m/>
    <m/>
    <m/>
    <n v="10.96"/>
    <n v="10"/>
    <n v="6.39"/>
    <n v="0.19"/>
    <n v="4.3099999999999996"/>
    <n v="0"/>
    <n v="10.89"/>
    <n v="200.38"/>
    <m/>
    <n v="0.53700000000000003"/>
    <n v="0.29099999999999998"/>
    <n v="2.5999999999999999E-2"/>
    <m/>
    <n v="0.85400000000000009"/>
    <n v="373.14711359404095"/>
  </r>
  <r>
    <n v="34"/>
    <x v="1"/>
    <s v="Elisa "/>
    <x v="1"/>
    <n v="48"/>
    <s v="Cherry_EC3_HighLight"/>
    <x v="0"/>
    <x v="1"/>
    <x v="0"/>
    <s v="Cherry_EC3_HL_1"/>
    <n v="1"/>
    <m/>
    <n v="22"/>
    <m/>
    <m/>
    <m/>
    <m/>
    <m/>
    <m/>
    <n v="2"/>
    <n v="0"/>
    <m/>
    <m/>
    <n v="0"/>
    <m/>
    <m/>
    <m/>
    <n v="17.329999999999998"/>
    <n v="12"/>
    <n v="9.9"/>
    <n v="6.69"/>
    <n v="0.72"/>
    <n v="0"/>
    <n v="17.309999999999999"/>
    <n v="272.14999999999998"/>
    <m/>
    <n v="0.85099999999999998"/>
    <n v="0.44400000000000001"/>
    <n v="6.2E-2"/>
    <m/>
    <n v="1.357"/>
    <n v="319.80023501762628"/>
  </r>
  <r>
    <n v="34"/>
    <x v="1"/>
    <s v="Elisa "/>
    <x v="1"/>
    <n v="48"/>
    <s v="Cherry_EC3_HighLight"/>
    <x v="0"/>
    <x v="1"/>
    <x v="0"/>
    <s v="Cherry_EC3_HL_2"/>
    <n v="2"/>
    <m/>
    <n v="22"/>
    <m/>
    <m/>
    <m/>
    <m/>
    <m/>
    <m/>
    <n v="4"/>
    <n v="1"/>
    <m/>
    <m/>
    <n v="0"/>
    <m/>
    <m/>
    <m/>
    <n v="16.38"/>
    <n v="13"/>
    <n v="8.6999999999999993"/>
    <n v="6.77"/>
    <n v="0.85"/>
    <n v="0"/>
    <n v="16.32"/>
    <n v="248.81"/>
    <m/>
    <n v="0.747"/>
    <n v="0.47599999999999998"/>
    <n v="8.2000000000000003E-2"/>
    <m/>
    <n v="1.3049999999999999"/>
    <n v="333.0789825970549"/>
  </r>
  <r>
    <n v="34"/>
    <x v="1"/>
    <s v="Elisa "/>
    <x v="1"/>
    <n v="48"/>
    <s v="Cherry_EC3_HighLight"/>
    <x v="0"/>
    <x v="1"/>
    <x v="0"/>
    <s v="Cherry_EC3_HL_3"/>
    <n v="3"/>
    <m/>
    <n v="23"/>
    <m/>
    <m/>
    <m/>
    <m/>
    <m/>
    <m/>
    <n v="4"/>
    <n v="3"/>
    <m/>
    <m/>
    <n v="0"/>
    <m/>
    <m/>
    <m/>
    <n v="20.77"/>
    <n v="12"/>
    <n v="10.86"/>
    <n v="8.1"/>
    <n v="1.79"/>
    <n v="0"/>
    <n v="20.75"/>
    <n v="294.70999999999998"/>
    <m/>
    <n v="0.95399999999999996"/>
    <n v="0.59899999999999998"/>
    <n v="0.156"/>
    <m/>
    <n v="1.7089999999999999"/>
    <n v="308.92033542976941"/>
  </r>
  <r>
    <n v="34"/>
    <x v="1"/>
    <s v="Elisa "/>
    <x v="1"/>
    <n v="48"/>
    <s v="Cherry_EC3_HighLight"/>
    <x v="0"/>
    <x v="1"/>
    <x v="0"/>
    <s v="Cherry_EC3_HL_4"/>
    <n v="4"/>
    <m/>
    <n v="20"/>
    <m/>
    <m/>
    <m/>
    <m/>
    <m/>
    <m/>
    <n v="4"/>
    <n v="1"/>
    <m/>
    <m/>
    <n v="0"/>
    <m/>
    <m/>
    <m/>
    <n v="17.920000000000002"/>
    <n v="13"/>
    <n v="9.92"/>
    <n v="6.52"/>
    <n v="1.45"/>
    <n v="0"/>
    <n v="17.889999999999997"/>
    <n v="295.11"/>
    <m/>
    <n v="0.879"/>
    <n v="0.51700000000000002"/>
    <n v="0.124"/>
    <m/>
    <n v="1.52"/>
    <n v="335.73378839590447"/>
  </r>
  <r>
    <n v="34"/>
    <x v="1"/>
    <s v="Elisa "/>
    <x v="1"/>
    <n v="48"/>
    <s v="Cherry_EC3_HighLight"/>
    <x v="0"/>
    <x v="1"/>
    <x v="0"/>
    <s v="Cherry_EC3_HL_5"/>
    <n v="5"/>
    <m/>
    <n v="24"/>
    <m/>
    <m/>
    <m/>
    <m/>
    <m/>
    <m/>
    <n v="4"/>
    <n v="2"/>
    <m/>
    <m/>
    <n v="0"/>
    <m/>
    <m/>
    <m/>
    <n v="19.86"/>
    <n v="12"/>
    <n v="10.54"/>
    <n v="7.7"/>
    <n v="1.49"/>
    <n v="0"/>
    <n v="19.729999999999997"/>
    <n v="315.11"/>
    <m/>
    <n v="0.96199999999999997"/>
    <n v="0.63"/>
    <n v="0.13500000000000001"/>
    <m/>
    <n v="1.7270000000000001"/>
    <n v="327.55717255717258"/>
  </r>
  <r>
    <n v="34"/>
    <x v="1"/>
    <s v="Elisa "/>
    <x v="1"/>
    <n v="48"/>
    <s v="Cherry_EC3_HighLight"/>
    <x v="0"/>
    <x v="1"/>
    <x v="0"/>
    <s v="Cherry_EC3_HL_6"/>
    <n v="6"/>
    <m/>
    <n v="23"/>
    <m/>
    <m/>
    <m/>
    <m/>
    <m/>
    <m/>
    <n v="2"/>
    <n v="0"/>
    <m/>
    <m/>
    <n v="0"/>
    <m/>
    <m/>
    <m/>
    <n v="17.149999999999999"/>
    <n v="13"/>
    <n v="9.69"/>
    <n v="6.9"/>
    <n v="0.53"/>
    <n v="0"/>
    <n v="17.12"/>
    <n v="276.47000000000003"/>
    <m/>
    <n v="0.83199999999999996"/>
    <n v="0.497"/>
    <n v="5.1999999999999998E-2"/>
    <m/>
    <n v="1.381"/>
    <n v="332.29567307692315"/>
  </r>
  <r>
    <n v="34"/>
    <x v="1"/>
    <s v="Viola"/>
    <x v="1"/>
    <n v="48"/>
    <s v="Cherry_EC3_MedLight"/>
    <x v="0"/>
    <x v="1"/>
    <x v="1"/>
    <s v="Cherry_EC3_ML_1"/>
    <n v="1"/>
    <m/>
    <n v="24.5"/>
    <m/>
    <m/>
    <m/>
    <m/>
    <m/>
    <m/>
    <n v="4"/>
    <n v="1"/>
    <m/>
    <m/>
    <n v="0"/>
    <m/>
    <m/>
    <m/>
    <n v="21.67"/>
    <n v="13"/>
    <n v="11.52"/>
    <n v="1.06"/>
    <n v="9.0399999999999991"/>
    <n v="0"/>
    <n v="21.619999999999997"/>
    <n v="323.07"/>
    <m/>
    <n v="0.99299999999999999"/>
    <n v="0.61499999999999999"/>
    <n v="0.10299999999999999"/>
    <m/>
    <n v="1.7110000000000001"/>
    <n v="325.34743202416917"/>
  </r>
  <r>
    <n v="34"/>
    <x v="1"/>
    <s v="Viola"/>
    <x v="1"/>
    <n v="48"/>
    <s v="Cherry_EC3_MedLight"/>
    <x v="0"/>
    <x v="1"/>
    <x v="1"/>
    <s v="Cherry_EC3_ML_2"/>
    <n v="2"/>
    <m/>
    <n v="21.5"/>
    <m/>
    <m/>
    <m/>
    <m/>
    <m/>
    <m/>
    <n v="3"/>
    <n v="1"/>
    <m/>
    <m/>
    <n v="0"/>
    <m/>
    <m/>
    <m/>
    <n v="16.88"/>
    <n v="11"/>
    <n v="9.1999999999999993"/>
    <n v="0.99"/>
    <n v="6.61"/>
    <n v="0"/>
    <n v="16.8"/>
    <n v="260.60000000000002"/>
    <m/>
    <n v="0.76300000000000001"/>
    <n v="0.47299999999999998"/>
    <n v="8.5999999999999993E-2"/>
    <m/>
    <n v="1.3220000000000001"/>
    <n v="341.54652686762779"/>
  </r>
  <r>
    <n v="34"/>
    <x v="1"/>
    <s v="Viola"/>
    <x v="1"/>
    <n v="48"/>
    <s v="Cherry_EC3_MedLight"/>
    <x v="0"/>
    <x v="1"/>
    <x v="1"/>
    <s v="Cherry_EC3_ML_3"/>
    <n v="3"/>
    <m/>
    <n v="23"/>
    <m/>
    <m/>
    <m/>
    <m/>
    <m/>
    <m/>
    <n v="3"/>
    <n v="0"/>
    <m/>
    <m/>
    <n v="0"/>
    <m/>
    <m/>
    <m/>
    <n v="19.170000000000002"/>
    <n v="11"/>
    <n v="10.89"/>
    <n v="0.84"/>
    <n v="7.4"/>
    <n v="0"/>
    <n v="19.130000000000003"/>
    <n v="302.87"/>
    <m/>
    <n v="0.95099999999999996"/>
    <n v="0.56599999999999995"/>
    <n v="7.8E-2"/>
    <m/>
    <n v="1.595"/>
    <n v="318.47528916929548"/>
  </r>
  <r>
    <n v="34"/>
    <x v="1"/>
    <s v="Viola"/>
    <x v="1"/>
    <n v="48"/>
    <s v="Cherry_EC3_MedLight"/>
    <x v="0"/>
    <x v="1"/>
    <x v="1"/>
    <s v="Cherry_EC3_ML_4"/>
    <n v="4"/>
    <m/>
    <n v="20.5"/>
    <m/>
    <m/>
    <m/>
    <m/>
    <m/>
    <m/>
    <n v="2"/>
    <n v="0"/>
    <m/>
    <m/>
    <n v="0"/>
    <m/>
    <m/>
    <m/>
    <n v="13.72"/>
    <n v="11"/>
    <n v="7.53"/>
    <n v="0.37"/>
    <n v="5.8"/>
    <n v="0"/>
    <n v="13.7"/>
    <n v="224.04"/>
    <m/>
    <n v="0.63800000000000001"/>
    <n v="0.40799999999999997"/>
    <n v="3.4000000000000002E-2"/>
    <m/>
    <n v="1.08"/>
    <n v="351.15987460815046"/>
  </r>
  <r>
    <n v="34"/>
    <x v="1"/>
    <s v="Viola"/>
    <x v="1"/>
    <n v="48"/>
    <s v="Cherry_EC3_MedLight"/>
    <x v="0"/>
    <x v="1"/>
    <x v="1"/>
    <s v="Cherry_EC3_ML_5"/>
    <n v="5"/>
    <m/>
    <n v="21.5"/>
    <m/>
    <m/>
    <m/>
    <m/>
    <m/>
    <m/>
    <n v="3"/>
    <n v="4"/>
    <m/>
    <m/>
    <n v="0"/>
    <m/>
    <m/>
    <m/>
    <n v="18.940000000000001"/>
    <n v="12"/>
    <n v="10.119999999999999"/>
    <n v="1.48"/>
    <n v="7.23"/>
    <n v="0"/>
    <n v="18.829999999999998"/>
    <n v="299.69"/>
    <m/>
    <n v="0.86899999999999999"/>
    <n v="0.57099999999999995"/>
    <n v="0.13700000000000001"/>
    <m/>
    <n v="1.577"/>
    <n v="344.86766398158801"/>
  </r>
  <r>
    <n v="34"/>
    <x v="1"/>
    <s v="Viola"/>
    <x v="1"/>
    <n v="48"/>
    <s v="Cherry_EC3_MedLight"/>
    <x v="0"/>
    <x v="1"/>
    <x v="1"/>
    <s v="Cherry_EC3_ML_6"/>
    <n v="6"/>
    <m/>
    <n v="22.5"/>
    <m/>
    <m/>
    <m/>
    <m/>
    <m/>
    <m/>
    <n v="3"/>
    <n v="4"/>
    <m/>
    <m/>
    <n v="0"/>
    <m/>
    <m/>
    <m/>
    <n v="21.61"/>
    <n v="12"/>
    <n v="10.48"/>
    <n v="1.86"/>
    <n v="9.1300000000000008"/>
    <n v="0"/>
    <n v="21.47"/>
    <n v="294.69"/>
    <m/>
    <n v="0.94199999999999995"/>
    <n v="0.747"/>
    <n v="0.16800000000000001"/>
    <m/>
    <n v="1.857"/>
    <n v="312.83439490445863"/>
  </r>
  <r>
    <n v="34"/>
    <x v="1"/>
    <s v="Viola"/>
    <x v="1"/>
    <n v="48"/>
    <s v="Cherry_EC3_LowLight"/>
    <x v="0"/>
    <x v="1"/>
    <x v="2"/>
    <s v="Cherry_EC3_LL_1"/>
    <n v="1"/>
    <m/>
    <n v="19"/>
    <m/>
    <m/>
    <m/>
    <m/>
    <m/>
    <m/>
    <n v="2"/>
    <n v="0"/>
    <m/>
    <m/>
    <n v="0"/>
    <m/>
    <m/>
    <m/>
    <n v="10.48"/>
    <n v="10"/>
    <n v="5.4"/>
    <n v="0.13"/>
    <n v="4.87"/>
    <n v="0"/>
    <n v="10.4"/>
    <n v="177.48"/>
    <m/>
    <n v="0.439"/>
    <n v="0.28299999999999997"/>
    <n v="1.2999999999999999E-2"/>
    <m/>
    <n v="0.73499999999999999"/>
    <n v="404.28246013667422"/>
  </r>
  <r>
    <n v="34"/>
    <x v="1"/>
    <s v="Viola"/>
    <x v="1"/>
    <n v="48"/>
    <s v="Cherry_EC3_LowLight"/>
    <x v="0"/>
    <x v="1"/>
    <x v="2"/>
    <s v="Cherry_EC3_LL_2"/>
    <n v="2"/>
    <m/>
    <n v="23"/>
    <m/>
    <m/>
    <m/>
    <m/>
    <m/>
    <m/>
    <n v="3"/>
    <n v="2"/>
    <m/>
    <m/>
    <n v="0"/>
    <m/>
    <m/>
    <m/>
    <n v="18.25"/>
    <n v="12"/>
    <n v="10"/>
    <n v="0.79"/>
    <n v="7.44"/>
    <n v="0"/>
    <n v="18.23"/>
    <n v="311.74"/>
    <m/>
    <n v="0.85099999999999998"/>
    <n v="0.54500000000000004"/>
    <n v="7.8E-2"/>
    <m/>
    <n v="1.474"/>
    <n v="366.32197414806114"/>
  </r>
  <r>
    <n v="34"/>
    <x v="1"/>
    <s v="Viola"/>
    <x v="1"/>
    <n v="48"/>
    <s v="Cherry_EC3_LowLight"/>
    <x v="0"/>
    <x v="1"/>
    <x v="2"/>
    <s v="Cherry_EC3_LL_3"/>
    <n v="3"/>
    <m/>
    <n v="20.5"/>
    <m/>
    <m/>
    <m/>
    <m/>
    <m/>
    <m/>
    <n v="2"/>
    <n v="0"/>
    <m/>
    <m/>
    <n v="0"/>
    <m/>
    <m/>
    <m/>
    <n v="9.68"/>
    <n v="9"/>
    <n v="5.74"/>
    <n v="0.18"/>
    <n v="3.68"/>
    <n v="0"/>
    <n v="9.6"/>
    <n v="171.43"/>
    <m/>
    <n v="0.49299999999999999"/>
    <n v="0.26500000000000001"/>
    <n v="1.6E-2"/>
    <m/>
    <n v="0.77400000000000002"/>
    <n v="347.72819472616635"/>
  </r>
  <r>
    <n v="34"/>
    <x v="1"/>
    <s v="Viola"/>
    <x v="1"/>
    <n v="48"/>
    <s v="Cherry_EC3_LowLight"/>
    <x v="0"/>
    <x v="1"/>
    <x v="2"/>
    <s v="Cherry_EC3_LL_4"/>
    <n v="4"/>
    <m/>
    <n v="24.5"/>
    <m/>
    <m/>
    <m/>
    <m/>
    <m/>
    <m/>
    <n v="3"/>
    <n v="1"/>
    <m/>
    <m/>
    <n v="0"/>
    <m/>
    <m/>
    <m/>
    <n v="18.79"/>
    <n v="11"/>
    <n v="10.59"/>
    <n v="0.75"/>
    <n v="7.38"/>
    <n v="0"/>
    <n v="18.72"/>
    <n v="327.16000000000003"/>
    <m/>
    <n v="0.92900000000000005"/>
    <n v="0.54800000000000004"/>
    <n v="7.8E-2"/>
    <m/>
    <n v="1.5550000000000002"/>
    <n v="352.16361679224974"/>
  </r>
  <r>
    <n v="34"/>
    <x v="1"/>
    <s v="Viola"/>
    <x v="1"/>
    <n v="48"/>
    <s v="Cherry_EC3_LowLight"/>
    <x v="0"/>
    <x v="1"/>
    <x v="2"/>
    <s v="Cherry_EC3_LL_5"/>
    <n v="5"/>
    <m/>
    <n v="24"/>
    <m/>
    <m/>
    <m/>
    <m/>
    <m/>
    <m/>
    <n v="4"/>
    <n v="2"/>
    <m/>
    <m/>
    <n v="0"/>
    <m/>
    <m/>
    <m/>
    <n v="17.57"/>
    <n v="11"/>
    <n v="8.9"/>
    <n v="1.02"/>
    <n v="7.57"/>
    <n v="0"/>
    <n v="17.490000000000002"/>
    <n v="283.79000000000002"/>
    <m/>
    <n v="0.75800000000000001"/>
    <n v="0.54300000000000004"/>
    <n v="0.10299999999999999"/>
    <m/>
    <n v="1.4040000000000001"/>
    <n v="374.39313984168865"/>
  </r>
  <r>
    <n v="34"/>
    <x v="1"/>
    <s v="Viola"/>
    <x v="1"/>
    <n v="48"/>
    <s v="Cherry_EC3_LowLight"/>
    <x v="0"/>
    <x v="1"/>
    <x v="2"/>
    <s v="Cherry_EC3_LL_6"/>
    <n v="6"/>
    <m/>
    <n v="19.5"/>
    <m/>
    <m/>
    <m/>
    <m/>
    <m/>
    <m/>
    <n v="2"/>
    <n v="0"/>
    <m/>
    <m/>
    <n v="0"/>
    <m/>
    <m/>
    <m/>
    <n v="15.53"/>
    <n v="11"/>
    <n v="8.83"/>
    <n v="0.4"/>
    <n v="6.31"/>
    <n v="0"/>
    <n v="15.54"/>
    <n v="256.8"/>
    <m/>
    <n v="0.755"/>
    <n v="0.44600000000000001"/>
    <n v="3.6999999999999998E-2"/>
    <m/>
    <n v="1.238"/>
    <n v="340.13245033112582"/>
  </r>
  <r>
    <n v="34"/>
    <x v="1"/>
    <s v="Elisa "/>
    <x v="1"/>
    <n v="48"/>
    <s v="Cherry_EC3_NoLight"/>
    <x v="0"/>
    <x v="1"/>
    <x v="3"/>
    <s v="Cherry_EC3__1"/>
    <n v="1"/>
    <m/>
    <n v="19"/>
    <m/>
    <m/>
    <m/>
    <m/>
    <m/>
    <m/>
    <n v="2"/>
    <n v="0"/>
    <m/>
    <m/>
    <n v="0"/>
    <m/>
    <m/>
    <m/>
    <n v="11.63"/>
    <n v="11"/>
    <n v="6.5"/>
    <n v="4.75"/>
    <n v="0.35"/>
    <n v="0"/>
    <n v="11.6"/>
    <n v="209.89"/>
    <m/>
    <n v="0.52300000000000002"/>
    <n v="0.28599999999999998"/>
    <n v="0.03"/>
    <m/>
    <n v="0.83899999999999997"/>
    <n v="401.31931166347988"/>
  </r>
  <r>
    <n v="34"/>
    <x v="1"/>
    <s v="Elisa "/>
    <x v="1"/>
    <n v="48"/>
    <s v="Cherry_EC3_NoLight"/>
    <x v="0"/>
    <x v="1"/>
    <x v="3"/>
    <s v="Cherry_EC3__2"/>
    <n v="2"/>
    <m/>
    <n v="18"/>
    <m/>
    <m/>
    <m/>
    <m/>
    <m/>
    <m/>
    <n v="2"/>
    <n v="1"/>
    <m/>
    <m/>
    <n v="0"/>
    <m/>
    <m/>
    <m/>
    <n v="11"/>
    <n v="9"/>
    <n v="6.31"/>
    <n v="3.82"/>
    <n v="0.8"/>
    <n v="0"/>
    <n v="10.93"/>
    <n v="206.75"/>
    <m/>
    <n v="0.54200000000000004"/>
    <n v="0.27"/>
    <n v="6.7000000000000004E-2"/>
    <m/>
    <n v="0.879"/>
    <n v="381.45756457564573"/>
  </r>
  <r>
    <n v="34"/>
    <x v="1"/>
    <s v="Elisa "/>
    <x v="1"/>
    <n v="48"/>
    <s v="Cherry_EC3_NoLight"/>
    <x v="0"/>
    <x v="1"/>
    <x v="3"/>
    <s v="Cherry_EC3__3"/>
    <n v="3"/>
    <m/>
    <n v="24"/>
    <m/>
    <m/>
    <m/>
    <m/>
    <m/>
    <m/>
    <n v="3"/>
    <n v="3"/>
    <m/>
    <m/>
    <n v="0"/>
    <m/>
    <m/>
    <m/>
    <n v="16.510000000000002"/>
    <n v="11"/>
    <n v="9.0299999999999994"/>
    <n v="6"/>
    <n v="1.48"/>
    <n v="0"/>
    <n v="16.509999999999998"/>
    <n v="281.38"/>
    <m/>
    <n v="0.752"/>
    <n v="0.432"/>
    <n v="0.12"/>
    <m/>
    <n v="1.3039999999999998"/>
    <n v="374.17553191489361"/>
  </r>
  <r>
    <n v="34"/>
    <x v="1"/>
    <s v="Elisa "/>
    <x v="1"/>
    <n v="48"/>
    <s v="Cherry_EC3_NoLight"/>
    <x v="0"/>
    <x v="1"/>
    <x v="3"/>
    <s v="Cherry_EC3__4"/>
    <n v="4"/>
    <m/>
    <n v="21"/>
    <m/>
    <m/>
    <m/>
    <m/>
    <m/>
    <m/>
    <n v="4"/>
    <n v="2"/>
    <m/>
    <m/>
    <n v="0"/>
    <m/>
    <m/>
    <m/>
    <n v="15.93"/>
    <n v="13"/>
    <n v="9.6"/>
    <n v="4.87"/>
    <n v="1.39"/>
    <n v="0"/>
    <n v="15.86"/>
    <n v="283.45999999999998"/>
    <m/>
    <n v="0.80100000000000005"/>
    <n v="0.36199999999999999"/>
    <n v="0.11799999999999999"/>
    <m/>
    <n v="1.2810000000000001"/>
    <n v="353.88264669163539"/>
  </r>
  <r>
    <n v="34"/>
    <x v="1"/>
    <s v="Elisa "/>
    <x v="1"/>
    <n v="48"/>
    <s v="Cherry_EC3_NoLight"/>
    <x v="0"/>
    <x v="1"/>
    <x v="3"/>
    <s v="Cherry_EC3__5"/>
    <n v="5"/>
    <m/>
    <n v="18"/>
    <m/>
    <m/>
    <m/>
    <m/>
    <m/>
    <m/>
    <n v="3"/>
    <n v="0"/>
    <m/>
    <m/>
    <n v="0"/>
    <m/>
    <m/>
    <m/>
    <n v="11.37"/>
    <n v="11"/>
    <n v="6.55"/>
    <n v="4.5199999999999996"/>
    <n v="0.28000000000000003"/>
    <n v="0"/>
    <n v="11.35"/>
    <n v="213.95"/>
    <m/>
    <n v="0.52800000000000002"/>
    <n v="0.29299999999999998"/>
    <n v="0.03"/>
    <m/>
    <n v="0.85099999999999998"/>
    <n v="405.20833333333331"/>
  </r>
  <r>
    <n v="34"/>
    <x v="1"/>
    <s v="Elisa "/>
    <x v="1"/>
    <n v="48"/>
    <s v="Cherry_EC3_NoLight"/>
    <x v="0"/>
    <x v="1"/>
    <x v="3"/>
    <s v="Cherry_EC3__6"/>
    <n v="6"/>
    <m/>
    <n v="16"/>
    <m/>
    <m/>
    <m/>
    <m/>
    <m/>
    <m/>
    <n v="2"/>
    <n v="0"/>
    <m/>
    <m/>
    <n v="0"/>
    <m/>
    <m/>
    <m/>
    <n v="11.22"/>
    <n v="11"/>
    <n v="6.26"/>
    <n v="4.6900000000000004"/>
    <n v="0.3"/>
    <n v="0"/>
    <n v="11.25"/>
    <n v="208.99"/>
    <m/>
    <n v="0.51200000000000001"/>
    <n v="0.28599999999999998"/>
    <n v="2.8000000000000001E-2"/>
    <m/>
    <n v="0.82600000000000007"/>
    <n v="408.18359375"/>
  </r>
  <r>
    <n v="38"/>
    <x v="2"/>
    <s v="Elisa "/>
    <x v="1"/>
    <n v="36"/>
    <s v="Plum_EC6_HighLight"/>
    <x v="1"/>
    <x v="0"/>
    <x v="0"/>
    <s v="Plum_EC6_HL_1"/>
    <n v="1"/>
    <m/>
    <n v="27"/>
    <m/>
    <m/>
    <m/>
    <m/>
    <m/>
    <m/>
    <n v="3"/>
    <n v="0"/>
    <m/>
    <m/>
    <n v="0"/>
    <m/>
    <m/>
    <m/>
    <n v="30.85"/>
    <n v="13"/>
    <n v="19.079999999999998"/>
    <n v="11.42"/>
    <n v="0.33"/>
    <n v="0"/>
    <n v="30.83"/>
    <n v="478.78"/>
    <m/>
    <n v="1.6"/>
    <n v="0.73099999999999998"/>
    <n v="4.2000000000000003E-2"/>
    <m/>
    <n v="2.3729999999999998"/>
    <n v="299.23749999999995"/>
  </r>
  <r>
    <n v="38"/>
    <x v="2"/>
    <s v="Elisa "/>
    <x v="1"/>
    <n v="36"/>
    <s v="Plum_EC6_HighLight"/>
    <x v="1"/>
    <x v="0"/>
    <x v="0"/>
    <s v="Plum_EC6_HL_2"/>
    <n v="2"/>
    <m/>
    <n v="27"/>
    <m/>
    <m/>
    <m/>
    <m/>
    <m/>
    <m/>
    <n v="4"/>
    <n v="0"/>
    <m/>
    <m/>
    <n v="0"/>
    <m/>
    <m/>
    <m/>
    <n v="30.85"/>
    <n v="13"/>
    <n v="19.41"/>
    <n v="11.09"/>
    <n v="0.28999999999999998"/>
    <n v="0"/>
    <n v="30.79"/>
    <n v="802.27"/>
    <m/>
    <n v="1.6439999999999999"/>
    <n v="0.76100000000000001"/>
    <n v="3.7999999999999999E-2"/>
    <m/>
    <n v="2.4429999999999996"/>
    <n v="487.99878345498786"/>
  </r>
  <r>
    <n v="38"/>
    <x v="2"/>
    <s v="Elisa "/>
    <x v="1"/>
    <n v="36"/>
    <s v="Plum_EC6_HighLight"/>
    <x v="1"/>
    <x v="0"/>
    <x v="0"/>
    <s v="Plum_EC6_HL_3"/>
    <n v="3"/>
    <m/>
    <n v="26"/>
    <m/>
    <m/>
    <m/>
    <m/>
    <m/>
    <m/>
    <n v="3"/>
    <n v="0"/>
    <m/>
    <m/>
    <n v="0"/>
    <m/>
    <m/>
    <m/>
    <n v="33.14"/>
    <n v="14"/>
    <n v="21.16"/>
    <n v="11.53"/>
    <n v="0.36"/>
    <n v="0"/>
    <n v="33.049999999999997"/>
    <n v="528.66"/>
    <m/>
    <n v="1.6919999999999999"/>
    <n v="0.77200000000000002"/>
    <n v="2.9000000000000001E-2"/>
    <m/>
    <n v="2.4929999999999999"/>
    <n v="312.44680851063828"/>
  </r>
  <r>
    <n v="38"/>
    <x v="2"/>
    <s v="Elisa "/>
    <x v="1"/>
    <n v="36"/>
    <s v="Plum_EC6_HighLight"/>
    <x v="1"/>
    <x v="0"/>
    <x v="0"/>
    <s v="Plum_EC6_HL_4"/>
    <n v="4"/>
    <m/>
    <n v="27"/>
    <m/>
    <m/>
    <m/>
    <m/>
    <m/>
    <m/>
    <n v="4"/>
    <n v="0"/>
    <m/>
    <m/>
    <n v="0"/>
    <m/>
    <m/>
    <m/>
    <n v="27.68"/>
    <n v="13"/>
    <n v="16.96"/>
    <n v="10.49"/>
    <n v="0.18"/>
    <n v="0"/>
    <n v="27.630000000000003"/>
    <n v="446.77"/>
    <m/>
    <n v="1.4279999999999999"/>
    <n v="0.69199999999999995"/>
    <n v="2.5999999999999999E-2"/>
    <m/>
    <n v="2.1459999999999999"/>
    <n v="312.86414565826328"/>
  </r>
  <r>
    <n v="38"/>
    <x v="2"/>
    <s v="Elisa "/>
    <x v="1"/>
    <n v="36"/>
    <s v="Plum_EC6_HighLight"/>
    <x v="1"/>
    <x v="0"/>
    <x v="0"/>
    <s v="Plum_EC6_HL_5"/>
    <n v="5"/>
    <m/>
    <n v="28"/>
    <m/>
    <m/>
    <m/>
    <m/>
    <m/>
    <m/>
    <n v="4"/>
    <n v="0"/>
    <m/>
    <m/>
    <n v="0"/>
    <m/>
    <m/>
    <m/>
    <n v="36.619999999999997"/>
    <n v="14"/>
    <n v="23.1"/>
    <n v="13.03"/>
    <n v="0.45"/>
    <n v="0"/>
    <n v="36.580000000000005"/>
    <n v="600.45000000000005"/>
    <m/>
    <n v="1.9890000000000001"/>
    <n v="0.92400000000000004"/>
    <n v="5.0999999999999997E-2"/>
    <m/>
    <n v="2.9640000000000004"/>
    <n v="301.88536953242834"/>
  </r>
  <r>
    <n v="38"/>
    <x v="2"/>
    <s v="Elisa "/>
    <x v="1"/>
    <n v="36"/>
    <s v="Plum_EC6_HighLight"/>
    <x v="1"/>
    <x v="0"/>
    <x v="0"/>
    <s v="Plum_EC6_HL_6"/>
    <n v="6"/>
    <m/>
    <n v="26"/>
    <m/>
    <m/>
    <m/>
    <m/>
    <m/>
    <m/>
    <n v="3"/>
    <n v="0"/>
    <m/>
    <m/>
    <n v="0"/>
    <m/>
    <m/>
    <m/>
    <n v="23.75"/>
    <n v="13"/>
    <n v="14.53"/>
    <n v="9.07"/>
    <n v="0.16"/>
    <n v="0"/>
    <n v="23.76"/>
    <n v="409.31"/>
    <m/>
    <n v="1.1599999999999999"/>
    <n v="0.58299999999999996"/>
    <n v="0.02"/>
    <m/>
    <n v="1.7629999999999999"/>
    <n v="352.85344827586209"/>
  </r>
  <r>
    <n v="38"/>
    <x v="2"/>
    <s v="Elisa "/>
    <x v="1"/>
    <n v="36"/>
    <s v="Plum_EC6_MedLight"/>
    <x v="1"/>
    <x v="0"/>
    <x v="1"/>
    <s v="Plum_EC6_ML_1"/>
    <n v="1"/>
    <m/>
    <n v="25"/>
    <m/>
    <m/>
    <m/>
    <m/>
    <m/>
    <m/>
    <n v="2"/>
    <n v="0"/>
    <m/>
    <m/>
    <n v="0"/>
    <m/>
    <m/>
    <m/>
    <n v="17.989999999999998"/>
    <n v="12"/>
    <n v="10.8"/>
    <n v="7.07"/>
    <n v="0.11"/>
    <n v="0"/>
    <n v="17.98"/>
    <n v="329.49"/>
    <m/>
    <n v="0.84799999999999998"/>
    <n v="0.42899999999999999"/>
    <n v="1.2999999999999999E-2"/>
    <m/>
    <n v="1.2899999999999998"/>
    <n v="388.54952830188682"/>
  </r>
  <r>
    <n v="38"/>
    <x v="2"/>
    <s v="Elisa "/>
    <x v="1"/>
    <n v="36"/>
    <s v="Plum_EC6_MedLight"/>
    <x v="1"/>
    <x v="0"/>
    <x v="1"/>
    <s v="Plum_EC6_ML_2"/>
    <n v="2"/>
    <m/>
    <n v="26"/>
    <m/>
    <m/>
    <m/>
    <m/>
    <m/>
    <m/>
    <n v="4"/>
    <n v="0"/>
    <m/>
    <m/>
    <n v="0"/>
    <m/>
    <m/>
    <m/>
    <n v="31.41"/>
    <n v="17"/>
    <n v="19.66"/>
    <n v="11.06"/>
    <n v="0.63"/>
    <n v="0"/>
    <n v="31.349999999999998"/>
    <n v="494.39"/>
    <m/>
    <n v="1.7050000000000001"/>
    <n v="0.751"/>
    <n v="6.8000000000000005E-2"/>
    <m/>
    <n v="2.524"/>
    <n v="289.9648093841642"/>
  </r>
  <r>
    <n v="38"/>
    <x v="2"/>
    <s v="Elisa "/>
    <x v="1"/>
    <n v="36"/>
    <s v="Plum_EC6_MedLight"/>
    <x v="1"/>
    <x v="0"/>
    <x v="1"/>
    <s v="Plum_EC6_ML_3"/>
    <n v="3"/>
    <m/>
    <n v="26"/>
    <m/>
    <m/>
    <m/>
    <m/>
    <m/>
    <m/>
    <n v="2"/>
    <n v="0"/>
    <m/>
    <m/>
    <n v="0"/>
    <m/>
    <m/>
    <m/>
    <n v="23.62"/>
    <n v="13"/>
    <n v="14.26"/>
    <n v="9.01"/>
    <n v="0.32"/>
    <n v="0"/>
    <n v="23.59"/>
    <n v="399.44"/>
    <m/>
    <n v="1.208"/>
    <n v="0.60599999999999998"/>
    <n v="3.7999999999999999E-2"/>
    <m/>
    <n v="1.8520000000000001"/>
    <n v="330.66225165562912"/>
  </r>
  <r>
    <n v="38"/>
    <x v="2"/>
    <s v="Elisa "/>
    <x v="1"/>
    <n v="36"/>
    <s v="Plum_EC6_MedLight"/>
    <x v="1"/>
    <x v="0"/>
    <x v="1"/>
    <s v="Plum_EC6_ML_4"/>
    <n v="4"/>
    <m/>
    <n v="26"/>
    <m/>
    <m/>
    <m/>
    <m/>
    <m/>
    <m/>
    <n v="2"/>
    <n v="0"/>
    <m/>
    <m/>
    <n v="0"/>
    <m/>
    <m/>
    <m/>
    <n v="20.43"/>
    <n v="12"/>
    <n v="12.39"/>
    <n v="7.74"/>
    <n v="0.26"/>
    <n v="0"/>
    <n v="20.390000000000004"/>
    <n v="349.84"/>
    <m/>
    <n v="1.03"/>
    <n v="0.48399999999999999"/>
    <n v="3.1E-2"/>
    <m/>
    <n v="1.5449999999999999"/>
    <n v="339.65048543689318"/>
  </r>
  <r>
    <n v="38"/>
    <x v="2"/>
    <s v="Elisa "/>
    <x v="1"/>
    <n v="36"/>
    <s v="Plum_EC6_MedLight"/>
    <x v="1"/>
    <x v="0"/>
    <x v="1"/>
    <s v="Plum_EC6_ML_5"/>
    <n v="5"/>
    <m/>
    <n v="27"/>
    <m/>
    <m/>
    <m/>
    <m/>
    <m/>
    <m/>
    <n v="3"/>
    <n v="0"/>
    <m/>
    <m/>
    <n v="0"/>
    <m/>
    <m/>
    <m/>
    <n v="28.73"/>
    <n v="14"/>
    <n v="19.18"/>
    <n v="10.1"/>
    <n v="0.64"/>
    <n v="0"/>
    <n v="29.92"/>
    <n v="482.47"/>
    <m/>
    <n v="1.633"/>
    <n v="0.752"/>
    <n v="7.0000000000000007E-2"/>
    <m/>
    <n v="2.4549999999999996"/>
    <n v="295.45009185548071"/>
  </r>
  <r>
    <n v="38"/>
    <x v="2"/>
    <s v="Elisa "/>
    <x v="1"/>
    <n v="36"/>
    <s v="Plum_EC6_MedLight"/>
    <x v="1"/>
    <x v="0"/>
    <x v="1"/>
    <s v="Plum_EC6_ML_6"/>
    <n v="6"/>
    <m/>
    <n v="25"/>
    <m/>
    <m/>
    <m/>
    <m/>
    <m/>
    <m/>
    <n v="3"/>
    <n v="0"/>
    <m/>
    <m/>
    <n v="0"/>
    <m/>
    <m/>
    <m/>
    <n v="27.65"/>
    <n v="13"/>
    <n v="18.16"/>
    <n v="8.9600000000000009"/>
    <n v="0.43"/>
    <n v="0"/>
    <n v="27.55"/>
    <n v="459.13"/>
    <m/>
    <n v="1.621"/>
    <n v="0.67"/>
    <n v="5.1999999999999998E-2"/>
    <m/>
    <n v="2.343"/>
    <n v="283.23874151758173"/>
  </r>
  <r>
    <n v="38"/>
    <x v="2"/>
    <s v="Elisa "/>
    <x v="1"/>
    <n v="36"/>
    <s v="Plum_EC6_LowLight"/>
    <x v="1"/>
    <x v="0"/>
    <x v="2"/>
    <s v="Plum_EC6_LL_1"/>
    <n v="1"/>
    <m/>
    <n v="28"/>
    <m/>
    <m/>
    <m/>
    <m/>
    <m/>
    <m/>
    <n v="4"/>
    <n v="0"/>
    <m/>
    <m/>
    <n v="0"/>
    <m/>
    <m/>
    <m/>
    <n v="24.63"/>
    <n v="13"/>
    <n v="14.88"/>
    <n v="9.3699999999999992"/>
    <n v="0.36"/>
    <n v="0"/>
    <n v="24.61"/>
    <n v="419.04"/>
    <m/>
    <n v="1.234"/>
    <n v="0.64500000000000002"/>
    <n v="0.04"/>
    <m/>
    <n v="1.919"/>
    <n v="339.57860615883311"/>
  </r>
  <r>
    <n v="38"/>
    <x v="2"/>
    <s v="Elisa "/>
    <x v="1"/>
    <n v="36"/>
    <s v="Plum_EC6_LowLight"/>
    <x v="1"/>
    <x v="0"/>
    <x v="2"/>
    <s v="Plum_EC6_LL_2"/>
    <n v="2"/>
    <m/>
    <n v="29"/>
    <m/>
    <m/>
    <m/>
    <m/>
    <m/>
    <m/>
    <n v="4"/>
    <n v="0"/>
    <m/>
    <m/>
    <n v="0"/>
    <m/>
    <m/>
    <m/>
    <n v="33.14"/>
    <n v="14"/>
    <n v="20.74"/>
    <n v="11.74"/>
    <n v="0.68"/>
    <n v="0"/>
    <n v="33.159999999999997"/>
    <n v="544.21"/>
    <m/>
    <n v="1.7370000000000001"/>
    <n v="0.83299999999999996"/>
    <n v="7.3999999999999996E-2"/>
    <m/>
    <n v="2.6440000000000001"/>
    <n v="313.30454807138744"/>
  </r>
  <r>
    <n v="38"/>
    <x v="2"/>
    <s v="Elisa "/>
    <x v="1"/>
    <n v="36"/>
    <s v="Plum_EC6_LowLight"/>
    <x v="1"/>
    <x v="0"/>
    <x v="2"/>
    <s v="Plum_EC6_LL_3"/>
    <n v="3"/>
    <m/>
    <n v="28"/>
    <m/>
    <m/>
    <m/>
    <m/>
    <m/>
    <m/>
    <n v="4"/>
    <n v="0"/>
    <m/>
    <m/>
    <n v="0"/>
    <m/>
    <m/>
    <m/>
    <n v="30.34"/>
    <n v="15"/>
    <n v="19.02"/>
    <n v="10.59"/>
    <n v="0.74"/>
    <n v="0"/>
    <n v="30.349999999999998"/>
    <n v="523.14"/>
    <m/>
    <n v="1.669"/>
    <n v="0.78200000000000003"/>
    <n v="8.1000000000000003E-2"/>
    <m/>
    <n v="2.532"/>
    <n v="313.44517675254644"/>
  </r>
  <r>
    <n v="38"/>
    <x v="2"/>
    <s v="Elisa "/>
    <x v="1"/>
    <n v="36"/>
    <s v="Plum_EC6_LowLight"/>
    <x v="1"/>
    <x v="0"/>
    <x v="2"/>
    <s v="Plum_EC6_LL_4"/>
    <n v="4"/>
    <m/>
    <n v="28"/>
    <m/>
    <m/>
    <m/>
    <m/>
    <m/>
    <m/>
    <n v="3"/>
    <n v="0"/>
    <m/>
    <m/>
    <n v="0"/>
    <m/>
    <m/>
    <m/>
    <n v="26.93"/>
    <n v="13"/>
    <n v="16.190000000000001"/>
    <n v="10.36"/>
    <n v="0.39"/>
    <n v="0"/>
    <n v="26.94"/>
    <n v="469.04"/>
    <m/>
    <n v="1.3779999999999999"/>
    <n v="0.72199999999999998"/>
    <n v="4.1000000000000002E-2"/>
    <m/>
    <n v="2.1409999999999996"/>
    <n v="340.37735849056605"/>
  </r>
  <r>
    <n v="38"/>
    <x v="2"/>
    <s v="Elisa "/>
    <x v="1"/>
    <n v="36"/>
    <s v="Plum_EC6_LowLight"/>
    <x v="1"/>
    <x v="0"/>
    <x v="2"/>
    <s v="Plum_EC6_LL_5"/>
    <n v="5"/>
    <m/>
    <n v="28"/>
    <m/>
    <m/>
    <m/>
    <m/>
    <m/>
    <m/>
    <n v="4"/>
    <n v="0"/>
    <m/>
    <m/>
    <n v="0"/>
    <m/>
    <m/>
    <m/>
    <n v="27.52"/>
    <n v="13"/>
    <n v="16.93"/>
    <n v="10.33"/>
    <n v="0.33"/>
    <n v="0"/>
    <n v="27.589999999999996"/>
    <n v="453.88"/>
    <m/>
    <n v="1.407"/>
    <n v="0.69"/>
    <n v="3.7999999999999999E-2"/>
    <m/>
    <n v="2.1349999999999998"/>
    <n v="322.58706467661693"/>
  </r>
  <r>
    <n v="38"/>
    <x v="2"/>
    <s v="Elisa "/>
    <x v="1"/>
    <n v="36"/>
    <s v="Plum_EC6_LowLight"/>
    <x v="1"/>
    <x v="0"/>
    <x v="2"/>
    <s v="Plum_EC6_LL_6"/>
    <n v="6"/>
    <m/>
    <n v="30"/>
    <m/>
    <m/>
    <m/>
    <m/>
    <m/>
    <m/>
    <n v="4"/>
    <n v="0"/>
    <m/>
    <m/>
    <n v="0"/>
    <m/>
    <m/>
    <m/>
    <n v="31.03"/>
    <n v="15"/>
    <n v="19.8"/>
    <n v="11.86"/>
    <n v="0.77"/>
    <n v="0"/>
    <n v="32.43"/>
    <n v="536.08000000000004"/>
    <m/>
    <n v="1.7070000000000001"/>
    <n v="0.86099999999999999"/>
    <n v="8.5999999999999993E-2"/>
    <m/>
    <n v="2.6539999999999999"/>
    <n v="314.04803749267722"/>
  </r>
  <r>
    <n v="38"/>
    <x v="2"/>
    <s v="Elisa "/>
    <x v="1"/>
    <n v="36"/>
    <s v="Plum_EC6_NoLight"/>
    <x v="1"/>
    <x v="0"/>
    <x v="3"/>
    <s v="Plum_EC6__1"/>
    <n v="1"/>
    <m/>
    <n v="27"/>
    <m/>
    <m/>
    <m/>
    <m/>
    <m/>
    <m/>
    <n v="4"/>
    <n v="0"/>
    <m/>
    <m/>
    <n v="0"/>
    <m/>
    <m/>
    <m/>
    <n v="21.61"/>
    <n v="13"/>
    <n v="13.36"/>
    <n v="7.95"/>
    <n v="0.31"/>
    <n v="0"/>
    <n v="21.619999999999997"/>
    <n v="385.16"/>
    <m/>
    <n v="1.069"/>
    <n v="0.505"/>
    <n v="3.9E-2"/>
    <m/>
    <n v="1.6129999999999998"/>
    <n v="360.2993451824135"/>
  </r>
  <r>
    <n v="38"/>
    <x v="2"/>
    <s v="Elisa "/>
    <x v="1"/>
    <n v="36"/>
    <s v="Plum_EC6_NoLight"/>
    <x v="1"/>
    <x v="0"/>
    <x v="3"/>
    <s v="Plum_EC6__2"/>
    <n v="2"/>
    <m/>
    <n v="28"/>
    <m/>
    <m/>
    <m/>
    <m/>
    <m/>
    <m/>
    <n v="4"/>
    <n v="0"/>
    <m/>
    <m/>
    <n v="0"/>
    <m/>
    <m/>
    <m/>
    <n v="18.079999999999998"/>
    <n v="13"/>
    <n v="10.72"/>
    <n v="7.12"/>
    <n v="0.19"/>
    <n v="0"/>
    <n v="18.03"/>
    <n v="434.8"/>
    <m/>
    <n v="0.88400000000000001"/>
    <n v="0.46200000000000002"/>
    <n v="2.7E-2"/>
    <m/>
    <n v="1.373"/>
    <n v="491.8552036199095"/>
  </r>
  <r>
    <n v="38"/>
    <x v="2"/>
    <s v="Elisa "/>
    <x v="1"/>
    <n v="36"/>
    <s v="Plum_EC6_NoLight"/>
    <x v="1"/>
    <x v="0"/>
    <x v="3"/>
    <s v="Plum_EC6__3"/>
    <n v="3"/>
    <m/>
    <n v="27"/>
    <m/>
    <m/>
    <m/>
    <m/>
    <m/>
    <m/>
    <n v="3"/>
    <n v="0"/>
    <m/>
    <m/>
    <n v="0"/>
    <m/>
    <m/>
    <m/>
    <n v="23.53"/>
    <n v="13"/>
    <n v="14.44"/>
    <n v="8.85"/>
    <n v="0.27"/>
    <n v="0"/>
    <n v="23.56"/>
    <n v="446.88"/>
    <m/>
    <n v="1.2130000000000001"/>
    <n v="0.58299999999999996"/>
    <n v="3.4000000000000002E-2"/>
    <m/>
    <n v="1.83"/>
    <n v="368.4089035449299"/>
  </r>
  <r>
    <n v="38"/>
    <x v="2"/>
    <s v="Elisa "/>
    <x v="1"/>
    <n v="36"/>
    <s v="Plum_EC6_NoLight"/>
    <x v="1"/>
    <x v="0"/>
    <x v="3"/>
    <s v="Plum_EC6__4"/>
    <n v="4"/>
    <m/>
    <n v="29"/>
    <m/>
    <m/>
    <m/>
    <m/>
    <m/>
    <m/>
    <n v="4"/>
    <n v="0"/>
    <m/>
    <m/>
    <n v="0"/>
    <m/>
    <m/>
    <m/>
    <n v="26.35"/>
    <n v="15"/>
    <n v="16.22"/>
    <n v="9.83"/>
    <n v="0.26"/>
    <n v="0"/>
    <n v="26.31"/>
    <n v="362.55"/>
    <m/>
    <n v="1.3480000000000001"/>
    <n v="0.65900000000000003"/>
    <n v="3.5999999999999997E-2"/>
    <m/>
    <n v="2.0430000000000001"/>
    <n v="268.95400593471811"/>
  </r>
  <r>
    <n v="38"/>
    <x v="2"/>
    <s v="Elisa "/>
    <x v="1"/>
    <n v="36"/>
    <s v="Plum_EC6_NoLight"/>
    <x v="1"/>
    <x v="0"/>
    <x v="3"/>
    <s v="Plum_EC6__5"/>
    <n v="5"/>
    <m/>
    <n v="28"/>
    <m/>
    <m/>
    <m/>
    <m/>
    <m/>
    <m/>
    <n v="3"/>
    <n v="0"/>
    <m/>
    <m/>
    <n v="0"/>
    <m/>
    <m/>
    <m/>
    <n v="22.3"/>
    <n v="13"/>
    <n v="13.47"/>
    <n v="8.61"/>
    <n v="0.15"/>
    <n v="0"/>
    <n v="22.229999999999997"/>
    <n v="371.51"/>
    <m/>
    <n v="1.089"/>
    <n v="0.52500000000000002"/>
    <n v="2.1999999999999999E-2"/>
    <m/>
    <n v="1.6359999999999999"/>
    <n v="341.14784205693297"/>
  </r>
  <r>
    <n v="38"/>
    <x v="2"/>
    <s v="Elisa "/>
    <x v="1"/>
    <n v="36"/>
    <s v="Plum_EC6_NoLight"/>
    <x v="1"/>
    <x v="0"/>
    <x v="3"/>
    <s v="Plum_EC6__6"/>
    <n v="6"/>
    <m/>
    <n v="27"/>
    <m/>
    <m/>
    <m/>
    <m/>
    <m/>
    <m/>
    <n v="4"/>
    <n v="0"/>
    <m/>
    <m/>
    <n v="0"/>
    <m/>
    <m/>
    <m/>
    <n v="24.86"/>
    <n v="13"/>
    <n v="15.48"/>
    <n v="9.19"/>
    <n v="0.21"/>
    <n v="0"/>
    <n v="24.880000000000003"/>
    <n v="472.69"/>
    <m/>
    <n v="1.2569999999999999"/>
    <n v="0.58099999999999996"/>
    <n v="2.9000000000000001E-2"/>
    <m/>
    <n v="1.8669999999999998"/>
    <n v="376.04614160700083"/>
  </r>
  <r>
    <n v="38"/>
    <x v="2"/>
    <s v="Elisa "/>
    <x v="1"/>
    <n v="36"/>
    <s v="Plum_EC3_HighLight"/>
    <x v="1"/>
    <x v="1"/>
    <x v="0"/>
    <s v="Plum_EC3_HL_1"/>
    <n v="1"/>
    <m/>
    <n v="29"/>
    <m/>
    <m/>
    <m/>
    <m/>
    <m/>
    <m/>
    <n v="4"/>
    <n v="0"/>
    <m/>
    <m/>
    <n v="0"/>
    <m/>
    <m/>
    <m/>
    <n v="38.94"/>
    <n v="13"/>
    <n v="24.29"/>
    <n v="14.13"/>
    <n v="0.5"/>
    <n v="0"/>
    <n v="38.92"/>
    <n v="610"/>
    <m/>
    <n v="2.0110000000000001"/>
    <n v="0.93"/>
    <n v="5.7000000000000002E-2"/>
    <m/>
    <n v="2.9980000000000002"/>
    <n v="303.3316757831924"/>
  </r>
  <r>
    <n v="38"/>
    <x v="2"/>
    <s v="Elisa "/>
    <x v="1"/>
    <n v="36"/>
    <s v="Plum_EC3_HighLight"/>
    <x v="1"/>
    <x v="1"/>
    <x v="0"/>
    <s v="Plum_EC3_HL_2"/>
    <n v="2"/>
    <m/>
    <n v="26"/>
    <m/>
    <m/>
    <m/>
    <m/>
    <m/>
    <m/>
    <n v="2"/>
    <n v="0"/>
    <m/>
    <m/>
    <n v="0"/>
    <m/>
    <m/>
    <m/>
    <n v="30.24"/>
    <n v="12"/>
    <n v="19.07"/>
    <n v="11.01"/>
    <n v="0.11"/>
    <n v="0"/>
    <n v="30.189999999999998"/>
    <n v="481.79"/>
    <m/>
    <n v="1.349"/>
    <n v="0.61599999999999999"/>
    <n v="1.7000000000000001E-2"/>
    <m/>
    <n v="1.9819999999999998"/>
    <n v="357.14603409933284"/>
  </r>
  <r>
    <n v="38"/>
    <x v="2"/>
    <s v="Elisa "/>
    <x v="1"/>
    <n v="36"/>
    <s v="Plum_EC3_HighLight"/>
    <x v="1"/>
    <x v="1"/>
    <x v="0"/>
    <s v="Plum_EC3_HL_3"/>
    <n v="3"/>
    <m/>
    <n v="30"/>
    <m/>
    <m/>
    <m/>
    <m/>
    <m/>
    <m/>
    <n v="3"/>
    <n v="0"/>
    <m/>
    <m/>
    <n v="0"/>
    <m/>
    <m/>
    <m/>
    <n v="38.54"/>
    <n v="13"/>
    <n v="23.52"/>
    <n v="14.46"/>
    <n v="0.49"/>
    <n v="0"/>
    <n v="38.470000000000006"/>
    <n v="568.17999999999995"/>
    <m/>
    <n v="1.9690000000000001"/>
    <n v="0.98499999999999999"/>
    <n v="5.6000000000000001E-2"/>
    <m/>
    <n v="3.0100000000000002"/>
    <n v="288.56272219400705"/>
  </r>
  <r>
    <n v="38"/>
    <x v="2"/>
    <s v="Elisa "/>
    <x v="1"/>
    <n v="36"/>
    <s v="Plum_EC3_HighLight"/>
    <x v="1"/>
    <x v="1"/>
    <x v="0"/>
    <s v="Plum_EC3_HL_4"/>
    <n v="4"/>
    <m/>
    <n v="28"/>
    <m/>
    <m/>
    <m/>
    <m/>
    <m/>
    <m/>
    <n v="4"/>
    <n v="0"/>
    <m/>
    <m/>
    <n v="0"/>
    <m/>
    <m/>
    <m/>
    <n v="32.479999999999997"/>
    <n v="15"/>
    <n v="19.52"/>
    <n v="12.54"/>
    <n v="0.42"/>
    <n v="0"/>
    <n v="32.480000000000004"/>
    <n v="491.47"/>
    <m/>
    <n v="1.6639999999999999"/>
    <n v="0.86499999999999999"/>
    <n v="4.7E-2"/>
    <m/>
    <n v="2.5760000000000001"/>
    <n v="295.35456730769232"/>
  </r>
  <r>
    <n v="38"/>
    <x v="2"/>
    <s v="Elisa "/>
    <x v="1"/>
    <n v="36"/>
    <s v="Plum_EC3_HighLight"/>
    <x v="1"/>
    <x v="1"/>
    <x v="0"/>
    <s v="Plum_EC3_HL_5"/>
    <n v="5"/>
    <m/>
    <n v="29"/>
    <m/>
    <m/>
    <m/>
    <m/>
    <m/>
    <m/>
    <n v="4"/>
    <n v="0"/>
    <m/>
    <m/>
    <n v="0"/>
    <m/>
    <m/>
    <m/>
    <n v="42.46"/>
    <n v="13"/>
    <n v="26.75"/>
    <n v="14.87"/>
    <n v="0.84"/>
    <n v="0"/>
    <n v="42.46"/>
    <n v="828.66"/>
    <m/>
    <n v="2.27"/>
    <n v="1.03"/>
    <n v="9.0999999999999998E-2"/>
    <m/>
    <n v="3.391"/>
    <n v="365.04845814977972"/>
  </r>
  <r>
    <n v="38"/>
    <x v="2"/>
    <s v="Elisa "/>
    <x v="1"/>
    <n v="36"/>
    <s v="Plum_EC3_HighLight"/>
    <x v="1"/>
    <x v="1"/>
    <x v="0"/>
    <s v="Plum_EC3_HL_6"/>
    <n v="6"/>
    <m/>
    <n v="25"/>
    <m/>
    <m/>
    <m/>
    <m/>
    <m/>
    <m/>
    <n v="4"/>
    <n v="0"/>
    <m/>
    <m/>
    <n v="0"/>
    <m/>
    <m/>
    <m/>
    <n v="29.05"/>
    <n v="13"/>
    <n v="18.52"/>
    <n v="10.25"/>
    <n v="0.31"/>
    <n v="0"/>
    <n v="29.08"/>
    <n v="478.66"/>
    <m/>
    <n v="1.57"/>
    <n v="0.67800000000000005"/>
    <n v="3.3000000000000002E-2"/>
    <m/>
    <n v="2.2810000000000001"/>
    <n v="304.87898089171978"/>
  </r>
  <r>
    <n v="38"/>
    <x v="2"/>
    <s v="Elisa "/>
    <x v="1"/>
    <n v="36"/>
    <s v="Plum_EC3_MedLight"/>
    <x v="1"/>
    <x v="1"/>
    <x v="1"/>
    <s v="Plum_EC3_ML_1"/>
    <n v="1"/>
    <m/>
    <n v="28"/>
    <m/>
    <m/>
    <m/>
    <m/>
    <m/>
    <m/>
    <n v="5"/>
    <n v="0"/>
    <m/>
    <m/>
    <n v="0"/>
    <m/>
    <m/>
    <m/>
    <n v="34.6"/>
    <n v="14"/>
    <n v="21.61"/>
    <n v="12.39"/>
    <n v="0.56000000000000005"/>
    <n v="0"/>
    <n v="34.56"/>
    <n v="544.08000000000004"/>
    <m/>
    <n v="1.85"/>
    <n v="0.91100000000000003"/>
    <n v="6.7000000000000004E-2"/>
    <m/>
    <n v="2.8280000000000003"/>
    <n v="294.0972972972973"/>
  </r>
  <r>
    <n v="38"/>
    <x v="2"/>
    <s v="Elisa "/>
    <x v="1"/>
    <n v="36"/>
    <s v="Plum_EC3_MedLight"/>
    <x v="1"/>
    <x v="1"/>
    <x v="1"/>
    <s v="Plum_EC3_ML_2"/>
    <n v="2"/>
    <m/>
    <n v="26"/>
    <m/>
    <m/>
    <m/>
    <m/>
    <m/>
    <m/>
    <n v="5"/>
    <n v="0"/>
    <m/>
    <m/>
    <n v="0"/>
    <m/>
    <m/>
    <m/>
    <n v="30.38"/>
    <n v="16"/>
    <n v="18.38"/>
    <n v="11.8"/>
    <n v="0.2"/>
    <n v="0"/>
    <n v="30.38"/>
    <n v="489.68"/>
    <m/>
    <n v="1.5249999999999999"/>
    <n v="0.80300000000000005"/>
    <n v="8.9999999999999993E-3"/>
    <m/>
    <n v="2.3369999999999997"/>
    <n v="321.10163934426231"/>
  </r>
  <r>
    <n v="38"/>
    <x v="2"/>
    <s v="Elisa "/>
    <x v="1"/>
    <n v="36"/>
    <s v="Plum_EC3_MedLight"/>
    <x v="1"/>
    <x v="1"/>
    <x v="1"/>
    <s v="Plum_EC3_ML_3"/>
    <n v="3"/>
    <m/>
    <n v="31"/>
    <m/>
    <m/>
    <m/>
    <m/>
    <m/>
    <m/>
    <n v="4"/>
    <n v="0"/>
    <m/>
    <m/>
    <n v="0"/>
    <m/>
    <m/>
    <m/>
    <n v="30.44"/>
    <n v="14"/>
    <n v="17.64"/>
    <n v="12.41"/>
    <n v="0.28999999999999998"/>
    <n v="0"/>
    <n v="30.34"/>
    <n v="491.31"/>
    <m/>
    <n v="1.4510000000000001"/>
    <n v="0.80600000000000005"/>
    <n v="3.7999999999999999E-2"/>
    <m/>
    <n v="2.2949999999999999"/>
    <n v="338.60096485182629"/>
  </r>
  <r>
    <n v="38"/>
    <x v="2"/>
    <s v="Elisa "/>
    <x v="1"/>
    <n v="36"/>
    <s v="Plum_EC3_MedLight"/>
    <x v="1"/>
    <x v="1"/>
    <x v="1"/>
    <s v="Plum_EC3_ML_4"/>
    <n v="4"/>
    <m/>
    <n v="29"/>
    <m/>
    <m/>
    <m/>
    <m/>
    <m/>
    <m/>
    <n v="4"/>
    <n v="0"/>
    <m/>
    <m/>
    <n v="0"/>
    <m/>
    <m/>
    <m/>
    <n v="34.229999999999997"/>
    <n v="16"/>
    <n v="20.94"/>
    <n v="12.72"/>
    <n v="0.67"/>
    <n v="0"/>
    <n v="34.330000000000005"/>
    <n v="529.49"/>
    <m/>
    <n v="1.746"/>
    <n v="0.86"/>
    <n v="5.5E-2"/>
    <m/>
    <n v="2.661"/>
    <n v="303.25887743413517"/>
  </r>
  <r>
    <n v="38"/>
    <x v="2"/>
    <s v="Elisa "/>
    <x v="1"/>
    <n v="36"/>
    <s v="Plum_EC3_MedLight"/>
    <x v="1"/>
    <x v="1"/>
    <x v="1"/>
    <s v="Plum_EC3_ML_5"/>
    <n v="5"/>
    <m/>
    <n v="28"/>
    <m/>
    <m/>
    <m/>
    <m/>
    <m/>
    <m/>
    <n v="4"/>
    <n v="0"/>
    <m/>
    <m/>
    <n v="0"/>
    <m/>
    <m/>
    <m/>
    <n v="23.12"/>
    <n v="12"/>
    <n v="13.93"/>
    <n v="9.4700000000000006"/>
    <n v="0.14000000000000001"/>
    <n v="0"/>
    <n v="23.54"/>
    <n v="402.77"/>
    <m/>
    <n v="1.151"/>
    <n v="0.61599999999999999"/>
    <n v="1.9E-2"/>
    <m/>
    <n v="1.7859999999999998"/>
    <n v="349.93049522154644"/>
  </r>
  <r>
    <n v="38"/>
    <x v="2"/>
    <s v="Elisa "/>
    <x v="1"/>
    <n v="36"/>
    <s v="Plum_EC3_MedLight"/>
    <x v="1"/>
    <x v="1"/>
    <x v="1"/>
    <s v="Plum_EC3_ML_6"/>
    <n v="6"/>
    <m/>
    <n v="27"/>
    <m/>
    <m/>
    <m/>
    <m/>
    <m/>
    <m/>
    <n v="4"/>
    <n v="0"/>
    <m/>
    <m/>
    <n v="0"/>
    <m/>
    <m/>
    <m/>
    <n v="24.22"/>
    <n v="13"/>
    <n v="14.91"/>
    <n v="9.11"/>
    <n v="0.14000000000000001"/>
    <n v="0"/>
    <n v="24.16"/>
    <n v="812.29"/>
    <m/>
    <n v="1.155"/>
    <n v="0.54400000000000004"/>
    <n v="0.02"/>
    <m/>
    <n v="1.7190000000000001"/>
    <n v="703.28138528138527"/>
  </r>
  <r>
    <n v="38"/>
    <x v="2"/>
    <s v="Elisa "/>
    <x v="1"/>
    <n v="36"/>
    <s v="Plum_EC3_LowLight"/>
    <x v="1"/>
    <x v="1"/>
    <x v="2"/>
    <s v="Plum_EC3_LL_1"/>
    <n v="1"/>
    <m/>
    <n v="29"/>
    <m/>
    <m/>
    <m/>
    <m/>
    <m/>
    <m/>
    <n v="4"/>
    <n v="0"/>
    <m/>
    <m/>
    <n v="0"/>
    <m/>
    <m/>
    <m/>
    <n v="27.43"/>
    <n v="13"/>
    <n v="16.09"/>
    <n v="10.92"/>
    <n v="0.35"/>
    <n v="0"/>
    <n v="27.36"/>
    <n v="436.02"/>
    <m/>
    <n v="1.3260000000000001"/>
    <n v="0.71399999999999997"/>
    <n v="4.4999999999999998E-2"/>
    <m/>
    <n v="2.085"/>
    <n v="328.8235294117647"/>
  </r>
  <r>
    <n v="38"/>
    <x v="2"/>
    <s v="Elisa "/>
    <x v="1"/>
    <n v="36"/>
    <s v="Plum_EC3_LowLight"/>
    <x v="1"/>
    <x v="1"/>
    <x v="2"/>
    <s v="Plum_EC3_LL_2"/>
    <n v="2"/>
    <m/>
    <n v="29"/>
    <m/>
    <m/>
    <m/>
    <m/>
    <m/>
    <m/>
    <n v="4"/>
    <n v="0"/>
    <m/>
    <m/>
    <n v="0"/>
    <m/>
    <m/>
    <m/>
    <n v="30.48"/>
    <n v="14"/>
    <n v="18.95"/>
    <n v="11.12"/>
    <n v="0.39"/>
    <n v="0"/>
    <n v="30.46"/>
    <n v="512.23"/>
    <m/>
    <n v="1.6339999999999999"/>
    <n v="0.77900000000000003"/>
    <n v="4.5999999999999999E-2"/>
    <m/>
    <n v="2.4589999999999996"/>
    <n v="313.48225214198288"/>
  </r>
  <r>
    <n v="38"/>
    <x v="2"/>
    <s v="Elisa "/>
    <x v="1"/>
    <n v="36"/>
    <s v="Plum_EC3_LowLight"/>
    <x v="1"/>
    <x v="1"/>
    <x v="2"/>
    <s v="Plum_EC3_LL_3"/>
    <n v="3"/>
    <m/>
    <n v="33"/>
    <m/>
    <m/>
    <m/>
    <m/>
    <m/>
    <m/>
    <n v="4"/>
    <n v="0"/>
    <m/>
    <m/>
    <n v="0"/>
    <m/>
    <m/>
    <m/>
    <n v="29.31"/>
    <n v="14"/>
    <n v="16.82"/>
    <n v="12.22"/>
    <n v="0.21"/>
    <n v="0"/>
    <n v="29.25"/>
    <n v="467.67"/>
    <m/>
    <n v="1.361"/>
    <n v="0.77800000000000002"/>
    <n v="3.4000000000000002E-2"/>
    <m/>
    <n v="2.173"/>
    <n v="343.62233651726672"/>
  </r>
  <r>
    <n v="38"/>
    <x v="2"/>
    <s v="Elisa "/>
    <x v="1"/>
    <n v="36"/>
    <s v="Plum_EC3_LowLight"/>
    <x v="1"/>
    <x v="1"/>
    <x v="2"/>
    <s v="Plum_EC3_LL_4"/>
    <n v="4"/>
    <m/>
    <n v="27"/>
    <m/>
    <m/>
    <m/>
    <m/>
    <m/>
    <m/>
    <n v="4"/>
    <n v="0"/>
    <m/>
    <m/>
    <n v="0"/>
    <m/>
    <m/>
    <m/>
    <n v="28.17"/>
    <n v="13"/>
    <n v="17.239999999999998"/>
    <n v="10.64"/>
    <n v="0.25"/>
    <n v="0"/>
    <n v="28.13"/>
    <n v="472.42"/>
    <m/>
    <n v="1.419"/>
    <n v="0.68"/>
    <n v="3.3000000000000002E-2"/>
    <m/>
    <n v="2.1320000000000001"/>
    <n v="332.92459478505992"/>
  </r>
  <r>
    <n v="38"/>
    <x v="2"/>
    <s v="Elisa "/>
    <x v="1"/>
    <n v="36"/>
    <s v="Plum_EC3_LowLight"/>
    <x v="1"/>
    <x v="1"/>
    <x v="2"/>
    <s v="Plum_EC3_LL_5"/>
    <n v="5"/>
    <m/>
    <n v="31"/>
    <m/>
    <m/>
    <m/>
    <m/>
    <m/>
    <m/>
    <n v="4"/>
    <n v="0"/>
    <m/>
    <m/>
    <n v="0"/>
    <m/>
    <m/>
    <m/>
    <n v="26"/>
    <n v="12"/>
    <n v="14.63"/>
    <n v="11.16"/>
    <n v="0.15"/>
    <n v="0"/>
    <n v="25.939999999999998"/>
    <n v="406.25"/>
    <m/>
    <n v="1.163"/>
    <n v="0.65600000000000003"/>
    <n v="2.3E-2"/>
    <m/>
    <n v="1.8419999999999999"/>
    <n v="349.3121238177128"/>
  </r>
  <r>
    <n v="38"/>
    <x v="2"/>
    <s v="Elisa "/>
    <x v="1"/>
    <n v="36"/>
    <s v="Plum_EC3_LowLight"/>
    <x v="1"/>
    <x v="1"/>
    <x v="2"/>
    <s v="Plum_EC3_LL_6"/>
    <n v="6"/>
    <m/>
    <n v="30"/>
    <m/>
    <m/>
    <m/>
    <m/>
    <m/>
    <m/>
    <n v="3"/>
    <n v="0"/>
    <m/>
    <m/>
    <n v="0"/>
    <m/>
    <m/>
    <m/>
    <n v="32.119999999999997"/>
    <n v="14"/>
    <n v="19.64"/>
    <n v="1204"/>
    <n v="0.39"/>
    <n v="0"/>
    <n v="1224.0300000000002"/>
    <n v="525.64"/>
    <m/>
    <n v="1.6359999999999999"/>
    <n v="0.81799999999999995"/>
    <n v="5.1999999999999998E-2"/>
    <m/>
    <n v="2.5059999999999998"/>
    <n v="321.2958435207824"/>
  </r>
  <r>
    <n v="38"/>
    <x v="2"/>
    <s v="Elisa "/>
    <x v="1"/>
    <n v="36"/>
    <s v="Plum_EC3_NoLight"/>
    <x v="1"/>
    <x v="1"/>
    <x v="3"/>
    <s v="Plum_EC3__1"/>
    <n v="1"/>
    <m/>
    <n v="28"/>
    <m/>
    <m/>
    <m/>
    <m/>
    <m/>
    <m/>
    <n v="4"/>
    <n v="0"/>
    <m/>
    <m/>
    <n v="0"/>
    <m/>
    <m/>
    <m/>
    <n v="23.91"/>
    <n v="14"/>
    <n v="13.66"/>
    <n v="9.92"/>
    <n v="0.31"/>
    <n v="0"/>
    <n v="23.889999999999997"/>
    <n v="383.9"/>
    <m/>
    <n v="1.077"/>
    <n v="0.627"/>
    <n v="3.7999999999999999E-2"/>
    <m/>
    <n v="1.742"/>
    <n v="356.45311049210773"/>
  </r>
  <r>
    <n v="38"/>
    <x v="2"/>
    <s v="Elisa "/>
    <x v="1"/>
    <n v="36"/>
    <s v="Plum_EC3_NoLight"/>
    <x v="1"/>
    <x v="1"/>
    <x v="3"/>
    <s v="Plum_EC3__2"/>
    <n v="2"/>
    <m/>
    <n v="27"/>
    <m/>
    <m/>
    <m/>
    <m/>
    <m/>
    <m/>
    <n v="2"/>
    <n v="0"/>
    <m/>
    <m/>
    <n v="0"/>
    <m/>
    <m/>
    <m/>
    <n v="24.03"/>
    <n v="13"/>
    <n v="14.45"/>
    <n v="9.36"/>
    <n v="0.17"/>
    <n v="0"/>
    <n v="23.98"/>
    <n v="340.49"/>
    <m/>
    <n v="1.181"/>
    <n v="0.6"/>
    <n v="2.4E-2"/>
    <m/>
    <n v="1.8050000000000002"/>
    <n v="288.30651989839117"/>
  </r>
  <r>
    <n v="38"/>
    <x v="2"/>
    <s v="Elisa "/>
    <x v="1"/>
    <n v="36"/>
    <s v="Plum_EC3_NoLight"/>
    <x v="1"/>
    <x v="1"/>
    <x v="3"/>
    <s v="Plum_EC3__3"/>
    <n v="3"/>
    <m/>
    <n v="27"/>
    <m/>
    <m/>
    <m/>
    <m/>
    <m/>
    <m/>
    <n v="4"/>
    <n v="0"/>
    <m/>
    <m/>
    <n v="0"/>
    <m/>
    <m/>
    <m/>
    <n v="26.46"/>
    <n v="14"/>
    <n v="15.74"/>
    <n v="10.41"/>
    <n v="0.26"/>
    <n v="0"/>
    <n v="26.41"/>
    <n v="418.49"/>
    <m/>
    <n v="1.3"/>
    <n v="0.69399999999999995"/>
    <n v="2.9000000000000001E-2"/>
    <m/>
    <n v="2.0230000000000001"/>
    <n v="321.9153846153846"/>
  </r>
  <r>
    <n v="38"/>
    <x v="2"/>
    <s v="Elisa "/>
    <x v="1"/>
    <n v="36"/>
    <s v="Plum_EC3_NoLight"/>
    <x v="1"/>
    <x v="1"/>
    <x v="3"/>
    <s v="Plum_EC3__4"/>
    <n v="4"/>
    <m/>
    <n v="30"/>
    <m/>
    <m/>
    <m/>
    <m/>
    <m/>
    <m/>
    <n v="4"/>
    <n v="0"/>
    <m/>
    <m/>
    <n v="0"/>
    <m/>
    <m/>
    <m/>
    <n v="20.36"/>
    <n v="12"/>
    <n v="12.3"/>
    <n v="7.8"/>
    <n v="0.21"/>
    <n v="0"/>
    <n v="20.310000000000002"/>
    <n v="463.33"/>
    <m/>
    <n v="0.97499999999999998"/>
    <n v="0.48599999999999999"/>
    <n v="3.2000000000000001E-2"/>
    <m/>
    <n v="1.4929999999999999"/>
    <n v="475.21025641025642"/>
  </r>
  <r>
    <n v="38"/>
    <x v="2"/>
    <s v="Elisa "/>
    <x v="1"/>
    <n v="36"/>
    <s v="Plum_EC3_NoLight"/>
    <x v="1"/>
    <x v="1"/>
    <x v="3"/>
    <s v="Plum_EC3__5"/>
    <n v="5"/>
    <m/>
    <n v="29"/>
    <m/>
    <m/>
    <m/>
    <m/>
    <m/>
    <m/>
    <n v="3"/>
    <n v="0"/>
    <m/>
    <m/>
    <n v="0"/>
    <m/>
    <m/>
    <m/>
    <n v="21.49"/>
    <n v="11"/>
    <n v="12.76"/>
    <n v="8.42"/>
    <n v="0.32"/>
    <n v="0"/>
    <n v="21.5"/>
    <n v="395.5"/>
    <m/>
    <n v="1.014"/>
    <n v="0.51900000000000002"/>
    <n v="3.6999999999999998E-2"/>
    <m/>
    <n v="1.5699999999999998"/>
    <n v="390.03944773175544"/>
  </r>
  <r>
    <n v="38"/>
    <x v="2"/>
    <s v="Elisa "/>
    <x v="1"/>
    <n v="36"/>
    <s v="Plum_EC3_NoLight"/>
    <x v="1"/>
    <x v="1"/>
    <x v="3"/>
    <s v="Plum_EC3__6"/>
    <n v="6"/>
    <m/>
    <n v="30"/>
    <m/>
    <m/>
    <m/>
    <m/>
    <m/>
    <m/>
    <n v="4"/>
    <n v="0"/>
    <m/>
    <m/>
    <n v="0"/>
    <m/>
    <m/>
    <m/>
    <n v="27.78"/>
    <n v="13"/>
    <n v="16.64"/>
    <n v="10.76"/>
    <n v="0.31"/>
    <n v="0"/>
    <n v="27.709999999999997"/>
    <n v="449.49"/>
    <m/>
    <n v="1.351"/>
    <n v="0.70099999999999996"/>
    <n v="3.6999999999999998E-2"/>
    <m/>
    <n v="2.089"/>
    <n v="332.70910436713547"/>
  </r>
  <r>
    <n v="34"/>
    <x v="1"/>
    <s v="Viola"/>
    <x v="1"/>
    <n v="36"/>
    <s v="Heart_EC6_HighLight"/>
    <x v="2"/>
    <x v="0"/>
    <x v="0"/>
    <s v="Heart_EC6_HL_1"/>
    <n v="1"/>
    <m/>
    <n v="26.5"/>
    <m/>
    <m/>
    <m/>
    <m/>
    <m/>
    <m/>
    <n v="2"/>
    <n v="0"/>
    <m/>
    <m/>
    <n v="0"/>
    <m/>
    <m/>
    <m/>
    <n v="21.11"/>
    <n v="10"/>
    <n v="12.93"/>
    <n v="0.35"/>
    <n v="8.24"/>
    <n v="0"/>
    <n v="21.52"/>
    <n v="380.15"/>
    <m/>
    <n v="1.0349999999999999"/>
    <n v="0.51"/>
    <n v="0.04"/>
    <m/>
    <n v="1.585"/>
    <n v="367.29468599033817"/>
  </r>
  <r>
    <n v="34"/>
    <x v="1"/>
    <s v="Viola"/>
    <x v="1"/>
    <n v="36"/>
    <s v="Heart_EC6_HighLight"/>
    <x v="2"/>
    <x v="0"/>
    <x v="0"/>
    <s v="Heart_EC6_HL_2"/>
    <n v="2"/>
    <m/>
    <n v="26"/>
    <m/>
    <m/>
    <m/>
    <m/>
    <m/>
    <m/>
    <n v="1"/>
    <n v="0"/>
    <m/>
    <m/>
    <n v="0"/>
    <m/>
    <m/>
    <m/>
    <n v="19.600000000000001"/>
    <n v="10"/>
    <n v="11.52"/>
    <n v="0.15"/>
    <n v="7.98"/>
    <n v="0"/>
    <n v="19.649999999999999"/>
    <n v="388.58"/>
    <m/>
    <n v="0.99299999999999999"/>
    <n v="0.48399999999999999"/>
    <n v="1.2999999999999999E-2"/>
    <m/>
    <n v="1.4899999999999998"/>
    <n v="391.31923464249746"/>
  </r>
  <r>
    <n v="34"/>
    <x v="1"/>
    <s v="Viola"/>
    <x v="1"/>
    <n v="36"/>
    <s v="Heart_EC6_HighLight"/>
    <x v="2"/>
    <x v="0"/>
    <x v="0"/>
    <s v="Heart_EC6_HL_3"/>
    <n v="3"/>
    <m/>
    <n v="25"/>
    <m/>
    <m/>
    <m/>
    <m/>
    <m/>
    <m/>
    <n v="2"/>
    <n v="0"/>
    <m/>
    <m/>
    <n v="0"/>
    <m/>
    <m/>
    <m/>
    <n v="24.98"/>
    <n v="11"/>
    <n v="15.28"/>
    <n v="0.33"/>
    <n v="9.48"/>
    <n v="0"/>
    <n v="25.09"/>
    <n v="458.41"/>
    <m/>
    <n v="1.252"/>
    <n v="0.60899999999999999"/>
    <n v="4.5999999999999999E-2"/>
    <m/>
    <n v="1.907"/>
    <n v="366.14217252396168"/>
  </r>
  <r>
    <n v="34"/>
    <x v="1"/>
    <s v="Viola"/>
    <x v="1"/>
    <n v="36"/>
    <s v="Heart_EC6_HighLight"/>
    <x v="2"/>
    <x v="0"/>
    <x v="0"/>
    <s v="Heart_EC6_HL_4"/>
    <n v="4"/>
    <m/>
    <n v="28"/>
    <m/>
    <m/>
    <m/>
    <m/>
    <m/>
    <m/>
    <n v="2"/>
    <n v="0"/>
    <m/>
    <m/>
    <n v="0"/>
    <m/>
    <m/>
    <m/>
    <n v="19.579999999999998"/>
    <n v="9"/>
    <n v="11.74"/>
    <n v="0.32"/>
    <n v="7.99"/>
    <n v="0"/>
    <n v="20.05"/>
    <n v="383.16"/>
    <m/>
    <n v="0.93400000000000005"/>
    <n v="0.47"/>
    <n v="3.7999999999999999E-2"/>
    <m/>
    <n v="1.4419999999999999"/>
    <n v="410.23554603854387"/>
  </r>
  <r>
    <n v="34"/>
    <x v="1"/>
    <s v="Viola"/>
    <x v="1"/>
    <n v="36"/>
    <s v="Heart_EC6_HighLight"/>
    <x v="2"/>
    <x v="0"/>
    <x v="0"/>
    <s v="Heart_EC6_HL_5"/>
    <n v="5"/>
    <m/>
    <n v="27"/>
    <m/>
    <m/>
    <m/>
    <m/>
    <m/>
    <m/>
    <n v="2"/>
    <n v="0"/>
    <m/>
    <m/>
    <n v="0"/>
    <m/>
    <m/>
    <m/>
    <n v="27.78"/>
    <n v="11"/>
    <n v="17.579999999999998"/>
    <n v="0.3"/>
    <n v="9.8699999999999992"/>
    <n v="0"/>
    <n v="27.75"/>
    <n v="55.287999999999997"/>
    <m/>
    <n v="1.492"/>
    <n v="0.65300000000000002"/>
    <n v="3.4000000000000002E-2"/>
    <m/>
    <n v="2.1789999999999998"/>
    <n v="37.056300268096514"/>
  </r>
  <r>
    <n v="34"/>
    <x v="1"/>
    <s v="Viola"/>
    <x v="1"/>
    <n v="36"/>
    <s v="Heart_EC6_HighLight"/>
    <x v="2"/>
    <x v="0"/>
    <x v="0"/>
    <s v="Heart_EC6_HL_6"/>
    <n v="6"/>
    <m/>
    <n v="25"/>
    <m/>
    <m/>
    <m/>
    <m/>
    <m/>
    <m/>
    <n v="1"/>
    <n v="0"/>
    <m/>
    <m/>
    <n v="0"/>
    <m/>
    <m/>
    <m/>
    <n v="14.48"/>
    <n v="8"/>
    <n v="8.3699999999999992"/>
    <n v="0.27"/>
    <n v="5.81"/>
    <n v="0"/>
    <n v="14.45"/>
    <n v="291.41000000000003"/>
    <m/>
    <n v="0.61699999999999999"/>
    <n v="0.314"/>
    <n v="2.9000000000000001E-2"/>
    <m/>
    <n v="0.96000000000000008"/>
    <n v="472.30145867098872"/>
  </r>
  <r>
    <n v="34"/>
    <x v="1"/>
    <s v="Viola"/>
    <x v="1"/>
    <n v="36"/>
    <s v="Heart_EC6_MedLight"/>
    <x v="2"/>
    <x v="0"/>
    <x v="1"/>
    <s v="Heart_EC6_ML_1"/>
    <n v="1"/>
    <m/>
    <n v="27"/>
    <m/>
    <m/>
    <m/>
    <m/>
    <m/>
    <m/>
    <n v="2"/>
    <n v="0"/>
    <m/>
    <m/>
    <n v="0"/>
    <m/>
    <m/>
    <m/>
    <n v="15.51"/>
    <n v="8"/>
    <n v="8.7100000000000009"/>
    <n v="0.23"/>
    <n v="6.64"/>
    <n v="0"/>
    <n v="15.580000000000002"/>
    <n v="309.62"/>
    <m/>
    <n v="0.66400000000000003"/>
    <n v="0.35299999999999998"/>
    <n v="2.3E-2"/>
    <m/>
    <n v="1.0399999999999998"/>
    <n v="466.29518072289153"/>
  </r>
  <r>
    <n v="34"/>
    <x v="1"/>
    <s v="Viola"/>
    <x v="1"/>
    <n v="36"/>
    <s v="Heart_EC6_MedLight"/>
    <x v="2"/>
    <x v="0"/>
    <x v="1"/>
    <s v="Heart_EC6_ML_2"/>
    <n v="2"/>
    <m/>
    <n v="26"/>
    <m/>
    <m/>
    <m/>
    <m/>
    <m/>
    <m/>
    <n v="2"/>
    <n v="0"/>
    <m/>
    <m/>
    <n v="0"/>
    <m/>
    <m/>
    <m/>
    <n v="17.03"/>
    <n v="9"/>
    <n v="10.07"/>
    <n v="0.17"/>
    <n v="6.85"/>
    <n v="0"/>
    <n v="17.09"/>
    <n v="344.43"/>
    <m/>
    <n v="0.82099999999999995"/>
    <n v="0.41499999999999998"/>
    <n v="1.9E-2"/>
    <m/>
    <n v="1.2549999999999999"/>
    <n v="419.52496954933014"/>
  </r>
  <r>
    <n v="34"/>
    <x v="1"/>
    <s v="Viola"/>
    <x v="1"/>
    <n v="36"/>
    <s v="Heart_EC6_MedLight"/>
    <x v="2"/>
    <x v="0"/>
    <x v="1"/>
    <s v="Heart_EC6_ML_3"/>
    <n v="3"/>
    <m/>
    <n v="29"/>
    <m/>
    <m/>
    <m/>
    <m/>
    <m/>
    <m/>
    <n v="2"/>
    <n v="0"/>
    <m/>
    <m/>
    <n v="0"/>
    <m/>
    <m/>
    <m/>
    <n v="29.7"/>
    <n v="10"/>
    <n v="18.12"/>
    <n v="0.52"/>
    <n v="11.05"/>
    <n v="0"/>
    <n v="29.69"/>
    <n v="563.59"/>
    <m/>
    <n v="1.397"/>
    <n v="0.66300000000000003"/>
    <n v="5.5E-2"/>
    <m/>
    <n v="2.1150000000000002"/>
    <n v="403.42877594846101"/>
  </r>
  <r>
    <n v="34"/>
    <x v="1"/>
    <s v="Viola"/>
    <x v="1"/>
    <n v="36"/>
    <s v="Heart_EC6_MedLight"/>
    <x v="2"/>
    <x v="0"/>
    <x v="1"/>
    <s v="Heart_EC6_ML_4"/>
    <n v="4"/>
    <m/>
    <n v="30.5"/>
    <m/>
    <m/>
    <m/>
    <m/>
    <m/>
    <m/>
    <n v="2"/>
    <n v="0"/>
    <m/>
    <m/>
    <n v="0"/>
    <m/>
    <m/>
    <m/>
    <n v="31.41"/>
    <n v="10"/>
    <n v="19.59"/>
    <n v="0.48"/>
    <n v="11.32"/>
    <n v="0"/>
    <n v="31.39"/>
    <n v="625.45000000000005"/>
    <m/>
    <n v="1.7310000000000001"/>
    <n v="0.79200000000000004"/>
    <n v="5.2999999999999999E-2"/>
    <m/>
    <n v="2.5760000000000001"/>
    <n v="361.32293471981512"/>
  </r>
  <r>
    <n v="34"/>
    <x v="1"/>
    <s v="Viola"/>
    <x v="1"/>
    <n v="36"/>
    <s v="Heart_EC6_MedLight"/>
    <x v="2"/>
    <x v="0"/>
    <x v="1"/>
    <s v="Heart_EC6_ML_5"/>
    <n v="5"/>
    <m/>
    <n v="28"/>
    <m/>
    <m/>
    <m/>
    <m/>
    <m/>
    <m/>
    <n v="1"/>
    <n v="0"/>
    <m/>
    <m/>
    <n v="0"/>
    <m/>
    <m/>
    <m/>
    <n v="17.59"/>
    <n v="8"/>
    <n v="10.19"/>
    <n v="0.2"/>
    <n v="7.15"/>
    <n v="0"/>
    <n v="17.54"/>
    <n v="362.06"/>
    <m/>
    <n v="0.77500000000000002"/>
    <n v="0.38600000000000001"/>
    <n v="1.9E-2"/>
    <m/>
    <n v="1.18"/>
    <n v="467.17419354838711"/>
  </r>
  <r>
    <n v="34"/>
    <x v="1"/>
    <s v="Viola"/>
    <x v="1"/>
    <n v="36"/>
    <s v="Heart_EC6_MedLight"/>
    <x v="2"/>
    <x v="0"/>
    <x v="1"/>
    <s v="Heart_EC6_ML_6"/>
    <n v="6"/>
    <m/>
    <n v="30.5"/>
    <m/>
    <m/>
    <m/>
    <m/>
    <m/>
    <m/>
    <n v="2"/>
    <n v="0"/>
    <m/>
    <m/>
    <n v="0"/>
    <m/>
    <m/>
    <m/>
    <n v="21.9"/>
    <n v="10"/>
    <n v="12.92"/>
    <n v="0.17"/>
    <n v="8.7100000000000009"/>
    <n v="0"/>
    <n v="21.8"/>
    <n v="454.71"/>
    <m/>
    <n v="1.087"/>
    <n v="0.55300000000000005"/>
    <n v="2.1999999999999999E-2"/>
    <m/>
    <n v="1.6620000000000001"/>
    <n v="418.31646734130635"/>
  </r>
  <r>
    <n v="34"/>
    <x v="1"/>
    <s v="Elisa "/>
    <x v="1"/>
    <n v="36"/>
    <s v="Heart_EC6_LowLight"/>
    <x v="2"/>
    <x v="0"/>
    <x v="2"/>
    <s v="Heart_EC6_LL_1"/>
    <n v="1"/>
    <m/>
    <n v="27"/>
    <m/>
    <m/>
    <m/>
    <m/>
    <m/>
    <m/>
    <n v="2"/>
    <n v="0"/>
    <m/>
    <m/>
    <n v="0"/>
    <m/>
    <m/>
    <m/>
    <n v="15.91"/>
    <n v="10"/>
    <n v="9.19"/>
    <n v="6.61"/>
    <n v="0.09"/>
    <n v="0"/>
    <n v="15.89"/>
    <n v="320.45999999999998"/>
    <m/>
    <n v="0.69399999999999995"/>
    <n v="0.35199999999999998"/>
    <n v="1.2E-2"/>
    <m/>
    <n v="1.0579999999999998"/>
    <n v="461.75792507204613"/>
  </r>
  <r>
    <n v="34"/>
    <x v="1"/>
    <s v="Elisa "/>
    <x v="1"/>
    <n v="36"/>
    <s v="Heart_EC6_LowLight"/>
    <x v="2"/>
    <x v="0"/>
    <x v="2"/>
    <s v="Heart_EC6_LL_2"/>
    <n v="2"/>
    <m/>
    <n v="26"/>
    <m/>
    <m/>
    <m/>
    <m/>
    <m/>
    <m/>
    <n v="2"/>
    <n v="0"/>
    <m/>
    <m/>
    <n v="0"/>
    <m/>
    <m/>
    <m/>
    <n v="14.5"/>
    <n v="10"/>
    <n v="8.35"/>
    <n v="6.09"/>
    <n v="0.06"/>
    <n v="0"/>
    <n v="14.5"/>
    <n v="306.24"/>
    <m/>
    <n v="0.64100000000000001"/>
    <n v="0.32100000000000001"/>
    <n v="8.9999999999999993E-3"/>
    <m/>
    <n v="0.97099999999999997"/>
    <n v="477.75351014040564"/>
  </r>
  <r>
    <n v="34"/>
    <x v="1"/>
    <s v="Elisa "/>
    <x v="1"/>
    <n v="36"/>
    <s v="Heart_EC6_LowLight"/>
    <x v="2"/>
    <x v="0"/>
    <x v="2"/>
    <s v="Heart_EC6_LL_3"/>
    <n v="3"/>
    <m/>
    <n v="27"/>
    <m/>
    <m/>
    <m/>
    <m/>
    <m/>
    <m/>
    <n v="3"/>
    <n v="0"/>
    <m/>
    <m/>
    <n v="0"/>
    <m/>
    <m/>
    <m/>
    <n v="23.26"/>
    <n v="12"/>
    <n v="14.54"/>
    <n v="8.34"/>
    <n v="0.33"/>
    <n v="0"/>
    <n v="23.209999999999997"/>
    <n v="461.86"/>
    <m/>
    <n v="1.1759999999999999"/>
    <n v="0.55000000000000004"/>
    <n v="0.04"/>
    <m/>
    <n v="1.766"/>
    <n v="392.7380952380953"/>
  </r>
  <r>
    <n v="34"/>
    <x v="1"/>
    <s v="Elisa "/>
    <x v="1"/>
    <n v="36"/>
    <s v="Heart_EC6_LowLight"/>
    <x v="2"/>
    <x v="0"/>
    <x v="2"/>
    <s v="Heart_EC6_LL_4"/>
    <n v="4"/>
    <m/>
    <n v="24"/>
    <m/>
    <m/>
    <m/>
    <m/>
    <m/>
    <m/>
    <n v="2"/>
    <n v="0"/>
    <m/>
    <m/>
    <n v="0"/>
    <m/>
    <m/>
    <m/>
    <n v="12.48"/>
    <n v="10"/>
    <n v="7.39"/>
    <n v="4.97"/>
    <n v="0.09"/>
    <n v="0"/>
    <n v="12.45"/>
    <n v="232.9"/>
    <m/>
    <n v="0.60699999999999998"/>
    <n v="0.27100000000000002"/>
    <n v="1.0999999999999999E-2"/>
    <m/>
    <n v="0.88900000000000001"/>
    <n v="383.69028006589787"/>
  </r>
  <r>
    <n v="34"/>
    <x v="1"/>
    <s v="Elisa "/>
    <x v="1"/>
    <n v="36"/>
    <s v="Heart_EC6_LowLight"/>
    <x v="2"/>
    <x v="0"/>
    <x v="2"/>
    <s v="Heart_EC6_LL_5"/>
    <n v="5"/>
    <m/>
    <n v="28"/>
    <m/>
    <m/>
    <m/>
    <m/>
    <m/>
    <m/>
    <n v="2"/>
    <n v="0"/>
    <m/>
    <m/>
    <n v="0"/>
    <m/>
    <m/>
    <m/>
    <n v="17.989999999999998"/>
    <n v="10"/>
    <n v="10.52"/>
    <n v="7.25"/>
    <n v="0.23"/>
    <n v="0"/>
    <n v="18"/>
    <n v="350.3"/>
    <m/>
    <n v="0.82799999999999996"/>
    <n v="0.4"/>
    <n v="2.7E-2"/>
    <m/>
    <n v="1.2549999999999999"/>
    <n v="423.06763285024158"/>
  </r>
  <r>
    <n v="34"/>
    <x v="1"/>
    <s v="Elisa "/>
    <x v="1"/>
    <n v="36"/>
    <s v="Heart_EC6_LowLight"/>
    <x v="2"/>
    <x v="0"/>
    <x v="2"/>
    <s v="Heart_EC6_LL_6"/>
    <n v="6"/>
    <m/>
    <n v="25"/>
    <m/>
    <m/>
    <m/>
    <m/>
    <m/>
    <m/>
    <n v="2"/>
    <n v="0"/>
    <m/>
    <m/>
    <n v="0"/>
    <m/>
    <m/>
    <m/>
    <n v="11.63"/>
    <n v="9"/>
    <n v="6.85"/>
    <n v="4.62"/>
    <n v="0.09"/>
    <n v="0"/>
    <n v="11.559999999999999"/>
    <n v="240.9"/>
    <m/>
    <n v="0.53800000000000003"/>
    <n v="0.26600000000000001"/>
    <n v="1.2999999999999999E-2"/>
    <m/>
    <n v="0.81700000000000006"/>
    <n v="447.76951672862452"/>
  </r>
  <r>
    <n v="34"/>
    <x v="1"/>
    <s v="Elisa "/>
    <x v="1"/>
    <n v="36"/>
    <s v="Heart_EC6_NoLight"/>
    <x v="2"/>
    <x v="0"/>
    <x v="3"/>
    <s v="Heart_EC6__1"/>
    <n v="1"/>
    <m/>
    <n v="25"/>
    <m/>
    <m/>
    <m/>
    <m/>
    <m/>
    <m/>
    <n v="2"/>
    <n v="0"/>
    <m/>
    <m/>
    <n v="0"/>
    <m/>
    <m/>
    <m/>
    <n v="14.96"/>
    <n v="9"/>
    <n v="8.91"/>
    <n v="5.89"/>
    <n v="0.16"/>
    <n v="0"/>
    <n v="14.96"/>
    <n v="343.74"/>
    <m/>
    <n v="0.67800000000000005"/>
    <n v="0.32400000000000001"/>
    <n v="1.6E-2"/>
    <m/>
    <n v="1.018"/>
    <n v="506.99115044247787"/>
  </r>
  <r>
    <n v="34"/>
    <x v="1"/>
    <s v="Elisa "/>
    <x v="1"/>
    <n v="36"/>
    <s v="Heart_EC6_NoLight"/>
    <x v="2"/>
    <x v="0"/>
    <x v="3"/>
    <s v="Heart_EC6__2"/>
    <n v="2"/>
    <m/>
    <n v="27.5"/>
    <m/>
    <m/>
    <m/>
    <m/>
    <m/>
    <m/>
    <n v="2"/>
    <n v="0"/>
    <m/>
    <m/>
    <n v="0"/>
    <m/>
    <m/>
    <m/>
    <n v="14.39"/>
    <n v="8"/>
    <n v="8.2200000000000006"/>
    <n v="6.04"/>
    <n v="0.14000000000000001"/>
    <n v="0"/>
    <n v="14.400000000000002"/>
    <n v="316.86"/>
    <m/>
    <n v="0.60299999999999998"/>
    <n v="0.32100000000000001"/>
    <n v="1.2999999999999999E-2"/>
    <m/>
    <n v="0.93699999999999994"/>
    <n v="525.4726368159204"/>
  </r>
  <r>
    <n v="34"/>
    <x v="1"/>
    <s v="Elisa "/>
    <x v="1"/>
    <n v="36"/>
    <s v="Heart_EC6_NoLight"/>
    <x v="2"/>
    <x v="0"/>
    <x v="3"/>
    <s v="Heart_EC6__3"/>
    <n v="3"/>
    <m/>
    <n v="26.5"/>
    <m/>
    <m/>
    <m/>
    <m/>
    <m/>
    <m/>
    <n v="2"/>
    <n v="0"/>
    <m/>
    <m/>
    <n v="0"/>
    <m/>
    <m/>
    <m/>
    <n v="11.63"/>
    <n v="9"/>
    <n v="6.76"/>
    <n v="4.8099999999999996"/>
    <n v="0.06"/>
    <n v="0"/>
    <n v="11.63"/>
    <n v="276.87"/>
    <m/>
    <n v="0.52300000000000002"/>
    <n v="0.255"/>
    <n v="4.0000000000000001E-3"/>
    <m/>
    <n v="0.78200000000000003"/>
    <n v="529.38814531548758"/>
  </r>
  <r>
    <n v="34"/>
    <x v="1"/>
    <s v="Elisa "/>
    <x v="1"/>
    <n v="36"/>
    <s v="Heart_EC6_NoLight"/>
    <x v="2"/>
    <x v="0"/>
    <x v="3"/>
    <s v="Heart_EC6__4"/>
    <n v="4"/>
    <m/>
    <n v="27"/>
    <m/>
    <m/>
    <m/>
    <m/>
    <m/>
    <m/>
    <n v="2"/>
    <n v="0"/>
    <m/>
    <m/>
    <n v="0"/>
    <m/>
    <m/>
    <m/>
    <n v="16.350000000000001"/>
    <n v="9"/>
    <n v="9.76"/>
    <n v="6.43"/>
    <n v="0.15"/>
    <n v="0"/>
    <n v="16.339999999999996"/>
    <n v="343.27"/>
    <m/>
    <n v="0.75900000000000001"/>
    <n v="0.371"/>
    <n v="1.6E-2"/>
    <m/>
    <n v="1.1459999999999999"/>
    <n v="452.266139657444"/>
  </r>
  <r>
    <n v="34"/>
    <x v="1"/>
    <s v="Elisa "/>
    <x v="1"/>
    <n v="36"/>
    <s v="Heart_EC6_NoLight"/>
    <x v="2"/>
    <x v="0"/>
    <x v="3"/>
    <s v="Heart_EC6__5"/>
    <n v="5"/>
    <m/>
    <n v="27"/>
    <m/>
    <m/>
    <m/>
    <m/>
    <m/>
    <m/>
    <n v="2"/>
    <n v="0"/>
    <m/>
    <m/>
    <n v="0"/>
    <m/>
    <m/>
    <m/>
    <n v="14.4"/>
    <n v="8"/>
    <n v="8.51"/>
    <n v="5.7"/>
    <n v="0.15"/>
    <n v="0"/>
    <n v="14.360000000000001"/>
    <n v="313.85000000000002"/>
    <m/>
    <n v="0.64500000000000002"/>
    <n v="0.33700000000000002"/>
    <n v="1.9E-2"/>
    <m/>
    <n v="1.0009999999999999"/>
    <n v="486.58914728682174"/>
  </r>
  <r>
    <n v="34"/>
    <x v="1"/>
    <s v="Elisa "/>
    <x v="1"/>
    <n v="36"/>
    <s v="Heart_EC6_NoLight"/>
    <x v="2"/>
    <x v="0"/>
    <x v="3"/>
    <s v="Heart_EC6__6"/>
    <n v="6"/>
    <m/>
    <n v="29"/>
    <m/>
    <m/>
    <m/>
    <m/>
    <m/>
    <m/>
    <n v="2"/>
    <n v="0"/>
    <m/>
    <m/>
    <n v="0"/>
    <m/>
    <m/>
    <m/>
    <n v="18.96"/>
    <n v="9"/>
    <n v="11.39"/>
    <n v="7.58"/>
    <n v="0.27"/>
    <n v="0"/>
    <n v="19.239999999999998"/>
    <n v="409.91"/>
    <m/>
    <n v="0.90300000000000002"/>
    <n v="0.46300000000000002"/>
    <n v="2.9000000000000001E-2"/>
    <m/>
    <n v="1.395"/>
    <n v="453.94241417497233"/>
  </r>
  <r>
    <n v="34"/>
    <x v="1"/>
    <s v="Elisa "/>
    <x v="1"/>
    <n v="36"/>
    <s v="Heart_EC3_HighLight"/>
    <x v="2"/>
    <x v="1"/>
    <x v="0"/>
    <s v="Heart_EC3_HL_1"/>
    <n v="1"/>
    <m/>
    <n v="26.5"/>
    <m/>
    <m/>
    <m/>
    <m/>
    <m/>
    <m/>
    <n v="2"/>
    <n v="0"/>
    <m/>
    <m/>
    <n v="0"/>
    <m/>
    <m/>
    <m/>
    <n v="18.86"/>
    <n v="9"/>
    <n v="11.12"/>
    <n v="7.41"/>
    <n v="0.24"/>
    <n v="0"/>
    <n v="18.77"/>
    <n v="362.41"/>
    <m/>
    <n v="0.94"/>
    <n v="0.47699999999999998"/>
    <n v="3.2000000000000001E-2"/>
    <m/>
    <n v="1.4489999999999998"/>
    <n v="385.54255319148939"/>
  </r>
  <r>
    <n v="34"/>
    <x v="1"/>
    <s v="Elisa "/>
    <x v="1"/>
    <n v="36"/>
    <s v="Heart_EC3_HighLight"/>
    <x v="2"/>
    <x v="1"/>
    <x v="0"/>
    <s v="Heart_EC3_HL_2"/>
    <n v="2"/>
    <m/>
    <n v="27"/>
    <m/>
    <m/>
    <m/>
    <m/>
    <m/>
    <m/>
    <n v="2"/>
    <n v="0"/>
    <m/>
    <m/>
    <n v="0"/>
    <m/>
    <m/>
    <m/>
    <n v="20.46"/>
    <n v="10"/>
    <n v="12.56"/>
    <n v="7.73"/>
    <n v="0.15"/>
    <n v="0"/>
    <n v="20.439999999999998"/>
    <n v="404.66"/>
    <m/>
    <n v="0.95099999999999996"/>
    <n v="0.42499999999999999"/>
    <n v="1.7999999999999999E-2"/>
    <m/>
    <n v="1.3939999999999999"/>
    <n v="425.50998948475296"/>
  </r>
  <r>
    <n v="34"/>
    <x v="1"/>
    <s v="Elisa "/>
    <x v="1"/>
    <n v="36"/>
    <s v="Heart_EC3_HighLight"/>
    <x v="2"/>
    <x v="1"/>
    <x v="0"/>
    <s v="Heart_EC3_HL_3"/>
    <n v="3"/>
    <m/>
    <n v="29"/>
    <m/>
    <m/>
    <m/>
    <m/>
    <m/>
    <m/>
    <n v="3"/>
    <n v="0"/>
    <m/>
    <m/>
    <n v="0"/>
    <m/>
    <m/>
    <m/>
    <n v="29.56"/>
    <n v="11"/>
    <n v="18.350000000000001"/>
    <n v="10.76"/>
    <n v="0.42"/>
    <n v="0"/>
    <n v="29.53"/>
    <n v="566.36"/>
    <m/>
    <n v="1.472"/>
    <n v="0.66900000000000004"/>
    <n v="3.6999999999999998E-2"/>
    <m/>
    <n v="2.1779999999999999"/>
    <n v="384.75543478260869"/>
  </r>
  <r>
    <n v="34"/>
    <x v="1"/>
    <s v="Elisa "/>
    <x v="1"/>
    <n v="36"/>
    <s v="Heart_EC3_HighLight"/>
    <x v="2"/>
    <x v="1"/>
    <x v="0"/>
    <s v="Heart_EC3_HL_4"/>
    <n v="4"/>
    <m/>
    <n v="30"/>
    <m/>
    <m/>
    <m/>
    <m/>
    <m/>
    <m/>
    <n v="3"/>
    <n v="0"/>
    <m/>
    <m/>
    <n v="0"/>
    <m/>
    <m/>
    <m/>
    <n v="31.05"/>
    <n v="11"/>
    <n v="19.010000000000002"/>
    <n v="11.56"/>
    <n v="0.49"/>
    <n v="0"/>
    <n v="31.06"/>
    <n v="570.49"/>
    <m/>
    <n v="1.514"/>
    <n v="0.68799999999999994"/>
    <n v="5.1999999999999998E-2"/>
    <m/>
    <n v="2.254"/>
    <n v="376.80977542932629"/>
  </r>
  <r>
    <n v="34"/>
    <x v="1"/>
    <s v="Elisa "/>
    <x v="1"/>
    <n v="36"/>
    <s v="Heart_EC3_HighLight"/>
    <x v="2"/>
    <x v="1"/>
    <x v="0"/>
    <s v="Heart_EC3_HL_5"/>
    <n v="5"/>
    <m/>
    <n v="26"/>
    <m/>
    <m/>
    <m/>
    <m/>
    <m/>
    <m/>
    <n v="2"/>
    <n v="0"/>
    <m/>
    <m/>
    <n v="0"/>
    <m/>
    <m/>
    <m/>
    <n v="28.89"/>
    <n v="8"/>
    <n v="18.14"/>
    <n v="10.3"/>
    <n v="0.52"/>
    <n v="0"/>
    <n v="28.96"/>
    <n v="556.80999999999995"/>
    <m/>
    <n v="1.4"/>
    <n v="0.622"/>
    <n v="5.3999999999999999E-2"/>
    <m/>
    <n v="2.0759999999999996"/>
    <n v="397.72142857142853"/>
  </r>
  <r>
    <n v="34"/>
    <x v="1"/>
    <s v="Elisa "/>
    <x v="1"/>
    <n v="36"/>
    <s v="Heart_EC3_HighLight"/>
    <x v="2"/>
    <x v="1"/>
    <x v="0"/>
    <s v="Heart_EC3_HL_6"/>
    <n v="6"/>
    <m/>
    <n v="30"/>
    <m/>
    <m/>
    <m/>
    <m/>
    <m/>
    <m/>
    <n v="2"/>
    <n v="0"/>
    <m/>
    <m/>
    <n v="0"/>
    <m/>
    <m/>
    <m/>
    <n v="26.99"/>
    <n v="10"/>
    <n v="16.53"/>
    <n v="10.61"/>
    <n v="0.28000000000000003"/>
    <n v="0"/>
    <n v="27.42"/>
    <n v="513.29"/>
    <m/>
    <n v="1.34"/>
    <n v="0.61599999999999999"/>
    <n v="3.1E-2"/>
    <m/>
    <n v="1.9869999999999999"/>
    <n v="383.05223880597009"/>
  </r>
  <r>
    <n v="34"/>
    <x v="1"/>
    <s v="Elisa "/>
    <x v="1"/>
    <n v="36"/>
    <s v="Heart_EC3_MedLight"/>
    <x v="2"/>
    <x v="1"/>
    <x v="1"/>
    <s v="Heart_EC3_ML_1"/>
    <n v="1"/>
    <m/>
    <n v="27"/>
    <m/>
    <m/>
    <m/>
    <m/>
    <m/>
    <m/>
    <n v="3"/>
    <n v="0"/>
    <m/>
    <m/>
    <n v="0"/>
    <m/>
    <m/>
    <m/>
    <n v="22.41"/>
    <n v="10"/>
    <n v="13.61"/>
    <n v="8.33"/>
    <n v="0.42"/>
    <n v="0"/>
    <n v="22.36"/>
    <n v="446.96"/>
    <m/>
    <n v="1.018"/>
    <n v="0.437"/>
    <n v="4.4999999999999998E-2"/>
    <m/>
    <n v="1.5"/>
    <n v="439.05697445972493"/>
  </r>
  <r>
    <n v="34"/>
    <x v="1"/>
    <s v="Elisa "/>
    <x v="1"/>
    <n v="36"/>
    <s v="Heart_EC3_MedLight"/>
    <x v="2"/>
    <x v="1"/>
    <x v="1"/>
    <s v="Heart_EC3_ML_2"/>
    <n v="2"/>
    <m/>
    <n v="27"/>
    <m/>
    <m/>
    <m/>
    <m/>
    <m/>
    <m/>
    <n v="3"/>
    <n v="0"/>
    <m/>
    <m/>
    <n v="0"/>
    <m/>
    <m/>
    <m/>
    <n v="16.079999999999998"/>
    <n v="10"/>
    <n v="9.2100000000000009"/>
    <n v="6.74"/>
    <n v="0.11"/>
    <n v="0"/>
    <n v="16.060000000000002"/>
    <n v="232.21"/>
    <m/>
    <n v="0.69"/>
    <n v="0.33600000000000002"/>
    <n v="1.0999999999999999E-2"/>
    <m/>
    <n v="1.0369999999999999"/>
    <n v="336.536231884058"/>
  </r>
  <r>
    <n v="34"/>
    <x v="1"/>
    <s v="Elisa "/>
    <x v="1"/>
    <n v="36"/>
    <s v="Heart_EC3_MedLight"/>
    <x v="2"/>
    <x v="1"/>
    <x v="1"/>
    <s v="Heart_EC3_ML_3"/>
    <n v="3"/>
    <m/>
    <n v="29"/>
    <m/>
    <m/>
    <m/>
    <m/>
    <m/>
    <m/>
    <n v="3"/>
    <n v="0"/>
    <m/>
    <m/>
    <n v="0"/>
    <m/>
    <m/>
    <m/>
    <n v="23.83"/>
    <n v="11"/>
    <n v="14.1"/>
    <n v="9.34"/>
    <n v="0.33"/>
    <n v="0"/>
    <n v="23.769999999999996"/>
    <n v="459.56"/>
    <m/>
    <n v="1.1419999999999999"/>
    <n v="0.55100000000000005"/>
    <n v="3.3000000000000002E-2"/>
    <m/>
    <n v="1.726"/>
    <n v="402.41681260945711"/>
  </r>
  <r>
    <n v="34"/>
    <x v="1"/>
    <s v="Elisa "/>
    <x v="1"/>
    <n v="36"/>
    <s v="Heart_EC3_MedLight"/>
    <x v="2"/>
    <x v="1"/>
    <x v="1"/>
    <s v="Heart_EC3_ML_4"/>
    <n v="4"/>
    <m/>
    <n v="29"/>
    <m/>
    <m/>
    <m/>
    <m/>
    <m/>
    <m/>
    <n v="4"/>
    <n v="0"/>
    <m/>
    <m/>
    <n v="0"/>
    <m/>
    <m/>
    <m/>
    <n v="21.66"/>
    <n v="11"/>
    <n v="12.33"/>
    <n v="8.85"/>
    <n v="0.4"/>
    <n v="0"/>
    <n v="21.58"/>
    <n v="420.79"/>
    <m/>
    <n v="0.94599999999999995"/>
    <n v="0.47199999999999998"/>
    <n v="4.1000000000000002E-2"/>
    <m/>
    <n v="1.4589999999999999"/>
    <n v="444.8097251585624"/>
  </r>
  <r>
    <n v="34"/>
    <x v="1"/>
    <s v="Elisa "/>
    <x v="1"/>
    <n v="36"/>
    <s v="Heart_EC3_MedLight"/>
    <x v="2"/>
    <x v="1"/>
    <x v="1"/>
    <s v="Heart_EC3_ML_5"/>
    <n v="5"/>
    <m/>
    <n v="23"/>
    <m/>
    <m/>
    <m/>
    <m/>
    <m/>
    <m/>
    <n v="3"/>
    <n v="0"/>
    <m/>
    <m/>
    <n v="0"/>
    <m/>
    <m/>
    <m/>
    <n v="24.47"/>
    <n v="10"/>
    <n v="15.53"/>
    <n v="8.5299999999999994"/>
    <n v="0.44"/>
    <n v="0"/>
    <n v="24.5"/>
    <n v="485.77"/>
    <m/>
    <n v="1.2330000000000001"/>
    <n v="0.504"/>
    <n v="4.3999999999999997E-2"/>
    <m/>
    <n v="1.7810000000000001"/>
    <n v="393.97404703974041"/>
  </r>
  <r>
    <n v="34"/>
    <x v="1"/>
    <s v="Elisa "/>
    <x v="1"/>
    <n v="36"/>
    <s v="Heart_EC3_MedLight"/>
    <x v="2"/>
    <x v="1"/>
    <x v="1"/>
    <s v="Heart_EC3_ML_6"/>
    <n v="6"/>
    <m/>
    <n v="29"/>
    <m/>
    <m/>
    <m/>
    <m/>
    <m/>
    <m/>
    <n v="2"/>
    <n v="0"/>
    <m/>
    <m/>
    <n v="0"/>
    <m/>
    <m/>
    <m/>
    <n v="24.33"/>
    <n v="11"/>
    <n v="14.79"/>
    <n v="9.35"/>
    <n v="0.22"/>
    <n v="0"/>
    <n v="24.36"/>
    <n v="494.83"/>
    <m/>
    <n v="1.153"/>
    <n v="0.51300000000000001"/>
    <n v="0.02"/>
    <m/>
    <n v="1.6859999999999999"/>
    <n v="429.16738941890719"/>
  </r>
  <r>
    <n v="34"/>
    <x v="1"/>
    <s v="Viola"/>
    <x v="1"/>
    <n v="36"/>
    <s v="Heart_EC3_LowLight"/>
    <x v="2"/>
    <x v="1"/>
    <x v="2"/>
    <s v="Heart_EC3_LL_1"/>
    <n v="1"/>
    <m/>
    <n v="26.5"/>
    <m/>
    <m/>
    <m/>
    <m/>
    <m/>
    <m/>
    <n v="2"/>
    <n v="0"/>
    <m/>
    <m/>
    <n v="0"/>
    <m/>
    <m/>
    <m/>
    <n v="21.92"/>
    <n v="9"/>
    <n v="13.69"/>
    <n v="0.2"/>
    <n v="7.94"/>
    <n v="0"/>
    <n v="21.83"/>
    <n v="462.56"/>
    <m/>
    <n v="1.083"/>
    <n v="0.47499999999999998"/>
    <n v="2.5000000000000001E-2"/>
    <m/>
    <n v="1.5829999999999997"/>
    <n v="427.10987996306557"/>
  </r>
  <r>
    <n v="34"/>
    <x v="1"/>
    <s v="Viola"/>
    <x v="1"/>
    <n v="36"/>
    <s v="Heart_EC3_LowLight"/>
    <x v="2"/>
    <x v="1"/>
    <x v="2"/>
    <s v="Heart_EC3_LL_2"/>
    <n v="2"/>
    <m/>
    <n v="31"/>
    <m/>
    <m/>
    <m/>
    <m/>
    <m/>
    <m/>
    <n v="2"/>
    <n v="0"/>
    <m/>
    <m/>
    <n v="0"/>
    <m/>
    <m/>
    <m/>
    <n v="26.65"/>
    <n v="9"/>
    <n v="15.66"/>
    <n v="0.32"/>
    <n v="10.62"/>
    <n v="0"/>
    <n v="26.6"/>
    <n v="517.52"/>
    <m/>
    <n v="1.228"/>
    <n v="0.61799999999999999"/>
    <n v="3.2000000000000001E-2"/>
    <m/>
    <n v="1.8780000000000001"/>
    <n v="421.43322475570034"/>
  </r>
  <r>
    <n v="34"/>
    <x v="1"/>
    <s v="Viola"/>
    <x v="1"/>
    <n v="36"/>
    <s v="Heart_EC3_LowLight"/>
    <x v="2"/>
    <x v="1"/>
    <x v="2"/>
    <s v="Heart_EC3_LL_3"/>
    <n v="3"/>
    <m/>
    <n v="24"/>
    <m/>
    <m/>
    <m/>
    <m/>
    <m/>
    <m/>
    <n v="1"/>
    <n v="0"/>
    <m/>
    <m/>
    <n v="0"/>
    <m/>
    <m/>
    <m/>
    <n v="12.86"/>
    <n v="9"/>
    <n v="7.01"/>
    <n v="0.11"/>
    <n v="5.7"/>
    <n v="0"/>
    <n v="12.82"/>
    <n v="268.3"/>
    <m/>
    <n v="0.56499999999999995"/>
    <n v="0.32600000000000001"/>
    <n v="8.0000000000000002E-3"/>
    <m/>
    <n v="0.89900000000000002"/>
    <n v="474.86725663716823"/>
  </r>
  <r>
    <n v="34"/>
    <x v="1"/>
    <s v="Viola"/>
    <x v="1"/>
    <n v="36"/>
    <s v="Heart_EC3_LowLight"/>
    <x v="2"/>
    <x v="1"/>
    <x v="2"/>
    <s v="Heart_EC3_LL_4"/>
    <n v="4"/>
    <m/>
    <n v="30"/>
    <m/>
    <m/>
    <m/>
    <m/>
    <m/>
    <m/>
    <n v="2"/>
    <n v="0"/>
    <m/>
    <m/>
    <n v="0"/>
    <m/>
    <m/>
    <m/>
    <n v="13.16"/>
    <n v="9"/>
    <n v="6.9"/>
    <n v="0.12"/>
    <n v="6.09"/>
    <n v="0"/>
    <n v="13.11"/>
    <n v="276.33"/>
    <m/>
    <n v="0.59299999999999997"/>
    <n v="0.38300000000000001"/>
    <n v="8.0000000000000002E-3"/>
    <m/>
    <n v="0.98399999999999999"/>
    <n v="465.98650927487353"/>
  </r>
  <r>
    <n v="34"/>
    <x v="1"/>
    <s v="Viola"/>
    <x v="1"/>
    <n v="36"/>
    <s v="Heart_EC3_LowLight"/>
    <x v="2"/>
    <x v="1"/>
    <x v="2"/>
    <s v="Heart_EC3_LL_5"/>
    <n v="5"/>
    <m/>
    <n v="27"/>
    <m/>
    <m/>
    <m/>
    <m/>
    <m/>
    <m/>
    <n v="2"/>
    <n v="0"/>
    <m/>
    <m/>
    <n v="0"/>
    <m/>
    <m/>
    <m/>
    <n v="16.87"/>
    <n v="9"/>
    <n v="9.68"/>
    <n v="0.13"/>
    <n v="7.04"/>
    <n v="0"/>
    <n v="16.850000000000001"/>
    <n v="346.64"/>
    <m/>
    <n v="0.72699999999999998"/>
    <n v="0.371"/>
    <n v="1.2999999999999999E-2"/>
    <m/>
    <n v="1.1109999999999998"/>
    <n v="476.80880330123796"/>
  </r>
  <r>
    <n v="34"/>
    <x v="1"/>
    <s v="Viola"/>
    <x v="1"/>
    <n v="36"/>
    <s v="Heart_EC3_LowLight"/>
    <x v="2"/>
    <x v="1"/>
    <x v="2"/>
    <s v="Heart_EC3_LL_6"/>
    <n v="6"/>
    <m/>
    <n v="23.5"/>
    <m/>
    <m/>
    <m/>
    <m/>
    <m/>
    <m/>
    <n v="2"/>
    <n v="0"/>
    <m/>
    <m/>
    <n v="0"/>
    <m/>
    <m/>
    <m/>
    <n v="22.02"/>
    <n v="10"/>
    <n v="13.47"/>
    <n v="0.43"/>
    <n v="8.1300000000000008"/>
    <n v="0"/>
    <n v="22.03"/>
    <n v="451.96"/>
    <m/>
    <n v="0.97599999999999998"/>
    <n v="0.44"/>
    <n v="4.1000000000000002E-2"/>
    <m/>
    <n v="1.4569999999999999"/>
    <n v="463.07377049180326"/>
  </r>
  <r>
    <n v="34"/>
    <x v="1"/>
    <s v="Viola"/>
    <x v="1"/>
    <n v="36"/>
    <s v="Heart_EC3_NoLight"/>
    <x v="2"/>
    <x v="1"/>
    <x v="3"/>
    <s v="Heart_EC3__1"/>
    <n v="1"/>
    <m/>
    <n v="29"/>
    <m/>
    <m/>
    <m/>
    <m/>
    <m/>
    <m/>
    <n v="2"/>
    <n v="0"/>
    <m/>
    <m/>
    <n v="0"/>
    <m/>
    <m/>
    <m/>
    <n v="14"/>
    <n v="8"/>
    <n v="7.5"/>
    <n v="0.19"/>
    <n v="6.34"/>
    <n v="0"/>
    <n v="14.030000000000001"/>
    <n v="289.73"/>
    <m/>
    <n v="0.52500000000000002"/>
    <n v="0.318"/>
    <n v="0.02"/>
    <m/>
    <n v="0.86299999999999999"/>
    <n v="551.86666666666667"/>
  </r>
  <r>
    <n v="34"/>
    <x v="1"/>
    <s v="Viola"/>
    <x v="1"/>
    <n v="36"/>
    <s v="Heart_EC3_NoLight"/>
    <x v="2"/>
    <x v="1"/>
    <x v="3"/>
    <s v="Heart_EC3__2"/>
    <n v="2"/>
    <m/>
    <n v="28.5"/>
    <m/>
    <m/>
    <m/>
    <m/>
    <m/>
    <m/>
    <n v="1"/>
    <n v="0"/>
    <m/>
    <m/>
    <n v="0"/>
    <m/>
    <m/>
    <m/>
    <n v="16.61"/>
    <n v="9"/>
    <n v="9.43"/>
    <n v="7.0000000000000007E-2"/>
    <n v="7.03"/>
    <n v="0"/>
    <n v="16.53"/>
    <n v="314.2"/>
    <m/>
    <n v="0.60299999999999998"/>
    <n v="0.378"/>
    <n v="1.0999999999999999E-2"/>
    <m/>
    <n v="0.99199999999999999"/>
    <n v="521.06135986733"/>
  </r>
  <r>
    <n v="34"/>
    <x v="1"/>
    <s v="Viola"/>
    <x v="1"/>
    <n v="36"/>
    <s v="Heart_EC3_NoLight"/>
    <x v="2"/>
    <x v="1"/>
    <x v="3"/>
    <s v="Heart_EC3__3"/>
    <n v="3"/>
    <m/>
    <n v="27"/>
    <m/>
    <m/>
    <m/>
    <m/>
    <m/>
    <m/>
    <n v="2"/>
    <n v="0"/>
    <m/>
    <m/>
    <n v="0"/>
    <m/>
    <m/>
    <m/>
    <n v="16.88"/>
    <n v="9"/>
    <n v="9.5500000000000007"/>
    <n v="0.27"/>
    <n v="7"/>
    <n v="0"/>
    <n v="16.82"/>
    <n v="342.29"/>
    <m/>
    <n v="0.72399999999999998"/>
    <n v="0.38500000000000001"/>
    <n v="3.2000000000000001E-2"/>
    <m/>
    <n v="1.141"/>
    <n v="472.77624309392269"/>
  </r>
  <r>
    <n v="34"/>
    <x v="1"/>
    <s v="Viola"/>
    <x v="1"/>
    <n v="36"/>
    <s v="Heart_EC3_NoLight"/>
    <x v="2"/>
    <x v="1"/>
    <x v="3"/>
    <s v="Heart_EC3__4"/>
    <n v="4"/>
    <m/>
    <n v="28"/>
    <m/>
    <m/>
    <m/>
    <m/>
    <m/>
    <m/>
    <n v="2"/>
    <n v="0"/>
    <m/>
    <m/>
    <n v="0"/>
    <m/>
    <m/>
    <m/>
    <n v="18.3"/>
    <n v="9"/>
    <n v="10.78"/>
    <n v="0.16"/>
    <n v="7.29"/>
    <n v="0"/>
    <n v="18.23"/>
    <n v="386.64"/>
    <m/>
    <n v="0.80100000000000005"/>
    <n v="0.40899999999999997"/>
    <n v="1.9E-2"/>
    <m/>
    <n v="1.2289999999999999"/>
    <n v="482.69662921348311"/>
  </r>
  <r>
    <n v="34"/>
    <x v="1"/>
    <s v="Viola"/>
    <x v="1"/>
    <n v="36"/>
    <s v="Heart_EC3_NoLight"/>
    <x v="2"/>
    <x v="1"/>
    <x v="3"/>
    <s v="Heart_EC3__5"/>
    <n v="5"/>
    <m/>
    <n v="29"/>
    <m/>
    <m/>
    <m/>
    <m/>
    <m/>
    <m/>
    <n v="2"/>
    <n v="0"/>
    <m/>
    <m/>
    <n v="0"/>
    <m/>
    <m/>
    <m/>
    <n v="27.44"/>
    <n v="11"/>
    <n v="17.03"/>
    <n v="0.47"/>
    <n v="9.89"/>
    <n v="0"/>
    <n v="27.39"/>
    <n v="553.98"/>
    <m/>
    <n v="1.327"/>
    <n v="0.61"/>
    <n v="5.5E-2"/>
    <m/>
    <n v="1.9919999999999998"/>
    <n v="417.46797287113793"/>
  </r>
  <r>
    <n v="34"/>
    <x v="1"/>
    <s v="Viola"/>
    <x v="1"/>
    <n v="36"/>
    <s v="Heart_EC3_NoLight"/>
    <x v="2"/>
    <x v="1"/>
    <x v="3"/>
    <s v="Heart_EC3__6"/>
    <n v="6"/>
    <m/>
    <n v="25"/>
    <m/>
    <m/>
    <m/>
    <m/>
    <m/>
    <m/>
    <n v="1"/>
    <n v="0"/>
    <m/>
    <m/>
    <n v="0"/>
    <m/>
    <m/>
    <m/>
    <n v="16.07"/>
    <n v="8"/>
    <n v="8.81"/>
    <n v="0.25"/>
    <n v="7.06"/>
    <n v="0"/>
    <n v="16.12"/>
    <n v="327.39"/>
    <m/>
    <n v="0.65300000000000002"/>
    <n v="0.36099999999999999"/>
    <n v="0.02"/>
    <m/>
    <n v="1.034"/>
    <n v="501.36294027565083"/>
  </r>
  <r>
    <n v="38"/>
    <x v="2"/>
    <s v="Isabella "/>
    <x v="1"/>
    <n v="33"/>
    <s v="NC_EC6_HighLight"/>
    <x v="3"/>
    <x v="0"/>
    <x v="0"/>
    <s v="NC_EC6_HL_1"/>
    <n v="1"/>
    <m/>
    <n v="23"/>
    <m/>
    <m/>
    <m/>
    <m/>
    <m/>
    <m/>
    <n v="4"/>
    <n v="0"/>
    <m/>
    <m/>
    <n v="0"/>
    <m/>
    <m/>
    <m/>
    <n v="66.430000000000007"/>
    <n v="18"/>
    <n v="48.96"/>
    <n v="16.62"/>
    <n v="0.75"/>
    <n v="0"/>
    <n v="66.33"/>
    <n v="944.55"/>
    <m/>
    <n v="4.2560000000000002"/>
    <n v="1.415"/>
    <n v="0.10100000000000001"/>
    <m/>
    <n v="5.7720000000000002"/>
    <n v="221.93374060150373"/>
  </r>
  <r>
    <n v="38"/>
    <x v="2"/>
    <s v="Isabella "/>
    <x v="1"/>
    <n v="33"/>
    <s v="NC_EC6_HighLight"/>
    <x v="3"/>
    <x v="0"/>
    <x v="0"/>
    <s v="NC_EC6_HL_2"/>
    <n v="2"/>
    <m/>
    <n v="23"/>
    <m/>
    <m/>
    <m/>
    <m/>
    <m/>
    <m/>
    <n v="5"/>
    <n v="2"/>
    <m/>
    <m/>
    <n v="0"/>
    <m/>
    <m/>
    <m/>
    <n v="73.14"/>
    <n v="20"/>
    <n v="54.35"/>
    <n v="17.16"/>
    <n v="1.45"/>
    <n v="0"/>
    <n v="72.960000000000008"/>
    <n v="1063.49"/>
    <m/>
    <n v="4.5529999999999999"/>
    <n v="1.31"/>
    <n v="0.17299999999999999"/>
    <m/>
    <n v="6.0359999999999996"/>
    <n v="233.58005710520536"/>
  </r>
  <r>
    <n v="38"/>
    <x v="2"/>
    <s v="Isabella "/>
    <x v="1"/>
    <n v="33"/>
    <s v="NC_EC6_HighLight"/>
    <x v="3"/>
    <x v="0"/>
    <x v="0"/>
    <s v="NC_EC6_HL_3"/>
    <n v="3"/>
    <m/>
    <n v="23"/>
    <m/>
    <m/>
    <m/>
    <m/>
    <m/>
    <m/>
    <n v="4"/>
    <n v="2"/>
    <m/>
    <m/>
    <n v="0"/>
    <m/>
    <m/>
    <m/>
    <n v="74.58"/>
    <n v="14"/>
    <n v="53.4"/>
    <n v="18.899999999999999"/>
    <n v="2.17"/>
    <n v="0"/>
    <n v="74.47"/>
    <n v="1114.26"/>
    <m/>
    <n v="4.6219999999999999"/>
    <n v="1.526"/>
    <n v="0.219"/>
    <m/>
    <n v="6.367"/>
    <n v="241.07745564690612"/>
  </r>
  <r>
    <n v="38"/>
    <x v="2"/>
    <s v="Isabella "/>
    <x v="1"/>
    <n v="33"/>
    <s v="NC_EC6_HighLight"/>
    <x v="3"/>
    <x v="0"/>
    <x v="0"/>
    <s v="NC_EC6_HL_4"/>
    <n v="4"/>
    <m/>
    <n v="23.5"/>
    <m/>
    <m/>
    <m/>
    <m/>
    <m/>
    <m/>
    <n v="6"/>
    <n v="6"/>
    <m/>
    <m/>
    <n v="0"/>
    <m/>
    <m/>
    <m/>
    <n v="63.97"/>
    <n v="16"/>
    <n v="42.8"/>
    <n v="18.23"/>
    <n v="2.85"/>
    <n v="0"/>
    <n v="63.88"/>
    <n v="1162.95"/>
    <m/>
    <n v="3.665"/>
    <n v="1.4650000000000001"/>
    <n v="0.3"/>
    <m/>
    <n v="5.43"/>
    <n v="317.31241473397"/>
  </r>
  <r>
    <n v="38"/>
    <x v="2"/>
    <s v="Isabella "/>
    <x v="1"/>
    <n v="33"/>
    <s v="NC_EC6_HighLight"/>
    <x v="3"/>
    <x v="0"/>
    <x v="0"/>
    <s v="NC_EC6_HL_5"/>
    <n v="5"/>
    <m/>
    <n v="22.5"/>
    <m/>
    <m/>
    <m/>
    <m/>
    <m/>
    <m/>
    <n v="7"/>
    <n v="3"/>
    <m/>
    <m/>
    <n v="0"/>
    <m/>
    <m/>
    <m/>
    <n v="80.260000000000005"/>
    <n v="17"/>
    <n v="57.82"/>
    <n v="20.260000000000002"/>
    <n v="2.11"/>
    <n v="0"/>
    <n v="80.19"/>
    <n v="959.35"/>
    <m/>
    <n v="4.9649999999999999"/>
    <n v="1.597"/>
    <n v="0.222"/>
    <m/>
    <n v="6.7839999999999998"/>
    <n v="193.22255790533737"/>
  </r>
  <r>
    <n v="38"/>
    <x v="2"/>
    <s v="Isabella "/>
    <x v="1"/>
    <n v="33"/>
    <s v="NC_EC6_HighLight"/>
    <x v="3"/>
    <x v="0"/>
    <x v="0"/>
    <s v="NC_EC6_HL_6"/>
    <n v="6"/>
    <m/>
    <n v="22.5"/>
    <m/>
    <m/>
    <m/>
    <m/>
    <m/>
    <m/>
    <n v="6"/>
    <n v="0"/>
    <m/>
    <m/>
    <n v="0"/>
    <m/>
    <m/>
    <m/>
    <n v="62.74"/>
    <n v="19"/>
    <n v="44.52"/>
    <n v="17.079999999999998"/>
    <n v="0.97"/>
    <n v="0"/>
    <n v="62.57"/>
    <n v="919.17"/>
    <m/>
    <n v="3.9159999999999999"/>
    <n v="1.3839999999999999"/>
    <n v="0.155"/>
    <m/>
    <n v="5.4550000000000001"/>
    <n v="234.72165474974463"/>
  </r>
  <r>
    <n v="38"/>
    <x v="2"/>
    <s v="Isabella "/>
    <x v="1"/>
    <n v="33"/>
    <s v="NC_EC6_MedLight"/>
    <x v="3"/>
    <x v="0"/>
    <x v="1"/>
    <s v="NC_EC6_ML_1"/>
    <n v="1"/>
    <m/>
    <n v="22.5"/>
    <m/>
    <m/>
    <m/>
    <m/>
    <m/>
    <m/>
    <n v="4"/>
    <n v="0"/>
    <m/>
    <m/>
    <n v="0"/>
    <m/>
    <m/>
    <m/>
    <n v="49.93"/>
    <n v="14"/>
    <n v="36.96"/>
    <n v="12.2"/>
    <n v="0.78"/>
    <n v="0"/>
    <n v="49.94"/>
    <n v="817.51"/>
    <m/>
    <n v="2.9580000000000002"/>
    <n v="0.86199999999999999"/>
    <n v="8.2000000000000003E-2"/>
    <m/>
    <n v="3.9020000000000001"/>
    <n v="276.37254901960785"/>
  </r>
  <r>
    <n v="38"/>
    <x v="2"/>
    <s v="Isabella "/>
    <x v="1"/>
    <n v="33"/>
    <s v="NC_EC6_MedLight"/>
    <x v="3"/>
    <x v="0"/>
    <x v="1"/>
    <s v="NC_EC6_ML_2"/>
    <n v="2"/>
    <m/>
    <n v="22"/>
    <m/>
    <m/>
    <m/>
    <m/>
    <m/>
    <m/>
    <n v="4"/>
    <n v="1"/>
    <m/>
    <m/>
    <n v="0"/>
    <m/>
    <m/>
    <m/>
    <n v="75.59"/>
    <n v="17"/>
    <n v="56.96"/>
    <n v="17.27"/>
    <n v="1.35"/>
    <n v="0"/>
    <n v="75.58"/>
    <n v="1221.47"/>
    <m/>
    <n v="4.7080000000000002"/>
    <n v="1.284"/>
    <n v="0.14499999999999999"/>
    <m/>
    <n v="6.1369999999999996"/>
    <n v="259.44562446898897"/>
  </r>
  <r>
    <n v="38"/>
    <x v="2"/>
    <s v="Isabella "/>
    <x v="1"/>
    <n v="33"/>
    <s v="NC_EC6_MedLight"/>
    <x v="3"/>
    <x v="0"/>
    <x v="1"/>
    <s v="NC_EC6_ML_3"/>
    <n v="3"/>
    <m/>
    <n v="21.5"/>
    <m/>
    <m/>
    <m/>
    <m/>
    <m/>
    <m/>
    <n v="2"/>
    <n v="0"/>
    <m/>
    <m/>
    <n v="0"/>
    <m/>
    <m/>
    <m/>
    <n v="38.99"/>
    <n v="13"/>
    <n v="27.73"/>
    <n v="10.72"/>
    <n v="0.47"/>
    <n v="0"/>
    <n v="38.92"/>
    <n v="637.54999999999995"/>
    <m/>
    <n v="2.3610000000000002"/>
    <n v="0.747"/>
    <n v="5.1999999999999998E-2"/>
    <m/>
    <n v="3.16"/>
    <n v="270.03388394747986"/>
  </r>
  <r>
    <n v="38"/>
    <x v="2"/>
    <s v="Isabella "/>
    <x v="1"/>
    <n v="33"/>
    <s v="NC_EC6_MedLight"/>
    <x v="3"/>
    <x v="0"/>
    <x v="1"/>
    <s v="NC_EC6_ML_4"/>
    <n v="4"/>
    <m/>
    <n v="20"/>
    <m/>
    <m/>
    <m/>
    <m/>
    <m/>
    <m/>
    <n v="4"/>
    <n v="1"/>
    <m/>
    <m/>
    <n v="0"/>
    <m/>
    <m/>
    <m/>
    <n v="67.44"/>
    <n v="14"/>
    <n v="49.69"/>
    <n v="16.73"/>
    <n v="1.62"/>
    <n v="0"/>
    <n v="68.040000000000006"/>
    <n v="1104.8699999999999"/>
    <m/>
    <n v="3.9329999999999998"/>
    <n v="1.2010000000000001"/>
    <n v="0.14399999999999999"/>
    <m/>
    <n v="5.2780000000000005"/>
    <n v="280.92295957284512"/>
  </r>
  <r>
    <n v="38"/>
    <x v="2"/>
    <s v="Isabella "/>
    <x v="1"/>
    <n v="33"/>
    <s v="NC_EC6_MedLight"/>
    <x v="3"/>
    <x v="0"/>
    <x v="1"/>
    <s v="NC_EC6_ML_5"/>
    <n v="5"/>
    <m/>
    <n v="21"/>
    <m/>
    <m/>
    <m/>
    <m/>
    <m/>
    <m/>
    <n v="4"/>
    <n v="2"/>
    <m/>
    <m/>
    <n v="0"/>
    <m/>
    <m/>
    <m/>
    <n v="62.34"/>
    <n v="14"/>
    <n v="44.47"/>
    <n v="15.38"/>
    <n v="2.5099999999999998"/>
    <n v="0"/>
    <n v="62.36"/>
    <n v="925.65"/>
    <m/>
    <n v="3.5859999999999999"/>
    <n v="1.127"/>
    <n v="0.223"/>
    <m/>
    <n v="4.9359999999999999"/>
    <n v="258.12883435582825"/>
  </r>
  <r>
    <n v="38"/>
    <x v="2"/>
    <s v="Isabella "/>
    <x v="1"/>
    <n v="33"/>
    <s v="NC_EC6_MedLight"/>
    <x v="3"/>
    <x v="0"/>
    <x v="1"/>
    <s v="NC_EC6_ML_6"/>
    <n v="6"/>
    <m/>
    <n v="26"/>
    <m/>
    <m/>
    <m/>
    <m/>
    <m/>
    <m/>
    <n v="6"/>
    <n v="1"/>
    <m/>
    <m/>
    <n v="0"/>
    <m/>
    <m/>
    <m/>
    <n v="86.67"/>
    <n v="19"/>
    <n v="62.39"/>
    <n v="20.96"/>
    <n v="3.23"/>
    <n v="0"/>
    <n v="86.58"/>
    <n v="1352.52"/>
    <m/>
    <n v="5.3710000000000004"/>
    <n v="1.633"/>
    <n v="0.32"/>
    <m/>
    <n v="7.3240000000000007"/>
    <n v="251.81902811394525"/>
  </r>
  <r>
    <n v="38"/>
    <x v="2"/>
    <s v="Isabella "/>
    <x v="1"/>
    <n v="33"/>
    <s v="NC_EC6_LowLight"/>
    <x v="3"/>
    <x v="0"/>
    <x v="2"/>
    <s v="NC_EC6_LL_1"/>
    <n v="1"/>
    <m/>
    <n v="23"/>
    <m/>
    <m/>
    <m/>
    <m/>
    <m/>
    <m/>
    <n v="6"/>
    <n v="1"/>
    <m/>
    <m/>
    <n v="0"/>
    <m/>
    <m/>
    <m/>
    <n v="58.93"/>
    <n v="15"/>
    <n v="42.09"/>
    <n v="15.45"/>
    <n v="1.29"/>
    <n v="0"/>
    <n v="58.830000000000005"/>
    <n v="1018.14"/>
    <m/>
    <n v="3.359"/>
    <n v="1.0920000000000001"/>
    <n v="0.14099999999999999"/>
    <m/>
    <n v="4.5920000000000005"/>
    <n v="303.10806787734447"/>
  </r>
  <r>
    <n v="38"/>
    <x v="2"/>
    <s v="Isabella "/>
    <x v="1"/>
    <n v="33"/>
    <s v="NC_EC6_LowLight"/>
    <x v="3"/>
    <x v="0"/>
    <x v="2"/>
    <s v="NC_EC6_LL_2"/>
    <n v="2"/>
    <m/>
    <n v="10"/>
    <m/>
    <m/>
    <m/>
    <m/>
    <m/>
    <m/>
    <n v="4"/>
    <n v="0"/>
    <m/>
    <m/>
    <n v="0"/>
    <m/>
    <m/>
    <m/>
    <n v="28.86"/>
    <n v="17"/>
    <n v="23.51"/>
    <n v="5.29"/>
    <n v="0.2"/>
    <n v="0"/>
    <n v="29"/>
    <n v="545.66999999999996"/>
    <m/>
    <n v="1.698"/>
    <n v="0.372"/>
    <n v="2.1999999999999999E-2"/>
    <m/>
    <n v="2.0919999999999996"/>
    <n v="321.36042402826854"/>
  </r>
  <r>
    <n v="38"/>
    <x v="2"/>
    <s v="Isabella "/>
    <x v="1"/>
    <n v="33"/>
    <s v="NC_EC6_LowLight"/>
    <x v="3"/>
    <x v="0"/>
    <x v="2"/>
    <s v="NC_EC6_LL_3"/>
    <n v="3"/>
    <m/>
    <n v="24"/>
    <m/>
    <m/>
    <m/>
    <m/>
    <m/>
    <m/>
    <n v="5"/>
    <n v="1"/>
    <m/>
    <m/>
    <n v="0"/>
    <m/>
    <m/>
    <m/>
    <n v="59.07"/>
    <n v="13"/>
    <n v="42.22"/>
    <n v="15.15"/>
    <n v="1.73"/>
    <n v="0"/>
    <n v="59.099999999999994"/>
    <n v="933.84"/>
    <m/>
    <n v="3.1989999999999998"/>
    <n v="1.0309999999999999"/>
    <n v="0.16200000000000001"/>
    <m/>
    <n v="4.3919999999999995"/>
    <n v="291.91622381994375"/>
  </r>
  <r>
    <n v="38"/>
    <x v="2"/>
    <s v="Isabella "/>
    <x v="1"/>
    <n v="33"/>
    <s v="NC_EC6_LowLight"/>
    <x v="3"/>
    <x v="0"/>
    <x v="2"/>
    <s v="NC_EC6_LL_4"/>
    <n v="4"/>
    <m/>
    <n v="25"/>
    <m/>
    <m/>
    <m/>
    <m/>
    <m/>
    <m/>
    <n v="4"/>
    <n v="2"/>
    <m/>
    <m/>
    <n v="0"/>
    <m/>
    <m/>
    <m/>
    <n v="58.65"/>
    <n v="22"/>
    <n v="43.18"/>
    <n v="15.13"/>
    <n v="0.73"/>
    <n v="0"/>
    <n v="59.04"/>
    <n v="835.78"/>
    <m/>
    <n v="3.407"/>
    <n v="1.0900000000000001"/>
    <n v="0.10199999999999999"/>
    <m/>
    <n v="4.5990000000000002"/>
    <n v="245.31259172292337"/>
  </r>
  <r>
    <n v="38"/>
    <x v="2"/>
    <s v="Isabella "/>
    <x v="1"/>
    <n v="33"/>
    <s v="NC_EC6_LowLight"/>
    <x v="3"/>
    <x v="0"/>
    <x v="2"/>
    <s v="NC_EC6_LL_5"/>
    <n v="5"/>
    <m/>
    <n v="22"/>
    <m/>
    <m/>
    <m/>
    <m/>
    <m/>
    <m/>
    <n v="4"/>
    <n v="2"/>
    <m/>
    <m/>
    <n v="0"/>
    <m/>
    <m/>
    <m/>
    <n v="49.43"/>
    <n v="15"/>
    <n v="34.54"/>
    <n v="13.77"/>
    <n v="1.1200000000000001"/>
    <n v="0"/>
    <n v="49.43"/>
    <n v="776.8"/>
    <m/>
    <n v="2.8119999999999998"/>
    <n v="0.96799999999999997"/>
    <n v="0.11899999999999999"/>
    <m/>
    <n v="3.899"/>
    <n v="276.24466571834995"/>
  </r>
  <r>
    <n v="38"/>
    <x v="2"/>
    <s v="Isabella "/>
    <x v="1"/>
    <n v="33"/>
    <s v="NC_EC6_LowLight"/>
    <x v="3"/>
    <x v="0"/>
    <x v="2"/>
    <s v="NC_EC6_LL_6"/>
    <n v="6"/>
    <m/>
    <n v="24"/>
    <m/>
    <m/>
    <m/>
    <m/>
    <m/>
    <m/>
    <n v="5"/>
    <n v="2"/>
    <m/>
    <m/>
    <n v="0"/>
    <m/>
    <m/>
    <m/>
    <n v="62.66"/>
    <n v="14"/>
    <n v="44.53"/>
    <n v="16.45"/>
    <n v="1.62"/>
    <n v="0"/>
    <n v="62.6"/>
    <n v="949.31"/>
    <m/>
    <n v="3.7850000000000001"/>
    <n v="1.1990000000000001"/>
    <n v="0.17299999999999999"/>
    <m/>
    <n v="5.157"/>
    <n v="250.80845442536327"/>
  </r>
  <r>
    <n v="38"/>
    <x v="2"/>
    <s v="Isabella "/>
    <x v="1"/>
    <n v="33"/>
    <s v="NC_EC6_NoLight"/>
    <x v="3"/>
    <x v="0"/>
    <x v="3"/>
    <s v="NC_EC6__1"/>
    <n v="1"/>
    <m/>
    <n v="24"/>
    <m/>
    <m/>
    <m/>
    <m/>
    <m/>
    <m/>
    <n v="5"/>
    <n v="0"/>
    <m/>
    <m/>
    <n v="0"/>
    <m/>
    <m/>
    <m/>
    <n v="47.9"/>
    <n v="16"/>
    <n v="34.450000000000003"/>
    <n v="12.55"/>
    <n v="0.78"/>
    <n v="0"/>
    <n v="47.78"/>
    <n v="786.14"/>
    <m/>
    <n v="2.6869999999999998"/>
    <n v="0.83799999999999997"/>
    <n v="9.1999999999999998E-2"/>
    <m/>
    <n v="3.617"/>
    <n v="292.57164123557874"/>
  </r>
  <r>
    <n v="38"/>
    <x v="2"/>
    <s v="Isabella "/>
    <x v="1"/>
    <n v="33"/>
    <s v="NC_EC6_NoLight"/>
    <x v="3"/>
    <x v="0"/>
    <x v="3"/>
    <s v="NC_EC6__2"/>
    <n v="2"/>
    <m/>
    <n v="24"/>
    <m/>
    <m/>
    <m/>
    <m/>
    <m/>
    <m/>
    <n v="4"/>
    <n v="0"/>
    <m/>
    <m/>
    <n v="0"/>
    <m/>
    <m/>
    <m/>
    <n v="52.63"/>
    <n v="13"/>
    <n v="38.520000000000003"/>
    <n v="12.01"/>
    <n v="1.04"/>
    <n v="0"/>
    <n v="51.57"/>
    <n v="872.27"/>
    <m/>
    <n v="3.0150000000000001"/>
    <n v="0.91400000000000003"/>
    <n v="0.106"/>
    <m/>
    <n v="4.0350000000000001"/>
    <n v="289.3101160862355"/>
  </r>
  <r>
    <n v="38"/>
    <x v="2"/>
    <s v="Isabella "/>
    <x v="1"/>
    <n v="33"/>
    <s v="NC_EC6_NoLight"/>
    <x v="3"/>
    <x v="0"/>
    <x v="3"/>
    <s v="NC_EC6__3"/>
    <n v="3"/>
    <m/>
    <n v="23"/>
    <m/>
    <m/>
    <m/>
    <m/>
    <m/>
    <m/>
    <n v="3"/>
    <n v="0"/>
    <m/>
    <m/>
    <n v="0"/>
    <m/>
    <m/>
    <m/>
    <n v="48.04"/>
    <n v="14"/>
    <n v="35.21"/>
    <n v="12.1"/>
    <n v="0.64"/>
    <n v="0"/>
    <n v="47.95"/>
    <n v="777.22"/>
    <m/>
    <n v="2.6890000000000001"/>
    <n v="0.80400000000000005"/>
    <n v="7.2999999999999995E-2"/>
    <m/>
    <n v="3.5660000000000003"/>
    <n v="289.03681666046856"/>
  </r>
  <r>
    <n v="38"/>
    <x v="2"/>
    <s v="Isabella "/>
    <x v="1"/>
    <n v="33"/>
    <s v="NC_EC6_NoLight"/>
    <x v="3"/>
    <x v="0"/>
    <x v="3"/>
    <s v="NC_EC6__4"/>
    <n v="4"/>
    <m/>
    <n v="23"/>
    <m/>
    <m/>
    <m/>
    <m/>
    <m/>
    <m/>
    <n v="4"/>
    <n v="0"/>
    <m/>
    <m/>
    <n v="0"/>
    <m/>
    <m/>
    <m/>
    <n v="41.2"/>
    <n v="14"/>
    <n v="30.02"/>
    <n v="10.36"/>
    <n v="0.62"/>
    <n v="0"/>
    <n v="40.999999999999993"/>
    <n v="724.95"/>
    <m/>
    <n v="2.1970000000000001"/>
    <n v="0.67600000000000005"/>
    <n v="6.7000000000000004E-2"/>
    <m/>
    <n v="2.9400000000000004"/>
    <n v="329.97269003186165"/>
  </r>
  <r>
    <n v="38"/>
    <x v="2"/>
    <s v="Isabella "/>
    <x v="1"/>
    <n v="33"/>
    <s v="NC_EC6_NoLight"/>
    <x v="3"/>
    <x v="0"/>
    <x v="3"/>
    <s v="NC_EC6__5"/>
    <n v="5"/>
    <m/>
    <n v="22"/>
    <m/>
    <m/>
    <m/>
    <m/>
    <m/>
    <m/>
    <n v="4"/>
    <n v="0"/>
    <m/>
    <m/>
    <n v="0"/>
    <m/>
    <m/>
    <m/>
    <n v="42.2"/>
    <n v="14"/>
    <n v="29.9"/>
    <n v="11.33"/>
    <n v="0.94"/>
    <n v="0"/>
    <n v="42.169999999999995"/>
    <n v="762.16"/>
    <m/>
    <n v="2.2469999999999999"/>
    <n v="0.76800000000000002"/>
    <n v="9.1999999999999998E-2"/>
    <m/>
    <n v="3.1069999999999998"/>
    <n v="339.19003115264798"/>
  </r>
  <r>
    <n v="38"/>
    <x v="2"/>
    <s v="Isabella "/>
    <x v="1"/>
    <n v="33"/>
    <s v="NC_EC6_NoLight"/>
    <x v="3"/>
    <x v="0"/>
    <x v="3"/>
    <s v="NC_EC6__6"/>
    <n v="6"/>
    <m/>
    <n v="24"/>
    <m/>
    <m/>
    <m/>
    <m/>
    <m/>
    <m/>
    <n v="4"/>
    <n v="0"/>
    <m/>
    <m/>
    <n v="0"/>
    <m/>
    <m/>
    <m/>
    <n v="49.73"/>
    <n v="13"/>
    <n v="35.880000000000003"/>
    <n v="12"/>
    <n v="0.75"/>
    <n v="0"/>
    <n v="48.63"/>
    <n v="863.94"/>
    <m/>
    <n v="2.7909999999999999"/>
    <n v="0.88500000000000001"/>
    <n v="8.3000000000000004E-2"/>
    <m/>
    <n v="3.7590000000000003"/>
    <n v="309.5449659620208"/>
  </r>
  <r>
    <n v="38"/>
    <x v="2"/>
    <s v="Isabella "/>
    <x v="1"/>
    <n v="33"/>
    <s v="NC_EC3_HighLight"/>
    <x v="3"/>
    <x v="1"/>
    <x v="0"/>
    <s v="NC_EC3_HL_1"/>
    <n v="1"/>
    <m/>
    <n v="18"/>
    <m/>
    <m/>
    <m/>
    <m/>
    <m/>
    <m/>
    <n v="2"/>
    <n v="0"/>
    <m/>
    <m/>
    <n v="0"/>
    <m/>
    <m/>
    <m/>
    <n v="17.82"/>
    <n v="9"/>
    <n v="12.17"/>
    <n v="5.26"/>
    <n v="0.36"/>
    <n v="0"/>
    <n v="17.79"/>
    <n v="254.93"/>
    <m/>
    <n v="2.1360000000000001"/>
    <n v="0.76200000000000001"/>
    <n v="5.3999999999999999E-2"/>
    <m/>
    <n v="2.952"/>
    <n v="119.34925093632958"/>
  </r>
  <r>
    <n v="38"/>
    <x v="2"/>
    <s v="Isabella "/>
    <x v="1"/>
    <n v="33"/>
    <s v="NC_EC3_HighLight"/>
    <x v="3"/>
    <x v="1"/>
    <x v="0"/>
    <s v="NC_EC3_HL_2"/>
    <n v="2"/>
    <m/>
    <n v="15"/>
    <m/>
    <m/>
    <m/>
    <m/>
    <m/>
    <m/>
    <n v="3"/>
    <n v="0"/>
    <m/>
    <m/>
    <n v="0"/>
    <m/>
    <m/>
    <m/>
    <n v="32.01"/>
    <n v="13"/>
    <n v="24.22"/>
    <n v="7.54"/>
    <n v="0.19"/>
    <n v="0"/>
    <n v="31.95"/>
    <n v="411.51"/>
    <m/>
    <n v="1.91"/>
    <n v="0.53800000000000003"/>
    <n v="0.02"/>
    <m/>
    <n v="2.468"/>
    <n v="215.45026178010471"/>
  </r>
  <r>
    <n v="38"/>
    <x v="2"/>
    <s v="Isabella "/>
    <x v="1"/>
    <n v="33"/>
    <s v="NC_EC3_HighLight"/>
    <x v="3"/>
    <x v="1"/>
    <x v="0"/>
    <s v="NC_EC3_HL_3"/>
    <n v="3"/>
    <m/>
    <n v="21.5"/>
    <m/>
    <m/>
    <m/>
    <m/>
    <m/>
    <m/>
    <n v="4"/>
    <n v="2"/>
    <m/>
    <m/>
    <n v="0"/>
    <m/>
    <m/>
    <m/>
    <n v="27.35"/>
    <n v="12"/>
    <n v="18.260000000000002"/>
    <n v="7.93"/>
    <n v="1.08"/>
    <n v="0"/>
    <n v="27.270000000000003"/>
    <n v="439.05"/>
    <m/>
    <n v="2.2210000000000001"/>
    <n v="0.92700000000000005"/>
    <n v="0.14499999999999999"/>
    <m/>
    <n v="3.2930000000000001"/>
    <n v="197.68122467357045"/>
  </r>
  <r>
    <n v="38"/>
    <x v="2"/>
    <s v="Isabella "/>
    <x v="1"/>
    <n v="33"/>
    <s v="NC_EC3_HighLight"/>
    <x v="3"/>
    <x v="1"/>
    <x v="0"/>
    <s v="NC_EC3_HL_4"/>
    <n v="4"/>
    <m/>
    <n v="23"/>
    <m/>
    <m/>
    <m/>
    <m/>
    <m/>
    <m/>
    <n v="4"/>
    <n v="0"/>
    <m/>
    <m/>
    <n v="0"/>
    <m/>
    <m/>
    <m/>
    <n v="58.79"/>
    <n v="13"/>
    <n v="41.11"/>
    <n v="16.649999999999999"/>
    <n v="0.98"/>
    <n v="0"/>
    <n v="58.739999999999995"/>
    <n v="911.64"/>
    <m/>
    <n v="3.9"/>
    <n v="1.2529999999999999"/>
    <n v="0.107"/>
    <m/>
    <n v="5.26"/>
    <n v="233.75384615384615"/>
  </r>
  <r>
    <n v="38"/>
    <x v="2"/>
    <s v="Isabella "/>
    <x v="1"/>
    <n v="33"/>
    <s v="NC_EC3_HighLight"/>
    <x v="3"/>
    <x v="1"/>
    <x v="0"/>
    <s v="NC_EC3_HL_5"/>
    <n v="5"/>
    <m/>
    <n v="22"/>
    <m/>
    <m/>
    <m/>
    <m/>
    <m/>
    <m/>
    <n v="4"/>
    <n v="0"/>
    <m/>
    <m/>
    <n v="0"/>
    <m/>
    <m/>
    <m/>
    <n v="68.400000000000006"/>
    <n v="13"/>
    <n v="50.25"/>
    <n v="16.88"/>
    <n v="1.1100000000000001"/>
    <n v="0"/>
    <n v="68.239999999999995"/>
    <n v="1074.82"/>
    <m/>
    <n v="4.3869999999999996"/>
    <n v="1.3"/>
    <n v="0.122"/>
    <m/>
    <n v="5.8089999999999993"/>
    <n v="245.0011397310235"/>
  </r>
  <r>
    <n v="38"/>
    <x v="2"/>
    <s v="Isabella "/>
    <x v="1"/>
    <n v="33"/>
    <s v="NC_EC3_HighLight"/>
    <x v="3"/>
    <x v="1"/>
    <x v="0"/>
    <s v="NC_EC3_HL_6"/>
    <n v="6"/>
    <m/>
    <n v="23"/>
    <m/>
    <m/>
    <m/>
    <m/>
    <m/>
    <m/>
    <n v="5"/>
    <n v="0"/>
    <m/>
    <m/>
    <n v="0"/>
    <m/>
    <m/>
    <m/>
    <n v="70.930000000000007"/>
    <n v="15"/>
    <n v="51.76"/>
    <n v="17.16"/>
    <n v="1.44"/>
    <n v="0"/>
    <n v="70.36"/>
    <n v="1036.69"/>
    <m/>
    <n v="4.7220000000000004"/>
    <n v="1.292"/>
    <n v="0.151"/>
    <m/>
    <n v="6.165"/>
    <n v="219.54468445573909"/>
  </r>
  <r>
    <n v="38"/>
    <x v="2"/>
    <s v="Isabella "/>
    <x v="1"/>
    <n v="33"/>
    <s v="NC_EC3_MedLight"/>
    <x v="3"/>
    <x v="1"/>
    <x v="1"/>
    <s v="NC_EC3_ML_1"/>
    <n v="1"/>
    <m/>
    <n v="20"/>
    <m/>
    <m/>
    <m/>
    <m/>
    <m/>
    <m/>
    <n v="3"/>
    <n v="0"/>
    <m/>
    <m/>
    <n v="0"/>
    <m/>
    <m/>
    <m/>
    <n v="37.82"/>
    <n v="12"/>
    <n v="27.76"/>
    <n v="9.73"/>
    <n v="0.37"/>
    <n v="0"/>
    <n v="37.86"/>
    <n v="650.63"/>
    <m/>
    <n v="2.121"/>
    <n v="0.626"/>
    <n v="0.04"/>
    <m/>
    <n v="2.7869999999999999"/>
    <n v="306.75624705327675"/>
  </r>
  <r>
    <n v="38"/>
    <x v="2"/>
    <s v="Isabella "/>
    <x v="1"/>
    <n v="33"/>
    <s v="NC_EC3_MedLight"/>
    <x v="3"/>
    <x v="1"/>
    <x v="1"/>
    <s v="NC_EC3_ML_2"/>
    <n v="2"/>
    <m/>
    <n v="23"/>
    <m/>
    <m/>
    <m/>
    <m/>
    <m/>
    <m/>
    <n v="4"/>
    <n v="1"/>
    <m/>
    <m/>
    <n v="0"/>
    <m/>
    <m/>
    <m/>
    <n v="63.16"/>
    <n v="14"/>
    <n v="44.93"/>
    <n v="16.62"/>
    <n v="1.68"/>
    <n v="0"/>
    <n v="63.23"/>
    <n v="952.47"/>
    <m/>
    <n v="4.07"/>
    <n v="1.335"/>
    <n v="0.182"/>
    <m/>
    <n v="5.5870000000000006"/>
    <n v="234.02211302211302"/>
  </r>
  <r>
    <n v="38"/>
    <x v="2"/>
    <s v="Isabella "/>
    <x v="1"/>
    <n v="33"/>
    <s v="NC_EC3_MedLight"/>
    <x v="3"/>
    <x v="1"/>
    <x v="1"/>
    <s v="NC_EC3_ML_3"/>
    <n v="3"/>
    <m/>
    <n v="22"/>
    <m/>
    <m/>
    <m/>
    <m/>
    <m/>
    <m/>
    <n v="5"/>
    <n v="1"/>
    <m/>
    <m/>
    <n v="0"/>
    <m/>
    <m/>
    <m/>
    <n v="71.97"/>
    <n v="15"/>
    <n v="51.74"/>
    <n v="18.27"/>
    <n v="2.06"/>
    <n v="0"/>
    <n v="72.070000000000007"/>
    <n v="1096.54"/>
    <m/>
    <n v="4.8869999999999996"/>
    <n v="1.498"/>
    <n v="0.22"/>
    <m/>
    <n v="6.6049999999999995"/>
    <n v="224.37896459995909"/>
  </r>
  <r>
    <n v="38"/>
    <x v="2"/>
    <s v="Isabella "/>
    <x v="1"/>
    <n v="33"/>
    <s v="NC_EC3_MedLight"/>
    <x v="3"/>
    <x v="1"/>
    <x v="1"/>
    <s v="NC_EC3_ML_4"/>
    <n v="4"/>
    <m/>
    <n v="24"/>
    <m/>
    <m/>
    <m/>
    <m/>
    <m/>
    <m/>
    <n v="5"/>
    <n v="2"/>
    <m/>
    <m/>
    <n v="0"/>
    <m/>
    <m/>
    <m/>
    <n v="82.13"/>
    <n v="18"/>
    <n v="57.47"/>
    <n v="22.28"/>
    <n v="2.2599999999999998"/>
    <n v="0"/>
    <n v="82.01"/>
    <n v="1174.81"/>
    <m/>
    <n v="4.8179999999999996"/>
    <n v="1.5720000000000001"/>
    <n v="0.23300000000000001"/>
    <m/>
    <n v="6.6229999999999993"/>
    <n v="243.83769198837692"/>
  </r>
  <r>
    <n v="38"/>
    <x v="2"/>
    <s v="Isabella "/>
    <x v="1"/>
    <n v="33"/>
    <s v="NC_EC3_MedLight"/>
    <x v="3"/>
    <x v="1"/>
    <x v="1"/>
    <s v="NC_EC3_ML_5"/>
    <n v="5"/>
    <m/>
    <n v="25"/>
    <m/>
    <m/>
    <m/>
    <m/>
    <m/>
    <m/>
    <n v="5"/>
    <n v="1"/>
    <m/>
    <m/>
    <n v="0"/>
    <m/>
    <m/>
    <m/>
    <n v="79.97"/>
    <n v="20"/>
    <n v="57.99"/>
    <n v="20.100000000000001"/>
    <n v="1.72"/>
    <n v="0"/>
    <n v="79.81"/>
    <n v="1132.07"/>
    <m/>
    <n v="4.9480000000000004"/>
    <n v="1.431"/>
    <n v="0.185"/>
    <m/>
    <n v="6.5640000000000001"/>
    <n v="228.79345189975746"/>
  </r>
  <r>
    <n v="38"/>
    <x v="2"/>
    <s v="Isabella "/>
    <x v="1"/>
    <n v="33"/>
    <s v="NC_EC3_MedLight"/>
    <x v="3"/>
    <x v="1"/>
    <x v="1"/>
    <s v="NC_EC3_ML_6"/>
    <n v="6"/>
    <m/>
    <n v="28"/>
    <m/>
    <m/>
    <m/>
    <m/>
    <m/>
    <m/>
    <n v="4"/>
    <n v="0"/>
    <m/>
    <m/>
    <n v="0"/>
    <m/>
    <m/>
    <m/>
    <n v="72.62"/>
    <n v="16"/>
    <n v="52.78"/>
    <n v="18.239999999999998"/>
    <n v="1.36"/>
    <n v="0"/>
    <n v="72.38"/>
    <n v="1078.7"/>
    <m/>
    <n v="4.5449999999999999"/>
    <n v="1.2629999999999999"/>
    <n v="0.154"/>
    <m/>
    <n v="5.9619999999999997"/>
    <n v="237.33773377337735"/>
  </r>
  <r>
    <n v="38"/>
    <x v="2"/>
    <s v="Isabella "/>
    <x v="1"/>
    <n v="33"/>
    <s v="NC_EC3_LowLight"/>
    <x v="3"/>
    <x v="1"/>
    <x v="2"/>
    <s v="NC_EC3_LL_1"/>
    <n v="1"/>
    <m/>
    <n v="25"/>
    <m/>
    <m/>
    <m/>
    <m/>
    <m/>
    <m/>
    <n v="5"/>
    <n v="3"/>
    <m/>
    <m/>
    <n v="0"/>
    <m/>
    <m/>
    <m/>
    <n v="64.95"/>
    <n v="17"/>
    <n v="42.5"/>
    <n v="20.09"/>
    <n v="2.29"/>
    <n v="0"/>
    <n v="64.88000000000001"/>
    <n v="1023.67"/>
    <m/>
    <n v="3.4820000000000002"/>
    <n v="1.3959999999999999"/>
    <n v="0.22"/>
    <m/>
    <n v="5.0979999999999999"/>
    <n v="293.98908673176334"/>
  </r>
  <r>
    <n v="38"/>
    <x v="2"/>
    <s v="Isabella "/>
    <x v="1"/>
    <n v="33"/>
    <s v="NC_EC3_LowLight"/>
    <x v="3"/>
    <x v="1"/>
    <x v="2"/>
    <s v="NC_EC3_LL_2"/>
    <n v="2"/>
    <m/>
    <n v="25"/>
    <m/>
    <m/>
    <m/>
    <m/>
    <m/>
    <m/>
    <n v="3"/>
    <n v="0"/>
    <m/>
    <m/>
    <n v="0"/>
    <m/>
    <m/>
    <m/>
    <n v="71.599999999999994"/>
    <n v="17"/>
    <n v="51.41"/>
    <n v="18.899999999999999"/>
    <n v="1.0900000000000001"/>
    <n v="0"/>
    <n v="71.400000000000006"/>
    <n v="1120.19"/>
    <m/>
    <n v="4.2480000000000002"/>
    <n v="1.2829999999999999"/>
    <n v="0.122"/>
    <m/>
    <n v="5.6530000000000005"/>
    <n v="263.69821092278721"/>
  </r>
  <r>
    <n v="38"/>
    <x v="2"/>
    <s v="Isabella "/>
    <x v="1"/>
    <n v="33"/>
    <s v="NC_EC3_LowLight"/>
    <x v="3"/>
    <x v="1"/>
    <x v="2"/>
    <s v="NC_EC3_LL_3"/>
    <n v="3"/>
    <m/>
    <n v="24"/>
    <m/>
    <m/>
    <m/>
    <m/>
    <m/>
    <m/>
    <n v="4"/>
    <n v="0"/>
    <m/>
    <m/>
    <n v="0"/>
    <m/>
    <m/>
    <m/>
    <n v="46.03"/>
    <n v="14"/>
    <n v="30.86"/>
    <n v="14.28"/>
    <n v="0.78"/>
    <n v="0"/>
    <n v="45.92"/>
    <n v="674.68"/>
    <m/>
    <n v="2.2909999999999999"/>
    <n v="0.86799999999999999"/>
    <n v="8.2000000000000003E-2"/>
    <m/>
    <n v="3.2409999999999997"/>
    <n v="294.49148843299866"/>
  </r>
  <r>
    <n v="38"/>
    <x v="2"/>
    <s v="Isabella "/>
    <x v="1"/>
    <n v="33"/>
    <s v="NC_EC3_LowLight"/>
    <x v="3"/>
    <x v="1"/>
    <x v="2"/>
    <s v="NC_EC3_LL_4"/>
    <n v="4"/>
    <m/>
    <n v="24"/>
    <m/>
    <m/>
    <m/>
    <m/>
    <m/>
    <m/>
    <n v="4"/>
    <n v="1"/>
    <m/>
    <m/>
    <n v="0"/>
    <m/>
    <m/>
    <m/>
    <n v="22.65"/>
    <n v="11"/>
    <n v="14.9"/>
    <n v="7.04"/>
    <n v="0.66"/>
    <n v="0"/>
    <n v="22.6"/>
    <n v="1033.24"/>
    <m/>
    <n v="1.2829999999999999"/>
    <n v="0.52800000000000002"/>
    <n v="7.3999999999999996E-2"/>
    <m/>
    <n v="1.885"/>
    <n v="805.33125487139523"/>
  </r>
  <r>
    <n v="38"/>
    <x v="2"/>
    <s v="Isabella "/>
    <x v="1"/>
    <n v="33"/>
    <s v="NC_EC3_LowLight"/>
    <x v="3"/>
    <x v="1"/>
    <x v="2"/>
    <s v="NC_EC3_LL_5"/>
    <n v="5"/>
    <m/>
    <n v="20"/>
    <m/>
    <m/>
    <m/>
    <m/>
    <m/>
    <m/>
    <n v="5"/>
    <n v="1"/>
    <m/>
    <m/>
    <n v="0"/>
    <m/>
    <m/>
    <m/>
    <n v="58.86"/>
    <n v="22"/>
    <n v="45.34"/>
    <n v="12.18"/>
    <n v="1.54"/>
    <n v="0"/>
    <n v="59.06"/>
    <n v="826.54"/>
    <m/>
    <n v="3.8730000000000002"/>
    <n v="0.92400000000000004"/>
    <n v="0.128"/>
    <m/>
    <n v="4.9250000000000007"/>
    <n v="213.41079266718305"/>
  </r>
  <r>
    <n v="38"/>
    <x v="2"/>
    <s v="Isabella "/>
    <x v="1"/>
    <n v="33"/>
    <s v="NC_EC3_LowLight"/>
    <x v="3"/>
    <x v="1"/>
    <x v="2"/>
    <s v="NC_EC3_LL_6"/>
    <n v="6"/>
    <m/>
    <n v="25"/>
    <m/>
    <m/>
    <m/>
    <m/>
    <m/>
    <m/>
    <n v="6"/>
    <n v="3"/>
    <m/>
    <m/>
    <n v="0"/>
    <m/>
    <m/>
    <m/>
    <n v="78.92"/>
    <n v="14"/>
    <n v="55"/>
    <n v="21.65"/>
    <n v="2.34"/>
    <n v="0"/>
    <n v="78.990000000000009"/>
    <n v="1143.4000000000001"/>
    <m/>
    <n v="4.6340000000000003"/>
    <n v="1.534"/>
    <n v="0.22800000000000001"/>
    <m/>
    <n v="6.3959999999999999"/>
    <n v="246.74147604661201"/>
  </r>
  <r>
    <n v="38"/>
    <x v="2"/>
    <s v="Isabella "/>
    <x v="1"/>
    <n v="33"/>
    <s v="NC_EC3_NoLight"/>
    <x v="3"/>
    <x v="1"/>
    <x v="3"/>
    <s v="NC_EC3__1"/>
    <n v="1"/>
    <m/>
    <n v="26"/>
    <m/>
    <m/>
    <m/>
    <m/>
    <m/>
    <m/>
    <n v="4"/>
    <n v="0"/>
    <m/>
    <m/>
    <n v="0"/>
    <m/>
    <m/>
    <m/>
    <n v="59.5"/>
    <n v="13"/>
    <n v="41.66"/>
    <n v="16.79"/>
    <n v="0.83"/>
    <n v="0"/>
    <n v="59.279999999999994"/>
    <n v="921.84"/>
    <m/>
    <n v="3.2829999999999999"/>
    <n v="1.079"/>
    <n v="0.09"/>
    <m/>
    <n v="4.452"/>
    <n v="280.79195857447456"/>
  </r>
  <r>
    <n v="38"/>
    <x v="2"/>
    <s v="Isabella "/>
    <x v="1"/>
    <n v="33"/>
    <s v="NC_EC3_NoLight"/>
    <x v="3"/>
    <x v="1"/>
    <x v="3"/>
    <s v="NC_EC3__2"/>
    <n v="2"/>
    <m/>
    <n v="23"/>
    <m/>
    <m/>
    <m/>
    <m/>
    <m/>
    <m/>
    <n v="4"/>
    <n v="3"/>
    <m/>
    <m/>
    <n v="0"/>
    <m/>
    <m/>
    <m/>
    <n v="33.24"/>
    <n v="12"/>
    <n v="23.06"/>
    <n v="8.91"/>
    <n v="1.23"/>
    <n v="0"/>
    <n v="33.199999999999996"/>
    <n v="580.41999999999996"/>
    <m/>
    <n v="1.9910000000000001"/>
    <n v="0.74"/>
    <n v="0.13"/>
    <m/>
    <n v="2.8609999999999998"/>
    <n v="291.52184831742841"/>
  </r>
  <r>
    <n v="38"/>
    <x v="2"/>
    <s v="Isabella "/>
    <x v="1"/>
    <n v="33"/>
    <s v="NC_EC3_NoLight"/>
    <x v="3"/>
    <x v="1"/>
    <x v="3"/>
    <s v="NC_EC3__3"/>
    <n v="3"/>
    <m/>
    <n v="23"/>
    <m/>
    <m/>
    <m/>
    <m/>
    <m/>
    <m/>
    <n v="4"/>
    <n v="0"/>
    <m/>
    <m/>
    <n v="0"/>
    <m/>
    <m/>
    <m/>
    <n v="43.16"/>
    <n v="13"/>
    <n v="32.46"/>
    <n v="12.09"/>
    <n v="0.45"/>
    <n v="0"/>
    <n v="45"/>
    <n v="742.56"/>
    <m/>
    <n v="2.419"/>
    <n v="0.73599999999999999"/>
    <n v="4.5999999999999999E-2"/>
    <m/>
    <n v="3.2010000000000001"/>
    <n v="306.96982224059525"/>
  </r>
  <r>
    <n v="38"/>
    <x v="2"/>
    <s v="Isabella "/>
    <x v="1"/>
    <n v="33"/>
    <s v="NC_EC3_NoLight"/>
    <x v="3"/>
    <x v="1"/>
    <x v="3"/>
    <s v="NC_EC3__4"/>
    <n v="4"/>
    <m/>
    <n v="25"/>
    <m/>
    <m/>
    <m/>
    <m/>
    <m/>
    <m/>
    <n v="2"/>
    <n v="0"/>
    <m/>
    <m/>
    <n v="0"/>
    <m/>
    <m/>
    <m/>
    <n v="19.54"/>
    <n v="10"/>
    <n v="12.21"/>
    <n v="6.9"/>
    <n v="0.3"/>
    <n v="0"/>
    <n v="19.41"/>
    <n v="321.93"/>
    <m/>
    <n v="1.105"/>
    <n v="0.54"/>
    <n v="0.05"/>
    <m/>
    <n v="1.6950000000000001"/>
    <n v="291.33936651583713"/>
  </r>
  <r>
    <n v="38"/>
    <x v="2"/>
    <s v="Isabella "/>
    <x v="1"/>
    <n v="33"/>
    <s v="NC_EC3_NoLight"/>
    <x v="3"/>
    <x v="1"/>
    <x v="3"/>
    <s v="NC_EC3__5"/>
    <n v="5"/>
    <m/>
    <n v="24.5"/>
    <m/>
    <m/>
    <m/>
    <m/>
    <m/>
    <m/>
    <n v="4"/>
    <n v="0"/>
    <m/>
    <m/>
    <n v="0"/>
    <m/>
    <m/>
    <m/>
    <n v="27.36"/>
    <n v="13"/>
    <n v="18.29"/>
    <n v="8.81"/>
    <n v="0.43"/>
    <n v="0"/>
    <n v="27.53"/>
    <n v="485.72"/>
    <m/>
    <n v="1.492"/>
    <n v="0.54200000000000004"/>
    <n v="0.34"/>
    <m/>
    <n v="2.3739999999999997"/>
    <n v="325.54959785522789"/>
  </r>
  <r>
    <n v="38"/>
    <x v="2"/>
    <s v="Isabella "/>
    <x v="1"/>
    <n v="33"/>
    <s v="NC_EC3_NoLight"/>
    <x v="3"/>
    <x v="1"/>
    <x v="3"/>
    <s v="NC_EC3__6"/>
    <n v="6"/>
    <m/>
    <n v="25"/>
    <m/>
    <m/>
    <m/>
    <m/>
    <m/>
    <m/>
    <n v="4"/>
    <n v="0"/>
    <m/>
    <m/>
    <n v="0"/>
    <m/>
    <m/>
    <m/>
    <n v="53.16"/>
    <n v="13"/>
    <n v="36.770000000000003"/>
    <n v="15.15"/>
    <n v="0.74"/>
    <n v="0"/>
    <n v="52.660000000000004"/>
    <n v="838.87"/>
    <m/>
    <n v="2.88"/>
    <n v="0.91500000000000004"/>
    <n v="8.1000000000000003E-2"/>
    <m/>
    <n v="3.8759999999999999"/>
    <n v="291.27430555555554"/>
  </r>
  <r>
    <n v="45"/>
    <x v="3"/>
    <s v="Isabella "/>
    <x v="2"/>
    <n v="25"/>
    <s v="Cherry_EC6_HighLight"/>
    <x v="0"/>
    <x v="0"/>
    <x v="0"/>
    <s v="Cherry_EC6_HL_1"/>
    <n v="1"/>
    <m/>
    <n v="28"/>
    <m/>
    <m/>
    <m/>
    <m/>
    <m/>
    <m/>
    <n v="5"/>
    <n v="8"/>
    <n v="6"/>
    <n v="2"/>
    <n v="5"/>
    <m/>
    <m/>
    <m/>
    <n v="45.74"/>
    <n v="20"/>
    <n v="24.93"/>
    <n v="14.2"/>
    <n v="1.83"/>
    <n v="4.75"/>
    <n v="45.709999999999994"/>
    <n v="664.03"/>
    <m/>
    <n v="2.7269999999999999"/>
    <n v="1.59"/>
    <n v="0.23100000000000001"/>
    <n v="0.55500000000000005"/>
    <n v="5.1029999999999998"/>
    <n v="243.50201686835351"/>
  </r>
  <r>
    <n v="45"/>
    <x v="3"/>
    <s v="Isabella "/>
    <x v="2"/>
    <n v="25"/>
    <s v="Cherry_EC6_HighLight"/>
    <x v="0"/>
    <x v="0"/>
    <x v="0"/>
    <s v="Cherry_EC6_HL_2"/>
    <n v="2"/>
    <m/>
    <n v="26"/>
    <m/>
    <m/>
    <m/>
    <m/>
    <m/>
    <m/>
    <n v="8"/>
    <n v="6"/>
    <n v="7"/>
    <n v="2"/>
    <n v="11"/>
    <m/>
    <m/>
    <m/>
    <n v="51.82"/>
    <n v="24"/>
    <n v="25.06"/>
    <n v="14.24"/>
    <n v="1.6"/>
    <n v="10.84"/>
    <n v="51.739999999999995"/>
    <n v="680.03"/>
    <m/>
    <n v="2.4780000000000002"/>
    <n v="1.3979999999999999"/>
    <n v="0.19500000000000001"/>
    <n v="1.21"/>
    <n v="5.2810000000000006"/>
    <n v="274.42695722356734"/>
  </r>
  <r>
    <n v="45"/>
    <x v="3"/>
    <s v="Isabella "/>
    <x v="2"/>
    <n v="25"/>
    <s v="Cherry_EC6_HighLight"/>
    <x v="0"/>
    <x v="0"/>
    <x v="0"/>
    <s v="Cherry_EC6_HL_3"/>
    <n v="3"/>
    <m/>
    <n v="33"/>
    <m/>
    <m/>
    <m/>
    <m/>
    <m/>
    <m/>
    <n v="4"/>
    <n v="6"/>
    <n v="6.75"/>
    <n v="4"/>
    <n v="21"/>
    <m/>
    <m/>
    <m/>
    <n v="65.010000000000005"/>
    <n v="30"/>
    <n v="28.57"/>
    <n v="16.95"/>
    <n v="1.42"/>
    <n v="17.86"/>
    <n v="64.8"/>
    <n v="787.19"/>
    <m/>
    <n v="3.0659999999999998"/>
    <n v="1.921"/>
    <n v="0.17699999999999999"/>
    <n v="2.0619999999999998"/>
    <n v="7.2259999999999991"/>
    <n v="256.7482061317678"/>
  </r>
  <r>
    <n v="45"/>
    <x v="3"/>
    <s v="Isabella "/>
    <x v="2"/>
    <n v="25"/>
    <s v="Cherry_EC6_HighLight"/>
    <x v="0"/>
    <x v="0"/>
    <x v="0"/>
    <s v="Cherry_EC6_HL_4"/>
    <n v="4"/>
    <m/>
    <n v="26"/>
    <m/>
    <m/>
    <m/>
    <m/>
    <m/>
    <m/>
    <n v="2"/>
    <n v="4"/>
    <n v="5.666666666666667"/>
    <n v="3"/>
    <n v="12"/>
    <m/>
    <m/>
    <m/>
    <n v="38.450000000000003"/>
    <n v="18"/>
    <n v="18.079999999999998"/>
    <n v="8.94"/>
    <n v="0.62000000000000455"/>
    <n v="10.81"/>
    <n v="38.450000000000003"/>
    <n v="499.91"/>
    <m/>
    <n v="1.651"/>
    <n v="0.9"/>
    <n v="5.8999999999999997E-2"/>
    <n v="1.0960000000000001"/>
    <n v="3.7060000000000004"/>
    <n v="302.79224712295581"/>
  </r>
  <r>
    <n v="45"/>
    <x v="3"/>
    <s v="Isabella "/>
    <x v="2"/>
    <n v="25"/>
    <s v="Cherry_EC6_HighLight"/>
    <x v="0"/>
    <x v="0"/>
    <x v="0"/>
    <s v="Cherry_EC6_HL_5"/>
    <n v="5"/>
    <m/>
    <n v="32"/>
    <m/>
    <m/>
    <m/>
    <m/>
    <m/>
    <m/>
    <n v="6"/>
    <n v="8"/>
    <n v="5.5"/>
    <n v="2"/>
    <n v="10"/>
    <m/>
    <m/>
    <m/>
    <n v="46.99"/>
    <n v="29"/>
    <n v="25.79"/>
    <n v="15.39"/>
    <n v="2.1800000000000002"/>
    <n v="3.32"/>
    <n v="46.68"/>
    <n v="695.8"/>
    <m/>
    <n v="2.8879999999999999"/>
    <n v="1.6619999999999999"/>
    <n v="0.28199999999999997"/>
    <n v="0.40300000000000002"/>
    <n v="5.2349999999999994"/>
    <n v="240.92797783933517"/>
  </r>
  <r>
    <n v="45"/>
    <x v="3"/>
    <s v="Isabella "/>
    <x v="2"/>
    <n v="25"/>
    <s v="Cherry_EC6_HighLight"/>
    <x v="0"/>
    <x v="0"/>
    <x v="0"/>
    <s v="Cherry_EC6_HL_6"/>
    <n v="6"/>
    <m/>
    <n v="32"/>
    <m/>
    <m/>
    <m/>
    <m/>
    <m/>
    <m/>
    <n v="7"/>
    <n v="7"/>
    <n v="5.25"/>
    <n v="4"/>
    <n v="19"/>
    <m/>
    <m/>
    <m/>
    <n v="56.73"/>
    <n v="27"/>
    <n v="26.44"/>
    <n v="16.739999999999998"/>
    <n v="1.39"/>
    <n v="12.159999999999997"/>
    <n v="56.73"/>
    <n v="746.49"/>
    <m/>
    <n v="2.7389999999999999"/>
    <n v="1.7769999999999999"/>
    <n v="0.187"/>
    <n v="1.377"/>
    <n v="6.08"/>
    <n v="272.54107338444692"/>
  </r>
  <r>
    <n v="45"/>
    <x v="3"/>
    <s v="Isabella "/>
    <x v="2"/>
    <n v="25"/>
    <s v="Cherry_EC6_MedLight"/>
    <x v="0"/>
    <x v="0"/>
    <x v="1"/>
    <s v="Cherry_EC6_ML_1"/>
    <n v="1"/>
    <m/>
    <n v="22"/>
    <m/>
    <m/>
    <m/>
    <m/>
    <m/>
    <m/>
    <n v="4"/>
    <n v="3"/>
    <n v="5.5"/>
    <n v="2"/>
    <n v="11"/>
    <m/>
    <m/>
    <m/>
    <n v="27.87"/>
    <n v="16"/>
    <n v="10.91"/>
    <n v="6.88"/>
    <n v="0.53"/>
    <n v="9.59"/>
    <n v="27.91"/>
    <n v="326.27999999999997"/>
    <m/>
    <n v="1.004"/>
    <n v="0.64400000000000002"/>
    <n v="5.8999999999999997E-2"/>
    <n v="0.92100000000000004"/>
    <n v="2.6280000000000001"/>
    <n v="324.98007968127484"/>
  </r>
  <r>
    <n v="45"/>
    <x v="3"/>
    <s v="Isabella "/>
    <x v="2"/>
    <n v="25"/>
    <s v="Cherry_EC6_MedLight"/>
    <x v="0"/>
    <x v="0"/>
    <x v="1"/>
    <s v="Cherry_EC6_ML_2"/>
    <n v="2"/>
    <m/>
    <n v="32"/>
    <m/>
    <m/>
    <m/>
    <m/>
    <m/>
    <m/>
    <n v="4"/>
    <n v="3"/>
    <n v="6"/>
    <n v="3"/>
    <n v="10"/>
    <m/>
    <m/>
    <m/>
    <n v="44.31"/>
    <n v="18"/>
    <n v="23.82"/>
    <n v="15.2"/>
    <n v="1"/>
    <n v="4.09"/>
    <n v="44.11"/>
    <n v="657.62"/>
    <m/>
    <n v="2.516"/>
    <n v="1.6140000000000001"/>
    <n v="0.128"/>
    <n v="0.49099999999999999"/>
    <n v="4.7489999999999997"/>
    <n v="261.37519872813988"/>
  </r>
  <r>
    <n v="45"/>
    <x v="3"/>
    <s v="Isabella "/>
    <x v="2"/>
    <n v="25"/>
    <s v="Cherry_EC6_MedLight"/>
    <x v="0"/>
    <x v="0"/>
    <x v="1"/>
    <s v="Cherry_EC6_ML_3"/>
    <n v="3"/>
    <m/>
    <n v="28"/>
    <m/>
    <m/>
    <m/>
    <m/>
    <m/>
    <m/>
    <n v="3"/>
    <n v="6"/>
    <n v="6.333333333333333"/>
    <n v="3"/>
    <n v="13"/>
    <m/>
    <m/>
    <m/>
    <n v="34.17"/>
    <n v="16"/>
    <n v="16.350000000000001"/>
    <n v="9.6"/>
    <n v="0.84"/>
    <n v="7.34"/>
    <n v="34.130000000000003"/>
    <n v="464.11"/>
    <m/>
    <n v="1.494"/>
    <n v="0.95699999999999996"/>
    <n v="9.6000000000000002E-2"/>
    <n v="0.78700000000000003"/>
    <n v="3.3340000000000001"/>
    <n v="310.64926372155287"/>
  </r>
  <r>
    <n v="45"/>
    <x v="3"/>
    <s v="Isabella "/>
    <x v="2"/>
    <n v="25"/>
    <s v="Cherry_EC6_MedLight"/>
    <x v="0"/>
    <x v="0"/>
    <x v="1"/>
    <s v="Cherry_EC6_ML_4"/>
    <n v="4"/>
    <m/>
    <n v="33"/>
    <m/>
    <m/>
    <m/>
    <m/>
    <m/>
    <m/>
    <n v="3"/>
    <n v="3"/>
    <n v="6"/>
    <n v="3"/>
    <n v="10"/>
    <m/>
    <m/>
    <m/>
    <n v="48.37"/>
    <n v="19"/>
    <n v="23.42"/>
    <n v="13.4"/>
    <n v="0.72"/>
    <n v="10.29"/>
    <n v="47.83"/>
    <n v="652.54999999999995"/>
    <m/>
    <n v="2.3479999999999999"/>
    <n v="1.4119999999999999"/>
    <n v="0.106"/>
    <n v="1.163"/>
    <n v="5.0289999999999999"/>
    <n v="277.91737649063032"/>
  </r>
  <r>
    <n v="45"/>
    <x v="3"/>
    <s v="Isabella "/>
    <x v="2"/>
    <n v="25"/>
    <s v="Cherry_EC6_MedLight"/>
    <x v="0"/>
    <x v="0"/>
    <x v="1"/>
    <s v="Cherry_EC6_ML_5"/>
    <n v="5"/>
    <m/>
    <n v="27"/>
    <m/>
    <m/>
    <m/>
    <m/>
    <m/>
    <m/>
    <n v="4"/>
    <n v="7"/>
    <n v="7"/>
    <n v="2"/>
    <n v="10"/>
    <m/>
    <m/>
    <m/>
    <n v="43.37"/>
    <n v="21"/>
    <n v="23.59"/>
    <n v="13.91"/>
    <n v="1.78"/>
    <n v="3.86"/>
    <n v="43.14"/>
    <n v="606.96"/>
    <m/>
    <n v="2.62"/>
    <n v="1.516"/>
    <n v="0.22"/>
    <n v="0.46300000000000002"/>
    <n v="4.819"/>
    <n v="231.66412213740458"/>
  </r>
  <r>
    <n v="45"/>
    <x v="3"/>
    <s v="Isabella "/>
    <x v="2"/>
    <n v="25"/>
    <s v="Cherry_EC6_MedLight"/>
    <x v="0"/>
    <x v="0"/>
    <x v="1"/>
    <s v="Cherry_EC6_ML_6"/>
    <n v="6"/>
    <m/>
    <n v="26"/>
    <m/>
    <m/>
    <m/>
    <m/>
    <m/>
    <m/>
    <n v="3"/>
    <n v="9"/>
    <n v="7"/>
    <n v="2"/>
    <n v="8"/>
    <m/>
    <m/>
    <m/>
    <n v="39.299999999999997"/>
    <n v="25"/>
    <n v="22.44"/>
    <n v="12.03"/>
    <n v="1.1100000000000001"/>
    <n v="3.45"/>
    <n v="39.03"/>
    <n v="602.59"/>
    <m/>
    <n v="2.1949999999999998"/>
    <n v="1.2210000000000001"/>
    <n v="0.124"/>
    <n v="0.39"/>
    <n v="3.93"/>
    <n v="274.52847380410026"/>
  </r>
  <r>
    <n v="45"/>
    <x v="3"/>
    <s v="Isabella "/>
    <x v="2"/>
    <n v="25"/>
    <s v="Cherry_EC6_LowLight"/>
    <x v="0"/>
    <x v="0"/>
    <x v="2"/>
    <s v="Cherry_EC6_LL_1"/>
    <n v="1"/>
    <m/>
    <n v="30"/>
    <m/>
    <m/>
    <m/>
    <m/>
    <m/>
    <m/>
    <n v="3"/>
    <n v="0"/>
    <n v="5.6"/>
    <n v="5"/>
    <n v="15"/>
    <m/>
    <m/>
    <m/>
    <n v="39.74"/>
    <n v="23"/>
    <n v="18.3"/>
    <n v="11.62"/>
    <n v="0.28999999999999998"/>
    <n v="9.24"/>
    <n v="39.450000000000003"/>
    <n v="538.64"/>
    <m/>
    <n v="1.8"/>
    <n v="1.121"/>
    <n v="4.5999999999999999E-2"/>
    <n v="1.0129999999999999"/>
    <n v="3.98"/>
    <n v="299.24444444444441"/>
  </r>
  <r>
    <n v="45"/>
    <x v="3"/>
    <s v="Isabella "/>
    <x v="2"/>
    <n v="25"/>
    <s v="Cherry_EC6_LowLight"/>
    <x v="0"/>
    <x v="0"/>
    <x v="2"/>
    <s v="Cherry_EC6_LL_2"/>
    <n v="2"/>
    <m/>
    <n v="28"/>
    <m/>
    <m/>
    <m/>
    <m/>
    <m/>
    <m/>
    <n v="4"/>
    <n v="4"/>
    <n v="7.5"/>
    <n v="2"/>
    <n v="8"/>
    <m/>
    <m/>
    <m/>
    <n v="40.119999999999997"/>
    <n v="20"/>
    <n v="23.7"/>
    <n v="13.27"/>
    <n v="1.59"/>
    <n v="1.66"/>
    <n v="40.22"/>
    <n v="641.29999999999995"/>
    <m/>
    <n v="2.48"/>
    <n v="1.2869999999999999"/>
    <n v="0.18"/>
    <n v="0.17699999999999999"/>
    <n v="4.1239999999999997"/>
    <n v="258.58870967741933"/>
  </r>
  <r>
    <n v="45"/>
    <x v="3"/>
    <s v="Isabella "/>
    <x v="2"/>
    <n v="25"/>
    <s v="Cherry_EC6_LowLight"/>
    <x v="0"/>
    <x v="0"/>
    <x v="2"/>
    <s v="Cherry_EC6_LL_3"/>
    <n v="3"/>
    <m/>
    <n v="33"/>
    <m/>
    <m/>
    <m/>
    <m/>
    <m/>
    <m/>
    <n v="5"/>
    <n v="3"/>
    <n v="5.75"/>
    <n v="4"/>
    <n v="14"/>
    <m/>
    <m/>
    <m/>
    <n v="50.18"/>
    <n v="21"/>
    <n v="23.98"/>
    <n v="14.63"/>
    <n v="1.05"/>
    <n v="10.28"/>
    <n v="49.94"/>
    <n v="666.26"/>
    <m/>
    <n v="2.585"/>
    <n v="1.589"/>
    <n v="0.13900000000000001"/>
    <n v="1.1950000000000001"/>
    <n v="5.508"/>
    <n v="257.74081237911025"/>
  </r>
  <r>
    <n v="45"/>
    <x v="3"/>
    <s v="Isabella "/>
    <x v="2"/>
    <n v="25"/>
    <s v="Cherry_EC6_LowLight"/>
    <x v="0"/>
    <x v="0"/>
    <x v="2"/>
    <s v="Cherry_EC6_LL_4"/>
    <n v="4"/>
    <m/>
    <n v="30"/>
    <m/>
    <m/>
    <m/>
    <m/>
    <m/>
    <m/>
    <n v="2"/>
    <n v="1"/>
    <n v="5.75"/>
    <n v="4"/>
    <n v="15"/>
    <m/>
    <m/>
    <m/>
    <n v="43.51"/>
    <n v="17"/>
    <n v="21.38"/>
    <n v="12.51"/>
    <n v="0.77"/>
    <n v="8.73"/>
    <n v="43.39"/>
    <n v="586.04"/>
    <m/>
    <n v="2.133"/>
    <n v="1.33"/>
    <n v="9.0999999999999998E-2"/>
    <n v="1.0049999999999999"/>
    <n v="4.5590000000000002"/>
    <n v="274.74917955930613"/>
  </r>
  <r>
    <n v="45"/>
    <x v="3"/>
    <s v="Isabella "/>
    <x v="2"/>
    <n v="25"/>
    <s v="Cherry_EC6_LowLight"/>
    <x v="0"/>
    <x v="0"/>
    <x v="2"/>
    <s v="Cherry_EC6_LL_5"/>
    <n v="5"/>
    <m/>
    <n v="29"/>
    <m/>
    <m/>
    <m/>
    <m/>
    <m/>
    <m/>
    <n v="3"/>
    <n v="4"/>
    <n v="6"/>
    <n v="2"/>
    <n v="8"/>
    <m/>
    <m/>
    <m/>
    <n v="34.64"/>
    <n v="18"/>
    <n v="19.52"/>
    <n v="11.18"/>
    <n v="1.08"/>
    <n v="2.75"/>
    <n v="34.53"/>
    <n v="559.78"/>
    <m/>
    <n v="1.9510000000000001"/>
    <n v="1.1659999999999999"/>
    <n v="0.129"/>
    <n v="0.313"/>
    <n v="3.5590000000000002"/>
    <n v="286.91952844695027"/>
  </r>
  <r>
    <n v="45"/>
    <x v="3"/>
    <s v="Isabella "/>
    <x v="2"/>
    <n v="25"/>
    <s v="Cherry_EC6_LowLight"/>
    <x v="0"/>
    <x v="0"/>
    <x v="2"/>
    <s v="Cherry_EC6_LL_6"/>
    <n v="6"/>
    <m/>
    <n v="32"/>
    <m/>
    <m/>
    <m/>
    <m/>
    <m/>
    <m/>
    <n v="4"/>
    <n v="6"/>
    <n v="7.5"/>
    <n v="2"/>
    <n v="11"/>
    <m/>
    <m/>
    <m/>
    <n v="47.79"/>
    <n v="23"/>
    <n v="26.63"/>
    <n v="15.3"/>
    <n v="1.57"/>
    <n v="3.96"/>
    <n v="47.46"/>
    <n v="711.25"/>
    <m/>
    <n v="2.6930000000000001"/>
    <n v="1.6279999999999999"/>
    <n v="0.19500000000000001"/>
    <n v="0.47899999999999998"/>
    <n v="4.9950000000000001"/>
    <n v="264.11065725956183"/>
  </r>
  <r>
    <n v="45"/>
    <x v="3"/>
    <s v="Isabella "/>
    <x v="2"/>
    <n v="25"/>
    <s v="Cherry_EC6_NoLight"/>
    <x v="0"/>
    <x v="0"/>
    <x v="3"/>
    <s v="Cherry_EC6__1"/>
    <n v="1"/>
    <m/>
    <n v="26"/>
    <m/>
    <m/>
    <m/>
    <m/>
    <m/>
    <m/>
    <n v="4"/>
    <n v="1"/>
    <n v="7.5"/>
    <n v="2"/>
    <n v="4"/>
    <m/>
    <m/>
    <m/>
    <n v="26.37"/>
    <n v="19"/>
    <n v="11.64"/>
    <n v="9.7799999999999994"/>
    <n v="0.48"/>
    <n v="1.26"/>
    <n v="23.160000000000004"/>
    <n v="461.22"/>
    <m/>
    <n v="1.3660000000000001"/>
    <n v="0.84399999999999997"/>
    <n v="6.4000000000000001E-2"/>
    <n v="0.13600000000000001"/>
    <n v="2.41"/>
    <n v="337.6427525622255"/>
  </r>
  <r>
    <n v="45"/>
    <x v="3"/>
    <s v="Isabella "/>
    <x v="2"/>
    <n v="25"/>
    <s v="Cherry_EC6_NoLight"/>
    <x v="0"/>
    <x v="0"/>
    <x v="3"/>
    <s v="Cherry_EC6__2"/>
    <n v="2"/>
    <m/>
    <n v="22"/>
    <m/>
    <m/>
    <m/>
    <m/>
    <m/>
    <m/>
    <n v="5"/>
    <n v="4"/>
    <n v="5.666666666666667"/>
    <n v="3"/>
    <n v="13"/>
    <m/>
    <m/>
    <m/>
    <n v="37.51"/>
    <n v="20"/>
    <n v="17.97"/>
    <n v="9.67"/>
    <n v="0.66"/>
    <n v="8.9700000000000006"/>
    <n v="37.270000000000003"/>
    <n v="517.79999999999995"/>
    <m/>
    <n v="1.7170000000000001"/>
    <n v="0.96499999999999997"/>
    <n v="8.6999999999999994E-2"/>
    <n v="0.96"/>
    <n v="3.7290000000000001"/>
    <n v="301.57251019219564"/>
  </r>
  <r>
    <n v="45"/>
    <x v="3"/>
    <s v="Isabella "/>
    <x v="2"/>
    <n v="25"/>
    <s v="Cherry_EC6_NoLight"/>
    <x v="0"/>
    <x v="0"/>
    <x v="3"/>
    <s v="Cherry_EC6__3"/>
    <n v="3"/>
    <m/>
    <n v="24"/>
    <m/>
    <m/>
    <m/>
    <m/>
    <m/>
    <m/>
    <n v="2"/>
    <n v="0"/>
    <n v="5.666666666666667"/>
    <n v="3"/>
    <n v="12"/>
    <m/>
    <m/>
    <m/>
    <n v="30.93"/>
    <n v="16"/>
    <n v="15.11"/>
    <n v="8.08"/>
    <n v="0.35"/>
    <n v="7.34"/>
    <n v="30.88"/>
    <n v="440.8"/>
    <m/>
    <n v="1.4450000000000001"/>
    <n v="0.74"/>
    <n v="3.9E-2"/>
    <n v="0.754"/>
    <n v="2.9780000000000002"/>
    <n v="305.05190311418687"/>
  </r>
  <r>
    <n v="45"/>
    <x v="3"/>
    <s v="Isabella "/>
    <x v="2"/>
    <n v="25"/>
    <s v="Cherry_EC6_NoLight"/>
    <x v="0"/>
    <x v="0"/>
    <x v="3"/>
    <s v="Cherry_EC6__4"/>
    <n v="4"/>
    <m/>
    <n v="23"/>
    <m/>
    <m/>
    <m/>
    <m/>
    <m/>
    <m/>
    <n v="2"/>
    <n v="6"/>
    <n v="0"/>
    <n v="0"/>
    <n v="0"/>
    <m/>
    <m/>
    <m/>
    <n v="16.41"/>
    <n v="16"/>
    <n v="9.44"/>
    <n v="6.2"/>
    <n v="0.69"/>
    <n v="0"/>
    <n v="16.330000000000002"/>
    <n v="306.68"/>
    <m/>
    <n v="0.88400000000000001"/>
    <n v="0.55500000000000005"/>
    <n v="0.08"/>
    <m/>
    <n v="1.5190000000000001"/>
    <n v="346.92307692307691"/>
  </r>
  <r>
    <n v="45"/>
    <x v="3"/>
    <s v="Isabella "/>
    <x v="2"/>
    <n v="25"/>
    <s v="Cherry_EC6_NoLight"/>
    <x v="0"/>
    <x v="0"/>
    <x v="3"/>
    <s v="Cherry_EC6__5"/>
    <n v="5"/>
    <m/>
    <n v="28"/>
    <m/>
    <m/>
    <m/>
    <m/>
    <m/>
    <m/>
    <n v="0"/>
    <n v="0"/>
    <n v="7.25"/>
    <n v="4"/>
    <n v="14"/>
    <m/>
    <m/>
    <m/>
    <n v="38.92"/>
    <n v="20"/>
    <n v="21.02"/>
    <n v="12.47"/>
    <n v="0.55000000000000004"/>
    <n v="5.32"/>
    <n v="39.36"/>
    <n v="607.11"/>
    <m/>
    <n v="2.1309999999999998"/>
    <n v="1.2270000000000001"/>
    <n v="5.3999999999999999E-2"/>
    <n v="0.59599999999999997"/>
    <n v="4.0079999999999991"/>
    <n v="284.89441576724545"/>
  </r>
  <r>
    <n v="45"/>
    <x v="3"/>
    <s v="Isabella "/>
    <x v="2"/>
    <n v="25"/>
    <s v="Cherry_EC6_NoLight"/>
    <x v="0"/>
    <x v="0"/>
    <x v="3"/>
    <s v="Cherry_EC6__6"/>
    <n v="6"/>
    <m/>
    <n v="29"/>
    <m/>
    <m/>
    <m/>
    <m/>
    <m/>
    <m/>
    <n v="3"/>
    <n v="1"/>
    <n v="6"/>
    <n v="3"/>
    <n v="13"/>
    <m/>
    <m/>
    <m/>
    <n v="36.36"/>
    <n v="21"/>
    <n v="15.27"/>
    <n v="10.42"/>
    <n v="0.28999999999999998"/>
    <n v="10.3"/>
    <n v="36.28"/>
    <n v="489.54"/>
    <m/>
    <n v="1.508"/>
    <n v="0.97599999999999998"/>
    <n v="3.9E-2"/>
    <n v="1.0469999999999999"/>
    <n v="3.5700000000000003"/>
    <n v="324.62864721485414"/>
  </r>
  <r>
    <n v="45"/>
    <x v="3"/>
    <s v="Isabella "/>
    <x v="2"/>
    <n v="25"/>
    <s v="Cherry_EC3_HighLight"/>
    <x v="0"/>
    <x v="1"/>
    <x v="0"/>
    <s v="Cherry_EC3_HL_1"/>
    <n v="1"/>
    <m/>
    <n v="20"/>
    <m/>
    <m/>
    <m/>
    <m/>
    <m/>
    <m/>
    <n v="6"/>
    <n v="5"/>
    <n v="6"/>
    <n v="3"/>
    <n v="18"/>
    <m/>
    <m/>
    <m/>
    <n v="46.83"/>
    <n v="22"/>
    <n v="17.57"/>
    <n v="10.93"/>
    <n v="0.73"/>
    <n v="17.45"/>
    <n v="46.68"/>
    <n v="487.82"/>
    <m/>
    <n v="1.6160000000000001"/>
    <n v="1.048"/>
    <n v="8.8999999999999996E-2"/>
    <n v="1.635"/>
    <n v="4.3879999999999999"/>
    <n v="301.86881188118809"/>
  </r>
  <r>
    <n v="45"/>
    <x v="3"/>
    <s v="Isabella "/>
    <x v="2"/>
    <n v="25"/>
    <s v="Cherry_EC3_HighLight"/>
    <x v="0"/>
    <x v="1"/>
    <x v="0"/>
    <s v="Cherry_EC3_HL_2"/>
    <n v="2"/>
    <m/>
    <n v="31"/>
    <m/>
    <m/>
    <m/>
    <m/>
    <m/>
    <m/>
    <n v="4"/>
    <n v="4"/>
    <n v="7"/>
    <n v="3"/>
    <n v="14"/>
    <m/>
    <m/>
    <m/>
    <n v="49.83"/>
    <n v="24"/>
    <n v="25.94"/>
    <n v="16.399999999999999"/>
    <n v="1.1100000000000001"/>
    <n v="6.51"/>
    <n v="49.96"/>
    <n v="667.37"/>
    <m/>
    <n v="2.6190000000000002"/>
    <n v="1.7869999999999999"/>
    <n v="0.125"/>
    <n v="0.71699999999999997"/>
    <n v="5.2480000000000002"/>
    <n v="254.81863306605572"/>
  </r>
  <r>
    <n v="45"/>
    <x v="3"/>
    <s v="Isabella "/>
    <x v="2"/>
    <n v="25"/>
    <s v="Cherry_EC3_HighLight"/>
    <x v="0"/>
    <x v="1"/>
    <x v="0"/>
    <s v="Cherry_EC3_HL_3"/>
    <n v="3"/>
    <m/>
    <n v="26"/>
    <m/>
    <m/>
    <m/>
    <m/>
    <m/>
    <m/>
    <n v="0"/>
    <n v="0"/>
    <n v="7.666666666666667"/>
    <n v="3"/>
    <n v="10"/>
    <m/>
    <m/>
    <m/>
    <n v="25.17"/>
    <n v="11"/>
    <n v="8.76"/>
    <n v="6.79"/>
    <n v="0"/>
    <n v="9.5399999999999991"/>
    <n v="25.09"/>
    <n v="260.10000000000002"/>
    <m/>
    <n v="0.88300000000000001"/>
    <n v="0.85"/>
    <n v="4.9000000000000002E-2"/>
    <n v="0.94599999999999995"/>
    <n v="2.7279999999999998"/>
    <n v="294.56398640996605"/>
  </r>
  <r>
    <n v="45"/>
    <x v="3"/>
    <s v="Isabella "/>
    <x v="2"/>
    <n v="25"/>
    <s v="Cherry_EC3_HighLight"/>
    <x v="0"/>
    <x v="1"/>
    <x v="0"/>
    <s v="Cherry_EC3_HL_4"/>
    <n v="4"/>
    <m/>
    <n v="29"/>
    <m/>
    <m/>
    <m/>
    <m/>
    <m/>
    <m/>
    <n v="2"/>
    <n v="3"/>
    <n v="10.666666666666666"/>
    <n v="3"/>
    <n v="20"/>
    <m/>
    <m/>
    <m/>
    <n v="36.33"/>
    <n v="13"/>
    <n v="12.15"/>
    <n v="9.14"/>
    <n v="0.39"/>
    <n v="14.71"/>
    <n v="36.39"/>
    <n v="335.01"/>
    <m/>
    <n v="1.296"/>
    <n v="1.038"/>
    <n v="1.6E-2"/>
    <n v="1.5569999999999999"/>
    <n v="3.907"/>
    <n v="258.49537037037038"/>
  </r>
  <r>
    <n v="45"/>
    <x v="3"/>
    <s v="Isabella "/>
    <x v="2"/>
    <n v="25"/>
    <s v="Cherry_EC3_HighLight"/>
    <x v="0"/>
    <x v="1"/>
    <x v="0"/>
    <s v="Cherry_EC3_HL_5"/>
    <n v="5"/>
    <m/>
    <n v="30"/>
    <m/>
    <m/>
    <m/>
    <m/>
    <m/>
    <m/>
    <n v="2"/>
    <n v="0"/>
    <n v="5.333333333333333"/>
    <n v="3"/>
    <n v="12"/>
    <m/>
    <m/>
    <m/>
    <n v="28.11"/>
    <n v="12"/>
    <n v="13.05"/>
    <n v="9.44"/>
    <n v="0.1"/>
    <n v="5.6"/>
    <n v="28.190000000000005"/>
    <n v="378.13"/>
    <m/>
    <n v="1.1639999999999999"/>
    <n v="0.84399999999999997"/>
    <m/>
    <n v="0.504"/>
    <n v="2.512"/>
    <n v="324.85395189003441"/>
  </r>
  <r>
    <n v="45"/>
    <x v="3"/>
    <s v="Isabella "/>
    <x v="2"/>
    <n v="25"/>
    <s v="Cherry_EC3_HighLight"/>
    <x v="0"/>
    <x v="1"/>
    <x v="0"/>
    <s v="Cherry_EC3_HL_6"/>
    <n v="6"/>
    <m/>
    <n v="31"/>
    <m/>
    <m/>
    <m/>
    <m/>
    <m/>
    <m/>
    <n v="4"/>
    <n v="0"/>
    <n v="5.5"/>
    <n v="4"/>
    <n v="14"/>
    <m/>
    <m/>
    <m/>
    <n v="39.46"/>
    <n v="20"/>
    <n v="19.54"/>
    <n v="13.2"/>
    <n v="0.56999999999999995"/>
    <n v="6.03"/>
    <n v="39.339999999999996"/>
    <n v="554.39"/>
    <m/>
    <n v="1.9319999999999999"/>
    <n v="1.286"/>
    <n v="7.2999999999999995E-2"/>
    <n v="0.63800000000000001"/>
    <n v="3.9289999999999998"/>
    <n v="286.95134575569358"/>
  </r>
  <r>
    <n v="45"/>
    <x v="3"/>
    <s v="Isabella "/>
    <x v="2"/>
    <n v="25"/>
    <s v="Cherry_EC3_MedLight"/>
    <x v="0"/>
    <x v="1"/>
    <x v="1"/>
    <s v="Cherry_EC3_ML_1"/>
    <n v="1"/>
    <m/>
    <n v="35"/>
    <m/>
    <m/>
    <m/>
    <m/>
    <m/>
    <m/>
    <n v="3"/>
    <n v="2"/>
    <n v="7.5"/>
    <n v="4"/>
    <n v="18"/>
    <m/>
    <m/>
    <m/>
    <n v="60.91"/>
    <n v="24"/>
    <n v="32.06"/>
    <n v="19.09"/>
    <n v="0.67"/>
    <n v="8.91"/>
    <n v="60.730000000000004"/>
    <n v="838.07"/>
    <m/>
    <n v="3.3359999999999999"/>
    <n v="2.1349999999999998"/>
    <n v="8.7999999999999995E-2"/>
    <n v="1.024"/>
    <n v="6.5830000000000002"/>
    <n v="251.22002398081537"/>
  </r>
  <r>
    <n v="45"/>
    <x v="3"/>
    <s v="Isabella "/>
    <x v="2"/>
    <n v="25"/>
    <s v="Cherry_EC3_MedLight"/>
    <x v="0"/>
    <x v="1"/>
    <x v="1"/>
    <s v="Cherry_EC3_ML_2"/>
    <n v="2"/>
    <m/>
    <n v="30"/>
    <m/>
    <m/>
    <m/>
    <m/>
    <m/>
    <m/>
    <n v="2"/>
    <n v="2"/>
    <n v="5.8"/>
    <n v="5"/>
    <n v="17"/>
    <m/>
    <m/>
    <m/>
    <n v="52.01"/>
    <n v="18"/>
    <n v="23.22"/>
    <n v="13.53"/>
    <n v="0.38"/>
    <n v="14.71"/>
    <n v="51.84"/>
    <n v="609.79999999999995"/>
    <m/>
    <n v="2.1339999999999999"/>
    <n v="1.353"/>
    <n v="4.5999999999999999E-2"/>
    <n v="1.5089999999999999"/>
    <n v="5.0419999999999998"/>
    <n v="285.75445173383315"/>
  </r>
  <r>
    <n v="45"/>
    <x v="3"/>
    <s v="Isabella "/>
    <x v="2"/>
    <n v="25"/>
    <s v="Cherry_EC3_MedLight"/>
    <x v="0"/>
    <x v="1"/>
    <x v="1"/>
    <s v="Cherry_EC3_ML_3"/>
    <n v="3"/>
    <m/>
    <n v="34"/>
    <m/>
    <m/>
    <m/>
    <m/>
    <m/>
    <m/>
    <n v="3"/>
    <n v="2"/>
    <n v="6.4"/>
    <n v="5"/>
    <n v="21"/>
    <m/>
    <m/>
    <m/>
    <n v="55.98"/>
    <n v="25"/>
    <n v="25.55"/>
    <n v="16.37"/>
    <n v="0.62"/>
    <n v="13.41"/>
    <n v="55.95"/>
    <n v="679.15"/>
    <m/>
    <n v="2.9"/>
    <n v="1.907"/>
    <n v="8.3000000000000004E-2"/>
    <n v="1.5960000000000001"/>
    <n v="6.4860000000000007"/>
    <n v="234.18965517241378"/>
  </r>
  <r>
    <n v="45"/>
    <x v="3"/>
    <s v="Isabella "/>
    <x v="2"/>
    <n v="25"/>
    <s v="Cherry_EC3_MedLight"/>
    <x v="0"/>
    <x v="1"/>
    <x v="1"/>
    <s v="Cherry_EC3_ML_4"/>
    <n v="4"/>
    <m/>
    <n v="28"/>
    <m/>
    <m/>
    <m/>
    <m/>
    <m/>
    <m/>
    <n v="2"/>
    <n v="0"/>
    <n v="7"/>
    <n v="3"/>
    <n v="19"/>
    <m/>
    <m/>
    <m/>
    <n v="43.83"/>
    <n v="30"/>
    <n v="19.420000000000002"/>
    <n v="10.52"/>
    <n v="0.3"/>
    <n v="13.5"/>
    <n v="43.74"/>
    <n v="543"/>
    <m/>
    <n v="2.052"/>
    <n v="1.1279999999999999"/>
    <n v="0.04"/>
    <n v="1.4610000000000001"/>
    <n v="4.681"/>
    <n v="264.61988304093569"/>
  </r>
  <r>
    <n v="45"/>
    <x v="3"/>
    <s v="Isabella "/>
    <x v="2"/>
    <n v="25"/>
    <s v="Cherry_EC3_MedLight"/>
    <x v="0"/>
    <x v="1"/>
    <x v="1"/>
    <s v="Cherry_EC3_ML_5"/>
    <n v="5"/>
    <m/>
    <n v="28"/>
    <m/>
    <m/>
    <m/>
    <m/>
    <m/>
    <m/>
    <n v="1"/>
    <n v="0"/>
    <n v="6.333333333333333"/>
    <n v="3"/>
    <n v="12"/>
    <m/>
    <m/>
    <m/>
    <n v="25.95"/>
    <n v="15"/>
    <n v="11.07"/>
    <n v="8.18"/>
    <n v="0.05"/>
    <n v="6.62"/>
    <n v="25.92"/>
    <n v="330.09"/>
    <m/>
    <n v="1.016"/>
    <n v="0.83"/>
    <n v="4.0000000000000001E-3"/>
    <n v="0.63600000000000001"/>
    <n v="2.4860000000000002"/>
    <n v="324.89173228346453"/>
  </r>
  <r>
    <n v="45"/>
    <x v="3"/>
    <s v="Isabella "/>
    <x v="2"/>
    <n v="25"/>
    <s v="Cherry_EC3_MedLight"/>
    <x v="0"/>
    <x v="1"/>
    <x v="1"/>
    <s v="Cherry_EC3_ML_6"/>
    <n v="6"/>
    <m/>
    <n v="30"/>
    <m/>
    <m/>
    <m/>
    <m/>
    <m/>
    <m/>
    <n v="4"/>
    <n v="5"/>
    <n v="6.333333333333333"/>
    <n v="3"/>
    <n v="14"/>
    <m/>
    <m/>
    <m/>
    <n v="38.42"/>
    <n v="16"/>
    <n v="15.86"/>
    <n v="11.44"/>
    <n v="1.19"/>
    <n v="10.029999999999999"/>
    <n v="38.519999999999996"/>
    <n v="448.01"/>
    <m/>
    <n v="1.508"/>
    <n v="1.097"/>
    <n v="0.128"/>
    <n v="1.022"/>
    <n v="3.7549999999999999"/>
    <n v="297.08885941644564"/>
  </r>
  <r>
    <n v="45"/>
    <x v="3"/>
    <s v="Isabella "/>
    <x v="2"/>
    <n v="25"/>
    <s v="Cherry_EC3_LowLight"/>
    <x v="0"/>
    <x v="1"/>
    <x v="2"/>
    <s v="Cherry_EC3_LL_1"/>
    <n v="1"/>
    <m/>
    <n v="25"/>
    <m/>
    <m/>
    <m/>
    <m/>
    <m/>
    <m/>
    <n v="4"/>
    <n v="3"/>
    <n v="6"/>
    <n v="2"/>
    <n v="9"/>
    <m/>
    <m/>
    <m/>
    <n v="30.2"/>
    <n v="19"/>
    <n v="16.29"/>
    <n v="10.02"/>
    <n v="1.07"/>
    <n v="2.83"/>
    <n v="30.21"/>
    <n v="439.45"/>
    <m/>
    <n v="1.5820000000000001"/>
    <n v="0.93300000000000005"/>
    <n v="0.11600000000000001"/>
    <n v="0.28799999999999998"/>
    <n v="2.919"/>
    <n v="277.78128950695321"/>
  </r>
  <r>
    <n v="45"/>
    <x v="3"/>
    <s v="Isabella "/>
    <x v="2"/>
    <n v="25"/>
    <s v="Cherry_EC3_LowLight"/>
    <x v="0"/>
    <x v="1"/>
    <x v="2"/>
    <s v="Cherry_EC3_LL_2"/>
    <n v="2"/>
    <m/>
    <n v="29"/>
    <m/>
    <m/>
    <m/>
    <m/>
    <m/>
    <m/>
    <n v="4"/>
    <n v="3"/>
    <n v="6"/>
    <n v="2"/>
    <n v="9"/>
    <m/>
    <m/>
    <m/>
    <n v="32.81"/>
    <n v="13"/>
    <n v="17.48"/>
    <n v="11.06"/>
    <n v="0.91"/>
    <n v="3.57"/>
    <n v="33.019999999999996"/>
    <n v="478.39"/>
    <m/>
    <n v="1.613"/>
    <n v="1.101"/>
    <n v="9.5000000000000001E-2"/>
    <n v="0.36799999999999999"/>
    <n v="3.177"/>
    <n v="296.58400495970238"/>
  </r>
  <r>
    <n v="45"/>
    <x v="3"/>
    <s v="Isabella "/>
    <x v="2"/>
    <n v="25"/>
    <s v="Cherry_EC3_LowLight"/>
    <x v="0"/>
    <x v="1"/>
    <x v="2"/>
    <s v="Cherry_EC3_LL_3"/>
    <n v="3"/>
    <m/>
    <n v="26"/>
    <m/>
    <m/>
    <m/>
    <m/>
    <m/>
    <m/>
    <n v="3"/>
    <n v="0"/>
    <n v="6.666666666666667"/>
    <n v="3"/>
    <n v="11"/>
    <m/>
    <m/>
    <m/>
    <n v="30.35"/>
    <n v="16"/>
    <n v="14.28"/>
    <n v="9.02"/>
    <n v="0.19"/>
    <n v="6.85"/>
    <n v="30.339999999999996"/>
    <n v="449.72"/>
    <m/>
    <n v="1.175"/>
    <n v="0.79100000000000004"/>
    <n v="2.5000000000000001E-2"/>
    <n v="0.60499999999999998"/>
    <n v="2.5960000000000001"/>
    <n v="382.74042553191492"/>
  </r>
  <r>
    <n v="45"/>
    <x v="3"/>
    <s v="Isabella "/>
    <x v="2"/>
    <n v="25"/>
    <s v="Cherry_EC3_LowLight"/>
    <x v="0"/>
    <x v="1"/>
    <x v="2"/>
    <s v="Cherry_EC3_LL_4"/>
    <n v="4"/>
    <m/>
    <n v="25"/>
    <m/>
    <m/>
    <m/>
    <m/>
    <m/>
    <m/>
    <n v="4"/>
    <n v="5"/>
    <n v="5"/>
    <n v="2"/>
    <n v="9"/>
    <m/>
    <m/>
    <m/>
    <n v="36.81"/>
    <n v="23"/>
    <n v="20.83"/>
    <n v="11.02"/>
    <n v="0.98"/>
    <n v="4.01"/>
    <n v="36.839999999999996"/>
    <n v="563.20000000000005"/>
    <m/>
    <n v="1.8560000000000001"/>
    <n v="1.0069999999999999"/>
    <n v="0.11"/>
    <n v="0.41099999999999998"/>
    <n v="3.3839999999999999"/>
    <n v="303.44827586206895"/>
  </r>
  <r>
    <n v="45"/>
    <x v="3"/>
    <s v="Isabella "/>
    <x v="2"/>
    <n v="25"/>
    <s v="Cherry_EC3_LowLight"/>
    <x v="0"/>
    <x v="1"/>
    <x v="2"/>
    <s v="Cherry_EC3_LL_5"/>
    <n v="5"/>
    <m/>
    <n v="33"/>
    <m/>
    <m/>
    <m/>
    <m/>
    <m/>
    <m/>
    <n v="4"/>
    <n v="8"/>
    <n v="6"/>
    <n v="2"/>
    <n v="11"/>
    <m/>
    <m/>
    <m/>
    <n v="34.659999999999997"/>
    <n v="13"/>
    <n v="15.39"/>
    <n v="12.42"/>
    <n v="1.22"/>
    <n v="5.57"/>
    <n v="34.6"/>
    <n v="471.87"/>
    <m/>
    <n v="1.5609999999999999"/>
    <n v="1.389"/>
    <n v="0.155"/>
    <n v="0.60499999999999998"/>
    <n v="3.71"/>
    <n v="302.28699551569508"/>
  </r>
  <r>
    <n v="45"/>
    <x v="3"/>
    <s v="Isabella "/>
    <x v="2"/>
    <n v="25"/>
    <s v="Cherry_EC3_LowLight"/>
    <x v="0"/>
    <x v="1"/>
    <x v="2"/>
    <s v="Cherry_EC3_LL_6"/>
    <n v="6"/>
    <m/>
    <n v="28"/>
    <m/>
    <m/>
    <m/>
    <m/>
    <m/>
    <m/>
    <n v="4"/>
    <n v="8"/>
    <n v="5"/>
    <n v="1"/>
    <n v="2"/>
    <m/>
    <m/>
    <m/>
    <n v="27.57"/>
    <n v="18"/>
    <n v="14.48"/>
    <n v="9.8800000000000008"/>
    <n v="1.48"/>
    <n v="1.64"/>
    <n v="27.48"/>
    <n v="409.17"/>
    <m/>
    <n v="1.389"/>
    <n v="0.92"/>
    <n v="0.16500000000000001"/>
    <n v="0.16500000000000001"/>
    <n v="2.6390000000000002"/>
    <n v="294.57883369330455"/>
  </r>
  <r>
    <n v="45"/>
    <x v="3"/>
    <s v="Isabella "/>
    <x v="2"/>
    <n v="25"/>
    <s v="Cherry_EC3_NoLight"/>
    <x v="0"/>
    <x v="1"/>
    <x v="3"/>
    <s v="Cherry_EC3__1"/>
    <n v="1"/>
    <m/>
    <n v="23"/>
    <m/>
    <m/>
    <m/>
    <m/>
    <m/>
    <m/>
    <n v="3"/>
    <n v="6"/>
    <n v="4"/>
    <n v="2"/>
    <n v="8"/>
    <m/>
    <m/>
    <m/>
    <n v="26.85"/>
    <n v="13"/>
    <n v="11.12"/>
    <n v="7.49"/>
    <n v="0.76"/>
    <n v="7.49"/>
    <n v="26.86"/>
    <n v="338.76"/>
    <m/>
    <n v="0.92600000000000005"/>
    <n v="0.60699999999999998"/>
    <n v="7.3999999999999996E-2"/>
    <n v="0.60399999999999998"/>
    <n v="2.2109999999999999"/>
    <n v="365.83153347732178"/>
  </r>
  <r>
    <n v="45"/>
    <x v="3"/>
    <s v="Isabella "/>
    <x v="2"/>
    <n v="25"/>
    <s v="Cherry_EC3_NoLight"/>
    <x v="0"/>
    <x v="1"/>
    <x v="3"/>
    <s v="Cherry_EC3__2"/>
    <n v="2"/>
    <m/>
    <n v="21"/>
    <m/>
    <m/>
    <m/>
    <m/>
    <m/>
    <m/>
    <n v="3"/>
    <n v="3"/>
    <n v="4.333333333333333"/>
    <n v="3"/>
    <n v="11"/>
    <m/>
    <m/>
    <m/>
    <n v="31.28"/>
    <n v="14"/>
    <n v="12.55"/>
    <n v="8.3000000000000007"/>
    <n v="0.57999999999999996"/>
    <n v="9.8699999999999992"/>
    <n v="31.299999999999997"/>
    <n v="377.57"/>
    <m/>
    <n v="1.216"/>
    <n v="0.83899999999999997"/>
    <n v="7.3999999999999996E-2"/>
    <n v="0.96599999999999997"/>
    <n v="3.0949999999999998"/>
    <n v="310.50164473684208"/>
  </r>
  <r>
    <n v="45"/>
    <x v="3"/>
    <s v="Isabella "/>
    <x v="2"/>
    <n v="25"/>
    <s v="Cherry_EC3_NoLight"/>
    <x v="0"/>
    <x v="1"/>
    <x v="3"/>
    <s v="Cherry_EC3__3"/>
    <n v="3"/>
    <m/>
    <n v="29"/>
    <m/>
    <m/>
    <m/>
    <m/>
    <m/>
    <m/>
    <n v="5"/>
    <n v="4"/>
    <n v="0"/>
    <n v="0"/>
    <n v="0"/>
    <m/>
    <m/>
    <m/>
    <n v="24.67"/>
    <n v="16"/>
    <n v="13.78"/>
    <n v="9.81"/>
    <n v="1.08"/>
    <n v="0"/>
    <n v="24.67"/>
    <n v="425.29"/>
    <m/>
    <n v="1.58"/>
    <n v="0.77"/>
    <n v="0.122"/>
    <m/>
    <n v="2.472"/>
    <n v="269.17088607594934"/>
  </r>
  <r>
    <n v="45"/>
    <x v="3"/>
    <s v="Isabella "/>
    <x v="2"/>
    <n v="25"/>
    <s v="Cherry_EC3_NoLight"/>
    <x v="0"/>
    <x v="1"/>
    <x v="3"/>
    <s v="Cherry_EC3__4"/>
    <n v="4"/>
    <m/>
    <n v="32"/>
    <m/>
    <m/>
    <m/>
    <m/>
    <m/>
    <m/>
    <n v="5"/>
    <n v="2"/>
    <n v="4.5"/>
    <n v="2"/>
    <n v="5"/>
    <m/>
    <m/>
    <m/>
    <n v="32.880000000000003"/>
    <n v="17"/>
    <n v="18.47"/>
    <n v="12.98"/>
    <n v="0.75"/>
    <n v="0.48"/>
    <n v="32.68"/>
    <n v="523.51"/>
    <m/>
    <n v="1.8360000000000001"/>
    <n v="1.0649999999999999"/>
    <n v="9.4E-2"/>
    <n v="6.8000000000000005E-2"/>
    <n v="3.0629999999999997"/>
    <n v="285.13616557734201"/>
  </r>
  <r>
    <n v="45"/>
    <x v="3"/>
    <s v="Isabella "/>
    <x v="2"/>
    <n v="25"/>
    <s v="Cherry_EC3_NoLight"/>
    <x v="0"/>
    <x v="1"/>
    <x v="3"/>
    <s v="Cherry_EC3__5"/>
    <n v="5"/>
    <m/>
    <n v="26"/>
    <m/>
    <m/>
    <m/>
    <m/>
    <m/>
    <m/>
    <n v="5"/>
    <n v="6"/>
    <n v="5.5"/>
    <n v="2"/>
    <n v="8"/>
    <m/>
    <m/>
    <m/>
    <n v="32.96"/>
    <n v="17"/>
    <n v="16.350000000000001"/>
    <n v="9.19"/>
    <n v="0.71"/>
    <n v="6.78"/>
    <n v="33.03"/>
    <n v="468.69"/>
    <m/>
    <n v="1.5549999999999999"/>
    <n v="0.81899999999999995"/>
    <n v="6.3E-2"/>
    <n v="0.63600000000000001"/>
    <n v="3.073"/>
    <n v="301.40836012861735"/>
  </r>
  <r>
    <n v="45"/>
    <x v="3"/>
    <s v="Isabella "/>
    <x v="2"/>
    <n v="25"/>
    <s v="Cherry_EC3_NoLight"/>
    <x v="0"/>
    <x v="1"/>
    <x v="3"/>
    <s v="Cherry_EC3__6"/>
    <n v="6"/>
    <m/>
    <n v="23"/>
    <m/>
    <m/>
    <m/>
    <m/>
    <m/>
    <m/>
    <n v="0"/>
    <n v="0"/>
    <n v="4.5"/>
    <n v="2"/>
    <n v="6"/>
    <m/>
    <m/>
    <m/>
    <n v="13.89"/>
    <n v="9"/>
    <n v="6.31"/>
    <n v="4.87"/>
    <n v="0"/>
    <n v="2.63"/>
    <n v="13.809999999999999"/>
    <n v="199.1"/>
    <m/>
    <n v="0.77200000000000002"/>
    <n v="0.61299999999999999"/>
    <m/>
    <n v="0.27900000000000003"/>
    <n v="1.6640000000000001"/>
    <n v="257.90155440414509"/>
  </r>
  <r>
    <n v="55"/>
    <x v="4"/>
    <m/>
    <x v="2"/>
    <n v="25"/>
    <s v="Plum_EC6_HighLight"/>
    <x v="1"/>
    <x v="0"/>
    <x v="0"/>
    <s v="Plum_EC6_HL_1"/>
    <n v="1"/>
    <m/>
    <n v="39"/>
    <m/>
    <m/>
    <m/>
    <m/>
    <m/>
    <m/>
    <n v="7"/>
    <n v="0"/>
    <n v="8"/>
    <n v="5"/>
    <n v="12"/>
    <m/>
    <m/>
    <m/>
    <n v="101.37"/>
    <n v="39"/>
    <n v="56.22"/>
    <n v="27.7"/>
    <n v="1.73"/>
    <n v="15.55"/>
    <n v="101.2"/>
    <n v="1294.7"/>
    <m/>
    <n v="5.6040000000000001"/>
    <n v="2.262"/>
    <n v="0.22500000000000001"/>
    <n v="1.8169999999999999"/>
    <n v="9.9079999999999995"/>
    <n v="231.03140613847253"/>
  </r>
  <r>
    <n v="55"/>
    <x v="4"/>
    <m/>
    <x v="2"/>
    <n v="25"/>
    <s v="Plum_EC6_HighLight"/>
    <x v="1"/>
    <x v="0"/>
    <x v="0"/>
    <s v="Plum_EC6_HL_2"/>
    <n v="2"/>
    <m/>
    <n v="43"/>
    <m/>
    <m/>
    <m/>
    <m/>
    <m/>
    <m/>
    <n v="8"/>
    <n v="0"/>
    <n v="11"/>
    <n v="2"/>
    <n v="1"/>
    <m/>
    <m/>
    <m/>
    <n v="106.62"/>
    <n v="32"/>
    <n v="62.75"/>
    <n v="33.94"/>
    <n v="4.37"/>
    <n v="5.3"/>
    <n v="106.36"/>
    <n v="1471.16"/>
    <m/>
    <n v="6.5810000000000004"/>
    <n v="3.2410000000000001"/>
    <n v="0.56100000000000005"/>
    <n v="0.66700000000000004"/>
    <n v="11.05"/>
    <n v="223.54657346907766"/>
  </r>
  <r>
    <n v="55"/>
    <x v="4"/>
    <n v="0"/>
    <x v="2"/>
    <n v="25"/>
    <s v="Plum_EC6_HighLight"/>
    <x v="1"/>
    <x v="0"/>
    <x v="0"/>
    <s v="Plum_EC6_HL_3"/>
    <n v="3"/>
    <m/>
    <n v="38"/>
    <m/>
    <m/>
    <m/>
    <m/>
    <m/>
    <m/>
    <n v="6"/>
    <n v="0"/>
    <n v="8.6666666666666661"/>
    <n v="3"/>
    <n v="4"/>
    <m/>
    <m/>
    <m/>
    <n v="100.6"/>
    <n v="32"/>
    <n v="62.35"/>
    <n v="30.26"/>
    <n v="2.69"/>
    <n v="5.1100000000000003"/>
    <n v="100.41"/>
    <n v="1459.35"/>
    <m/>
    <n v="5.9669999999999996"/>
    <n v="2.79"/>
    <n v="0.309"/>
    <n v="0.60099999999999998"/>
    <n v="9.666999999999998"/>
    <n v="244.57013574660633"/>
  </r>
  <r>
    <n v="55"/>
    <x v="4"/>
    <n v="0"/>
    <x v="2"/>
    <n v="25"/>
    <s v="Plum_EC6_HighLight"/>
    <x v="1"/>
    <x v="0"/>
    <x v="0"/>
    <s v="Plum_EC6_HL_4"/>
    <n v="4"/>
    <m/>
    <n v="40"/>
    <m/>
    <m/>
    <m/>
    <m/>
    <m/>
    <m/>
    <n v="8"/>
    <n v="0"/>
    <n v="8.6666666666666661"/>
    <n v="3"/>
    <n v="11"/>
    <m/>
    <m/>
    <m/>
    <n v="107.61"/>
    <n v="34"/>
    <n v="60.63"/>
    <n v="32.81"/>
    <n v="3.05"/>
    <n v="11.13"/>
    <n v="107.61999999999999"/>
    <n v="1384.19"/>
    <m/>
    <n v="6.0720000000000001"/>
    <n v="3.1560000000000001"/>
    <n v="0.38"/>
    <n v="1.1100000000000001"/>
    <n v="10.718"/>
    <n v="227.96277997364953"/>
  </r>
  <r>
    <n v="55"/>
    <x v="4"/>
    <n v="0"/>
    <x v="2"/>
    <n v="25"/>
    <s v="Plum_EC6_HighLight"/>
    <x v="1"/>
    <x v="0"/>
    <x v="0"/>
    <s v="Plum_EC6_HL_5"/>
    <n v="5"/>
    <m/>
    <n v="39"/>
    <m/>
    <m/>
    <m/>
    <m/>
    <m/>
    <m/>
    <n v="9"/>
    <n v="0"/>
    <n v="8"/>
    <n v="3"/>
    <n v="6"/>
    <m/>
    <m/>
    <m/>
    <n v="105.06"/>
    <n v="32"/>
    <n v="64.95"/>
    <n v="32.25"/>
    <n v="2.78"/>
    <n v="4.6900000000000004"/>
    <n v="104.67"/>
    <n v="1478.89"/>
    <m/>
    <n v="6.6159999999999997"/>
    <n v="3.198"/>
    <n v="0.34699999999999998"/>
    <n v="0.56200000000000006"/>
    <n v="10.722999999999999"/>
    <n v="223.53234582829506"/>
  </r>
  <r>
    <n v="55"/>
    <x v="4"/>
    <n v="0"/>
    <x v="2"/>
    <n v="25"/>
    <s v="Plum_EC6_HighLight"/>
    <x v="1"/>
    <x v="0"/>
    <x v="0"/>
    <s v="Plum_EC6_HL_6"/>
    <n v="6"/>
    <m/>
    <n v="38"/>
    <m/>
    <m/>
    <m/>
    <m/>
    <m/>
    <m/>
    <n v="5"/>
    <n v="0"/>
    <n v="18"/>
    <n v="4"/>
    <n v="10"/>
    <m/>
    <m/>
    <m/>
    <n v="91.98"/>
    <n v="31"/>
    <n v="52.22"/>
    <n v="27.26"/>
    <n v="1.27"/>
    <n v="11.08"/>
    <n v="91.83"/>
    <n v="1187.0999999999999"/>
    <m/>
    <n v="5.2919999999999998"/>
    <n v="2.698"/>
    <n v="0.16300000000000001"/>
    <n v="1.3340000000000001"/>
    <n v="9.4870000000000001"/>
    <n v="224.31972789115645"/>
  </r>
  <r>
    <n v="55"/>
    <x v="4"/>
    <m/>
    <x v="2"/>
    <n v="25"/>
    <s v="Plum_EC6_MedLight"/>
    <x v="1"/>
    <x v="0"/>
    <x v="1"/>
    <s v="Plum_EC6_ML_1"/>
    <n v="1"/>
    <m/>
    <n v="35"/>
    <m/>
    <m/>
    <m/>
    <m/>
    <m/>
    <m/>
    <n v="5"/>
    <n v="0"/>
    <n v="7"/>
    <n v="5"/>
    <n v="19"/>
    <m/>
    <m/>
    <m/>
    <n v="108.92"/>
    <n v="26"/>
    <n v="63.78"/>
    <n v="26.36"/>
    <n v="0.8"/>
    <n v="17.8"/>
    <n v="108.74"/>
    <n v="1433.45"/>
    <m/>
    <n v="5.8840000000000003"/>
    <n v="2.52"/>
    <n v="0.129"/>
    <n v="2.0499999999999998"/>
    <n v="10.582999999999998"/>
    <n v="243.61828687967369"/>
  </r>
  <r>
    <n v="55"/>
    <x v="4"/>
    <n v="0"/>
    <x v="2"/>
    <n v="25"/>
    <s v="Plum_EC6_MedLight"/>
    <x v="1"/>
    <x v="0"/>
    <x v="1"/>
    <s v="Plum_EC6_ML_2"/>
    <n v="2"/>
    <m/>
    <n v="41"/>
    <m/>
    <m/>
    <m/>
    <m/>
    <m/>
    <m/>
    <n v="5"/>
    <n v="0"/>
    <n v="7.25"/>
    <n v="4"/>
    <n v="11"/>
    <m/>
    <m/>
    <m/>
    <n v="101.21"/>
    <n v="26"/>
    <n v="56.8"/>
    <n v="32.51"/>
    <n v="2.29"/>
    <n v="9.4700000000000006"/>
    <n v="101.07000000000001"/>
    <n v="1266.94"/>
    <m/>
    <n v="5.899"/>
    <n v="3.1739999999999999"/>
    <n v="0.3"/>
    <n v="1.1819999999999999"/>
    <n v="10.555000000000001"/>
    <n v="214.77199525343281"/>
  </r>
  <r>
    <n v="55"/>
    <x v="4"/>
    <n v="0"/>
    <x v="2"/>
    <n v="25"/>
    <s v="Plum_EC6_MedLight"/>
    <x v="1"/>
    <x v="0"/>
    <x v="1"/>
    <s v="Plum_EC6_ML_3"/>
    <n v="3"/>
    <m/>
    <n v="38"/>
    <m/>
    <m/>
    <m/>
    <m/>
    <m/>
    <m/>
    <n v="4"/>
    <n v="0"/>
    <n v="9.5"/>
    <n v="4"/>
    <n v="8"/>
    <m/>
    <m/>
    <m/>
    <n v="85.88"/>
    <n v="24"/>
    <n v="51.19"/>
    <n v="26.78"/>
    <n v="1.44"/>
    <n v="6.9"/>
    <n v="86.31"/>
    <n v="1174.8800000000001"/>
    <m/>
    <n v="4.93"/>
    <n v="2.5230000000000001"/>
    <n v="0.192"/>
    <n v="0.78"/>
    <n v="8.4249999999999989"/>
    <n v="238.31237322515216"/>
  </r>
  <r>
    <n v="55"/>
    <x v="4"/>
    <n v="0"/>
    <x v="2"/>
    <n v="25"/>
    <s v="Plum_EC6_MedLight"/>
    <x v="1"/>
    <x v="0"/>
    <x v="1"/>
    <s v="Plum_EC6_ML_4"/>
    <n v="4"/>
    <m/>
    <n v="44"/>
    <m/>
    <m/>
    <m/>
    <m/>
    <m/>
    <m/>
    <n v="3"/>
    <n v="0"/>
    <n v="8.75"/>
    <n v="4"/>
    <n v="11"/>
    <m/>
    <m/>
    <m/>
    <n v="98.35"/>
    <n v="24"/>
    <n v="55.53"/>
    <n v="29.9"/>
    <n v="1.48"/>
    <n v="12.52"/>
    <n v="99.43"/>
    <n v="1277.8499999999999"/>
    <m/>
    <n v="5.2779999999999996"/>
    <n v="2.91"/>
    <n v="0.192"/>
    <n v="1.415"/>
    <n v="9.7949999999999982"/>
    <n v="242.10875331564986"/>
  </r>
  <r>
    <n v="55"/>
    <x v="4"/>
    <n v="0"/>
    <x v="2"/>
    <n v="25"/>
    <s v="Plum_EC6_MedLight"/>
    <x v="1"/>
    <x v="0"/>
    <x v="1"/>
    <s v="Plum_EC6_ML_5"/>
    <n v="5"/>
    <m/>
    <n v="43"/>
    <m/>
    <m/>
    <m/>
    <m/>
    <m/>
    <m/>
    <n v="8"/>
    <n v="0"/>
    <n v="9"/>
    <n v="2"/>
    <n v="4"/>
    <m/>
    <m/>
    <m/>
    <n v="109.88"/>
    <n v="33"/>
    <n v="66.36"/>
    <n v="33.44"/>
    <n v="4.8099999999999996"/>
    <n v="6.48"/>
    <n v="111.09"/>
    <n v="1480.81"/>
    <m/>
    <n v="6.5140000000000002"/>
    <n v="3.254"/>
    <n v="0.56100000000000005"/>
    <n v="0.79500000000000004"/>
    <n v="11.124000000000001"/>
    <n v="227.32729505680072"/>
  </r>
  <r>
    <n v="55"/>
    <x v="4"/>
    <n v="0"/>
    <x v="2"/>
    <n v="25"/>
    <s v="Plum_EC6_MedLight"/>
    <x v="1"/>
    <x v="0"/>
    <x v="1"/>
    <s v="Plum_EC6_ML_6"/>
    <n v="6"/>
    <m/>
    <n v="38"/>
    <m/>
    <m/>
    <m/>
    <m/>
    <m/>
    <m/>
    <n v="4"/>
    <n v="0"/>
    <n v="9"/>
    <n v="4"/>
    <n v="10"/>
    <m/>
    <m/>
    <m/>
    <n v="113.83"/>
    <n v="34"/>
    <n v="64.11"/>
    <n v="32.479999999999997"/>
    <n v="2.4500000000000002"/>
    <n v="15.2"/>
    <n v="114.24000000000001"/>
    <n v="1459.61"/>
    <m/>
    <n v="6.7949999999999999"/>
    <n v="3.24"/>
    <n v="0.30499999999999999"/>
    <n v="1.8280000000000001"/>
    <n v="12.167999999999999"/>
    <n v="214.80647534952169"/>
  </r>
  <r>
    <n v="55"/>
    <x v="4"/>
    <m/>
    <x v="2"/>
    <n v="25"/>
    <s v="Plum_EC6_LowLight"/>
    <x v="1"/>
    <x v="0"/>
    <x v="2"/>
    <s v="Plum_EC6_LL_1"/>
    <n v="1"/>
    <m/>
    <n v="41"/>
    <m/>
    <m/>
    <m/>
    <m/>
    <m/>
    <m/>
    <n v="3"/>
    <n v="0"/>
    <n v="8"/>
    <n v="4"/>
    <n v="15"/>
    <m/>
    <m/>
    <m/>
    <n v="87.16"/>
    <n v="21"/>
    <n v="48.06"/>
    <n v="26.19"/>
    <n v="1.35"/>
    <n v="11.48"/>
    <n v="87.08"/>
    <n v="1227.18"/>
    <m/>
    <n v="4.5739999999999998"/>
    <n v="2.4239999999999999"/>
    <n v="0.17100000000000001"/>
    <n v="1.296"/>
    <n v="8.4649999999999999"/>
    <n v="268.29470922606038"/>
  </r>
  <r>
    <n v="55"/>
    <x v="4"/>
    <n v="0"/>
    <x v="2"/>
    <n v="25"/>
    <s v="Plum_EC6_LowLight"/>
    <x v="1"/>
    <x v="0"/>
    <x v="2"/>
    <s v="Plum_EC6_LL_2"/>
    <n v="2"/>
    <m/>
    <n v="44"/>
    <m/>
    <m/>
    <m/>
    <m/>
    <m/>
    <m/>
    <n v="5"/>
    <n v="0"/>
    <n v="8.3333333333333339"/>
    <n v="3"/>
    <n v="15"/>
    <m/>
    <m/>
    <m/>
    <n v="84.28"/>
    <n v="28"/>
    <n v="50.3"/>
    <n v="22.9"/>
    <n v="0.96"/>
    <n v="10.130000000000001"/>
    <n v="84.289999999999978"/>
    <n v="1200.19"/>
    <m/>
    <n v="4.7350000000000003"/>
    <n v="2.133"/>
    <n v="0.11899999999999999"/>
    <n v="1.129"/>
    <n v="8.1159999999999997"/>
    <n v="253.47201689545935"/>
  </r>
  <r>
    <n v="55"/>
    <x v="4"/>
    <n v="0"/>
    <x v="2"/>
    <n v="25"/>
    <s v="Plum_EC6_LowLight"/>
    <x v="1"/>
    <x v="0"/>
    <x v="2"/>
    <s v="Plum_EC6_LL_3"/>
    <n v="3"/>
    <m/>
    <n v="45"/>
    <m/>
    <m/>
    <m/>
    <m/>
    <m/>
    <m/>
    <n v="5"/>
    <n v="0"/>
    <n v="8.6666666666666661"/>
    <n v="3"/>
    <n v="16"/>
    <m/>
    <m/>
    <m/>
    <n v="117.98"/>
    <n v="33"/>
    <n v="67.680000000000007"/>
    <n v="33.4"/>
    <n v="2.61"/>
    <n v="14.03"/>
    <n v="117.72000000000001"/>
    <n v="1532.78"/>
    <m/>
    <n v="6.8369999999999997"/>
    <n v="3.3719999999999999"/>
    <n v="0.33300000000000002"/>
    <n v="1.7030000000000001"/>
    <n v="12.244999999999999"/>
    <n v="224.1889717712447"/>
  </r>
  <r>
    <n v="55"/>
    <x v="4"/>
    <n v="0"/>
    <x v="2"/>
    <n v="25"/>
    <s v="Plum_EC6_LowLight"/>
    <x v="1"/>
    <x v="0"/>
    <x v="2"/>
    <s v="Plum_EC6_LL_4"/>
    <n v="4"/>
    <m/>
    <n v="44"/>
    <m/>
    <m/>
    <m/>
    <m/>
    <m/>
    <m/>
    <n v="6"/>
    <n v="0"/>
    <n v="7.5"/>
    <n v="2"/>
    <n v="5"/>
    <m/>
    <m/>
    <m/>
    <n v="69.95"/>
    <n v="27"/>
    <n v="39.94"/>
    <n v="24.71"/>
    <n v="1.94"/>
    <n v="3.2"/>
    <n v="69.790000000000006"/>
    <n v="1074.08"/>
    <m/>
    <n v="3.7930000000000001"/>
    <n v="2.0630000000000002"/>
    <n v="0.25"/>
    <n v="0.36499999999999999"/>
    <n v="6.4710000000000001"/>
    <n v="283.17426838913786"/>
  </r>
  <r>
    <n v="55"/>
    <x v="4"/>
    <n v="0"/>
    <x v="2"/>
    <n v="25"/>
    <s v="Plum_EC6_LowLight"/>
    <x v="1"/>
    <x v="0"/>
    <x v="2"/>
    <s v="Plum_EC6_LL_5"/>
    <n v="5"/>
    <m/>
    <n v="40"/>
    <m/>
    <m/>
    <m/>
    <m/>
    <m/>
    <m/>
    <n v="2"/>
    <n v="0"/>
    <n v="7.75"/>
    <n v="4"/>
    <n v="17"/>
    <m/>
    <m/>
    <m/>
    <n v="89.01"/>
    <n v="34"/>
    <n v="48.56"/>
    <n v="25.02"/>
    <n v="0.9"/>
    <n v="12.66"/>
    <n v="87.14"/>
    <n v="1127.4000000000001"/>
    <m/>
    <n v="4.7119999999999997"/>
    <n v="2.3639999999999999"/>
    <n v="0.12"/>
    <n v="1.4350000000000001"/>
    <n v="8.6310000000000002"/>
    <n v="239.26146010186761"/>
  </r>
  <r>
    <n v="55"/>
    <x v="4"/>
    <n v="0"/>
    <x v="2"/>
    <n v="25"/>
    <s v="Plum_EC6_LowLight"/>
    <x v="1"/>
    <x v="0"/>
    <x v="2"/>
    <s v="Plum_EC6_LL_6"/>
    <n v="6"/>
    <m/>
    <n v="45"/>
    <m/>
    <m/>
    <m/>
    <m/>
    <m/>
    <m/>
    <n v="4"/>
    <n v="0"/>
    <n v="8"/>
    <n v="3"/>
    <n v="10"/>
    <m/>
    <m/>
    <m/>
    <n v="85.95"/>
    <n v="24"/>
    <n v="50.07"/>
    <n v="25.43"/>
    <n v="1.22"/>
    <n v="9.27"/>
    <n v="85.99"/>
    <n v="1261.92"/>
    <m/>
    <n v="4.5990000000000002"/>
    <n v="2.2120000000000002"/>
    <n v="0.14499999999999999"/>
    <n v="1.008"/>
    <n v="7.9639999999999995"/>
    <n v="274.39008480104371"/>
  </r>
  <r>
    <n v="55"/>
    <x v="4"/>
    <s v="Viola"/>
    <x v="2"/>
    <n v="25"/>
    <s v="Plum_EC6_NoLight"/>
    <x v="1"/>
    <x v="0"/>
    <x v="3"/>
    <s v="Plum_EC6__1"/>
    <n v="1"/>
    <m/>
    <n v="38"/>
    <m/>
    <m/>
    <m/>
    <m/>
    <m/>
    <m/>
    <n v="3"/>
    <n v="0"/>
    <n v="7.25"/>
    <n v="4"/>
    <n v="17"/>
    <m/>
    <m/>
    <m/>
    <n v="62.38"/>
    <n v="18"/>
    <n v="31.01"/>
    <n v="16.82"/>
    <n v="0.49"/>
    <n v="13.98"/>
    <n v="62.3"/>
    <n v="832.77"/>
    <m/>
    <n v="2.7829999999999999"/>
    <n v="1.3939999999999999"/>
    <n v="6.2E-2"/>
    <n v="1.39"/>
    <n v="5.6289999999999996"/>
    <n v="299.23463887890767"/>
  </r>
  <r>
    <n v="55"/>
    <x v="4"/>
    <s v="Viola"/>
    <x v="2"/>
    <n v="25"/>
    <s v="Plum_EC6_NoLight"/>
    <x v="1"/>
    <x v="0"/>
    <x v="3"/>
    <s v="Plum_EC6__2"/>
    <n v="2"/>
    <m/>
    <n v="38.5"/>
    <m/>
    <m/>
    <m/>
    <m/>
    <m/>
    <m/>
    <n v="6"/>
    <n v="0"/>
    <n v="8"/>
    <n v="2"/>
    <n v="11"/>
    <m/>
    <m/>
    <m/>
    <n v="74.11"/>
    <n v="23"/>
    <n v="44.6"/>
    <n v="23.81"/>
    <n v="2.29"/>
    <n v="3.3"/>
    <n v="74"/>
    <n v="1106.81"/>
    <m/>
    <n v="4.1390000000000002"/>
    <n v="2.069"/>
    <n v="0.27100000000000002"/>
    <n v="0.35799999999999998"/>
    <n v="6.8369999999999997"/>
    <n v="267.41000241604252"/>
  </r>
  <r>
    <n v="55"/>
    <x v="4"/>
    <s v="Viola"/>
    <x v="2"/>
    <n v="25"/>
    <s v="Plum_EC6_NoLight"/>
    <x v="1"/>
    <x v="0"/>
    <x v="3"/>
    <s v="Plum_EC6__3"/>
    <n v="3"/>
    <m/>
    <n v="41"/>
    <m/>
    <m/>
    <m/>
    <m/>
    <m/>
    <m/>
    <n v="4"/>
    <n v="0"/>
    <n v="7.333333333333333"/>
    <n v="3"/>
    <n v="12"/>
    <m/>
    <m/>
    <m/>
    <n v="71.59"/>
    <n v="23"/>
    <n v="41.35"/>
    <n v="21.1"/>
    <n v="0.89"/>
    <n v="8.17"/>
    <n v="71.510000000000005"/>
    <n v="1024.3399999999999"/>
    <m/>
    <n v="3.7090000000000001"/>
    <n v="1.7430000000000001"/>
    <n v="0.11700000000000001"/>
    <n v="0.874"/>
    <n v="6.4429999999999996"/>
    <n v="276.17686708007545"/>
  </r>
  <r>
    <n v="55"/>
    <x v="4"/>
    <s v="Viola"/>
    <x v="2"/>
    <n v="25"/>
    <s v="Plum_EC6_NoLight"/>
    <x v="1"/>
    <x v="0"/>
    <x v="3"/>
    <s v="Plum_EC6__4"/>
    <n v="4"/>
    <m/>
    <n v="43"/>
    <m/>
    <m/>
    <m/>
    <m/>
    <m/>
    <m/>
    <n v="7"/>
    <n v="0"/>
    <n v="8"/>
    <n v="2"/>
    <n v="2"/>
    <m/>
    <m/>
    <m/>
    <n v="69.040000000000006"/>
    <n v="28"/>
    <n v="40.19"/>
    <n v="24.14"/>
    <n v="2.6"/>
    <n v="2.04"/>
    <n v="68.97"/>
    <n v="1031.42"/>
    <m/>
    <n v="3.536"/>
    <n v="1.9990000000000001"/>
    <n v="0.28799999999999998"/>
    <n v="0.23499999999999999"/>
    <n v="6.0580000000000007"/>
    <n v="291.69117647058823"/>
  </r>
  <r>
    <n v="55"/>
    <x v="4"/>
    <s v="Isabella "/>
    <x v="2"/>
    <n v="25"/>
    <s v="Plum_EC6_NoLight"/>
    <x v="1"/>
    <x v="0"/>
    <x v="3"/>
    <s v="Plum_EC6__5"/>
    <n v="5"/>
    <m/>
    <n v="39"/>
    <m/>
    <m/>
    <m/>
    <m/>
    <m/>
    <m/>
    <n v="7"/>
    <n v="0"/>
    <n v="9.5"/>
    <n v="2"/>
    <n v="9"/>
    <m/>
    <m/>
    <m/>
    <n v="79.05"/>
    <n v="26"/>
    <n v="44.17"/>
    <n v="24.56"/>
    <n v="2.31"/>
    <n v="7.89"/>
    <n v="78.930000000000007"/>
    <n v="1163.54"/>
    <m/>
    <n v="4.343"/>
    <n v="2.2629999999999999"/>
    <n v="0.30199999999999999"/>
    <n v="0.89100000000000001"/>
    <n v="7.7989999999999995"/>
    <n v="267.91158185585999"/>
  </r>
  <r>
    <n v="55"/>
    <x v="4"/>
    <s v="Isabella "/>
    <x v="2"/>
    <n v="25"/>
    <s v="Plum_EC6_NoLight"/>
    <x v="1"/>
    <x v="0"/>
    <x v="3"/>
    <s v="Plum_EC6__6"/>
    <n v="6"/>
    <m/>
    <n v="41"/>
    <m/>
    <m/>
    <m/>
    <m/>
    <m/>
    <m/>
    <n v="3"/>
    <n v="0"/>
    <n v="11"/>
    <n v="2"/>
    <n v="6"/>
    <m/>
    <m/>
    <m/>
    <n v="52.99"/>
    <n v="19"/>
    <n v="31.47"/>
    <n v="18.97"/>
    <n v="0.46"/>
    <n v="1.91"/>
    <n v="52.809999999999995"/>
    <n v="815.6"/>
    <m/>
    <n v="2.6059999999999999"/>
    <n v="1.4"/>
    <n v="6.8000000000000005E-2"/>
    <n v="0.20599999999999999"/>
    <n v="4.28"/>
    <n v="312.97006907137376"/>
  </r>
  <r>
    <n v="55"/>
    <x v="4"/>
    <m/>
    <x v="2"/>
    <n v="25"/>
    <s v="Plum_EC3_HighLight"/>
    <x v="1"/>
    <x v="1"/>
    <x v="0"/>
    <s v="Plum_EC3_HL_1"/>
    <n v="1"/>
    <m/>
    <n v="39"/>
    <m/>
    <m/>
    <m/>
    <m/>
    <m/>
    <m/>
    <n v="5"/>
    <n v="0"/>
    <n v="8"/>
    <n v="3"/>
    <n v="9"/>
    <m/>
    <m/>
    <m/>
    <n v="90.21"/>
    <n v="33"/>
    <n v="52.38"/>
    <n v="27.87"/>
    <n v="2.09"/>
    <n v="7.92"/>
    <n v="90.26"/>
    <n v="1157.68"/>
    <m/>
    <n v="5.4950000000000001"/>
    <n v="2.7010000000000001"/>
    <n v="0.26700000000000002"/>
    <n v="0.90500000000000003"/>
    <n v="9.3679999999999986"/>
    <n v="210.67879890809829"/>
  </r>
  <r>
    <n v="55"/>
    <x v="4"/>
    <n v="0"/>
    <x v="2"/>
    <n v="25"/>
    <s v="Plum_EC3_HighLight"/>
    <x v="1"/>
    <x v="1"/>
    <x v="0"/>
    <s v="Plum_EC3_HL_2"/>
    <n v="2"/>
    <m/>
    <n v="39"/>
    <m/>
    <m/>
    <m/>
    <m/>
    <m/>
    <m/>
    <n v="4"/>
    <n v="0"/>
    <n v="7.666666666666667"/>
    <n v="3"/>
    <n v="11"/>
    <m/>
    <m/>
    <m/>
    <n v="106.68"/>
    <n v="33"/>
    <n v="62.36"/>
    <n v="31.57"/>
    <n v="1.9"/>
    <n v="10.75"/>
    <n v="106.58000000000001"/>
    <n v="1409.61"/>
    <m/>
    <n v="5.9450000000000003"/>
    <n v="2.9660000000000002"/>
    <n v="0.215"/>
    <n v="1.2250000000000001"/>
    <n v="10.351000000000001"/>
    <n v="237.10849453322118"/>
  </r>
  <r>
    <n v="55"/>
    <x v="4"/>
    <n v="0"/>
    <x v="2"/>
    <n v="25"/>
    <s v="Plum_EC3_HighLight"/>
    <x v="1"/>
    <x v="1"/>
    <x v="0"/>
    <s v="Plum_EC3_HL_3"/>
    <n v="3"/>
    <m/>
    <n v="50"/>
    <m/>
    <m/>
    <m/>
    <m/>
    <m/>
    <m/>
    <n v="7"/>
    <n v="0"/>
    <n v="7.333333333333333"/>
    <n v="3"/>
    <n v="9"/>
    <m/>
    <m/>
    <m/>
    <n v="123.19"/>
    <n v="32"/>
    <n v="68.069999999999993"/>
    <n v="41.3"/>
    <n v="3.29"/>
    <n v="10.199999999999999"/>
    <n v="122.86"/>
    <n v="1609.66"/>
    <m/>
    <n v="6.8529999999999998"/>
    <n v="3.8159999999999998"/>
    <n v="0.42299999999999999"/>
    <n v="1.1970000000000001"/>
    <n v="12.289000000000001"/>
    <n v="234.88399241208231"/>
  </r>
  <r>
    <n v="55"/>
    <x v="4"/>
    <n v="0"/>
    <x v="2"/>
    <n v="25"/>
    <s v="Plum_EC3_HighLight"/>
    <x v="1"/>
    <x v="1"/>
    <x v="0"/>
    <s v="Plum_EC3_HL_4"/>
    <n v="4"/>
    <m/>
    <n v="47"/>
    <m/>
    <m/>
    <m/>
    <m/>
    <m/>
    <m/>
    <n v="3"/>
    <n v="0"/>
    <n v="6"/>
    <n v="3"/>
    <n v="12"/>
    <m/>
    <m/>
    <m/>
    <n v="107.51"/>
    <n v="24"/>
    <n v="58.13"/>
    <n v="33.39"/>
    <n v="1.32"/>
    <n v="14.64"/>
    <n v="107.48"/>
    <n v="1271.5"/>
    <m/>
    <n v="5.6180000000000003"/>
    <n v="3.24"/>
    <n v="0.189"/>
    <n v="1.57"/>
    <n v="10.617000000000001"/>
    <n v="226.32609469562121"/>
  </r>
  <r>
    <n v="55"/>
    <x v="4"/>
    <n v="0"/>
    <x v="2"/>
    <n v="25"/>
    <s v="Plum_EC3_HighLight"/>
    <x v="1"/>
    <x v="1"/>
    <x v="0"/>
    <s v="Plum_EC3_HL_5"/>
    <n v="5"/>
    <m/>
    <n v="45"/>
    <m/>
    <m/>
    <m/>
    <m/>
    <m/>
    <m/>
    <n v="7"/>
    <n v="0"/>
    <n v="7"/>
    <n v="4"/>
    <n v="12"/>
    <m/>
    <m/>
    <m/>
    <n v="134.88999999999999"/>
    <n v="40"/>
    <n v="79.28"/>
    <n v="43.2"/>
    <n v="2.41"/>
    <n v="10.42"/>
    <n v="135.31"/>
    <n v="1703.91"/>
    <m/>
    <n v="8.2989999999999995"/>
    <n v="4.2960000000000003"/>
    <n v="0.32300000000000001"/>
    <n v="1.2649999999999999"/>
    <n v="14.183"/>
    <n v="205.31509820460298"/>
  </r>
  <r>
    <n v="55"/>
    <x v="4"/>
    <n v="0"/>
    <x v="2"/>
    <n v="25"/>
    <s v="Plum_EC3_HighLight"/>
    <x v="1"/>
    <x v="1"/>
    <x v="0"/>
    <s v="Plum_EC3_HL_6"/>
    <n v="6"/>
    <m/>
    <n v="43"/>
    <m/>
    <m/>
    <m/>
    <m/>
    <m/>
    <m/>
    <n v="7"/>
    <n v="0"/>
    <n v="8.3333333333333339"/>
    <n v="3"/>
    <n v="10"/>
    <m/>
    <m/>
    <m/>
    <n v="103.33"/>
    <n v="30"/>
    <n v="59.09"/>
    <n v="35.979999999999997"/>
    <n v="2.2799999999999998"/>
    <n v="5.93"/>
    <n v="103.28"/>
    <n v="1420.8"/>
    <m/>
    <n v="5.6029999999999998"/>
    <n v="3.0840000000000001"/>
    <n v="0.28399999999999997"/>
    <n v="0.64200000000000002"/>
    <n v="9.6129999999999995"/>
    <n v="253.57844012136357"/>
  </r>
  <r>
    <n v="55"/>
    <x v="4"/>
    <m/>
    <x v="2"/>
    <n v="25"/>
    <s v="Plum_EC3_MedLight"/>
    <x v="1"/>
    <x v="1"/>
    <x v="1"/>
    <s v="Plum_EC3_ML_1"/>
    <n v="1"/>
    <m/>
    <n v="32"/>
    <m/>
    <m/>
    <m/>
    <m/>
    <m/>
    <m/>
    <n v="3"/>
    <n v="0"/>
    <n v="11.666666666666666"/>
    <n v="3"/>
    <n v="11"/>
    <m/>
    <m/>
    <m/>
    <n v="105.75"/>
    <n v="30"/>
    <n v="62.56"/>
    <n v="29.14"/>
    <n v="1.07"/>
    <n v="12.76"/>
    <n v="105.53"/>
    <n v="1260.5999999999999"/>
    <m/>
    <n v="5.7569999999999997"/>
    <n v="2.7130000000000001"/>
    <n v="0.13800000000000001"/>
    <n v="1.379"/>
    <n v="9.9869999999999983"/>
    <n v="218.96821261073475"/>
  </r>
  <r>
    <n v="55"/>
    <x v="4"/>
    <n v="0"/>
    <x v="2"/>
    <n v="25"/>
    <s v="Plum_EC3_MedLight"/>
    <x v="1"/>
    <x v="1"/>
    <x v="1"/>
    <s v="Plum_EC3_ML_2"/>
    <n v="2"/>
    <m/>
    <n v="40"/>
    <m/>
    <m/>
    <m/>
    <m/>
    <m/>
    <m/>
    <n v="5"/>
    <n v="0"/>
    <n v="8.25"/>
    <n v="4"/>
    <n v="17"/>
    <m/>
    <m/>
    <m/>
    <n v="139.65"/>
    <n v="50"/>
    <n v="79.48"/>
    <n v="37.299999999999997"/>
    <n v="1.2"/>
    <n v="21.38"/>
    <n v="139.36000000000001"/>
    <n v="1716.8"/>
    <m/>
    <n v="8.3699999999999992"/>
    <n v="3.855"/>
    <n v="0.157"/>
    <n v="2.5739999999999998"/>
    <n v="14.956"/>
    <n v="205.11350059737157"/>
  </r>
  <r>
    <n v="55"/>
    <x v="4"/>
    <n v="0"/>
    <x v="2"/>
    <n v="25"/>
    <s v="Plum_EC3_MedLight"/>
    <x v="1"/>
    <x v="1"/>
    <x v="1"/>
    <s v="Plum_EC3_ML_3"/>
    <n v="3"/>
    <m/>
    <n v="39"/>
    <m/>
    <m/>
    <m/>
    <m/>
    <m/>
    <m/>
    <n v="7"/>
    <n v="0"/>
    <n v="10.5"/>
    <n v="6"/>
    <n v="23"/>
    <m/>
    <m/>
    <m/>
    <n v="140.21"/>
    <n v="43"/>
    <n v="69.86"/>
    <n v="38.58"/>
    <n v="1.72"/>
    <n v="6"/>
    <n v="116.16"/>
    <n v="1610.62"/>
    <m/>
    <n v="7.2919999999999998"/>
    <n v="3.823"/>
    <n v="0.23300000000000001"/>
    <n v="3.4740000000000002"/>
    <n v="14.822000000000001"/>
    <n v="220.87493143170596"/>
  </r>
  <r>
    <n v="55"/>
    <x v="4"/>
    <n v="0"/>
    <x v="2"/>
    <n v="25"/>
    <s v="Plum_EC3_MedLight"/>
    <x v="1"/>
    <x v="1"/>
    <x v="1"/>
    <s v="Plum_EC3_ML_4"/>
    <n v="4"/>
    <m/>
    <n v="41"/>
    <m/>
    <m/>
    <m/>
    <m/>
    <m/>
    <m/>
    <n v="6"/>
    <n v="0"/>
    <n v="11"/>
    <n v="1"/>
    <n v="3"/>
    <m/>
    <m/>
    <m/>
    <n v="85.11"/>
    <n v="27"/>
    <n v="50.76"/>
    <n v="28.88"/>
    <n v="3.58"/>
    <n v="1.69"/>
    <n v="84.91"/>
    <n v="1182.98"/>
    <m/>
    <n v="4.8070000000000004"/>
    <n v="2.5139999999999998"/>
    <n v="0.41699999999999998"/>
    <n v="0.152"/>
    <n v="7.89"/>
    <n v="246.09527771999166"/>
  </r>
  <r>
    <n v="55"/>
    <x v="4"/>
    <n v="0"/>
    <x v="2"/>
    <n v="25"/>
    <s v="Plum_EC3_MedLight"/>
    <x v="1"/>
    <x v="1"/>
    <x v="1"/>
    <s v="Plum_EC3_ML_5"/>
    <n v="5"/>
    <m/>
    <n v="41"/>
    <m/>
    <m/>
    <m/>
    <m/>
    <m/>
    <m/>
    <n v="7"/>
    <n v="0"/>
    <n v="7.25"/>
    <n v="4"/>
    <n v="19"/>
    <m/>
    <m/>
    <m/>
    <n v="117.58"/>
    <n v="39"/>
    <n v="59.2"/>
    <n v="32.229999999999997"/>
    <n v="2.7"/>
    <n v="23.2"/>
    <n v="117.33000000000001"/>
    <n v="1404.08"/>
    <m/>
    <n v="5.8289999999999997"/>
    <n v="3.1419999999999999"/>
    <n v="0.33300000000000002"/>
    <n v="2.5680000000000001"/>
    <n v="11.872"/>
    <n v="240.87836678675586"/>
  </r>
  <r>
    <n v="55"/>
    <x v="4"/>
    <n v="0"/>
    <x v="2"/>
    <n v="25"/>
    <s v="Plum_EC3_MedLight"/>
    <x v="1"/>
    <x v="1"/>
    <x v="1"/>
    <s v="Plum_EC3_ML_6"/>
    <n v="6"/>
    <m/>
    <n v="35"/>
    <m/>
    <m/>
    <m/>
    <m/>
    <m/>
    <m/>
    <n v="4"/>
    <n v="0"/>
    <n v="7.75"/>
    <n v="4"/>
    <n v="9"/>
    <m/>
    <m/>
    <m/>
    <n v="86.96"/>
    <n v="21"/>
    <n v="48.9"/>
    <n v="24.93"/>
    <n v="1.32"/>
    <n v="11.69"/>
    <n v="86.839999999999989"/>
    <n v="1035.1400000000001"/>
    <m/>
    <n v="4.415"/>
    <n v="2.214"/>
    <n v="0.16400000000000001"/>
    <n v="1.1739999999999999"/>
    <n v="7.9669999999999987"/>
    <n v="234.45979614949039"/>
  </r>
  <r>
    <n v="55"/>
    <x v="4"/>
    <m/>
    <x v="2"/>
    <n v="25"/>
    <s v="Plum_EC3_LowLight"/>
    <x v="1"/>
    <x v="1"/>
    <x v="2"/>
    <s v="Plum_EC3_LL_1"/>
    <n v="1"/>
    <m/>
    <n v="42"/>
    <m/>
    <m/>
    <m/>
    <m/>
    <m/>
    <m/>
    <n v="7"/>
    <n v="0"/>
    <n v="7.5"/>
    <n v="4"/>
    <n v="19"/>
    <m/>
    <m/>
    <m/>
    <n v="132.36000000000001"/>
    <n v="37"/>
    <n v="71.599999999999994"/>
    <n v="38.21"/>
    <n v="1.5"/>
    <n v="23.46"/>
    <n v="134.77000000000001"/>
    <n v="1666.51"/>
    <m/>
    <n v="7.2569999999999997"/>
    <n v="3.879"/>
    <n v="0.22500000000000001"/>
    <n v="2.6819999999999999"/>
    <n v="14.042999999999999"/>
    <n v="229.64172523081163"/>
  </r>
  <r>
    <n v="55"/>
    <x v="4"/>
    <n v="0"/>
    <x v="2"/>
    <n v="25"/>
    <s v="Plum_EC3_LowLight"/>
    <x v="1"/>
    <x v="1"/>
    <x v="2"/>
    <s v="Plum_EC3_LL_2"/>
    <n v="2"/>
    <m/>
    <n v="49"/>
    <m/>
    <m/>
    <m/>
    <m/>
    <m/>
    <m/>
    <n v="6"/>
    <n v="0"/>
    <n v="8.5"/>
    <n v="2"/>
    <n v="14"/>
    <m/>
    <m/>
    <m/>
    <n v="112.11"/>
    <n v="27"/>
    <n v="60.55"/>
    <n v="30.64"/>
    <n v="2.0099999999999998"/>
    <n v="18.8"/>
    <n v="112"/>
    <n v="1392.05"/>
    <m/>
    <n v="5.6719999999999997"/>
    <n v="2.7480000000000002"/>
    <n v="0.251"/>
    <n v="2.0110000000000001"/>
    <n v="10.681999999999999"/>
    <n v="245.42489421720734"/>
  </r>
  <r>
    <n v="55"/>
    <x v="4"/>
    <n v="0"/>
    <x v="2"/>
    <n v="25"/>
    <s v="Plum_EC3_LowLight"/>
    <x v="1"/>
    <x v="1"/>
    <x v="2"/>
    <s v="Plum_EC3_LL_3"/>
    <n v="3"/>
    <m/>
    <n v="47"/>
    <m/>
    <m/>
    <m/>
    <m/>
    <m/>
    <m/>
    <n v="6"/>
    <n v="0"/>
    <n v="7"/>
    <n v="2"/>
    <n v="11"/>
    <m/>
    <m/>
    <m/>
    <n v="90.07"/>
    <n v="24"/>
    <n v="50.12"/>
    <n v="30.28"/>
    <n v="2.46"/>
    <n v="7.17"/>
    <n v="90.03"/>
    <n v="1202.68"/>
    <m/>
    <n v="4.5910000000000002"/>
    <n v="2.7330000000000001"/>
    <n v="0.29599999999999999"/>
    <n v="0.77100000000000002"/>
    <n v="8.391"/>
    <n v="261.96471357002832"/>
  </r>
  <r>
    <n v="55"/>
    <x v="4"/>
    <n v="0"/>
    <x v="2"/>
    <n v="25"/>
    <s v="Plum_EC3_LowLight"/>
    <x v="1"/>
    <x v="1"/>
    <x v="2"/>
    <s v="Plum_EC3_LL_4"/>
    <n v="4"/>
    <m/>
    <n v="40"/>
    <m/>
    <m/>
    <m/>
    <m/>
    <m/>
    <m/>
    <n v="3"/>
    <n v="0"/>
    <n v="8.3333333333333339"/>
    <n v="3"/>
    <n v="18"/>
    <m/>
    <m/>
    <m/>
    <n v="67.290000000000006"/>
    <n v="19"/>
    <n v="28.7"/>
    <n v="20"/>
    <n v="0.68"/>
    <n v="17.88"/>
    <n v="67.260000000000005"/>
    <n v="747.48"/>
    <m/>
    <n v="2.8479999999999999"/>
    <n v="1.9319999999999999"/>
    <n v="8.7999999999999995E-2"/>
    <m/>
    <n v="4.8679999999999994"/>
    <n v="262.45786516853934"/>
  </r>
  <r>
    <n v="55"/>
    <x v="4"/>
    <n v="0"/>
    <x v="2"/>
    <n v="25"/>
    <s v="Plum_EC3_LowLight"/>
    <x v="1"/>
    <x v="1"/>
    <x v="2"/>
    <s v="Plum_EC3_LL_5"/>
    <n v="5"/>
    <m/>
    <n v="42"/>
    <m/>
    <m/>
    <m/>
    <m/>
    <m/>
    <m/>
    <n v="5"/>
    <n v="0"/>
    <n v="8"/>
    <n v="2"/>
    <n v="5"/>
    <m/>
    <m/>
    <m/>
    <n v="71.5"/>
    <n v="25"/>
    <n v="43.32"/>
    <n v="23.19"/>
    <n v="1.82"/>
    <n v="2.91"/>
    <n v="71.239999999999995"/>
    <n v="1040.33"/>
    <m/>
    <n v="4.2300000000000004"/>
    <n v="2.09"/>
    <n v="0.221"/>
    <n v="0.33100000000000002"/>
    <n v="6.8720000000000008"/>
    <n v="245.94089834515361"/>
  </r>
  <r>
    <n v="55"/>
    <x v="4"/>
    <n v="0"/>
    <x v="2"/>
    <n v="25"/>
    <s v="Plum_EC3_LowLight"/>
    <x v="1"/>
    <x v="1"/>
    <x v="2"/>
    <s v="Plum_EC3_LL_6"/>
    <n v="6"/>
    <m/>
    <n v="42"/>
    <m/>
    <m/>
    <m/>
    <m/>
    <m/>
    <m/>
    <n v="4"/>
    <n v="0"/>
    <n v="8"/>
    <n v="3"/>
    <n v="13"/>
    <m/>
    <m/>
    <m/>
    <n v="70.349999999999994"/>
    <n v="23"/>
    <n v="35.47"/>
    <n v="21.66"/>
    <n v="0.89"/>
    <n v="12.28"/>
    <n v="70.3"/>
    <n v="947.4"/>
    <m/>
    <n v="3.26"/>
    <n v="1.839"/>
    <n v="0.11"/>
    <n v="1.206"/>
    <n v="6.4150000000000009"/>
    <n v="290.61349693251537"/>
  </r>
  <r>
    <n v="55"/>
    <x v="4"/>
    <m/>
    <x v="2"/>
    <n v="25"/>
    <s v="Plum_EC3_NoLight"/>
    <x v="1"/>
    <x v="1"/>
    <x v="3"/>
    <s v="Plum_EC3__1"/>
    <n v="1"/>
    <m/>
    <n v="41"/>
    <m/>
    <m/>
    <m/>
    <m/>
    <m/>
    <m/>
    <n v="3"/>
    <n v="0"/>
    <n v="9.3333333333333339"/>
    <n v="3"/>
    <n v="13"/>
    <m/>
    <m/>
    <m/>
    <n v="81.8"/>
    <n v="23"/>
    <n v="43.72"/>
    <n v="23.54"/>
    <n v="0.87"/>
    <n v="13.53"/>
    <n v="81.66"/>
    <n v="1048.75"/>
    <m/>
    <n v="4.1029999999999998"/>
    <n v="2.0939999999999999"/>
    <n v="0.114"/>
    <n v="1.452"/>
    <n v="7.762999999999999"/>
    <n v="255.6056543992201"/>
  </r>
  <r>
    <n v="55"/>
    <x v="4"/>
    <n v="0"/>
    <x v="2"/>
    <n v="25"/>
    <s v="Plum_EC3_NoLight"/>
    <x v="1"/>
    <x v="1"/>
    <x v="3"/>
    <s v="Plum_EC3__2"/>
    <n v="2"/>
    <m/>
    <n v="41"/>
    <m/>
    <m/>
    <m/>
    <m/>
    <m/>
    <m/>
    <n v="2"/>
    <n v="0"/>
    <n v="6"/>
    <n v="3"/>
    <n v="12"/>
    <m/>
    <m/>
    <m/>
    <n v="89.59"/>
    <n v="24"/>
    <n v="49.98"/>
    <n v="22.58"/>
    <n v="0.85"/>
    <n v="15.78"/>
    <n v="89.19"/>
    <n v="1099.3599999999999"/>
    <m/>
    <n v="4.4359999999999999"/>
    <n v="2.1259999999999999"/>
    <n v="9.9000000000000005E-2"/>
    <n v="1.6180000000000001"/>
    <n v="8.2789999999999999"/>
    <n v="247.82687105500449"/>
  </r>
  <r>
    <n v="55"/>
    <x v="4"/>
    <n v="0"/>
    <x v="2"/>
    <n v="25"/>
    <s v="Plum_EC3_NoLight"/>
    <x v="1"/>
    <x v="1"/>
    <x v="3"/>
    <s v="Plum_EC3__3"/>
    <n v="3"/>
    <m/>
    <n v="44"/>
    <m/>
    <m/>
    <m/>
    <m/>
    <m/>
    <m/>
    <n v="6"/>
    <n v="0"/>
    <n v="6"/>
    <n v="2"/>
    <n v="5"/>
    <m/>
    <m/>
    <m/>
    <n v="75.37"/>
    <n v="28"/>
    <n v="45.5"/>
    <n v="25.57"/>
    <n v="2.0299999999999998"/>
    <n v="2.2999999999999998"/>
    <n v="75.399999999999991"/>
    <n v="1195.4100000000001"/>
    <m/>
    <n v="4.1710000000000003"/>
    <n v="2.1720000000000002"/>
    <n v="0.24199999999999999"/>
    <n v="0.23300000000000001"/>
    <n v="6.8179999999999996"/>
    <n v="286.60033565092306"/>
  </r>
  <r>
    <n v="55"/>
    <x v="4"/>
    <n v="0"/>
    <x v="2"/>
    <n v="25"/>
    <s v="Plum_EC3_NoLight"/>
    <x v="1"/>
    <x v="1"/>
    <x v="3"/>
    <s v="Plum_EC3__4"/>
    <n v="4"/>
    <m/>
    <n v="37"/>
    <m/>
    <m/>
    <m/>
    <m/>
    <m/>
    <m/>
    <n v="9"/>
    <n v="0"/>
    <n v="6"/>
    <n v="2"/>
    <n v="8"/>
    <m/>
    <m/>
    <m/>
    <n v="67.45"/>
    <n v="25"/>
    <n v="37.97"/>
    <n v="22.11"/>
    <n v="2.2999999999999998"/>
    <n v="5.23"/>
    <n v="67.61"/>
    <n v="995.3"/>
    <m/>
    <n v="3.4990000000000001"/>
    <n v="1.903"/>
    <n v="0.28399999999999997"/>
    <n v="0.56299999999999994"/>
    <n v="6.2489999999999997"/>
    <n v="284.45270077164901"/>
  </r>
  <r>
    <n v="55"/>
    <x v="4"/>
    <n v="0"/>
    <x v="2"/>
    <n v="25"/>
    <s v="Plum_EC3_NoLight"/>
    <x v="1"/>
    <x v="1"/>
    <x v="3"/>
    <s v="Plum_EC3__5"/>
    <n v="5"/>
    <m/>
    <n v="44"/>
    <m/>
    <m/>
    <m/>
    <m/>
    <m/>
    <m/>
    <n v="3"/>
    <n v="0"/>
    <n v="7.666666666666667"/>
    <n v="3"/>
    <n v="13"/>
    <m/>
    <m/>
    <m/>
    <n v="79.680000000000007"/>
    <n v="21"/>
    <n v="44.58"/>
    <n v="25.99"/>
    <n v="0.95"/>
    <n v="8.0399999999999991"/>
    <n v="79.56"/>
    <n v="1108.08"/>
    <m/>
    <n v="3.863"/>
    <n v="2.15"/>
    <n v="0.115"/>
    <n v="0.78500000000000003"/>
    <n v="6.9130000000000003"/>
    <n v="286.84442143411854"/>
  </r>
  <r>
    <n v="55"/>
    <x v="4"/>
    <n v="0"/>
    <x v="2"/>
    <n v="25"/>
    <s v="Plum_EC3_NoLight"/>
    <x v="1"/>
    <x v="1"/>
    <x v="3"/>
    <s v="Plum_EC3__6"/>
    <n v="6"/>
    <m/>
    <n v="41"/>
    <m/>
    <m/>
    <m/>
    <m/>
    <m/>
    <m/>
    <n v="7"/>
    <n v="0"/>
    <n v="9"/>
    <n v="3"/>
    <n v="11"/>
    <m/>
    <m/>
    <m/>
    <n v="81.63"/>
    <n v="21"/>
    <n v="44.95"/>
    <n v="25.55"/>
    <n v="2.56"/>
    <n v="8.4700000000000006"/>
    <n v="81.53"/>
    <n v="1165.72"/>
    <m/>
    <n v="4.2039999999999997"/>
    <n v="2.2650000000000001"/>
    <n v="0.307"/>
    <n v="0.85599999999999998"/>
    <n v="7.6319999999999997"/>
    <n v="277.28829686013324"/>
  </r>
  <r>
    <n v="55"/>
    <x v="4"/>
    <m/>
    <x v="2"/>
    <n v="33"/>
    <s v="NC_EC6_HighLight"/>
    <x v="3"/>
    <x v="0"/>
    <x v="0"/>
    <s v="NC_EC6_HL_1"/>
    <n v="1"/>
    <m/>
    <n v="44"/>
    <m/>
    <m/>
    <m/>
    <m/>
    <m/>
    <m/>
    <n v="3"/>
    <n v="0"/>
    <n v="10.8"/>
    <n v="5"/>
    <n v="26"/>
    <m/>
    <m/>
    <m/>
    <n v="171.28"/>
    <n v="27"/>
    <n v="103.55"/>
    <n v="35.61"/>
    <n v="1.23"/>
    <n v="31.25"/>
    <n v="171.64"/>
    <n v="2079.67"/>
    <m/>
    <n v="9.9220000000000006"/>
    <n v="3.8490000000000002"/>
    <n v="0.159"/>
    <n v="3.37"/>
    <n v="17.3"/>
    <n v="209.60189477927835"/>
  </r>
  <r>
    <n v="55"/>
    <x v="4"/>
    <n v="0"/>
    <x v="2"/>
    <n v="33"/>
    <s v="NC_EC6_HighLight"/>
    <x v="3"/>
    <x v="0"/>
    <x v="0"/>
    <s v="NC_EC6_HL_2"/>
    <n v="2"/>
    <m/>
    <n v="42"/>
    <m/>
    <m/>
    <m/>
    <m/>
    <m/>
    <m/>
    <n v="7"/>
    <n v="0"/>
    <n v="10.333333333333334"/>
    <n v="6"/>
    <n v="16"/>
    <m/>
    <m/>
    <m/>
    <n v="200.39"/>
    <n v="34"/>
    <n v="102.98"/>
    <n v="35.159999999999997"/>
    <n v="2.34"/>
    <n v="59.61"/>
    <n v="200.08999999999997"/>
    <n v="1930.91"/>
    <m/>
    <n v="9.1370000000000005"/>
    <n v="3.7480000000000002"/>
    <n v="0.28000000000000003"/>
    <n v="5.609"/>
    <n v="18.774000000000001"/>
    <n v="211.32866367516689"/>
  </r>
  <r>
    <n v="55"/>
    <x v="4"/>
    <n v="0"/>
    <x v="2"/>
    <n v="33"/>
    <s v="NC_EC6_HighLight"/>
    <x v="3"/>
    <x v="0"/>
    <x v="0"/>
    <s v="NC_EC6_HL_3"/>
    <n v="3"/>
    <m/>
    <n v="30"/>
    <m/>
    <m/>
    <m/>
    <m/>
    <m/>
    <m/>
    <n v="18"/>
    <n v="0"/>
    <n v="10.666666666666666"/>
    <n v="6"/>
    <n v="30"/>
    <m/>
    <m/>
    <m/>
    <n v="192.12"/>
    <n v="39"/>
    <n v="104.8"/>
    <n v="36.32"/>
    <n v="3.81"/>
    <n v="46.97"/>
    <n v="191.9"/>
    <n v="1889.39"/>
    <m/>
    <n v="13.836"/>
    <n v="5.6630000000000003"/>
    <n v="0.65900000000000003"/>
    <n v="6.4870000000000001"/>
    <n v="26.645000000000003"/>
    <n v="136.55608557386529"/>
  </r>
  <r>
    <n v="55"/>
    <x v="4"/>
    <n v="0"/>
    <x v="2"/>
    <n v="33"/>
    <s v="NC_EC6_HighLight"/>
    <x v="3"/>
    <x v="0"/>
    <x v="0"/>
    <s v="NC_EC6_HL_4"/>
    <n v="4"/>
    <m/>
    <n v="49"/>
    <m/>
    <m/>
    <m/>
    <m/>
    <m/>
    <m/>
    <n v="8"/>
    <n v="0"/>
    <n v="13"/>
    <n v="5"/>
    <n v="27"/>
    <m/>
    <m/>
    <m/>
    <n v="187.78"/>
    <n v="23"/>
    <n v="122.77"/>
    <n v="39.81"/>
    <n v="1.98"/>
    <n v="22.94"/>
    <n v="187.49999999999997"/>
    <n v="2326.83"/>
    <m/>
    <n v="13.257"/>
    <n v="4.8810000000000002"/>
    <n v="0.24099999999999999"/>
    <n v="2.6709999999999998"/>
    <n v="21.049999999999997"/>
    <n v="175.51708531341933"/>
  </r>
  <r>
    <n v="55"/>
    <x v="4"/>
    <n v="0"/>
    <x v="2"/>
    <n v="33"/>
    <s v="NC_EC6_HighLight"/>
    <x v="3"/>
    <x v="0"/>
    <x v="0"/>
    <s v="NC_EC6_HL_5"/>
    <n v="5"/>
    <m/>
    <n v="49"/>
    <m/>
    <m/>
    <m/>
    <m/>
    <m/>
    <m/>
    <n v="3"/>
    <n v="0"/>
    <n v="17.5"/>
    <n v="4"/>
    <n v="16"/>
    <m/>
    <m/>
    <m/>
    <n v="116.51"/>
    <n v="17"/>
    <n v="75.08"/>
    <n v="25.49"/>
    <n v="0.79"/>
    <n v="14.97"/>
    <n v="116.33"/>
    <n v="1531.48"/>
    <m/>
    <n v="6.1109999999999998"/>
    <n v="2.3260000000000001"/>
    <n v="8.7999999999999995E-2"/>
    <n v="1.4870000000000001"/>
    <n v="10.011999999999999"/>
    <n v="250.61037473408609"/>
  </r>
  <r>
    <n v="55"/>
    <x v="4"/>
    <n v="0"/>
    <x v="2"/>
    <n v="33"/>
    <s v="NC_EC6_HighLight"/>
    <x v="3"/>
    <x v="0"/>
    <x v="0"/>
    <s v="NC_EC6_HL_6"/>
    <n v="6"/>
    <m/>
    <n v="52"/>
    <m/>
    <m/>
    <m/>
    <m/>
    <m/>
    <m/>
    <n v="4"/>
    <n v="0"/>
    <n v="13.142857142857142"/>
    <n v="7"/>
    <n v="30"/>
    <m/>
    <m/>
    <m/>
    <n v="188.67"/>
    <n v="18"/>
    <n v="107.77"/>
    <n v="35.99"/>
    <n v="1.53"/>
    <n v="43.43"/>
    <n v="188.72"/>
    <n v="2113.31"/>
    <m/>
    <n v="10.36"/>
    <n v="3.9660000000000002"/>
    <n v="0.2"/>
    <n v="4.71"/>
    <n v="19.236000000000001"/>
    <n v="203.98745173745175"/>
  </r>
  <r>
    <n v="55"/>
    <x v="4"/>
    <m/>
    <x v="2"/>
    <n v="33"/>
    <s v="NC_EC6_MedLight"/>
    <x v="3"/>
    <x v="0"/>
    <x v="1"/>
    <s v="NC_EC6_ML_1"/>
    <n v="1"/>
    <m/>
    <n v="41"/>
    <m/>
    <m/>
    <m/>
    <m/>
    <m/>
    <m/>
    <n v="6"/>
    <n v="0"/>
    <n v="6.666666666666667"/>
    <n v="6"/>
    <n v="18"/>
    <m/>
    <m/>
    <m/>
    <n v="137.32"/>
    <n v="24"/>
    <n v="91.58"/>
    <n v="35.72"/>
    <n v="2.52"/>
    <n v="10.7"/>
    <n v="140.51999999999998"/>
    <n v="1888.15"/>
    <m/>
    <n v="7.9859999999999998"/>
    <n v="3.2919999999999998"/>
    <n v="0.27700000000000002"/>
    <n v="1.101"/>
    <n v="12.655999999999999"/>
    <n v="236.43250688705237"/>
  </r>
  <r>
    <n v="55"/>
    <x v="4"/>
    <n v="0"/>
    <x v="2"/>
    <n v="33"/>
    <s v="NC_EC6_MedLight"/>
    <x v="3"/>
    <x v="0"/>
    <x v="1"/>
    <s v="NC_EC6_ML_2"/>
    <n v="2"/>
    <m/>
    <n v="46"/>
    <m/>
    <m/>
    <m/>
    <m/>
    <m/>
    <m/>
    <n v="7"/>
    <n v="0"/>
    <n v="10.5"/>
    <n v="6"/>
    <n v="36"/>
    <m/>
    <m/>
    <m/>
    <n v="213.62"/>
    <n v="23"/>
    <n v="109.49"/>
    <n v="39.770000000000003"/>
    <n v="1.1299999999999999"/>
    <n v="63.13"/>
    <n v="213.51999999999998"/>
    <n v="2228.54"/>
    <m/>
    <n v="10.073"/>
    <n v="4.1289999999999996"/>
    <n v="0.13300000000000001"/>
    <n v="6.0579999999999998"/>
    <n v="20.393000000000001"/>
    <n v="221.23895562394517"/>
  </r>
  <r>
    <n v="55"/>
    <x v="4"/>
    <n v="0"/>
    <x v="2"/>
    <n v="33"/>
    <s v="NC_EC6_MedLight"/>
    <x v="3"/>
    <x v="0"/>
    <x v="1"/>
    <s v="NC_EC6_ML_3"/>
    <n v="3"/>
    <m/>
    <n v="43"/>
    <m/>
    <m/>
    <m/>
    <m/>
    <m/>
    <m/>
    <n v="4"/>
    <n v="0"/>
    <n v="7.333333333333333"/>
    <n v="3"/>
    <n v="16"/>
    <m/>
    <m/>
    <m/>
    <n v="162.46"/>
    <n v="20"/>
    <n v="103.15"/>
    <n v="32.409999999999997"/>
    <n v="1.7"/>
    <n v="25.02"/>
    <n v="162.28"/>
    <n v="1879.21"/>
    <m/>
    <n v="8.8030000000000008"/>
    <n v="3.0960000000000001"/>
    <n v="0.19500000000000001"/>
    <n v="2.3740000000000001"/>
    <n v="14.468000000000002"/>
    <n v="213.4738157446325"/>
  </r>
  <r>
    <n v="55"/>
    <x v="4"/>
    <n v="0"/>
    <x v="2"/>
    <n v="33"/>
    <s v="NC_EC6_MedLight"/>
    <x v="3"/>
    <x v="0"/>
    <x v="1"/>
    <s v="NC_EC6_ML_4"/>
    <n v="4"/>
    <m/>
    <n v="45"/>
    <m/>
    <m/>
    <m/>
    <m/>
    <m/>
    <m/>
    <n v="8"/>
    <n v="0"/>
    <n v="14.4"/>
    <n v="5"/>
    <n v="31"/>
    <m/>
    <m/>
    <m/>
    <n v="200.66"/>
    <n v="22"/>
    <n v="109.49"/>
    <n v="35.74"/>
    <n v="1.72"/>
    <n v="52.23"/>
    <n v="199.17999999999998"/>
    <n v="2104.42"/>
    <m/>
    <n v="10.271000000000001"/>
    <n v="3.87"/>
    <n v="0.20399999999999999"/>
    <n v="5.444"/>
    <n v="19.789000000000001"/>
    <n v="204.88949469379807"/>
  </r>
  <r>
    <n v="55"/>
    <x v="4"/>
    <n v="0"/>
    <x v="2"/>
    <n v="33"/>
    <s v="NC_EC6_MedLight"/>
    <x v="3"/>
    <x v="0"/>
    <x v="1"/>
    <s v="NC_EC6_ML_5"/>
    <n v="5"/>
    <m/>
    <n v="47"/>
    <m/>
    <m/>
    <m/>
    <m/>
    <m/>
    <m/>
    <n v="5"/>
    <n v="0"/>
    <n v="7"/>
    <n v="6"/>
    <n v="26"/>
    <m/>
    <m/>
    <m/>
    <n v="166.73"/>
    <n v="19"/>
    <n v="88.2"/>
    <n v="33.86"/>
    <n v="0.62"/>
    <n v="43.91"/>
    <n v="166.59"/>
    <n v="1564.03"/>
    <m/>
    <n v="8.1950000000000003"/>
    <n v="3.2890000000000001"/>
    <n v="7.8E-2"/>
    <n v="4.2240000000000002"/>
    <n v="15.786"/>
    <n v="190.85173886516168"/>
  </r>
  <r>
    <n v="55"/>
    <x v="4"/>
    <n v="0"/>
    <x v="2"/>
    <n v="33"/>
    <s v="NC_EC6_MedLight"/>
    <x v="3"/>
    <x v="0"/>
    <x v="1"/>
    <s v="NC_EC6_ML_6"/>
    <n v="6"/>
    <m/>
    <n v="41"/>
    <m/>
    <m/>
    <m/>
    <m/>
    <m/>
    <m/>
    <n v="0"/>
    <n v="0"/>
    <n v="8.8333333333333339"/>
    <n v="6"/>
    <n v="31"/>
    <m/>
    <m/>
    <m/>
    <n v="173.16"/>
    <n v="18"/>
    <n v="99.44"/>
    <n v="33.6"/>
    <n v="0"/>
    <n v="40.520000000000003"/>
    <n v="173.56"/>
    <n v="2008.22"/>
    <m/>
    <n v="8.9450000000000003"/>
    <n v="3.4289999999999998"/>
    <m/>
    <n v="4.1529999999999996"/>
    <n v="16.527000000000001"/>
    <n v="224.50754611514813"/>
  </r>
  <r>
    <n v="55"/>
    <x v="4"/>
    <m/>
    <x v="2"/>
    <n v="33"/>
    <s v="NC_EC6_LowLight"/>
    <x v="3"/>
    <x v="0"/>
    <x v="2"/>
    <s v="NC_EC6_LL_1"/>
    <n v="1"/>
    <m/>
    <n v="36"/>
    <m/>
    <m/>
    <m/>
    <m/>
    <m/>
    <m/>
    <n v="0"/>
    <n v="0"/>
    <n v="7.833333333333333"/>
    <n v="6"/>
    <n v="26"/>
    <m/>
    <m/>
    <m/>
    <n v="77.28"/>
    <n v="9"/>
    <n v="43.65"/>
    <n v="20.78"/>
    <n v="0"/>
    <n v="12.83"/>
    <n v="77.260000000000005"/>
    <n v="876.6"/>
    <m/>
    <n v="4.63"/>
    <n v="2.5230000000000001"/>
    <m/>
    <n v="1.7030000000000001"/>
    <n v="8.8559999999999999"/>
    <n v="189.33045356371491"/>
  </r>
  <r>
    <n v="55"/>
    <x v="4"/>
    <n v="0"/>
    <x v="2"/>
    <n v="33"/>
    <s v="NC_EC6_LowLight"/>
    <x v="3"/>
    <x v="0"/>
    <x v="2"/>
    <s v="NC_EC6_LL_2"/>
    <n v="2"/>
    <m/>
    <n v="52"/>
    <m/>
    <m/>
    <m/>
    <m/>
    <m/>
    <m/>
    <n v="7"/>
    <n v="0"/>
    <n v="10.666666666666666"/>
    <n v="6"/>
    <n v="27"/>
    <m/>
    <m/>
    <m/>
    <n v="200.15"/>
    <n v="25"/>
    <n v="118.42"/>
    <n v="39.909999999999997"/>
    <n v="1.23"/>
    <n v="40.18"/>
    <n v="199.73999999999998"/>
    <n v="2473.41"/>
    <m/>
    <n v="11.577999999999999"/>
    <n v="4.5049999999999999"/>
    <n v="0.17799999999999999"/>
    <n v="4.3810000000000002"/>
    <n v="20.641999999999999"/>
    <n v="213.63016064950767"/>
  </r>
  <r>
    <n v="55"/>
    <x v="4"/>
    <n v="0"/>
    <x v="2"/>
    <n v="33"/>
    <s v="NC_EC6_LowLight"/>
    <x v="3"/>
    <x v="0"/>
    <x v="2"/>
    <s v="NC_EC6_LL_3"/>
    <n v="3"/>
    <m/>
    <n v="38"/>
    <m/>
    <m/>
    <m/>
    <m/>
    <m/>
    <m/>
    <n v="4"/>
    <n v="0"/>
    <n v="10.8"/>
    <n v="5"/>
    <n v="21"/>
    <m/>
    <m/>
    <m/>
    <n v="139.69999999999999"/>
    <n v="14"/>
    <n v="78.86"/>
    <n v="27.93"/>
    <n v="0.89"/>
    <n v="31.93"/>
    <n v="139.60999999999999"/>
    <n v="1701.42"/>
    <m/>
    <n v="9.2230000000000008"/>
    <n v="3.9390000000000001"/>
    <n v="0.126"/>
    <n v="4.0439999999999996"/>
    <n v="17.332000000000001"/>
    <n v="184.47576710397917"/>
  </r>
  <r>
    <n v="55"/>
    <x v="4"/>
    <n v="0"/>
    <x v="2"/>
    <n v="33"/>
    <s v="NC_EC6_LowLight"/>
    <x v="3"/>
    <x v="0"/>
    <x v="2"/>
    <s v="NC_EC6_LL_4"/>
    <n v="4"/>
    <m/>
    <n v="37"/>
    <m/>
    <m/>
    <m/>
    <m/>
    <m/>
    <m/>
    <n v="15"/>
    <n v="0"/>
    <n v="12.666666666666666"/>
    <n v="6"/>
    <n v="27"/>
    <m/>
    <m/>
    <m/>
    <n v="185.75"/>
    <n v="28"/>
    <n v="106.22"/>
    <n v="39.6"/>
    <n v="2.77"/>
    <n v="39.19"/>
    <n v="187.78"/>
    <n v="2138.48"/>
    <m/>
    <n v="13.467000000000001"/>
    <n v="6.1470000000000002"/>
    <n v="0.41299999999999998"/>
    <n v="5.2619999999999996"/>
    <n v="25.289000000000001"/>
    <n v="158.79408925521645"/>
  </r>
  <r>
    <n v="55"/>
    <x v="4"/>
    <n v="0"/>
    <x v="2"/>
    <n v="33"/>
    <s v="NC_EC6_LowLight"/>
    <x v="3"/>
    <x v="0"/>
    <x v="2"/>
    <s v="NC_EC6_LL_5"/>
    <n v="5"/>
    <m/>
    <n v="51"/>
    <m/>
    <m/>
    <m/>
    <m/>
    <m/>
    <m/>
    <n v="0"/>
    <n v="0"/>
    <n v="10.4"/>
    <n v="5"/>
    <n v="25"/>
    <m/>
    <m/>
    <m/>
    <n v="150.83000000000001"/>
    <n v="21"/>
    <n v="89.17"/>
    <n v="27.9"/>
    <n v="0"/>
    <n v="33.57"/>
    <n v="150.63999999999999"/>
    <n v="1701.74"/>
    <m/>
    <n v="7.8650000000000002"/>
    <n v="2.7229999999999999"/>
    <m/>
    <n v="3.2909999999999999"/>
    <n v="13.879000000000001"/>
    <n v="216.36872218690399"/>
  </r>
  <r>
    <n v="55"/>
    <x v="4"/>
    <n v="0"/>
    <x v="2"/>
    <n v="33"/>
    <s v="NC_EC6_LowLight"/>
    <x v="3"/>
    <x v="0"/>
    <x v="2"/>
    <s v="NC_EC6_LL_6"/>
    <n v="6"/>
    <m/>
    <n v="47"/>
    <m/>
    <m/>
    <m/>
    <m/>
    <m/>
    <m/>
    <n v="0"/>
    <n v="0"/>
    <n v="11"/>
    <n v="5"/>
    <n v="26"/>
    <m/>
    <m/>
    <m/>
    <n v="154.44999999999999"/>
    <n v="18"/>
    <n v="96.56"/>
    <n v="26.59"/>
    <n v="0"/>
    <n v="32.25"/>
    <n v="155.4"/>
    <n v="2002.41"/>
    <m/>
    <n v="8.1959999999999997"/>
    <n v="2.5329999999999999"/>
    <m/>
    <n v="3.1030000000000002"/>
    <n v="13.831999999999999"/>
    <n v="244.3155197657394"/>
  </r>
  <r>
    <n v="55"/>
    <x v="4"/>
    <s v="Isabella "/>
    <x v="2"/>
    <n v="33"/>
    <s v="NC_EC6_NoLight"/>
    <x v="3"/>
    <x v="0"/>
    <x v="3"/>
    <s v="NC_EC6__1"/>
    <n v="1"/>
    <m/>
    <n v="40"/>
    <m/>
    <m/>
    <m/>
    <m/>
    <m/>
    <m/>
    <n v="3"/>
    <n v="0"/>
    <n v="11"/>
    <n v="3"/>
    <n v="19"/>
    <m/>
    <m/>
    <m/>
    <n v="133.44"/>
    <n v="22"/>
    <n v="74.11"/>
    <n v="26.45"/>
    <n v="1.3"/>
    <n v="33.659999999999997"/>
    <n v="135.51999999999998"/>
    <n v="1606.11"/>
    <m/>
    <n v="6.016"/>
    <n v="2.3290000000000002"/>
    <n v="0.11899999999999999"/>
    <n v="2.89"/>
    <n v="11.354000000000001"/>
    <n v="266.97307180851061"/>
  </r>
  <r>
    <n v="55"/>
    <x v="4"/>
    <s v="Isabella "/>
    <x v="2"/>
    <n v="33"/>
    <s v="NC_EC6_NoLight"/>
    <x v="3"/>
    <x v="0"/>
    <x v="3"/>
    <s v="NC_EC6__2"/>
    <n v="2"/>
    <m/>
    <n v="37"/>
    <m/>
    <m/>
    <m/>
    <m/>
    <m/>
    <m/>
    <n v="4"/>
    <n v="0"/>
    <n v="9"/>
    <n v="2"/>
    <n v="8"/>
    <m/>
    <m/>
    <m/>
    <n v="82.55"/>
    <n v="22"/>
    <n v="58.2"/>
    <n v="16.21"/>
    <n v="0.33"/>
    <n v="6.94"/>
    <n v="81.679999999999993"/>
    <n v="1283.3800000000001"/>
    <m/>
    <n v="4.4880000000000004"/>
    <n v="1.319"/>
    <n v="0.06"/>
    <n v="0.59399999999999997"/>
    <n v="6.4610000000000003"/>
    <n v="285.95811051693403"/>
  </r>
  <r>
    <n v="55"/>
    <x v="4"/>
    <s v="Isabella "/>
    <x v="2"/>
    <n v="33"/>
    <s v="NC_EC6_NoLight"/>
    <x v="3"/>
    <x v="0"/>
    <x v="3"/>
    <s v="NC_EC6__3"/>
    <n v="3"/>
    <m/>
    <n v="42"/>
    <m/>
    <m/>
    <m/>
    <m/>
    <m/>
    <m/>
    <n v="5"/>
    <n v="0"/>
    <n v="11.5"/>
    <n v="4"/>
    <n v="20"/>
    <m/>
    <m/>
    <m/>
    <n v="117.77"/>
    <n v="24"/>
    <n v="71.05"/>
    <n v="25.6"/>
    <n v="1.52"/>
    <n v="32.93"/>
    <n v="131.1"/>
    <n v="1773.19"/>
    <m/>
    <n v="6.2640000000000002"/>
    <n v="2.419"/>
    <n v="0.189"/>
    <n v="3.044"/>
    <n v="11.916"/>
    <n v="283.07630906768838"/>
  </r>
  <r>
    <n v="55"/>
    <x v="4"/>
    <s v="Isabella "/>
    <x v="2"/>
    <n v="33"/>
    <s v="NC_EC6_NoLight"/>
    <x v="3"/>
    <x v="0"/>
    <x v="3"/>
    <s v="NC_EC6__4"/>
    <n v="4"/>
    <m/>
    <n v="45"/>
    <m/>
    <m/>
    <m/>
    <m/>
    <m/>
    <m/>
    <n v="3"/>
    <n v="0"/>
    <n v="11.666666666666666"/>
    <n v="6"/>
    <n v="25"/>
    <m/>
    <m/>
    <m/>
    <n v="137.28"/>
    <n v="19"/>
    <n v="81.290000000000006"/>
    <n v="32.4"/>
    <n v="0.2"/>
    <n v="24.24"/>
    <n v="138.13"/>
    <n v="2219.33"/>
    <m/>
    <n v="6.6070000000000002"/>
    <n v="2.8370000000000002"/>
    <n v="3.2000000000000001E-2"/>
    <n v="2.218"/>
    <n v="11.694000000000001"/>
    <n v="335.90585742394427"/>
  </r>
  <r>
    <n v="55"/>
    <x v="4"/>
    <s v="Isabella "/>
    <x v="2"/>
    <n v="33"/>
    <s v="NC_EC6_NoLight"/>
    <x v="3"/>
    <x v="0"/>
    <x v="3"/>
    <s v="NC_EC6__5"/>
    <n v="5"/>
    <m/>
    <n v="34"/>
    <m/>
    <m/>
    <m/>
    <m/>
    <m/>
    <m/>
    <n v="0"/>
    <n v="0"/>
    <n v="9.1666666666666661"/>
    <n v="6"/>
    <n v="21"/>
    <m/>
    <m/>
    <m/>
    <n v="85.44"/>
    <n v="20"/>
    <n v="48.54"/>
    <n v="18.93"/>
    <n v="0"/>
    <n v="17.86"/>
    <n v="85.33"/>
    <n v="1126.3599999999999"/>
    <m/>
    <n v="3.5830000000000002"/>
    <n v="1.575"/>
    <m/>
    <n v="1.546"/>
    <n v="6.7040000000000006"/>
    <n v="314.36226625732621"/>
  </r>
  <r>
    <n v="55"/>
    <x v="4"/>
    <s v="Isabella "/>
    <x v="2"/>
    <n v="33"/>
    <s v="NC_EC6_NoLight"/>
    <x v="3"/>
    <x v="0"/>
    <x v="3"/>
    <s v="NC_EC6__6"/>
    <n v="6"/>
    <m/>
    <n v="43"/>
    <m/>
    <m/>
    <m/>
    <m/>
    <m/>
    <m/>
    <n v="3"/>
    <n v="0"/>
    <n v="13"/>
    <n v="4"/>
    <n v="24"/>
    <m/>
    <m/>
    <m/>
    <n v="164"/>
    <n v="24"/>
    <n v="93.33"/>
    <n v="33.049999999999997"/>
    <n v="0.43"/>
    <n v="37.61"/>
    <n v="164.42000000000002"/>
    <n v="2108.7600000000002"/>
    <m/>
    <n v="7.7320000000000002"/>
    <n v="3.0059999999999998"/>
    <n v="5.5E-2"/>
    <n v="3.2509999999999999"/>
    <n v="14.043999999999999"/>
    <n v="272.73150543197107"/>
  </r>
  <r>
    <n v="55"/>
    <x v="4"/>
    <m/>
    <x v="2"/>
    <n v="33"/>
    <s v="NC_EC3_HighLight"/>
    <x v="3"/>
    <x v="1"/>
    <x v="0"/>
    <s v="NC_EC3_HL_1"/>
    <n v="1"/>
    <m/>
    <n v="32"/>
    <m/>
    <m/>
    <m/>
    <m/>
    <m/>
    <m/>
    <n v="10"/>
    <n v="0"/>
    <n v="0"/>
    <n v="0"/>
    <n v="0"/>
    <m/>
    <m/>
    <m/>
    <n v="66.099999999999994"/>
    <n v="26"/>
    <n v="44.63"/>
    <n v="17.82"/>
    <n v="3.4"/>
    <n v="0"/>
    <n v="65.850000000000009"/>
    <n v="983.02"/>
    <m/>
    <n v="3.581"/>
    <n v="1.5649999999999999"/>
    <n v="0.34399999999999997"/>
    <m/>
    <n v="5.49"/>
    <n v="274.50991343200224"/>
  </r>
  <r>
    <n v="55"/>
    <x v="4"/>
    <n v="0"/>
    <x v="2"/>
    <n v="33"/>
    <s v="NC_EC3_HighLight"/>
    <x v="3"/>
    <x v="1"/>
    <x v="0"/>
    <s v="NC_EC3_HL_2"/>
    <n v="2"/>
    <m/>
    <n v="44"/>
    <m/>
    <m/>
    <m/>
    <m/>
    <m/>
    <m/>
    <n v="3"/>
    <n v="0"/>
    <n v="8.6666666666666661"/>
    <n v="6"/>
    <n v="26"/>
    <m/>
    <m/>
    <m/>
    <n v="200.89"/>
    <n v="24"/>
    <n v="105.56"/>
    <n v="41.92"/>
    <n v="0.67"/>
    <n v="54.4"/>
    <n v="202.55"/>
    <n v="2269.27"/>
    <m/>
    <n v="9.77"/>
    <n v="4.5389999999999997"/>
    <n v="7.8E-2"/>
    <n v="4.8529999999999998"/>
    <n v="19.239999999999998"/>
    <n v="232.26919140225181"/>
  </r>
  <r>
    <n v="55"/>
    <x v="4"/>
    <n v="0"/>
    <x v="2"/>
    <n v="33"/>
    <s v="NC_EC3_HighLight"/>
    <x v="3"/>
    <x v="1"/>
    <x v="0"/>
    <s v="NC_EC3_HL_3"/>
    <n v="3"/>
    <m/>
    <n v="38"/>
    <m/>
    <m/>
    <m/>
    <m/>
    <m/>
    <m/>
    <n v="3"/>
    <n v="0"/>
    <n v="5.5"/>
    <n v="2"/>
    <n v="3"/>
    <m/>
    <m/>
    <m/>
    <n v="49.04"/>
    <n v="13"/>
    <n v="26.83"/>
    <n v="12.6"/>
    <n v="1.1000000000000001"/>
    <n v="8.44"/>
    <n v="48.97"/>
    <n v="642.84"/>
    <m/>
    <n v="2.4209999999999998"/>
    <n v="1.3160000000000001"/>
    <n v="0.13100000000000001"/>
    <n v="0.69399999999999995"/>
    <n v="4.5620000000000003"/>
    <n v="265.52664188351923"/>
  </r>
  <r>
    <n v="55"/>
    <x v="4"/>
    <n v="0"/>
    <x v="2"/>
    <n v="33"/>
    <s v="NC_EC3_HighLight"/>
    <x v="3"/>
    <x v="1"/>
    <x v="0"/>
    <s v="NC_EC3_HL_4"/>
    <n v="4"/>
    <m/>
    <n v="37"/>
    <m/>
    <m/>
    <m/>
    <m/>
    <m/>
    <m/>
    <n v="3"/>
    <n v="0"/>
    <n v="8.4"/>
    <n v="5"/>
    <n v="31"/>
    <m/>
    <m/>
    <m/>
    <n v="208.14"/>
    <n v="19"/>
    <n v="89.4"/>
    <n v="37.5"/>
    <n v="0.69"/>
    <n v="80.459999999999994"/>
    <n v="208.05"/>
    <n v="1936.15"/>
    <m/>
    <n v="8.6080000000000005"/>
    <n v="4.7859999999999996"/>
    <n v="7.2999999999999995E-2"/>
    <n v="6.508"/>
    <n v="19.975000000000001"/>
    <n v="224.92448884758363"/>
  </r>
  <r>
    <n v="55"/>
    <x v="4"/>
    <n v="0"/>
    <x v="2"/>
    <n v="33"/>
    <s v="NC_EC3_HighLight"/>
    <x v="3"/>
    <x v="1"/>
    <x v="0"/>
    <s v="NC_EC3_HL_5"/>
    <n v="5"/>
    <m/>
    <n v="37"/>
    <m/>
    <m/>
    <m/>
    <m/>
    <m/>
    <m/>
    <n v="6"/>
    <n v="0"/>
    <n v="5"/>
    <n v="3"/>
    <n v="9"/>
    <m/>
    <m/>
    <m/>
    <n v="74.23"/>
    <n v="26"/>
    <n v="48.81"/>
    <n v="20.100000000000001"/>
    <n v="1.73"/>
    <n v="3.41"/>
    <n v="74.05"/>
    <n v="1101"/>
    <m/>
    <n v="3.97"/>
    <n v="1.7410000000000001"/>
    <n v="0.16400000000000001"/>
    <n v="0.316"/>
    <n v="6.1909999999999998"/>
    <n v="277.3299748110831"/>
  </r>
  <r>
    <n v="55"/>
    <x v="4"/>
    <n v="0"/>
    <x v="2"/>
    <n v="33"/>
    <s v="NC_EC3_HighLight"/>
    <x v="3"/>
    <x v="1"/>
    <x v="0"/>
    <s v="NC_EC3_HL_6"/>
    <n v="6"/>
    <m/>
    <n v="31"/>
    <m/>
    <m/>
    <m/>
    <m/>
    <m/>
    <m/>
    <n v="16"/>
    <n v="0"/>
    <n v="0"/>
    <n v="0"/>
    <n v="0"/>
    <m/>
    <m/>
    <m/>
    <n v="99.85"/>
    <n v="43"/>
    <n v="66.19"/>
    <n v="26.85"/>
    <n v="6.63"/>
    <n v="0"/>
    <n v="99.669999999999987"/>
    <n v="1337.97"/>
    <m/>
    <n v="6.3689999999999998"/>
    <n v="2.5750000000000002"/>
    <n v="0.72699999999999998"/>
    <m/>
    <n v="9.6709999999999994"/>
    <n v="210.07536504945833"/>
  </r>
  <r>
    <n v="55"/>
    <x v="4"/>
    <m/>
    <x v="2"/>
    <n v="33"/>
    <s v="NC_EC3_MedLight"/>
    <x v="3"/>
    <x v="1"/>
    <x v="1"/>
    <s v="NC_EC3_ML_1"/>
    <n v="1"/>
    <m/>
    <n v="45"/>
    <m/>
    <m/>
    <m/>
    <m/>
    <m/>
    <m/>
    <n v="6"/>
    <n v="0"/>
    <n v="8.1666666666666661"/>
    <n v="6"/>
    <n v="29"/>
    <m/>
    <m/>
    <m/>
    <n v="229.47"/>
    <n v="21"/>
    <n v="121.09"/>
    <n v="44.8"/>
    <n v="1.57"/>
    <n v="63.9"/>
    <n v="231.35999999999999"/>
    <n v="2387.38"/>
    <m/>
    <n v="10.95"/>
    <n v="4.6520000000000001"/>
    <n v="0.186"/>
    <n v="5.4710000000000001"/>
    <n v="21.259"/>
    <n v="218.02557077625573"/>
  </r>
  <r>
    <n v="55"/>
    <x v="4"/>
    <n v="0"/>
    <x v="2"/>
    <n v="33"/>
    <s v="NC_EC3_MedLight"/>
    <x v="3"/>
    <x v="1"/>
    <x v="1"/>
    <s v="NC_EC3_ML_2"/>
    <n v="2"/>
    <m/>
    <n v="50"/>
    <m/>
    <m/>
    <m/>
    <m/>
    <m/>
    <m/>
    <n v="3"/>
    <n v="0"/>
    <n v="7.2"/>
    <n v="5"/>
    <n v="18"/>
    <m/>
    <m/>
    <m/>
    <n v="126.36"/>
    <n v="15"/>
    <n v="65.39"/>
    <n v="30.8"/>
    <n v="1.77"/>
    <n v="28.28"/>
    <n v="126.24"/>
    <n v="1488.17"/>
    <m/>
    <n v="6.3920000000000003"/>
    <n v="3.6150000000000002"/>
    <n v="0.20599999999999999"/>
    <n v="2.7010000000000001"/>
    <n v="12.914000000000001"/>
    <n v="232.81758448060074"/>
  </r>
  <r>
    <n v="55"/>
    <x v="4"/>
    <n v="0"/>
    <x v="2"/>
    <n v="33"/>
    <s v="NC_EC3_MedLight"/>
    <x v="3"/>
    <x v="1"/>
    <x v="1"/>
    <s v="NC_EC3_ML_3"/>
    <n v="3"/>
    <m/>
    <n v="49"/>
    <m/>
    <m/>
    <m/>
    <m/>
    <m/>
    <m/>
    <n v="4"/>
    <n v="0"/>
    <n v="7.5714285714285712"/>
    <n v="7"/>
    <n v="20"/>
    <m/>
    <m/>
    <m/>
    <n v="175.3"/>
    <n v="19"/>
    <n v="105.72"/>
    <n v="43.69"/>
    <n v="0.41"/>
    <n v="25.35"/>
    <n v="175.17"/>
    <n v="2156.4899999999998"/>
    <m/>
    <n v="8.7449999999999992"/>
    <n v="3.8940000000000001"/>
    <n v="5.5E-2"/>
    <n v="2.29"/>
    <n v="14.983999999999998"/>
    <n v="246.59691252144083"/>
  </r>
  <r>
    <n v="55"/>
    <x v="4"/>
    <n v="0"/>
    <x v="2"/>
    <n v="33"/>
    <s v="NC_EC3_MedLight"/>
    <x v="3"/>
    <x v="1"/>
    <x v="1"/>
    <s v="NC_EC3_ML_4"/>
    <n v="4"/>
    <m/>
    <n v="50"/>
    <m/>
    <m/>
    <m/>
    <m/>
    <m/>
    <m/>
    <n v="1"/>
    <n v="0"/>
    <n v="7.5"/>
    <n v="6"/>
    <n v="17"/>
    <m/>
    <m/>
    <m/>
    <n v="147.36000000000001"/>
    <n v="16"/>
    <n v="85.53"/>
    <n v="34.57"/>
    <n v="0.2"/>
    <n v="26.82"/>
    <n v="147.12"/>
    <n v="1720.49"/>
    <m/>
    <n v="7.73"/>
    <n v="4.0620000000000003"/>
    <n v="0.03"/>
    <n v="2.4169999999999998"/>
    <n v="14.239000000000001"/>
    <n v="222.57309184993531"/>
  </r>
  <r>
    <n v="55"/>
    <x v="4"/>
    <n v="0"/>
    <x v="2"/>
    <n v="33"/>
    <s v="NC_EC3_MedLight"/>
    <x v="3"/>
    <x v="1"/>
    <x v="1"/>
    <s v="NC_EC3_ML_5"/>
    <n v="5"/>
    <m/>
    <n v="50"/>
    <m/>
    <m/>
    <m/>
    <m/>
    <m/>
    <m/>
    <n v="5"/>
    <n v="0"/>
    <n v="7.8"/>
    <n v="5"/>
    <n v="18"/>
    <m/>
    <m/>
    <m/>
    <n v="142.35"/>
    <n v="23"/>
    <n v="84.09"/>
    <n v="34.119999999999997"/>
    <n v="1.43"/>
    <n v="24.59"/>
    <n v="144.23000000000002"/>
    <n v="1750.27"/>
    <m/>
    <n v="7.2610000000000001"/>
    <n v="3.125"/>
    <n v="0.14599999999999999"/>
    <n v="2.08"/>
    <n v="12.612"/>
    <n v="241.05081944635725"/>
  </r>
  <r>
    <n v="55"/>
    <x v="4"/>
    <n v="0"/>
    <x v="2"/>
    <n v="33"/>
    <s v="NC_EC3_MedLight"/>
    <x v="3"/>
    <x v="1"/>
    <x v="1"/>
    <s v="NC_EC3_ML_6"/>
    <n v="6"/>
    <m/>
    <n v="50"/>
    <m/>
    <m/>
    <m/>
    <m/>
    <m/>
    <m/>
    <n v="8"/>
    <n v="0"/>
    <n v="9.75"/>
    <n v="4"/>
    <n v="14"/>
    <m/>
    <m/>
    <m/>
    <n v="172.28"/>
    <n v="26"/>
    <n v="105.04"/>
    <n v="42.69"/>
    <n v="2.35"/>
    <n v="22.040000000000003"/>
    <n v="172.12"/>
    <n v="2302.37"/>
    <m/>
    <n v="10.127000000000001"/>
    <n v="4.4160000000000004"/>
    <n v="0.26400000000000001"/>
    <n v="2.0470000000000002"/>
    <n v="16.853999999999999"/>
    <n v="227.34965932655277"/>
  </r>
  <r>
    <n v="55"/>
    <x v="4"/>
    <d v="1899-12-30T00:00:00"/>
    <x v="2"/>
    <n v="33"/>
    <s v="NC_EC3_LowLight"/>
    <x v="3"/>
    <x v="1"/>
    <x v="2"/>
    <s v="NC_EC3_LL_1"/>
    <n v="1"/>
    <m/>
    <n v="43"/>
    <m/>
    <m/>
    <m/>
    <m/>
    <m/>
    <m/>
    <n v="3"/>
    <n v="0"/>
    <n v="12.5"/>
    <n v="6"/>
    <n v="21"/>
    <m/>
    <m/>
    <m/>
    <n v="172.94"/>
    <n v="22"/>
    <n v="103.67"/>
    <n v="35.42"/>
    <n v="0.28000000000000003"/>
    <n v="33.47"/>
    <n v="172.84"/>
    <n v="1985.94"/>
    <m/>
    <n v="8.718"/>
    <n v="3.3540000000000001"/>
    <n v="2.8000000000000001E-2"/>
    <n v="2.7029999999999998"/>
    <n v="14.802999999999999"/>
    <n v="227.79766001376464"/>
  </r>
  <r>
    <n v="55"/>
    <x v="4"/>
    <n v="0"/>
    <x v="2"/>
    <n v="33"/>
    <s v="NC_EC3_LowLight"/>
    <x v="3"/>
    <x v="1"/>
    <x v="2"/>
    <s v="NC_EC3_LL_2"/>
    <n v="2"/>
    <m/>
    <n v="40"/>
    <m/>
    <m/>
    <m/>
    <m/>
    <m/>
    <m/>
    <n v="5"/>
    <n v="0"/>
    <n v="11"/>
    <n v="6"/>
    <n v="28"/>
    <m/>
    <m/>
    <m/>
    <n v="170.16"/>
    <n v="20"/>
    <n v="88.19"/>
    <n v="48.66"/>
    <n v="1.26"/>
    <n v="31.77"/>
    <n v="169.88"/>
    <n v="3613.15"/>
    <m/>
    <n v="11.065"/>
    <n v="7.0049999999999999"/>
    <n v="0.188"/>
    <n v="4.3550000000000004"/>
    <n v="22.613"/>
    <n v="326.53863533664713"/>
  </r>
  <r>
    <n v="55"/>
    <x v="4"/>
    <n v="0"/>
    <x v="2"/>
    <n v="33"/>
    <s v="NC_EC3_LowLight"/>
    <x v="3"/>
    <x v="1"/>
    <x v="2"/>
    <s v="NC_EC3_LL_3"/>
    <n v="3"/>
    <m/>
    <n v="45"/>
    <m/>
    <m/>
    <m/>
    <m/>
    <m/>
    <m/>
    <n v="5"/>
    <n v="0"/>
    <n v="12"/>
    <n v="7"/>
    <n v="33"/>
    <m/>
    <m/>
    <m/>
    <n v="198.38"/>
    <n v="19"/>
    <n v="108.46"/>
    <n v="46.58"/>
    <n v="2.3199999999999998"/>
    <n v="41.92"/>
    <n v="199.27999999999997"/>
    <n v="2085.64"/>
    <m/>
    <n v="9.0540000000000003"/>
    <n v="4.2329999999999997"/>
    <n v="0.245"/>
    <n v="3.621"/>
    <n v="17.152999999999999"/>
    <n v="230.35564391429202"/>
  </r>
  <r>
    <n v="55"/>
    <x v="4"/>
    <n v="0"/>
    <x v="2"/>
    <n v="33"/>
    <s v="NC_EC3_LowLight"/>
    <x v="3"/>
    <x v="1"/>
    <x v="2"/>
    <s v="NC_EC3_LL_4"/>
    <n v="4"/>
    <m/>
    <n v="47"/>
    <m/>
    <m/>
    <m/>
    <m/>
    <m/>
    <m/>
    <n v="6"/>
    <n v="0"/>
    <n v="12"/>
    <n v="2"/>
    <n v="11"/>
    <m/>
    <m/>
    <m/>
    <n v="154.37"/>
    <n v="24"/>
    <n v="91.99"/>
    <n v="37.659999999999997"/>
    <n v="2.2400000000000002"/>
    <n v="22.14"/>
    <n v="154.02999999999997"/>
    <n v="1808.45"/>
    <m/>
    <n v="7.359"/>
    <n v="3.056"/>
    <n v="0.23"/>
    <n v="1.7669999999999999"/>
    <n v="12.411999999999999"/>
    <n v="245.74670471531459"/>
  </r>
  <r>
    <n v="55"/>
    <x v="4"/>
    <n v="0"/>
    <x v="2"/>
    <n v="33"/>
    <s v="NC_EC3_LowLight"/>
    <x v="3"/>
    <x v="1"/>
    <x v="2"/>
    <s v="NC_EC3_LL_5"/>
    <n v="5"/>
    <m/>
    <n v="24"/>
    <m/>
    <m/>
    <m/>
    <m/>
    <m/>
    <m/>
    <n v="4"/>
    <n v="0"/>
    <n v="0"/>
    <n v="0"/>
    <n v="0"/>
    <m/>
    <m/>
    <m/>
    <n v="50.71"/>
    <n v="15"/>
    <n v="40.35"/>
    <n v="10.01"/>
    <n v="1.45"/>
    <n v="0"/>
    <n v="51.81"/>
    <n v="852.19"/>
    <m/>
    <n v="2.6960000000000002"/>
    <n v="0.82499999999999996"/>
    <n v="0.14199999999999999"/>
    <n v="1.671"/>
    <n v="5.3339999999999996"/>
    <n v="316.09421364985161"/>
  </r>
  <r>
    <n v="55"/>
    <x v="4"/>
    <n v="0"/>
    <x v="2"/>
    <n v="33"/>
    <s v="NC_EC3_LowLight"/>
    <x v="3"/>
    <x v="1"/>
    <x v="2"/>
    <s v="NC_EC3_LL_6"/>
    <n v="6"/>
    <m/>
    <n v="50"/>
    <m/>
    <m/>
    <m/>
    <m/>
    <m/>
    <m/>
    <n v="6"/>
    <n v="0"/>
    <n v="10.4"/>
    <n v="5"/>
    <n v="21"/>
    <m/>
    <m/>
    <m/>
    <n v="147.38"/>
    <n v="22"/>
    <n v="84.21"/>
    <n v="33.21"/>
    <n v="1.39"/>
    <n v="28.48"/>
    <n v="147.29"/>
    <n v="1740.21"/>
    <m/>
    <n v="6.423"/>
    <n v="2.6659999999999999"/>
    <n v="0.13"/>
    <n v="2.2599999999999998"/>
    <n v="11.479000000000001"/>
    <n v="270.93414292386734"/>
  </r>
  <r>
    <n v="55"/>
    <x v="4"/>
    <s v="Isabella "/>
    <x v="2"/>
    <n v="33"/>
    <s v="NC_EC3_NoLight"/>
    <x v="3"/>
    <x v="1"/>
    <x v="3"/>
    <s v="NC_EC3__1"/>
    <n v="1"/>
    <m/>
    <n v="49"/>
    <m/>
    <m/>
    <m/>
    <m/>
    <m/>
    <m/>
    <n v="3"/>
    <n v="0"/>
    <n v="7.8"/>
    <n v="5"/>
    <n v="21"/>
    <m/>
    <m/>
    <m/>
    <n v="160.77000000000001"/>
    <n v="21"/>
    <n v="98.06"/>
    <n v="39.25"/>
    <n v="1.26"/>
    <n v="22.15"/>
    <n v="160.72"/>
    <n v="1997.1"/>
    <m/>
    <n v="7.6150000000000002"/>
    <n v="3.3029999999999999"/>
    <n v="0.12"/>
    <n v="1.8220000000000001"/>
    <n v="12.86"/>
    <n v="262.25869993434009"/>
  </r>
  <r>
    <n v="55"/>
    <x v="4"/>
    <s v="Isabella "/>
    <x v="2"/>
    <n v="33"/>
    <s v="NC_EC3_NoLight"/>
    <x v="3"/>
    <x v="1"/>
    <x v="3"/>
    <s v="NC_EC3__2"/>
    <n v="2"/>
    <m/>
    <n v="48"/>
    <m/>
    <m/>
    <m/>
    <m/>
    <m/>
    <m/>
    <n v="4"/>
    <n v="0"/>
    <n v="7.6"/>
    <n v="5"/>
    <n v="17"/>
    <m/>
    <m/>
    <m/>
    <n v="133.80000000000001"/>
    <n v="18"/>
    <n v="84.19"/>
    <n v="38.909999999999997"/>
    <n v="1.45"/>
    <n v="9.1300000000000008"/>
    <n v="133.68"/>
    <n v="1721.23"/>
    <m/>
    <n v="6.8339999999999996"/>
    <n v="3.3639999999999999"/>
    <n v="0.152"/>
    <n v="0.88300000000000001"/>
    <n v="11.233000000000001"/>
    <n v="251.86274509803923"/>
  </r>
  <r>
    <n v="55"/>
    <x v="4"/>
    <s v="Isabella "/>
    <x v="2"/>
    <n v="33"/>
    <s v="NC_EC3_NoLight"/>
    <x v="3"/>
    <x v="1"/>
    <x v="3"/>
    <s v="NC_EC3__3"/>
    <n v="3"/>
    <m/>
    <n v="47"/>
    <m/>
    <m/>
    <m/>
    <m/>
    <m/>
    <m/>
    <n v="3"/>
    <n v="0"/>
    <n v="4"/>
    <n v="2"/>
    <n v="6"/>
    <m/>
    <m/>
    <m/>
    <n v="60.41"/>
    <n v="12"/>
    <n v="32.75"/>
    <n v="16.440000000000001"/>
    <n v="0.82"/>
    <n v="10"/>
    <n v="60.01"/>
    <n v="800.67"/>
    <m/>
    <n v="2.6709999999999998"/>
    <n v="1.474"/>
    <n v="9.9000000000000005E-2"/>
    <n v="0.80600000000000005"/>
    <n v="5.05"/>
    <n v="299.76413328341448"/>
  </r>
  <r>
    <n v="55"/>
    <x v="4"/>
    <s v="Viola"/>
    <x v="2"/>
    <n v="33"/>
    <s v="NC_EC3_NoLight"/>
    <x v="3"/>
    <x v="1"/>
    <x v="3"/>
    <s v="NC_EC3__4"/>
    <n v="4"/>
    <m/>
    <n v="46"/>
    <m/>
    <m/>
    <m/>
    <m/>
    <m/>
    <m/>
    <n v="1"/>
    <n v="0"/>
    <n v="7.4"/>
    <n v="5"/>
    <n v="18"/>
    <m/>
    <m/>
    <m/>
    <n v="142.13999999999999"/>
    <n v="15"/>
    <n v="81.72"/>
    <n v="35.4"/>
    <n v="1.03"/>
    <n v="23.9"/>
    <n v="142.05000000000001"/>
    <n v="1730.33"/>
    <m/>
    <n v="6.3239999999999998"/>
    <n v="2.8690000000000002"/>
    <n v="0.10199999999999999"/>
    <n v="1.879"/>
    <n v="11.173999999999999"/>
    <n v="273.61321948134093"/>
  </r>
  <r>
    <n v="55"/>
    <x v="4"/>
    <s v="Viola"/>
    <x v="2"/>
    <n v="33"/>
    <s v="NC_EC3_NoLight"/>
    <x v="3"/>
    <x v="1"/>
    <x v="3"/>
    <s v="NC_EC3__5"/>
    <n v="5"/>
    <m/>
    <n v="54"/>
    <m/>
    <m/>
    <m/>
    <m/>
    <m/>
    <m/>
    <n v="2"/>
    <n v="0"/>
    <n v="6.333333333333333"/>
    <n v="3"/>
    <n v="11"/>
    <m/>
    <m/>
    <m/>
    <n v="126.18"/>
    <n v="15"/>
    <n v="82.12"/>
    <n v="28.97"/>
    <n v="1.02"/>
    <n v="13.93"/>
    <n v="126.03999999999999"/>
    <n v="1649.73"/>
    <m/>
    <n v="6.1349999999999998"/>
    <n v="2.298"/>
    <n v="0.106"/>
    <n v="1.1120000000000001"/>
    <n v="9.6509999999999998"/>
    <n v="268.9046454767726"/>
  </r>
  <r>
    <n v="55"/>
    <x v="4"/>
    <s v="Viola"/>
    <x v="2"/>
    <n v="33"/>
    <s v="NC_EC3_NoLight"/>
    <x v="3"/>
    <x v="1"/>
    <x v="3"/>
    <s v="NC_EC3__6"/>
    <n v="6"/>
    <m/>
    <n v="50"/>
    <m/>
    <m/>
    <m/>
    <m/>
    <m/>
    <m/>
    <n v="4"/>
    <n v="0"/>
    <n v="8.8000000000000007"/>
    <n v="5"/>
    <n v="20"/>
    <m/>
    <m/>
    <m/>
    <n v="201.55"/>
    <n v="20"/>
    <n v="111.52"/>
    <n v="50.96"/>
    <n v="0.77"/>
    <n v="38.1"/>
    <n v="201.35"/>
    <n v="2326.7800000000002"/>
    <m/>
    <n v="9.5299999999999994"/>
    <n v="4.5629999999999997"/>
    <n v="9.7000000000000003E-2"/>
    <n v="3.1840000000000002"/>
    <n v="17.373999999999999"/>
    <n v="244.15320041972723"/>
  </r>
  <r>
    <n v="86"/>
    <x v="5"/>
    <m/>
    <x v="3"/>
    <n v="20"/>
    <s v="Cherry_EC6_HighLight"/>
    <x v="0"/>
    <x v="0"/>
    <x v="0"/>
    <s v="Cherry_EC6_HL_1"/>
    <n v="1"/>
    <m/>
    <n v="35"/>
    <m/>
    <m/>
    <m/>
    <m/>
    <m/>
    <m/>
    <n v="5"/>
    <n v="3"/>
    <m/>
    <n v="8"/>
    <n v="48"/>
    <n v="26"/>
    <n v="9"/>
    <n v="13"/>
    <m/>
    <n v="54"/>
    <n v="44.47"/>
    <n v="20.309999999999999"/>
    <n v="0.62"/>
    <n v="220.15"/>
    <n v="285.55"/>
    <n v="1199.3599999999999"/>
    <m/>
    <m/>
    <m/>
    <m/>
    <m/>
    <m/>
    <m/>
  </r>
  <r>
    <n v="86"/>
    <x v="5"/>
    <m/>
    <x v="3"/>
    <n v="20"/>
    <s v="Cherry_EC6_HighLight"/>
    <x v="0"/>
    <x v="0"/>
    <x v="0"/>
    <s v="Cherry_EC6_HL_2"/>
    <n v="2"/>
    <m/>
    <n v="35"/>
    <m/>
    <m/>
    <m/>
    <m/>
    <m/>
    <m/>
    <n v="6"/>
    <n v="8"/>
    <m/>
    <n v="5"/>
    <n v="22"/>
    <n v="3"/>
    <n v="4"/>
    <n v="15"/>
    <n v="225.06"/>
    <n v="38"/>
    <n v="38.869999999999997"/>
    <n v="13.43"/>
    <n v="1.1599999999999999"/>
    <n v="171.22"/>
    <n v="224.68"/>
    <n v="990.75"/>
    <m/>
    <m/>
    <m/>
    <m/>
    <m/>
    <m/>
    <m/>
  </r>
  <r>
    <n v="86"/>
    <x v="5"/>
    <m/>
    <x v="3"/>
    <n v="20"/>
    <s v="Cherry_EC6_HighLight"/>
    <x v="0"/>
    <x v="0"/>
    <x v="0"/>
    <s v="Cherry_EC6_HL_3"/>
    <n v="3"/>
    <m/>
    <n v="39"/>
    <m/>
    <m/>
    <m/>
    <m/>
    <m/>
    <m/>
    <n v="1"/>
    <n v="7"/>
    <m/>
    <n v="13"/>
    <n v="74"/>
    <n v="62"/>
    <n v="5"/>
    <n v="7"/>
    <n v="325.69"/>
    <n v="67"/>
    <n v="75.72"/>
    <n v="31.68"/>
    <n v="0.26"/>
    <n v="217.99"/>
    <n v="325.65000000000003"/>
    <n v="1916.95"/>
    <m/>
    <m/>
    <m/>
    <m/>
    <m/>
    <m/>
    <m/>
  </r>
  <r>
    <n v="86"/>
    <x v="5"/>
    <m/>
    <x v="3"/>
    <n v="20"/>
    <s v="Cherry_EC6_HighLight"/>
    <x v="0"/>
    <x v="0"/>
    <x v="0"/>
    <s v="Cherry_EC6_HL_4"/>
    <n v="4"/>
    <m/>
    <n v="36"/>
    <m/>
    <m/>
    <m/>
    <m/>
    <m/>
    <m/>
    <n v="6"/>
    <n v="4"/>
    <m/>
    <n v="10"/>
    <n v="35"/>
    <n v="15"/>
    <n v="8"/>
    <n v="12"/>
    <n v="237.03"/>
    <n v="46"/>
    <n v="45.14"/>
    <n v="21.36"/>
    <n v="0.83"/>
    <n v="169.31"/>
    <n v="236.64"/>
    <n v="1210.42"/>
    <m/>
    <m/>
    <m/>
    <m/>
    <m/>
    <m/>
    <m/>
  </r>
  <r>
    <n v="86"/>
    <x v="5"/>
    <m/>
    <x v="3"/>
    <n v="20"/>
    <s v="Cherry_EC6_HighLight"/>
    <x v="0"/>
    <x v="0"/>
    <x v="0"/>
    <s v="Cherry_EC6_HL_5"/>
    <n v="5"/>
    <m/>
    <n v="39"/>
    <m/>
    <m/>
    <m/>
    <m/>
    <m/>
    <m/>
    <n v="9"/>
    <n v="7"/>
    <m/>
    <n v="8"/>
    <n v="36"/>
    <n v="14"/>
    <n v="10"/>
    <n v="12"/>
    <n v="245.15"/>
    <n v="43"/>
    <n v="38.880000000000003"/>
    <n v="22.71"/>
    <n v="1.71"/>
    <n v="181.46"/>
    <n v="244.76000000000002"/>
    <n v="1084.04"/>
    <m/>
    <m/>
    <m/>
    <m/>
    <m/>
    <m/>
    <m/>
  </r>
  <r>
    <n v="86"/>
    <x v="5"/>
    <m/>
    <x v="3"/>
    <n v="20"/>
    <s v="Cherry_EC6_HighLight"/>
    <x v="0"/>
    <x v="0"/>
    <x v="0"/>
    <s v="Cherry_EC6_HL_6"/>
    <n v="6"/>
    <m/>
    <n v="34"/>
    <m/>
    <m/>
    <m/>
    <m/>
    <m/>
    <m/>
    <n v="5"/>
    <n v="2"/>
    <m/>
    <n v="9"/>
    <n v="45"/>
    <n v="29"/>
    <n v="8"/>
    <n v="8"/>
    <n v="272.67"/>
    <n v="72"/>
    <n v="53.81"/>
    <n v="19.28"/>
    <n v="0.5"/>
    <n v="198.45"/>
    <n v="272.03999999999996"/>
    <n v="1389.74"/>
    <m/>
    <m/>
    <m/>
    <m/>
    <m/>
    <m/>
    <m/>
  </r>
  <r>
    <n v="86"/>
    <x v="5"/>
    <m/>
    <x v="3"/>
    <n v="20"/>
    <s v="Cherry_EC6_MedLight"/>
    <x v="0"/>
    <x v="0"/>
    <x v="1"/>
    <s v="Cherry_EC6_ML_1"/>
    <n v="1"/>
    <m/>
    <n v="33"/>
    <m/>
    <m/>
    <m/>
    <m/>
    <m/>
    <m/>
    <m/>
    <n v="1"/>
    <m/>
    <n v="12"/>
    <n v="48"/>
    <n v="27"/>
    <n v="15"/>
    <n v="6"/>
    <n v="292.13"/>
    <n v="48"/>
    <n v="49.5"/>
    <n v="22.17"/>
    <m/>
    <n v="219.73"/>
    <n v="291.39999999999998"/>
    <n v="1280.0999999999999"/>
    <m/>
    <m/>
    <m/>
    <m/>
    <m/>
    <m/>
    <m/>
  </r>
  <r>
    <n v="86"/>
    <x v="5"/>
    <m/>
    <x v="3"/>
    <n v="20"/>
    <s v="Cherry_EC6_MedLight"/>
    <x v="0"/>
    <x v="0"/>
    <x v="1"/>
    <s v="Cherry_EC6_ML_2"/>
    <n v="2"/>
    <m/>
    <n v="42"/>
    <m/>
    <m/>
    <m/>
    <m/>
    <m/>
    <m/>
    <n v="6"/>
    <m/>
    <m/>
    <n v="11"/>
    <n v="40"/>
    <n v="19"/>
    <n v="13"/>
    <n v="8"/>
    <n v="337.92"/>
    <n v="49"/>
    <n v="62.06"/>
    <n v="28.82"/>
    <n v="0.87"/>
    <n v="245.27"/>
    <n v="337.02"/>
    <n v="1564.92"/>
    <m/>
    <m/>
    <m/>
    <m/>
    <m/>
    <m/>
    <m/>
  </r>
  <r>
    <n v="86"/>
    <x v="5"/>
    <m/>
    <x v="3"/>
    <n v="20"/>
    <s v="Cherry_EC6_MedLight"/>
    <x v="0"/>
    <x v="0"/>
    <x v="1"/>
    <s v="Cherry_EC6_ML_3"/>
    <n v="3"/>
    <m/>
    <n v="39"/>
    <m/>
    <m/>
    <m/>
    <m/>
    <m/>
    <m/>
    <n v="5"/>
    <n v="5"/>
    <m/>
    <n v="15"/>
    <n v="52"/>
    <n v="37"/>
    <n v="11"/>
    <n v="4"/>
    <n v="293.64"/>
    <n v="64"/>
    <n v="62.08"/>
    <n v="29.45"/>
    <n v="0.78"/>
    <n v="200.32"/>
    <n v="292.63"/>
    <n v="1635.31"/>
    <m/>
    <m/>
    <m/>
    <m/>
    <m/>
    <m/>
    <m/>
  </r>
  <r>
    <n v="86"/>
    <x v="5"/>
    <m/>
    <x v="3"/>
    <n v="20"/>
    <s v="Cherry_EC6_MedLight"/>
    <x v="0"/>
    <x v="0"/>
    <x v="1"/>
    <s v="Cherry_EC6_ML_4"/>
    <n v="4"/>
    <m/>
    <n v="43"/>
    <m/>
    <m/>
    <m/>
    <m/>
    <m/>
    <m/>
    <m/>
    <m/>
    <m/>
    <n v="11"/>
    <n v="51"/>
    <n v="38"/>
    <n v="6"/>
    <n v="7"/>
    <n v="267.26"/>
    <n v="42"/>
    <n v="49.74"/>
    <n v="20.399999999999999"/>
    <m/>
    <n v="196.73"/>
    <n v="266.87"/>
    <n v="1331.95"/>
    <m/>
    <m/>
    <m/>
    <m/>
    <m/>
    <m/>
    <m/>
  </r>
  <r>
    <n v="86"/>
    <x v="5"/>
    <m/>
    <x v="3"/>
    <n v="20"/>
    <s v="Cherry_EC6_MedLight"/>
    <x v="0"/>
    <x v="0"/>
    <x v="1"/>
    <s v="Cherry_EC6_ML_5"/>
    <n v="5"/>
    <m/>
    <n v="34"/>
    <m/>
    <m/>
    <m/>
    <m/>
    <m/>
    <m/>
    <n v="8"/>
    <n v="5"/>
    <m/>
    <n v="7"/>
    <n v="26"/>
    <n v="7"/>
    <n v="9"/>
    <n v="10"/>
    <n v="240.31"/>
    <n v="41"/>
    <n v="39.46"/>
    <n v="21.07"/>
    <n v="0.95"/>
    <n v="178.39"/>
    <n v="239.87"/>
    <n v="1024.9000000000001"/>
    <m/>
    <m/>
    <m/>
    <m/>
    <m/>
    <m/>
    <m/>
  </r>
  <r>
    <n v="86"/>
    <x v="5"/>
    <m/>
    <x v="3"/>
    <n v="20"/>
    <s v="Cherry_EC6_MedLight"/>
    <x v="0"/>
    <x v="0"/>
    <x v="1"/>
    <s v="Cherry_EC6_ML_6"/>
    <n v="6"/>
    <m/>
    <n v="37"/>
    <m/>
    <m/>
    <m/>
    <m/>
    <m/>
    <m/>
    <m/>
    <m/>
    <m/>
    <n v="9"/>
    <n v="48"/>
    <n v="33"/>
    <n v="5"/>
    <n v="10"/>
    <n v="241.57"/>
    <n v="40"/>
    <n v="43.36"/>
    <n v="20.46"/>
    <m/>
    <n v="177.19"/>
    <n v="241.01"/>
    <n v="1203.67"/>
    <m/>
    <m/>
    <m/>
    <m/>
    <m/>
    <m/>
    <m/>
  </r>
  <r>
    <n v="86"/>
    <x v="5"/>
    <m/>
    <x v="3"/>
    <n v="20"/>
    <s v="Cherry_EC6_LowLight"/>
    <x v="0"/>
    <x v="0"/>
    <x v="2"/>
    <s v="Cherry_EC6_LL_1"/>
    <n v="1"/>
    <m/>
    <n v="37"/>
    <m/>
    <m/>
    <m/>
    <m/>
    <m/>
    <m/>
    <m/>
    <m/>
    <m/>
    <n v="11"/>
    <n v="62"/>
    <n v="48"/>
    <n v="5"/>
    <n v="9"/>
    <n v="303.74"/>
    <n v="48"/>
    <n v="48"/>
    <n v="14.47"/>
    <m/>
    <n v="254.94"/>
    <n v="317.40999999999997"/>
    <n v="1315.56"/>
    <m/>
    <m/>
    <m/>
    <m/>
    <m/>
    <m/>
    <m/>
  </r>
  <r>
    <n v="86"/>
    <x v="5"/>
    <m/>
    <x v="3"/>
    <n v="20"/>
    <s v="Cherry_EC6_LowLight"/>
    <x v="0"/>
    <x v="0"/>
    <x v="2"/>
    <s v="Cherry_EC6_LL_2"/>
    <n v="2"/>
    <m/>
    <n v="28"/>
    <m/>
    <m/>
    <m/>
    <m/>
    <m/>
    <m/>
    <m/>
    <m/>
    <m/>
    <n v="8"/>
    <n v="30"/>
    <n v="18"/>
    <n v="1"/>
    <n v="11"/>
    <n v="160.51"/>
    <n v="25"/>
    <n v="23.82"/>
    <n v="10.43"/>
    <m/>
    <n v="136.26"/>
    <n v="170.51"/>
    <n v="673.48"/>
    <m/>
    <m/>
    <m/>
    <m/>
    <m/>
    <m/>
    <m/>
  </r>
  <r>
    <n v="86"/>
    <x v="5"/>
    <m/>
    <x v="3"/>
    <n v="20"/>
    <s v="Cherry_EC6_LowLight"/>
    <x v="0"/>
    <x v="0"/>
    <x v="2"/>
    <s v="Cherry_EC6_LL_3"/>
    <n v="3"/>
    <m/>
    <n v="41"/>
    <m/>
    <m/>
    <m/>
    <m/>
    <m/>
    <m/>
    <n v="26"/>
    <n v="1"/>
    <m/>
    <n v="7"/>
    <n v="45"/>
    <n v="35"/>
    <n v="7"/>
    <n v="3"/>
    <n v="254"/>
    <n v="58"/>
    <n v="50.98"/>
    <n v="18.91"/>
    <m/>
    <n v="202.14"/>
    <n v="272.02999999999997"/>
    <n v="1393.69"/>
    <m/>
    <m/>
    <m/>
    <m/>
    <m/>
    <m/>
    <m/>
  </r>
  <r>
    <n v="86"/>
    <x v="5"/>
    <m/>
    <x v="3"/>
    <n v="20"/>
    <s v="Cherry_EC6_LowLight"/>
    <x v="0"/>
    <x v="0"/>
    <x v="2"/>
    <s v="Cherry_EC6_LL_4"/>
    <n v="4"/>
    <m/>
    <n v="40"/>
    <m/>
    <m/>
    <m/>
    <m/>
    <m/>
    <m/>
    <n v="24"/>
    <m/>
    <m/>
    <n v="7"/>
    <n v="38"/>
    <n v="28"/>
    <n v="4"/>
    <n v="6"/>
    <n v="214.49"/>
    <n v="35"/>
    <n v="43.67"/>
    <n v="17.440000000000001"/>
    <m/>
    <n v="170.4"/>
    <n v="231.51"/>
    <n v="1166.02"/>
    <m/>
    <m/>
    <m/>
    <m/>
    <m/>
    <m/>
    <m/>
  </r>
  <r>
    <n v="86"/>
    <x v="5"/>
    <m/>
    <x v="3"/>
    <n v="20"/>
    <s v="Cherry_EC6_LowLight"/>
    <x v="0"/>
    <x v="0"/>
    <x v="2"/>
    <s v="Cherry_EC6_LL_5"/>
    <n v="5"/>
    <m/>
    <n v="34"/>
    <m/>
    <m/>
    <m/>
    <m/>
    <m/>
    <m/>
    <n v="9"/>
    <m/>
    <m/>
    <n v="7"/>
    <n v="32"/>
    <n v="16"/>
    <n v="8"/>
    <n v="8"/>
    <n v="184.07"/>
    <n v="27"/>
    <n v="30.3"/>
    <n v="11.67"/>
    <m/>
    <n v="153.44999999999999"/>
    <n v="195.42"/>
    <n v="858.66"/>
    <m/>
    <m/>
    <m/>
    <m/>
    <m/>
    <m/>
    <m/>
  </r>
  <r>
    <n v="86"/>
    <x v="5"/>
    <m/>
    <x v="3"/>
    <n v="20"/>
    <s v="Cherry_EC6_LowLight"/>
    <x v="0"/>
    <x v="0"/>
    <x v="2"/>
    <s v="Cherry_EC6_LL_6"/>
    <n v="6"/>
    <m/>
    <n v="42"/>
    <m/>
    <m/>
    <m/>
    <m/>
    <m/>
    <m/>
    <n v="11"/>
    <n v="3"/>
    <m/>
    <n v="12"/>
    <n v="62"/>
    <n v="51"/>
    <n v="8"/>
    <n v="3"/>
    <n v="324.2"/>
    <n v="68"/>
    <n v="73.349999999999994"/>
    <n v="25.45"/>
    <m/>
    <n v="250.19"/>
    <n v="348.99"/>
    <n v="1831.88"/>
    <m/>
    <m/>
    <m/>
    <m/>
    <m/>
    <m/>
    <m/>
  </r>
  <r>
    <n v="86"/>
    <x v="5"/>
    <m/>
    <x v="3"/>
    <n v="20"/>
    <s v="Cherry_EC6_NoLight"/>
    <x v="0"/>
    <x v="0"/>
    <x v="3"/>
    <s v="Cherry_EC6__1"/>
    <n v="1"/>
    <m/>
    <n v="32"/>
    <m/>
    <m/>
    <m/>
    <m/>
    <m/>
    <m/>
    <m/>
    <m/>
    <m/>
    <n v="9"/>
    <n v="38"/>
    <n v="29"/>
    <n v="5"/>
    <n v="4"/>
    <n v="181.77"/>
    <n v="34"/>
    <n v="32.44"/>
    <n v="12.5"/>
    <m/>
    <n v="135.15"/>
    <n v="180.09"/>
    <n v="943.6"/>
    <m/>
    <m/>
    <m/>
    <m/>
    <m/>
    <m/>
    <m/>
  </r>
  <r>
    <n v="86"/>
    <x v="5"/>
    <m/>
    <x v="3"/>
    <n v="20"/>
    <s v="Cherry_EC6_NoLight"/>
    <x v="0"/>
    <x v="0"/>
    <x v="3"/>
    <s v="Cherry_EC6__2"/>
    <n v="2"/>
    <m/>
    <n v="35"/>
    <m/>
    <m/>
    <m/>
    <m/>
    <m/>
    <m/>
    <m/>
    <m/>
    <m/>
    <n v="8"/>
    <n v="39"/>
    <n v="27"/>
    <n v="6"/>
    <n v="6"/>
    <n v="216.33"/>
    <n v="36"/>
    <n v="37.46"/>
    <n v="12.43"/>
    <m/>
    <n v="178.64"/>
    <n v="228.52999999999997"/>
    <n v="1006.77"/>
    <m/>
    <m/>
    <m/>
    <m/>
    <m/>
    <m/>
    <m/>
  </r>
  <r>
    <n v="86"/>
    <x v="5"/>
    <m/>
    <x v="3"/>
    <n v="20"/>
    <s v="Cherry_EC6_NoLight"/>
    <x v="0"/>
    <x v="0"/>
    <x v="3"/>
    <s v="Cherry_EC6__3"/>
    <n v="3"/>
    <m/>
    <n v="33"/>
    <m/>
    <m/>
    <m/>
    <m/>
    <m/>
    <m/>
    <m/>
    <m/>
    <m/>
    <n v="9"/>
    <n v="53"/>
    <n v="46"/>
    <n v="3"/>
    <n v="4"/>
    <n v="244.95"/>
    <n v="68"/>
    <n v="57.37"/>
    <n v="14.41"/>
    <m/>
    <n v="187.27"/>
    <n v="259.05"/>
    <n v="1484.14"/>
    <m/>
    <m/>
    <m/>
    <m/>
    <m/>
    <m/>
    <m/>
  </r>
  <r>
    <n v="86"/>
    <x v="5"/>
    <m/>
    <x v="3"/>
    <n v="20"/>
    <s v="Cherry_EC6_NoLight"/>
    <x v="0"/>
    <x v="0"/>
    <x v="3"/>
    <s v="Cherry_EC6__4"/>
    <n v="4"/>
    <m/>
    <n v="35"/>
    <m/>
    <m/>
    <m/>
    <m/>
    <m/>
    <m/>
    <m/>
    <m/>
    <m/>
    <n v="10"/>
    <n v="55"/>
    <n v="48"/>
    <n v="3"/>
    <n v="4"/>
    <n v="204"/>
    <n v="41"/>
    <n v="39.07"/>
    <n v="13.29"/>
    <m/>
    <n v="164.55"/>
    <n v="216.91000000000003"/>
    <n v="1059.9100000000001"/>
    <m/>
    <m/>
    <m/>
    <m/>
    <m/>
    <m/>
    <m/>
  </r>
  <r>
    <n v="86"/>
    <x v="5"/>
    <m/>
    <x v="3"/>
    <n v="20"/>
    <s v="Cherry_EC6_NoLight"/>
    <x v="0"/>
    <x v="0"/>
    <x v="3"/>
    <s v="Cherry_EC6__5"/>
    <n v="5"/>
    <m/>
    <n v="30"/>
    <m/>
    <m/>
    <m/>
    <m/>
    <m/>
    <m/>
    <n v="1"/>
    <m/>
    <m/>
    <n v="8"/>
    <n v="29"/>
    <n v="22"/>
    <n v="3"/>
    <n v="4"/>
    <n v="137.18"/>
    <n v="29"/>
    <n v="27.09"/>
    <n v="10.3"/>
    <m/>
    <n v="109.82"/>
    <n v="147.20999999999998"/>
    <n v="757.03"/>
    <m/>
    <m/>
    <m/>
    <m/>
    <m/>
    <m/>
    <m/>
  </r>
  <r>
    <n v="86"/>
    <x v="5"/>
    <m/>
    <x v="3"/>
    <n v="20"/>
    <s v="Cherry_EC6_NoLight"/>
    <x v="0"/>
    <x v="0"/>
    <x v="3"/>
    <s v="Cherry_EC6__6"/>
    <n v="6"/>
    <m/>
    <n v="29"/>
    <m/>
    <m/>
    <m/>
    <m/>
    <m/>
    <m/>
    <m/>
    <m/>
    <m/>
    <n v="7"/>
    <n v="39"/>
    <n v="30"/>
    <n v="1"/>
    <n v="8"/>
    <n v="136.96"/>
    <n v="29"/>
    <n v="24.08"/>
    <n v="8.74"/>
    <m/>
    <n v="109.57"/>
    <n v="142.38999999999999"/>
    <n v="1110.21"/>
    <m/>
    <m/>
    <m/>
    <m/>
    <m/>
    <m/>
    <m/>
  </r>
  <r>
    <n v="86"/>
    <x v="5"/>
    <m/>
    <x v="3"/>
    <n v="20"/>
    <s v="Cherry_EC3_HighLight"/>
    <x v="0"/>
    <x v="1"/>
    <x v="0"/>
    <s v="Cherry_EC3_HL_1"/>
    <n v="1"/>
    <m/>
    <n v="42"/>
    <m/>
    <m/>
    <m/>
    <m/>
    <m/>
    <m/>
    <n v="6"/>
    <n v="10"/>
    <m/>
    <n v="16"/>
    <n v="65"/>
    <n v="51"/>
    <n v="9"/>
    <n v="5"/>
    <n v="362.69"/>
    <n v="66"/>
    <n v="83.11"/>
    <n v="39.07"/>
    <n v="0.82"/>
    <n v="239.02"/>
    <n v="362.02"/>
    <n v="1955.49"/>
    <m/>
    <m/>
    <m/>
    <m/>
    <m/>
    <m/>
    <m/>
  </r>
  <r>
    <n v="86"/>
    <x v="5"/>
    <m/>
    <x v="3"/>
    <n v="20"/>
    <s v="Cherry_EC3_HighLight"/>
    <x v="0"/>
    <x v="1"/>
    <x v="0"/>
    <s v="Cherry_EC3_HL_2"/>
    <n v="2"/>
    <m/>
    <n v="36"/>
    <m/>
    <m/>
    <m/>
    <m/>
    <m/>
    <m/>
    <m/>
    <m/>
    <m/>
    <n v="16"/>
    <n v="36"/>
    <n v="21"/>
    <n v="12"/>
    <n v="3"/>
    <n v="329.3"/>
    <n v="51"/>
    <n v="51.36"/>
    <n v="24.02"/>
    <m/>
    <n v="253.46"/>
    <n v="328.84000000000003"/>
    <n v="1326.65"/>
    <m/>
    <m/>
    <m/>
    <m/>
    <m/>
    <m/>
    <m/>
  </r>
  <r>
    <n v="86"/>
    <x v="5"/>
    <m/>
    <x v="3"/>
    <n v="20"/>
    <s v="Cherry_EC3_HighLight"/>
    <x v="0"/>
    <x v="1"/>
    <x v="0"/>
    <s v="Cherry_EC3_HL_3"/>
    <n v="3"/>
    <m/>
    <n v="36"/>
    <m/>
    <m/>
    <m/>
    <m/>
    <m/>
    <m/>
    <n v="7"/>
    <n v="2"/>
    <m/>
    <n v="7"/>
    <n v="32"/>
    <n v="13"/>
    <n v="10"/>
    <n v="9"/>
    <n v="280.18"/>
    <n v="43"/>
    <n v="50.58"/>
    <n v="22.63"/>
    <n v="1.1299999999999999"/>
    <n v="205.32"/>
    <n v="279.65999999999997"/>
    <n v="1309.52"/>
    <m/>
    <m/>
    <m/>
    <m/>
    <m/>
    <m/>
    <m/>
  </r>
  <r>
    <n v="86"/>
    <x v="5"/>
    <m/>
    <x v="3"/>
    <n v="20"/>
    <s v="Cherry_EC3_HighLight"/>
    <x v="0"/>
    <x v="1"/>
    <x v="0"/>
    <s v="Cherry_EC3_HL_4"/>
    <n v="4"/>
    <m/>
    <n v="27"/>
    <m/>
    <m/>
    <m/>
    <m/>
    <m/>
    <m/>
    <m/>
    <m/>
    <m/>
    <n v="14"/>
    <n v="49"/>
    <n v="33"/>
    <n v="2"/>
    <n v="14"/>
    <n v="308.38"/>
    <n v="39"/>
    <n v="40.840000000000003"/>
    <n v="16.95"/>
    <m/>
    <n v="249.61"/>
    <n v="307.40000000000003"/>
    <n v="1059.43"/>
    <m/>
    <m/>
    <m/>
    <m/>
    <m/>
    <m/>
    <m/>
  </r>
  <r>
    <n v="86"/>
    <x v="5"/>
    <m/>
    <x v="3"/>
    <n v="20"/>
    <s v="Cherry_EC3_HighLight"/>
    <x v="0"/>
    <x v="1"/>
    <x v="0"/>
    <s v="Cherry_EC3_HL_5"/>
    <n v="5"/>
    <m/>
    <n v="37"/>
    <m/>
    <m/>
    <m/>
    <m/>
    <m/>
    <m/>
    <m/>
    <m/>
    <m/>
    <n v="17"/>
    <n v="66"/>
    <n v="46"/>
    <n v="9"/>
    <n v="11"/>
    <n v="441.85"/>
    <n v="74"/>
    <n v="73.319999999999993"/>
    <n v="25.73"/>
    <m/>
    <n v="341.37"/>
    <n v="440.42"/>
    <n v="1829.3"/>
    <m/>
    <m/>
    <m/>
    <m/>
    <m/>
    <m/>
    <m/>
  </r>
  <r>
    <n v="86"/>
    <x v="5"/>
    <m/>
    <x v="3"/>
    <n v="20"/>
    <s v="Cherry_EC3_HighLight"/>
    <x v="0"/>
    <x v="1"/>
    <x v="0"/>
    <s v="Cherry_EC3_HL_6"/>
    <n v="6"/>
    <m/>
    <n v="36"/>
    <m/>
    <m/>
    <m/>
    <m/>
    <m/>
    <m/>
    <n v="2"/>
    <n v="7"/>
    <m/>
    <n v="12"/>
    <n v="38"/>
    <n v="22"/>
    <n v="7"/>
    <n v="9"/>
    <n v="335.01"/>
    <n v="44"/>
    <n v="57.74"/>
    <n v="25.21"/>
    <n v="7.0000000000000007E-2"/>
    <n v="251.2"/>
    <n v="334.21999999999997"/>
    <n v="1479.36"/>
    <m/>
    <m/>
    <m/>
    <m/>
    <m/>
    <m/>
    <m/>
  </r>
  <r>
    <n v="86"/>
    <x v="5"/>
    <m/>
    <x v="3"/>
    <n v="20"/>
    <s v="Cherry_EC3_MedLight"/>
    <x v="0"/>
    <x v="1"/>
    <x v="1"/>
    <s v="Cherry_EC3_ML_1"/>
    <n v="1"/>
    <m/>
    <n v="36"/>
    <m/>
    <m/>
    <m/>
    <m/>
    <m/>
    <m/>
    <m/>
    <m/>
    <m/>
    <n v="17"/>
    <n v="77"/>
    <n v="65"/>
    <n v="7"/>
    <n v="5"/>
    <n v="371.22"/>
    <n v="64"/>
    <n v="65.27"/>
    <n v="26.8"/>
    <m/>
    <n v="277.91000000000003"/>
    <n v="369.98"/>
    <n v="1673.36"/>
    <m/>
    <m/>
    <m/>
    <m/>
    <m/>
    <m/>
    <m/>
  </r>
  <r>
    <n v="86"/>
    <x v="5"/>
    <m/>
    <x v="3"/>
    <n v="20"/>
    <s v="Cherry_EC3_MedLight"/>
    <x v="0"/>
    <x v="1"/>
    <x v="1"/>
    <s v="Cherry_EC3_ML_2"/>
    <n v="2"/>
    <m/>
    <n v="26"/>
    <m/>
    <m/>
    <m/>
    <m/>
    <m/>
    <m/>
    <n v="1"/>
    <m/>
    <m/>
    <n v="9"/>
    <n v="29"/>
    <n v="10"/>
    <n v="11"/>
    <n v="8"/>
    <n v="267.23"/>
    <n v="35"/>
    <n v="44.85"/>
    <n v="20.81"/>
    <n v="0.13"/>
    <n v="201.12"/>
    <n v="266.90999999999997"/>
    <n v="1200.08"/>
    <m/>
    <m/>
    <m/>
    <m/>
    <m/>
    <m/>
    <m/>
  </r>
  <r>
    <n v="86"/>
    <x v="5"/>
    <m/>
    <x v="3"/>
    <n v="20"/>
    <s v="Cherry_EC3_MedLight"/>
    <x v="0"/>
    <x v="1"/>
    <x v="1"/>
    <s v="Cherry_EC3_ML_3"/>
    <n v="3"/>
    <m/>
    <n v="41"/>
    <m/>
    <m/>
    <m/>
    <m/>
    <m/>
    <m/>
    <m/>
    <n v="8"/>
    <m/>
    <n v="26"/>
    <n v="112"/>
    <n v="102"/>
    <n v="7"/>
    <n v="3"/>
    <n v="402.92"/>
    <n v="63"/>
    <n v="94.51"/>
    <n v="38.25"/>
    <m/>
    <n v="269.31"/>
    <n v="402.07"/>
    <m/>
    <m/>
    <m/>
    <m/>
    <m/>
    <m/>
    <m/>
    <m/>
  </r>
  <r>
    <n v="86"/>
    <x v="5"/>
    <m/>
    <x v="3"/>
    <n v="20"/>
    <s v="Cherry_EC3_MedLight"/>
    <x v="0"/>
    <x v="1"/>
    <x v="1"/>
    <s v="Cherry_EC3_ML_4"/>
    <n v="4"/>
    <m/>
    <n v="32"/>
    <m/>
    <m/>
    <m/>
    <m/>
    <m/>
    <m/>
    <m/>
    <m/>
    <m/>
    <n v="8"/>
    <n v="42"/>
    <n v="19"/>
    <n v="15"/>
    <n v="8"/>
    <n v="266.44"/>
    <n v="41"/>
    <n v="44.19"/>
    <n v="18.29"/>
    <m/>
    <n v="203.56"/>
    <n v="266.04000000000002"/>
    <n v="1114.1500000000001"/>
    <m/>
    <m/>
    <m/>
    <m/>
    <m/>
    <m/>
    <m/>
  </r>
  <r>
    <n v="86"/>
    <x v="5"/>
    <m/>
    <x v="3"/>
    <n v="20"/>
    <s v="Cherry_EC3_MedLight"/>
    <x v="0"/>
    <x v="1"/>
    <x v="1"/>
    <s v="Cherry_EC3_ML_5"/>
    <n v="5"/>
    <m/>
    <n v="39"/>
    <m/>
    <m/>
    <m/>
    <m/>
    <m/>
    <m/>
    <n v="4"/>
    <m/>
    <m/>
    <n v="14"/>
    <n v="74"/>
    <n v="61"/>
    <n v="9"/>
    <n v="4"/>
    <n v="368.81"/>
    <n v="67"/>
    <n v="89.28"/>
    <n v="37.270000000000003"/>
    <n v="0.25"/>
    <n v="242.45"/>
    <n v="369.25"/>
    <n v="2195.4"/>
    <m/>
    <m/>
    <m/>
    <m/>
    <m/>
    <m/>
    <m/>
  </r>
  <r>
    <n v="86"/>
    <x v="5"/>
    <m/>
    <x v="3"/>
    <n v="20"/>
    <s v="Cherry_EC3_MedLight"/>
    <x v="0"/>
    <x v="1"/>
    <x v="1"/>
    <s v="Cherry_EC3_ML_6"/>
    <n v="6"/>
    <m/>
    <n v="39"/>
    <m/>
    <m/>
    <m/>
    <m/>
    <m/>
    <m/>
    <n v="2"/>
    <n v="5"/>
    <m/>
    <n v="11"/>
    <n v="55"/>
    <n v="50"/>
    <n v="4"/>
    <n v="1"/>
    <n v="197.16"/>
    <n v="42"/>
    <n v="45.49"/>
    <n v="21.17"/>
    <n v="0.31"/>
    <n v="129.9"/>
    <n v="196.87"/>
    <n v="1212.49"/>
    <m/>
    <m/>
    <m/>
    <m/>
    <m/>
    <m/>
    <m/>
  </r>
  <r>
    <n v="86"/>
    <x v="5"/>
    <m/>
    <x v="3"/>
    <n v="20"/>
    <s v="Cherry_EC3_LowLight"/>
    <x v="0"/>
    <x v="1"/>
    <x v="2"/>
    <s v="Cherry_EC3_LL_1"/>
    <n v="1"/>
    <m/>
    <n v="33"/>
    <m/>
    <m/>
    <m/>
    <m/>
    <m/>
    <m/>
    <n v="2"/>
    <n v="1"/>
    <m/>
    <n v="8"/>
    <n v="41"/>
    <n v="30"/>
    <n v="7"/>
    <n v="4"/>
    <n v="238.9"/>
    <n v="45"/>
    <n v="52.64"/>
    <n v="18.059999999999999"/>
    <m/>
    <n v="184.74"/>
    <n v="255.44"/>
    <n v="1384.1"/>
    <m/>
    <m/>
    <m/>
    <m/>
    <m/>
    <m/>
    <m/>
  </r>
  <r>
    <n v="86"/>
    <x v="5"/>
    <m/>
    <x v="3"/>
    <n v="20"/>
    <s v="Cherry_EC3_LowLight"/>
    <x v="0"/>
    <x v="1"/>
    <x v="2"/>
    <s v="Cherry_EC3_LL_2"/>
    <n v="2"/>
    <m/>
    <n v="33"/>
    <m/>
    <m/>
    <m/>
    <m/>
    <m/>
    <m/>
    <m/>
    <m/>
    <m/>
    <n v="8"/>
    <n v="51"/>
    <n v="39"/>
    <n v="9"/>
    <n v="3"/>
    <n v="283.22000000000003"/>
    <n v="41"/>
    <n v="51.02"/>
    <n v="18.399999999999999"/>
    <m/>
    <n v="231.67"/>
    <n v="301.08999999999997"/>
    <n v="1352.28"/>
    <m/>
    <m/>
    <m/>
    <m/>
    <m/>
    <m/>
    <m/>
  </r>
  <r>
    <n v="86"/>
    <x v="5"/>
    <m/>
    <x v="3"/>
    <n v="20"/>
    <s v="Cherry_EC3_LowLight"/>
    <x v="0"/>
    <x v="1"/>
    <x v="2"/>
    <s v="Cherry_EC3_LL_3"/>
    <n v="3"/>
    <m/>
    <n v="32"/>
    <m/>
    <m/>
    <m/>
    <m/>
    <m/>
    <m/>
    <m/>
    <m/>
    <m/>
    <n v="10"/>
    <n v="46"/>
    <n v="37"/>
    <n v="3"/>
    <n v="6"/>
    <n v="180.33"/>
    <n v="26"/>
    <n v="35.18"/>
    <n v="12.77"/>
    <m/>
    <n v="144.85"/>
    <n v="192.8"/>
    <n v="971.42"/>
    <m/>
    <m/>
    <m/>
    <m/>
    <m/>
    <m/>
    <m/>
  </r>
  <r>
    <n v="86"/>
    <x v="5"/>
    <m/>
    <x v="3"/>
    <n v="20"/>
    <s v="Cherry_EC3_LowLight"/>
    <x v="0"/>
    <x v="1"/>
    <x v="2"/>
    <s v="Cherry_EC3_LL_4"/>
    <n v="4"/>
    <m/>
    <n v="33"/>
    <m/>
    <m/>
    <m/>
    <m/>
    <m/>
    <m/>
    <m/>
    <m/>
    <m/>
    <n v="18"/>
    <n v="86"/>
    <n v="74"/>
    <n v="7"/>
    <n v="5"/>
    <n v="344.2"/>
    <n v="54"/>
    <n v="66.02"/>
    <n v="25.15"/>
    <m/>
    <n v="275.63"/>
    <n v="366.79999999999995"/>
    <n v="1799.39"/>
    <m/>
    <m/>
    <m/>
    <m/>
    <m/>
    <m/>
    <m/>
  </r>
  <r>
    <n v="86"/>
    <x v="5"/>
    <m/>
    <x v="3"/>
    <n v="20"/>
    <s v="Cherry_EC3_LowLight"/>
    <x v="0"/>
    <x v="1"/>
    <x v="2"/>
    <s v="Cherry_EC3_LL_5"/>
    <n v="5"/>
    <m/>
    <n v="30.5"/>
    <m/>
    <m/>
    <m/>
    <m/>
    <m/>
    <m/>
    <m/>
    <m/>
    <m/>
    <n v="5"/>
    <n v="26"/>
    <n v="20"/>
    <n v="1"/>
    <n v="5"/>
    <n v="151.04"/>
    <n v="13"/>
    <n v="18"/>
    <n v="9.4600000000000009"/>
    <m/>
    <n v="132.9"/>
    <n v="160.36000000000001"/>
    <n v="496.71"/>
    <m/>
    <m/>
    <m/>
    <m/>
    <m/>
    <m/>
    <m/>
  </r>
  <r>
    <n v="86"/>
    <x v="5"/>
    <m/>
    <x v="3"/>
    <n v="20"/>
    <s v="Cherry_EC3_LowLight"/>
    <x v="0"/>
    <x v="1"/>
    <x v="2"/>
    <s v="Cherry_EC3_LL_6"/>
    <n v="6"/>
    <m/>
    <n v="31"/>
    <m/>
    <m/>
    <m/>
    <m/>
    <m/>
    <m/>
    <n v="4"/>
    <m/>
    <m/>
    <n v="9"/>
    <n v="35"/>
    <n v="17"/>
    <n v="13"/>
    <n v="5"/>
    <n v="222.39"/>
    <n v="35"/>
    <n v="32.340000000000003"/>
    <n v="13.87"/>
    <m/>
    <n v="189.61"/>
    <n v="235.82000000000002"/>
    <n v="887.93"/>
    <m/>
    <m/>
    <m/>
    <m/>
    <m/>
    <m/>
    <m/>
  </r>
  <r>
    <n v="86"/>
    <x v="5"/>
    <m/>
    <x v="3"/>
    <n v="20"/>
    <s v="Cherry_EC3_NoLight"/>
    <x v="0"/>
    <x v="1"/>
    <x v="3"/>
    <s v="Cherry_EC3__1"/>
    <n v="1"/>
    <m/>
    <n v="33"/>
    <m/>
    <m/>
    <m/>
    <m/>
    <m/>
    <m/>
    <n v="3"/>
    <m/>
    <m/>
    <n v="8"/>
    <n v="37"/>
    <n v="26"/>
    <n v="8"/>
    <n v="3"/>
    <n v="241.61"/>
    <n v="42"/>
    <n v="48.6"/>
    <n v="14.92"/>
    <m/>
    <n v="192.65"/>
    <n v="256.17"/>
    <n v="1260.01"/>
    <m/>
    <m/>
    <m/>
    <m/>
    <m/>
    <m/>
    <m/>
  </r>
  <r>
    <n v="86"/>
    <x v="5"/>
    <m/>
    <x v="3"/>
    <n v="20"/>
    <s v="Cherry_EC3_NoLight"/>
    <x v="0"/>
    <x v="1"/>
    <x v="3"/>
    <s v="Cherry_EC3__2"/>
    <n v="2"/>
    <m/>
    <n v="40"/>
    <m/>
    <m/>
    <m/>
    <m/>
    <m/>
    <m/>
    <m/>
    <m/>
    <m/>
    <n v="10"/>
    <n v="68"/>
    <n v="60"/>
    <n v="5"/>
    <n v="3"/>
    <n v="268.08"/>
    <n v="46"/>
    <n v="55.86"/>
    <n v="17.350000000000001"/>
    <m/>
    <n v="211.68"/>
    <n v="284.89"/>
    <n v="1440.25"/>
    <m/>
    <m/>
    <m/>
    <m/>
    <m/>
    <m/>
    <m/>
  </r>
  <r>
    <n v="86"/>
    <x v="5"/>
    <m/>
    <x v="3"/>
    <n v="20"/>
    <s v="Cherry_EC3_NoLight"/>
    <x v="0"/>
    <x v="1"/>
    <x v="3"/>
    <s v="Cherry_EC3__3"/>
    <n v="3"/>
    <m/>
    <n v="30"/>
    <m/>
    <m/>
    <m/>
    <m/>
    <m/>
    <m/>
    <n v="3"/>
    <m/>
    <m/>
    <n v="7"/>
    <n v="28"/>
    <n v="20"/>
    <n v="5"/>
    <n v="3"/>
    <n v="125.83"/>
    <n v="41"/>
    <n v="29.54"/>
    <n v="11.42"/>
    <m/>
    <n v="95.84"/>
    <n v="136.80000000000001"/>
    <n v="920.29"/>
    <m/>
    <m/>
    <m/>
    <m/>
    <m/>
    <m/>
    <m/>
  </r>
  <r>
    <n v="86"/>
    <x v="5"/>
    <m/>
    <x v="3"/>
    <n v="20"/>
    <s v="Cherry_EC3_NoLight"/>
    <x v="0"/>
    <x v="1"/>
    <x v="3"/>
    <s v="Cherry_EC3__4"/>
    <n v="4"/>
    <m/>
    <n v="38.5"/>
    <m/>
    <m/>
    <m/>
    <m/>
    <m/>
    <m/>
    <m/>
    <m/>
    <m/>
    <n v="6"/>
    <n v="40"/>
    <n v="37"/>
    <n v="2"/>
    <n v="1"/>
    <n v="219.55"/>
    <n v="43"/>
    <n v="52.23"/>
    <n v="16.48"/>
    <m/>
    <n v="166.85"/>
    <n v="235.56"/>
    <n v="1351.06"/>
    <m/>
    <m/>
    <m/>
    <m/>
    <m/>
    <m/>
    <m/>
  </r>
  <r>
    <n v="86"/>
    <x v="5"/>
    <m/>
    <x v="3"/>
    <n v="20"/>
    <s v="Cherry_EC3_NoLight"/>
    <x v="0"/>
    <x v="1"/>
    <x v="3"/>
    <s v="Cherry_EC3__5"/>
    <n v="5"/>
    <m/>
    <n v="32"/>
    <m/>
    <m/>
    <m/>
    <m/>
    <m/>
    <m/>
    <m/>
    <m/>
    <m/>
    <n v="10"/>
    <n v="44"/>
    <n v="39"/>
    <n v="2"/>
    <n v="3"/>
    <n v="179.4"/>
    <n v="32"/>
    <n v="37.94"/>
    <n v="12.6"/>
    <m/>
    <n v="140.47999999999999"/>
    <n v="191.01999999999998"/>
    <n v="958.45"/>
    <m/>
    <m/>
    <m/>
    <m/>
    <m/>
    <m/>
    <m/>
  </r>
  <r>
    <n v="86"/>
    <x v="5"/>
    <m/>
    <x v="3"/>
    <n v="20"/>
    <s v="Cherry_EC3_NoLight"/>
    <x v="0"/>
    <x v="1"/>
    <x v="3"/>
    <s v="Cherry_EC3__6"/>
    <n v="6"/>
    <m/>
    <n v="35"/>
    <m/>
    <m/>
    <m/>
    <m/>
    <m/>
    <m/>
    <n v="3"/>
    <m/>
    <m/>
    <n v="9"/>
    <n v="38"/>
    <n v="26"/>
    <n v="8"/>
    <n v="4"/>
    <n v="230.2"/>
    <n v="50"/>
    <n v="43.21"/>
    <n v="14.04"/>
    <m/>
    <n v="178.88"/>
    <n v="236.13"/>
    <n v="1133.869999999999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C4AD2-7E91-4DC1-8004-FBFAA1BAC2E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D26" firstHeaderRow="1" firstDataRow="2" firstDataCol="1" rowPageCount="1" colPageCount="1"/>
  <pivotFields count="43">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multipleItemSelectionAllowed="1" showAll="0"/>
    <pivotField showAll="0"/>
    <pivotField showAll="0"/>
    <pivotField axis="axisPage" showAll="0">
      <items count="5">
        <item x="0"/>
        <item x="2"/>
        <item x="3"/>
        <item x="1"/>
        <item t="default"/>
      </items>
    </pivotField>
    <pivotField axis="axisCol" showAll="0">
      <items count="3">
        <item x="1"/>
        <item x="0"/>
        <item t="default"/>
      </items>
    </pivotField>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8"/>
    <field x="1"/>
  </rowFields>
  <rowItems count="21">
    <i>
      <x/>
    </i>
    <i r="1">
      <x v="248"/>
    </i>
    <i r="1">
      <x v="262"/>
    </i>
    <i r="1">
      <x v="273"/>
    </i>
    <i r="1">
      <x v="314"/>
    </i>
    <i>
      <x v="1"/>
    </i>
    <i r="1">
      <x v="248"/>
    </i>
    <i r="1">
      <x v="262"/>
    </i>
    <i r="1">
      <x v="273"/>
    </i>
    <i r="1">
      <x v="314"/>
    </i>
    <i>
      <x v="2"/>
    </i>
    <i r="1">
      <x v="248"/>
    </i>
    <i r="1">
      <x v="262"/>
    </i>
    <i r="1">
      <x v="273"/>
    </i>
    <i r="1">
      <x v="314"/>
    </i>
    <i>
      <x v="3"/>
    </i>
    <i r="1">
      <x v="248"/>
    </i>
    <i r="1">
      <x v="262"/>
    </i>
    <i r="1">
      <x v="273"/>
    </i>
    <i r="1">
      <x v="314"/>
    </i>
    <i t="grand">
      <x/>
    </i>
  </rowItems>
  <colFields count="1">
    <field x="7"/>
  </colFields>
  <colItems count="3">
    <i>
      <x/>
    </i>
    <i>
      <x v="1"/>
    </i>
    <i t="grand">
      <x/>
    </i>
  </colItems>
  <pageFields count="1">
    <pageField fld="6" item="0" hier="-1"/>
  </pageFields>
  <dataFields count="1">
    <dataField name="Average of FW fruits clusters(g/plant)" fld="32" subtotal="average" baseField="8" baseItem="0"/>
  </dataFields>
  <formats count="4">
    <format dxfId="5">
      <pivotArea collapsedLevelsAreSubtotals="1" fieldPosition="0">
        <references count="1">
          <reference field="8" count="0"/>
        </references>
      </pivotArea>
    </format>
    <format dxfId="4">
      <pivotArea collapsedLevelsAreSubtotals="1" fieldPosition="0">
        <references count="1">
          <reference field="8" count="0"/>
        </references>
      </pivotArea>
    </format>
    <format dxfId="3">
      <pivotArea dataOnly="0" labelOnly="1" fieldPosition="0">
        <references count="1">
          <reference field="7" count="0"/>
        </references>
      </pivotArea>
    </format>
    <format dxfId="2">
      <pivotArea dataOnly="0" labelOnly="1" grandCol="1" outline="0" fieldPosition="0"/>
    </format>
  </formats>
  <chartFormats count="6">
    <chartFormat chart="0" format="2" series="1">
      <pivotArea type="data" outline="0" fieldPosition="0">
        <references count="1">
          <reference field="7" count="1" selected="0">
            <x v="0"/>
          </reference>
        </references>
      </pivotArea>
    </chartFormat>
    <chartFormat chart="0" format="3" series="1">
      <pivotArea type="data" outline="0" fieldPosition="0">
        <references count="1">
          <reference field="7" count="1" selected="0">
            <x v="1"/>
          </reference>
        </references>
      </pivotArea>
    </chartFormat>
    <chartFormat chart="1" format="8" series="1">
      <pivotArea type="data" outline="0" fieldPosition="0">
        <references count="1">
          <reference field="7" count="1" selected="0">
            <x v="0"/>
          </reference>
        </references>
      </pivotArea>
    </chartFormat>
    <chartFormat chart="1" format="9" series="1">
      <pivotArea type="data" outline="0" fieldPosition="0">
        <references count="1">
          <reference field="7" count="1" selected="0">
            <x v="1"/>
          </reference>
        </references>
      </pivotArea>
    </chartFormat>
    <chartFormat chart="1" format="10" series="1">
      <pivotArea type="data" outline="0" fieldPosition="0">
        <references count="2">
          <reference field="4294967294" count="1" selected="0">
            <x v="0"/>
          </reference>
          <reference field="7" count="1" selected="0">
            <x v="0"/>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4F91-BDCB-4F38-A877-33615DB06609}">
  <dimension ref="A1:R51"/>
  <sheetViews>
    <sheetView tabSelected="1" zoomScale="110" zoomScaleNormal="110" workbookViewId="0">
      <selection activeCell="B5" sqref="B5:B8"/>
    </sheetView>
  </sheetViews>
  <sheetFormatPr baseColWidth="10" defaultColWidth="8.83203125" defaultRowHeight="15" x14ac:dyDescent="0.2"/>
  <cols>
    <col min="2" max="2" width="20.6640625" bestFit="1" customWidth="1"/>
    <col min="3" max="3" width="20.33203125" customWidth="1"/>
    <col min="4" max="4" width="59.83203125" customWidth="1"/>
    <col min="5" max="5" width="23.1640625" customWidth="1"/>
    <col min="6" max="6" width="23.5" bestFit="1" customWidth="1"/>
  </cols>
  <sheetData>
    <row r="1" spans="1:18" s="11" customFormat="1" ht="21" x14ac:dyDescent="0.2">
      <c r="A1" s="10" t="s">
        <v>20</v>
      </c>
      <c r="Q1" s="12"/>
      <c r="R1" s="12"/>
    </row>
    <row r="2" spans="1:18" ht="21" x14ac:dyDescent="0.2">
      <c r="A2" s="13"/>
      <c r="Q2" s="1"/>
      <c r="R2" s="1"/>
    </row>
    <row r="3" spans="1:18" x14ac:dyDescent="0.2">
      <c r="Q3" s="1"/>
      <c r="R3" s="1"/>
    </row>
    <row r="4" spans="1:18" x14ac:dyDescent="0.2">
      <c r="B4" s="105" t="s">
        <v>219</v>
      </c>
      <c r="C4" s="105" t="s">
        <v>216</v>
      </c>
      <c r="D4" s="105" t="s">
        <v>217</v>
      </c>
      <c r="E4" s="105" t="s">
        <v>218</v>
      </c>
      <c r="Q4" s="1"/>
      <c r="R4" s="1"/>
    </row>
    <row r="5" spans="1:18" x14ac:dyDescent="0.2">
      <c r="B5" s="177" t="s">
        <v>222</v>
      </c>
      <c r="C5" s="106" t="s">
        <v>220</v>
      </c>
      <c r="D5" s="106">
        <v>242</v>
      </c>
      <c r="E5" s="106">
        <v>48</v>
      </c>
      <c r="Q5" s="1"/>
      <c r="R5" s="1"/>
    </row>
    <row r="6" spans="1:18" x14ac:dyDescent="0.2">
      <c r="B6" s="177"/>
      <c r="C6" s="106" t="s">
        <v>221</v>
      </c>
      <c r="D6" s="106">
        <v>180</v>
      </c>
      <c r="E6" s="106">
        <v>36</v>
      </c>
      <c r="Q6" s="1"/>
      <c r="R6" s="1"/>
    </row>
    <row r="7" spans="1:18" x14ac:dyDescent="0.2">
      <c r="B7" s="177"/>
      <c r="C7" s="106" t="s">
        <v>309</v>
      </c>
      <c r="D7" s="106">
        <v>126</v>
      </c>
      <c r="E7" s="106">
        <v>25</v>
      </c>
      <c r="Q7" s="1"/>
      <c r="R7" s="1"/>
    </row>
    <row r="8" spans="1:18" x14ac:dyDescent="0.2">
      <c r="B8" s="177"/>
      <c r="C8" s="106" t="s">
        <v>346</v>
      </c>
      <c r="D8" s="106">
        <v>102</v>
      </c>
      <c r="E8" s="106">
        <v>20</v>
      </c>
      <c r="Q8" s="1"/>
      <c r="R8" s="1"/>
    </row>
    <row r="9" spans="1:18" x14ac:dyDescent="0.2">
      <c r="Q9" s="1"/>
      <c r="R9" s="1"/>
    </row>
    <row r="15" spans="1:18" s="11" customFormat="1" ht="21" x14ac:dyDescent="0.2">
      <c r="A15" s="10" t="s">
        <v>58</v>
      </c>
      <c r="Q15" s="12"/>
      <c r="R15" s="12"/>
    </row>
    <row r="17" spans="2:6" x14ac:dyDescent="0.2">
      <c r="B17" s="30" t="s">
        <v>12</v>
      </c>
      <c r="C17" s="31" t="s">
        <v>11</v>
      </c>
      <c r="D17" s="32" t="s">
        <v>37</v>
      </c>
      <c r="E17" s="32" t="s">
        <v>38</v>
      </c>
      <c r="F17" s="31" t="s">
        <v>45</v>
      </c>
    </row>
    <row r="18" spans="2:6" x14ac:dyDescent="0.2">
      <c r="B18" s="30" t="s">
        <v>21</v>
      </c>
      <c r="C18" s="33" t="s">
        <v>19</v>
      </c>
      <c r="D18" s="34" t="s">
        <v>39</v>
      </c>
      <c r="E18" s="34" t="s">
        <v>19</v>
      </c>
      <c r="F18" s="34" t="s">
        <v>19</v>
      </c>
    </row>
    <row r="19" spans="2:6" x14ac:dyDescent="0.2">
      <c r="B19" s="30" t="s">
        <v>9</v>
      </c>
      <c r="C19" s="33" t="s">
        <v>19</v>
      </c>
      <c r="D19" s="34" t="s">
        <v>40</v>
      </c>
      <c r="E19" s="34" t="s">
        <v>19</v>
      </c>
      <c r="F19" s="34" t="s">
        <v>19</v>
      </c>
    </row>
    <row r="20" spans="2:6" x14ac:dyDescent="0.2">
      <c r="B20" s="30" t="s">
        <v>33</v>
      </c>
      <c r="C20" s="33" t="s">
        <v>19</v>
      </c>
      <c r="D20" s="34" t="s">
        <v>42</v>
      </c>
      <c r="E20" s="34" t="s">
        <v>19</v>
      </c>
      <c r="F20" s="34" t="s">
        <v>19</v>
      </c>
    </row>
    <row r="21" spans="2:6" x14ac:dyDescent="0.2">
      <c r="B21" s="30" t="s">
        <v>4</v>
      </c>
      <c r="C21" s="33" t="s">
        <v>19</v>
      </c>
      <c r="D21" s="34" t="s">
        <v>43</v>
      </c>
      <c r="E21" s="34" t="s">
        <v>19</v>
      </c>
      <c r="F21" s="34" t="s">
        <v>19</v>
      </c>
    </row>
    <row r="22" spans="2:6" x14ac:dyDescent="0.2">
      <c r="B22" s="35" t="s">
        <v>0</v>
      </c>
      <c r="C22" s="33" t="s">
        <v>10</v>
      </c>
      <c r="D22" s="34" t="s">
        <v>117</v>
      </c>
      <c r="E22" s="36" t="s">
        <v>41</v>
      </c>
      <c r="F22" s="34" t="s">
        <v>46</v>
      </c>
    </row>
    <row r="23" spans="2:6" x14ac:dyDescent="0.2">
      <c r="B23" s="35" t="s">
        <v>13</v>
      </c>
      <c r="C23" s="33" t="s">
        <v>44</v>
      </c>
      <c r="D23" s="34" t="s">
        <v>50</v>
      </c>
      <c r="E23" s="36" t="s">
        <v>41</v>
      </c>
      <c r="F23" s="34" t="s">
        <v>48</v>
      </c>
    </row>
    <row r="24" spans="2:6" x14ac:dyDescent="0.2">
      <c r="B24" s="35" t="s">
        <v>115</v>
      </c>
      <c r="C24" s="33" t="s">
        <v>8</v>
      </c>
      <c r="D24" s="63" t="s">
        <v>118</v>
      </c>
      <c r="E24" s="36" t="s">
        <v>41</v>
      </c>
      <c r="F24" s="34" t="s">
        <v>49</v>
      </c>
    </row>
    <row r="25" spans="2:6" x14ac:dyDescent="0.2">
      <c r="B25" s="35" t="s">
        <v>35</v>
      </c>
      <c r="C25" s="33" t="s">
        <v>44</v>
      </c>
      <c r="D25" s="64" t="s">
        <v>73</v>
      </c>
      <c r="E25" s="36" t="s">
        <v>41</v>
      </c>
      <c r="F25" s="34" t="s">
        <v>48</v>
      </c>
    </row>
    <row r="26" spans="2:6" x14ac:dyDescent="0.2">
      <c r="B26" s="35" t="s">
        <v>34</v>
      </c>
      <c r="C26" s="33" t="s">
        <v>44</v>
      </c>
      <c r="D26" s="64" t="s">
        <v>51</v>
      </c>
      <c r="E26" s="36" t="s">
        <v>41</v>
      </c>
      <c r="F26" s="34" t="s">
        <v>48</v>
      </c>
    </row>
    <row r="27" spans="2:6" x14ac:dyDescent="0.2">
      <c r="B27" s="35" t="s">
        <v>2</v>
      </c>
      <c r="C27" s="33" t="s">
        <v>44</v>
      </c>
      <c r="D27" s="64" t="s">
        <v>110</v>
      </c>
      <c r="E27" s="36" t="s">
        <v>41</v>
      </c>
      <c r="F27" s="34" t="s">
        <v>48</v>
      </c>
    </row>
    <row r="28" spans="2:6" x14ac:dyDescent="0.2">
      <c r="B28" s="35" t="s">
        <v>3</v>
      </c>
      <c r="C28" s="33" t="s">
        <v>44</v>
      </c>
      <c r="D28" s="64" t="s">
        <v>111</v>
      </c>
      <c r="E28" s="36" t="s">
        <v>41</v>
      </c>
      <c r="F28" s="34" t="s">
        <v>48</v>
      </c>
    </row>
    <row r="29" spans="2:6" x14ac:dyDescent="0.2">
      <c r="B29" s="35" t="s">
        <v>70</v>
      </c>
      <c r="C29" s="33" t="s">
        <v>8</v>
      </c>
      <c r="D29" s="64" t="s">
        <v>76</v>
      </c>
      <c r="E29" s="36" t="s">
        <v>41</v>
      </c>
      <c r="F29" s="34" t="s">
        <v>49</v>
      </c>
    </row>
    <row r="30" spans="2:6" x14ac:dyDescent="0.2">
      <c r="B30" s="35" t="s">
        <v>1</v>
      </c>
      <c r="C30" s="33" t="s">
        <v>8</v>
      </c>
      <c r="D30" s="63" t="s">
        <v>304</v>
      </c>
      <c r="E30" s="36" t="s">
        <v>41</v>
      </c>
      <c r="F30" s="34" t="s">
        <v>49</v>
      </c>
    </row>
    <row r="31" spans="2:6" x14ac:dyDescent="0.2">
      <c r="B31" s="35" t="s">
        <v>74</v>
      </c>
      <c r="C31" s="33" t="s">
        <v>8</v>
      </c>
      <c r="D31" s="36" t="s">
        <v>75</v>
      </c>
      <c r="E31" s="36" t="s">
        <v>41</v>
      </c>
      <c r="F31" s="34" t="s">
        <v>49</v>
      </c>
    </row>
    <row r="32" spans="2:6" x14ac:dyDescent="0.2">
      <c r="B32" s="35" t="s">
        <v>306</v>
      </c>
      <c r="C32" s="33" t="s">
        <v>8</v>
      </c>
      <c r="D32" s="36" t="s">
        <v>305</v>
      </c>
      <c r="E32" s="36"/>
      <c r="F32" s="34"/>
    </row>
    <row r="33" spans="2:6" x14ac:dyDescent="0.2">
      <c r="B33" s="35" t="s">
        <v>112</v>
      </c>
      <c r="C33" s="33" t="s">
        <v>7</v>
      </c>
      <c r="D33" s="36" t="s">
        <v>114</v>
      </c>
      <c r="E33" s="36" t="s">
        <v>41</v>
      </c>
      <c r="F33" s="34" t="s">
        <v>55</v>
      </c>
    </row>
    <row r="34" spans="2:6" x14ac:dyDescent="0.2">
      <c r="B34" s="35" t="s">
        <v>113</v>
      </c>
      <c r="C34" s="33" t="s">
        <v>7</v>
      </c>
      <c r="D34" s="36" t="s">
        <v>119</v>
      </c>
      <c r="E34" s="36" t="s">
        <v>41</v>
      </c>
      <c r="F34" s="34" t="s">
        <v>55</v>
      </c>
    </row>
    <row r="35" spans="2:6" x14ac:dyDescent="0.2">
      <c r="B35" s="35" t="s">
        <v>30</v>
      </c>
      <c r="C35" s="33" t="s">
        <v>19</v>
      </c>
      <c r="D35" s="36" t="s">
        <v>52</v>
      </c>
      <c r="E35" s="36" t="s">
        <v>41</v>
      </c>
      <c r="F35" s="34" t="s">
        <v>48</v>
      </c>
    </row>
    <row r="36" spans="2:6" x14ac:dyDescent="0.2">
      <c r="B36" s="35" t="s">
        <v>61</v>
      </c>
      <c r="C36" s="33" t="s">
        <v>8</v>
      </c>
      <c r="D36" s="36" t="s">
        <v>120</v>
      </c>
      <c r="E36" s="36" t="s">
        <v>41</v>
      </c>
      <c r="F36" s="34" t="s">
        <v>116</v>
      </c>
    </row>
    <row r="37" spans="2:6" x14ac:dyDescent="0.2">
      <c r="B37" s="35" t="s">
        <v>77</v>
      </c>
      <c r="C37" s="33" t="s">
        <v>8</v>
      </c>
      <c r="D37" s="36" t="s">
        <v>302</v>
      </c>
      <c r="E37" s="36" t="s">
        <v>47</v>
      </c>
      <c r="F37" s="34"/>
    </row>
    <row r="38" spans="2:6" x14ac:dyDescent="0.2">
      <c r="B38" s="35" t="s">
        <v>78</v>
      </c>
      <c r="C38" s="33" t="s">
        <v>8</v>
      </c>
      <c r="D38" s="36" t="s">
        <v>79</v>
      </c>
      <c r="E38" s="36" t="s">
        <v>41</v>
      </c>
      <c r="F38" s="34" t="s">
        <v>116</v>
      </c>
    </row>
    <row r="39" spans="2:6" x14ac:dyDescent="0.2">
      <c r="B39" s="35" t="s">
        <v>301</v>
      </c>
      <c r="C39" s="33" t="s">
        <v>8</v>
      </c>
      <c r="D39" s="36" t="s">
        <v>303</v>
      </c>
      <c r="E39" s="36"/>
      <c r="F39" s="34"/>
    </row>
    <row r="40" spans="2:6" x14ac:dyDescent="0.2">
      <c r="B40" s="35" t="s">
        <v>299</v>
      </c>
      <c r="C40" s="33" t="s">
        <v>44</v>
      </c>
      <c r="D40" s="64" t="s">
        <v>292</v>
      </c>
      <c r="E40" s="36" t="s">
        <v>41</v>
      </c>
      <c r="F40" s="34"/>
    </row>
    <row r="41" spans="2:6" x14ac:dyDescent="0.2">
      <c r="B41" s="35" t="s">
        <v>298</v>
      </c>
      <c r="C41" s="33" t="s">
        <v>44</v>
      </c>
      <c r="D41" s="64" t="s">
        <v>293</v>
      </c>
      <c r="E41" s="36" t="s">
        <v>41</v>
      </c>
      <c r="F41" s="34"/>
    </row>
    <row r="42" spans="2:6" ht="39" x14ac:dyDescent="0.2">
      <c r="B42" s="127" t="s">
        <v>223</v>
      </c>
      <c r="C42" s="33" t="s">
        <v>44</v>
      </c>
      <c r="D42" s="126" t="s">
        <v>300</v>
      </c>
      <c r="E42" s="36" t="s">
        <v>41</v>
      </c>
      <c r="F42" s="34"/>
    </row>
    <row r="43" spans="2:6" x14ac:dyDescent="0.2">
      <c r="B43" s="35" t="s">
        <v>296</v>
      </c>
      <c r="C43" s="33" t="s">
        <v>44</v>
      </c>
      <c r="D43" s="64" t="s">
        <v>294</v>
      </c>
      <c r="E43" s="36" t="s">
        <v>41</v>
      </c>
      <c r="F43" s="34"/>
    </row>
    <row r="44" spans="2:6" x14ac:dyDescent="0.2">
      <c r="B44" s="35" t="s">
        <v>297</v>
      </c>
      <c r="C44" s="33" t="s">
        <v>44</v>
      </c>
      <c r="D44" s="64" t="s">
        <v>295</v>
      </c>
      <c r="E44" s="36" t="s">
        <v>41</v>
      </c>
      <c r="F44" s="34"/>
    </row>
    <row r="45" spans="2:6" x14ac:dyDescent="0.2">
      <c r="B45" s="35" t="s">
        <v>307</v>
      </c>
      <c r="C45" s="33" t="s">
        <v>8</v>
      </c>
      <c r="D45" s="63" t="s">
        <v>355</v>
      </c>
      <c r="E45" s="36" t="s">
        <v>41</v>
      </c>
      <c r="F45" s="34"/>
    </row>
    <row r="46" spans="2:6" x14ac:dyDescent="0.2">
      <c r="B46" s="35" t="s">
        <v>290</v>
      </c>
      <c r="C46" s="33" t="s">
        <v>8</v>
      </c>
      <c r="D46" s="63" t="s">
        <v>308</v>
      </c>
      <c r="E46" s="36" t="s">
        <v>41</v>
      </c>
      <c r="F46" s="34"/>
    </row>
    <row r="47" spans="2:6" x14ac:dyDescent="0.2">
      <c r="B47" s="145" t="s">
        <v>347</v>
      </c>
      <c r="C47" s="33" t="s">
        <v>44</v>
      </c>
      <c r="D47" s="64" t="s">
        <v>295</v>
      </c>
      <c r="E47" s="146"/>
      <c r="F47" s="34" t="s">
        <v>48</v>
      </c>
    </row>
    <row r="48" spans="2:6" x14ac:dyDescent="0.2">
      <c r="B48" s="145" t="s">
        <v>348</v>
      </c>
      <c r="C48" s="33" t="s">
        <v>44</v>
      </c>
      <c r="D48" s="64" t="s">
        <v>350</v>
      </c>
      <c r="E48" s="146"/>
      <c r="F48" s="34" t="s">
        <v>48</v>
      </c>
    </row>
    <row r="49" spans="2:16" x14ac:dyDescent="0.2">
      <c r="B49" s="145" t="s">
        <v>349</v>
      </c>
      <c r="C49" s="33" t="s">
        <v>44</v>
      </c>
      <c r="D49" s="64" t="s">
        <v>354</v>
      </c>
      <c r="E49" s="146"/>
      <c r="F49" s="34" t="s">
        <v>48</v>
      </c>
      <c r="O49" t="s">
        <v>353</v>
      </c>
      <c r="P49">
        <v>2</v>
      </c>
    </row>
    <row r="50" spans="2:16" x14ac:dyDescent="0.2">
      <c r="O50" t="s">
        <v>351</v>
      </c>
      <c r="P50">
        <v>6</v>
      </c>
    </row>
    <row r="51" spans="2:16" x14ac:dyDescent="0.2">
      <c r="O51" t="s">
        <v>352</v>
      </c>
      <c r="P51">
        <v>2</v>
      </c>
    </row>
  </sheetData>
  <mergeCells count="1">
    <mergeCell ref="B5:B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A4B3-8898-4DB5-BC4A-F85852562D38}">
  <dimension ref="A1:R41"/>
  <sheetViews>
    <sheetView topLeftCell="A21" workbookViewId="0">
      <selection activeCell="C50" sqref="C50"/>
    </sheetView>
  </sheetViews>
  <sheetFormatPr baseColWidth="10" defaultColWidth="8.83203125" defaultRowHeight="15" x14ac:dyDescent="0.2"/>
  <cols>
    <col min="2" max="2" width="20.5" bestFit="1" customWidth="1"/>
    <col min="3" max="3" width="30.6640625" bestFit="1" customWidth="1"/>
    <col min="4" max="4" width="26.5" bestFit="1" customWidth="1"/>
  </cols>
  <sheetData>
    <row r="1" spans="1:18" s="11" customFormat="1" ht="21" x14ac:dyDescent="0.2">
      <c r="A1" s="10" t="s">
        <v>59</v>
      </c>
      <c r="Q1" s="12"/>
      <c r="R1" s="12"/>
    </row>
    <row r="4" spans="1:18" x14ac:dyDescent="0.2">
      <c r="B4" s="14" t="s">
        <v>21</v>
      </c>
      <c r="C4" s="15">
        <v>45000</v>
      </c>
      <c r="D4" s="16"/>
    </row>
    <row r="5" spans="1:18" x14ac:dyDescent="0.2">
      <c r="B5" s="14" t="s">
        <v>28</v>
      </c>
      <c r="C5" s="21" t="s">
        <v>29</v>
      </c>
      <c r="D5" s="16"/>
    </row>
    <row r="6" spans="1:18" x14ac:dyDescent="0.2">
      <c r="B6" s="14" t="s">
        <v>9</v>
      </c>
      <c r="C6" s="15" t="s">
        <v>24</v>
      </c>
      <c r="D6" s="16"/>
    </row>
    <row r="7" spans="1:18" x14ac:dyDescent="0.2">
      <c r="B7" s="14" t="s">
        <v>26</v>
      </c>
      <c r="C7" s="16">
        <v>10</v>
      </c>
      <c r="D7" s="16" t="s">
        <v>22</v>
      </c>
    </row>
    <row r="8" spans="1:18" x14ac:dyDescent="0.2">
      <c r="B8" s="14" t="s">
        <v>27</v>
      </c>
      <c r="C8" s="16">
        <v>50</v>
      </c>
      <c r="D8" s="16" t="s">
        <v>22</v>
      </c>
    </row>
    <row r="9" spans="1:18" x14ac:dyDescent="0.2">
      <c r="B9" s="17" t="s">
        <v>23</v>
      </c>
      <c r="C9" s="20" t="s">
        <v>25</v>
      </c>
      <c r="D9" s="20" t="s">
        <v>25</v>
      </c>
    </row>
    <row r="10" spans="1:18" x14ac:dyDescent="0.2">
      <c r="B10" s="18">
        <v>1</v>
      </c>
      <c r="C10" s="40">
        <v>10.228999999999999</v>
      </c>
      <c r="D10" s="40">
        <v>50.134</v>
      </c>
    </row>
    <row r="11" spans="1:18" x14ac:dyDescent="0.2">
      <c r="B11" s="18">
        <v>2</v>
      </c>
      <c r="C11" s="40">
        <v>10.116</v>
      </c>
      <c r="D11" s="40">
        <v>50.116</v>
      </c>
    </row>
    <row r="12" spans="1:18" x14ac:dyDescent="0.2">
      <c r="B12" s="18">
        <v>3</v>
      </c>
      <c r="C12" s="40">
        <v>10.220000000000001</v>
      </c>
      <c r="D12" s="40">
        <v>50.195</v>
      </c>
    </row>
    <row r="13" spans="1:18" x14ac:dyDescent="0.2">
      <c r="B13" s="18">
        <v>4</v>
      </c>
      <c r="C13" s="40">
        <v>10.225</v>
      </c>
      <c r="D13" s="40">
        <v>50.265000000000001</v>
      </c>
    </row>
    <row r="14" spans="1:18" x14ac:dyDescent="0.2">
      <c r="B14" s="18">
        <v>5</v>
      </c>
      <c r="C14" s="40">
        <v>10.249000000000001</v>
      </c>
      <c r="D14" s="40">
        <v>50.24</v>
      </c>
    </row>
    <row r="15" spans="1:18" x14ac:dyDescent="0.2">
      <c r="B15" s="18">
        <v>6</v>
      </c>
      <c r="C15" s="40">
        <v>10.167</v>
      </c>
      <c r="D15" s="40">
        <v>50.34</v>
      </c>
    </row>
    <row r="16" spans="1:18" x14ac:dyDescent="0.2">
      <c r="B16" s="18">
        <v>7</v>
      </c>
      <c r="C16" s="40">
        <v>10.164999999999999</v>
      </c>
      <c r="D16" s="40">
        <v>50.093000000000004</v>
      </c>
    </row>
    <row r="17" spans="2:5" x14ac:dyDescent="0.2">
      <c r="B17" s="18">
        <v>8</v>
      </c>
      <c r="C17" s="40">
        <v>10.205</v>
      </c>
      <c r="D17" s="40">
        <v>50.023000000000003</v>
      </c>
    </row>
    <row r="18" spans="2:5" x14ac:dyDescent="0.2">
      <c r="B18" s="18">
        <v>9</v>
      </c>
      <c r="C18" s="40">
        <v>10.297000000000001</v>
      </c>
      <c r="D18" s="40">
        <v>50.003999999999998</v>
      </c>
    </row>
    <row r="19" spans="2:5" x14ac:dyDescent="0.2">
      <c r="B19" s="18">
        <v>10</v>
      </c>
      <c r="C19" s="40">
        <v>10.208</v>
      </c>
      <c r="D19" s="40">
        <v>50.268000000000001</v>
      </c>
    </row>
    <row r="20" spans="2:5" x14ac:dyDescent="0.2">
      <c r="B20" s="16" t="s">
        <v>17</v>
      </c>
      <c r="C20" s="19">
        <f>AVERAGE(C10:C19)</f>
        <v>10.2081</v>
      </c>
      <c r="D20" s="19">
        <f>AVERAGE(D10:D19)</f>
        <v>50.1678</v>
      </c>
    </row>
    <row r="21" spans="2:5" x14ac:dyDescent="0.2">
      <c r="B21" s="14" t="s">
        <v>18</v>
      </c>
      <c r="C21" s="22">
        <f>C20/C7</f>
        <v>1.02081</v>
      </c>
      <c r="D21" s="22">
        <f>D20/C8</f>
        <v>1.0033559999999999</v>
      </c>
      <c r="E21" s="23">
        <f>AVERAGE(C21:D21)</f>
        <v>1.0120830000000001</v>
      </c>
    </row>
    <row r="24" spans="2:5" x14ac:dyDescent="0.2">
      <c r="B24" s="14" t="s">
        <v>21</v>
      </c>
      <c r="C24" s="15">
        <v>45047</v>
      </c>
      <c r="D24" s="16"/>
    </row>
    <row r="25" spans="2:5" x14ac:dyDescent="0.2">
      <c r="B25" s="14" t="s">
        <v>28</v>
      </c>
      <c r="C25" s="21" t="s">
        <v>29</v>
      </c>
      <c r="D25" s="16"/>
    </row>
    <row r="26" spans="2:5" x14ac:dyDescent="0.2">
      <c r="B26" s="14" t="s">
        <v>9</v>
      </c>
      <c r="C26" s="15"/>
      <c r="D26" s="16"/>
    </row>
    <row r="27" spans="2:5" x14ac:dyDescent="0.2">
      <c r="B27" s="14" t="s">
        <v>26</v>
      </c>
      <c r="C27" s="16">
        <v>10</v>
      </c>
      <c r="D27" s="16" t="s">
        <v>22</v>
      </c>
    </row>
    <row r="28" spans="2:5" x14ac:dyDescent="0.2">
      <c r="B28" s="14" t="s">
        <v>27</v>
      </c>
      <c r="C28" s="16">
        <v>50</v>
      </c>
      <c r="D28" s="16" t="s">
        <v>22</v>
      </c>
    </row>
    <row r="29" spans="2:5" x14ac:dyDescent="0.2">
      <c r="B29" s="17" t="s">
        <v>23</v>
      </c>
      <c r="C29" s="20" t="s">
        <v>25</v>
      </c>
      <c r="D29" s="20" t="s">
        <v>25</v>
      </c>
    </row>
    <row r="30" spans="2:5" x14ac:dyDescent="0.2">
      <c r="B30" s="18">
        <v>1</v>
      </c>
      <c r="C30" s="18" t="s">
        <v>64</v>
      </c>
      <c r="D30" s="18"/>
    </row>
    <row r="31" spans="2:5" x14ac:dyDescent="0.2">
      <c r="B31" s="18">
        <v>2</v>
      </c>
      <c r="C31" s="18" t="s">
        <v>64</v>
      </c>
      <c r="D31" s="18"/>
    </row>
    <row r="32" spans="2:5" x14ac:dyDescent="0.2">
      <c r="B32" s="18">
        <v>3</v>
      </c>
      <c r="C32" s="18" t="s">
        <v>64</v>
      </c>
      <c r="D32" s="18"/>
    </row>
    <row r="33" spans="2:5" x14ac:dyDescent="0.2">
      <c r="B33" s="18">
        <v>4</v>
      </c>
      <c r="C33" s="18" t="s">
        <v>64</v>
      </c>
      <c r="D33" s="18"/>
    </row>
    <row r="34" spans="2:5" x14ac:dyDescent="0.2">
      <c r="B34" s="18">
        <v>5</v>
      </c>
      <c r="C34" s="18" t="s">
        <v>64</v>
      </c>
      <c r="D34" s="18"/>
    </row>
    <row r="35" spans="2:5" x14ac:dyDescent="0.2">
      <c r="B35" s="18">
        <v>6</v>
      </c>
      <c r="C35" s="18" t="s">
        <v>64</v>
      </c>
      <c r="D35" s="18"/>
    </row>
    <row r="36" spans="2:5" x14ac:dyDescent="0.2">
      <c r="B36" s="18">
        <v>7</v>
      </c>
      <c r="C36" s="18" t="s">
        <v>64</v>
      </c>
      <c r="D36" s="18"/>
    </row>
    <row r="37" spans="2:5" x14ac:dyDescent="0.2">
      <c r="B37" s="18">
        <v>8</v>
      </c>
      <c r="C37" s="18" t="s">
        <v>64</v>
      </c>
      <c r="D37" s="18"/>
    </row>
    <row r="38" spans="2:5" x14ac:dyDescent="0.2">
      <c r="B38" s="18">
        <v>9</v>
      </c>
      <c r="C38" s="18" t="s">
        <v>64</v>
      </c>
      <c r="D38" s="18"/>
    </row>
    <row r="39" spans="2:5" x14ac:dyDescent="0.2">
      <c r="B39" s="18">
        <v>10</v>
      </c>
      <c r="C39" s="18" t="s">
        <v>64</v>
      </c>
      <c r="D39" s="18"/>
    </row>
    <row r="40" spans="2:5" x14ac:dyDescent="0.2">
      <c r="B40" s="16" t="s">
        <v>17</v>
      </c>
      <c r="C40" s="19" t="e">
        <f>AVERAGE(C30:C39)</f>
        <v>#DIV/0!</v>
      </c>
      <c r="D40" s="19" t="e">
        <f>AVERAGE(D30:D39)</f>
        <v>#DIV/0!</v>
      </c>
    </row>
    <row r="41" spans="2:5" x14ac:dyDescent="0.2">
      <c r="B41" s="14" t="s">
        <v>18</v>
      </c>
      <c r="C41" s="22" t="e">
        <f>C40/C27</f>
        <v>#DIV/0!</v>
      </c>
      <c r="D41" s="22" t="e">
        <f>D40/C28</f>
        <v>#DIV/0!</v>
      </c>
      <c r="E41" s="23" t="e">
        <f>D41</f>
        <v>#DIV/0!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5677-A8BD-4BE6-8D3A-9EA5CB5C24DC}">
  <sheetPr>
    <pageSetUpPr fitToPage="1"/>
  </sheetPr>
  <dimension ref="A1:AH37"/>
  <sheetViews>
    <sheetView zoomScale="70" zoomScaleNormal="70" workbookViewId="0">
      <pane ySplit="4" topLeftCell="A5" activePane="bottomLeft" state="frozen"/>
      <selection activeCell="E38" sqref="E38"/>
      <selection pane="bottomLeft" activeCell="E38" sqref="E38"/>
    </sheetView>
  </sheetViews>
  <sheetFormatPr baseColWidth="10" defaultColWidth="8.83203125" defaultRowHeight="15" x14ac:dyDescent="0.2"/>
  <cols>
    <col min="1" max="1" width="29.5" style="2" bestFit="1" customWidth="1"/>
    <col min="2" max="2" width="21.33203125" style="3" bestFit="1" customWidth="1"/>
    <col min="3" max="3" width="15.5" style="3" customWidth="1"/>
    <col min="4" max="4" width="23.1640625" style="3" customWidth="1"/>
    <col min="5" max="5" width="10" style="3" customWidth="1"/>
    <col min="6" max="6" width="15" style="2" customWidth="1"/>
    <col min="7" max="7" width="17.1640625" style="3" bestFit="1" customWidth="1"/>
    <col min="8" max="8" width="16.5" style="3" bestFit="1" customWidth="1"/>
    <col min="9" max="9" width="15.83203125" style="2" bestFit="1" customWidth="1"/>
    <col min="10" max="10" width="20.5" style="2" customWidth="1"/>
    <col min="11" max="11" width="18.83203125" style="2" bestFit="1" customWidth="1"/>
    <col min="12" max="12" width="18.83203125" style="3" bestFit="1" customWidth="1"/>
    <col min="13" max="14" width="18.83203125" style="3" customWidth="1"/>
    <col min="15" max="15" width="12" style="2" bestFit="1" customWidth="1"/>
    <col min="16" max="17" width="15.6640625" style="55" hidden="1" customWidth="1"/>
    <col min="18" max="18" width="22.33203125" style="2" bestFit="1" customWidth="1"/>
    <col min="19" max="19" width="22.5" style="2" bestFit="1" customWidth="1"/>
    <col min="20" max="20" width="21" style="3" bestFit="1" customWidth="1"/>
    <col min="21" max="21" width="21" style="2" customWidth="1"/>
    <col min="22" max="22" width="10" style="2" bestFit="1" customWidth="1"/>
    <col min="23" max="23" width="21.5" style="2" customWidth="1"/>
    <col min="24" max="24" width="18" style="2" bestFit="1" customWidth="1"/>
    <col min="25" max="25" width="20.6640625" style="2" bestFit="1" customWidth="1"/>
    <col min="26" max="26" width="18" style="2" customWidth="1"/>
    <col min="27" max="28" width="15.83203125" style="2" bestFit="1" customWidth="1"/>
    <col min="29" max="29" width="8.83203125" style="2"/>
    <col min="30" max="30" width="21.5" style="2" bestFit="1" customWidth="1"/>
    <col min="31" max="31" width="10.5" style="2" bestFit="1" customWidth="1"/>
    <col min="32" max="32" width="10.83203125" style="2" bestFit="1" customWidth="1"/>
    <col min="33" max="33" width="10.5" style="2" bestFit="1" customWidth="1"/>
    <col min="34" max="34" width="10.83203125" style="2" bestFit="1" customWidth="1"/>
    <col min="35" max="16384" width="8.83203125" style="2"/>
  </cols>
  <sheetData>
    <row r="1" spans="1:34" s="11" customFormat="1" ht="21" x14ac:dyDescent="0.2">
      <c r="A1" s="10" t="s">
        <v>36</v>
      </c>
      <c r="T1" s="12"/>
      <c r="W1" s="60" t="s">
        <v>82</v>
      </c>
      <c r="X1" s="72">
        <v>45180</v>
      </c>
      <c r="Y1" s="12" t="s">
        <v>122</v>
      </c>
      <c r="Z1" s="12"/>
    </row>
    <row r="2" spans="1:34" x14ac:dyDescent="0.2">
      <c r="A2" s="2" t="s">
        <v>57</v>
      </c>
      <c r="B2" s="3">
        <f>4*12</f>
        <v>48</v>
      </c>
      <c r="L2" s="7"/>
      <c r="M2" s="7"/>
      <c r="N2" s="7"/>
      <c r="P2" s="2"/>
      <c r="Q2" s="2"/>
      <c r="W2" s="3" t="s">
        <v>105</v>
      </c>
      <c r="X2" s="3" t="s">
        <v>105</v>
      </c>
      <c r="Y2" s="3" t="s">
        <v>106</v>
      </c>
      <c r="Z2" s="3" t="s">
        <v>106</v>
      </c>
      <c r="AA2" s="180" t="s">
        <v>47</v>
      </c>
      <c r="AB2" s="180"/>
    </row>
    <row r="3" spans="1:34" x14ac:dyDescent="0.2">
      <c r="A3" s="2" t="s">
        <v>68</v>
      </c>
      <c r="B3" s="47">
        <v>45153</v>
      </c>
      <c r="F3" s="25" t="s">
        <v>5</v>
      </c>
      <c r="G3" s="25" t="s">
        <v>6</v>
      </c>
      <c r="H3" s="25" t="s">
        <v>8</v>
      </c>
      <c r="I3" s="25" t="s">
        <v>6</v>
      </c>
      <c r="J3" s="25" t="s">
        <v>6</v>
      </c>
      <c r="K3" s="25" t="s">
        <v>6</v>
      </c>
      <c r="L3" s="25" t="s">
        <v>6</v>
      </c>
      <c r="M3" s="25" t="s">
        <v>8</v>
      </c>
      <c r="N3" s="25" t="s">
        <v>8</v>
      </c>
      <c r="O3" s="25" t="s">
        <v>8</v>
      </c>
      <c r="P3" s="25" t="s">
        <v>8</v>
      </c>
      <c r="Q3" s="25"/>
      <c r="R3" s="25" t="s">
        <v>7</v>
      </c>
      <c r="S3" s="25" t="s">
        <v>7</v>
      </c>
      <c r="T3" s="25" t="s">
        <v>56</v>
      </c>
      <c r="U3" s="43"/>
      <c r="W3" s="73" t="s">
        <v>121</v>
      </c>
      <c r="X3" s="71" t="s">
        <v>8</v>
      </c>
      <c r="Y3" s="73" t="s">
        <v>121</v>
      </c>
      <c r="Z3" s="71" t="s">
        <v>8</v>
      </c>
      <c r="AA3" s="71" t="s">
        <v>63</v>
      </c>
      <c r="AB3" s="71" t="s">
        <v>63</v>
      </c>
    </row>
    <row r="4" spans="1:34" x14ac:dyDescent="0.2">
      <c r="A4" s="6" t="s">
        <v>9</v>
      </c>
      <c r="B4" s="6" t="s">
        <v>72</v>
      </c>
      <c r="C4" s="6" t="s">
        <v>67</v>
      </c>
      <c r="D4" s="6" t="s">
        <v>33</v>
      </c>
      <c r="E4" s="6" t="s">
        <v>4</v>
      </c>
      <c r="F4" s="24" t="s">
        <v>0</v>
      </c>
      <c r="G4" s="24" t="s">
        <v>13</v>
      </c>
      <c r="H4" s="24" t="s">
        <v>83</v>
      </c>
      <c r="I4" s="24" t="s">
        <v>69</v>
      </c>
      <c r="J4" s="24" t="s">
        <v>34</v>
      </c>
      <c r="K4" s="24" t="s">
        <v>2</v>
      </c>
      <c r="L4" s="24" t="s">
        <v>3</v>
      </c>
      <c r="M4" s="24" t="s">
        <v>70</v>
      </c>
      <c r="N4" s="24" t="s">
        <v>1</v>
      </c>
      <c r="O4" s="24" t="s">
        <v>71</v>
      </c>
      <c r="P4" s="56" t="s">
        <v>96</v>
      </c>
      <c r="Q4" s="56" t="s">
        <v>109</v>
      </c>
      <c r="R4" s="24" t="s">
        <v>98</v>
      </c>
      <c r="S4" s="24" t="s">
        <v>97</v>
      </c>
      <c r="T4" s="24" t="s">
        <v>30</v>
      </c>
      <c r="U4" s="53"/>
      <c r="W4" s="37" t="s">
        <v>60</v>
      </c>
      <c r="X4" s="61" t="s">
        <v>61</v>
      </c>
      <c r="Y4" s="37" t="s">
        <v>80</v>
      </c>
      <c r="Z4" s="61" t="s">
        <v>81</v>
      </c>
      <c r="AA4" s="61" t="s">
        <v>62</v>
      </c>
      <c r="AB4" s="61" t="s">
        <v>107</v>
      </c>
      <c r="AD4" s="38"/>
      <c r="AE4" s="178" t="s">
        <v>99</v>
      </c>
      <c r="AF4" s="179"/>
      <c r="AG4" s="178" t="s">
        <v>100</v>
      </c>
      <c r="AH4" s="179"/>
    </row>
    <row r="5" spans="1:34" x14ac:dyDescent="0.2">
      <c r="A5" s="48" t="s">
        <v>14</v>
      </c>
      <c r="B5" s="49">
        <v>45173</v>
      </c>
      <c r="C5" s="48">
        <f t="shared" ref="C5:C16" si="0">B5-$B$3</f>
        <v>20</v>
      </c>
      <c r="D5" s="52" t="s">
        <v>84</v>
      </c>
      <c r="E5" s="48">
        <v>1</v>
      </c>
      <c r="F5" s="9">
        <v>11</v>
      </c>
      <c r="G5" s="5">
        <v>2</v>
      </c>
      <c r="H5" s="68" t="s">
        <v>32</v>
      </c>
      <c r="I5" s="5">
        <v>5</v>
      </c>
      <c r="J5" s="58">
        <f t="shared" ref="J5:J16" si="1">G5+I5</f>
        <v>7</v>
      </c>
      <c r="K5" s="5">
        <v>3</v>
      </c>
      <c r="L5" s="5">
        <f t="shared" ref="L5:L16" si="2">I5-K5</f>
        <v>2</v>
      </c>
      <c r="M5" s="5">
        <v>1.37</v>
      </c>
      <c r="N5" s="5">
        <v>0.7</v>
      </c>
      <c r="O5" s="8">
        <v>0.65</v>
      </c>
      <c r="P5" s="28">
        <f t="shared" ref="P5:P16" si="3">N5+O5</f>
        <v>1.35</v>
      </c>
      <c r="Q5" s="28">
        <f t="shared" ref="Q5:Q16" si="4">ABS(P5-M5)</f>
        <v>2.0000000000000018E-2</v>
      </c>
      <c r="R5" s="8">
        <v>29.43</v>
      </c>
      <c r="S5" s="65" t="s">
        <v>32</v>
      </c>
      <c r="T5" s="58" t="s">
        <v>32</v>
      </c>
      <c r="U5" s="3"/>
      <c r="V5" s="39" t="str">
        <f t="shared" ref="V5:V16" si="5">D5</f>
        <v>CHERRY_1</v>
      </c>
      <c r="W5" s="76">
        <v>2.581</v>
      </c>
      <c r="X5" s="77">
        <f t="shared" ref="X5:X16" si="6">W5-(AVERAGE($AE$7:$AF$7))</f>
        <v>7.3999999999999844E-2</v>
      </c>
      <c r="Y5" s="76">
        <v>2.5640000000000001</v>
      </c>
      <c r="Z5" s="77">
        <f t="shared" ref="Z5:Z15" si="7">Y5-(AVERAGE($AE$7:$AF$7))</f>
        <v>5.699999999999994E-2</v>
      </c>
      <c r="AA5" s="41">
        <f t="shared" ref="AA5:AA16" si="8">X5/N5</f>
        <v>0.1057142857142855</v>
      </c>
      <c r="AB5" s="41">
        <f t="shared" ref="AB5:AB16" si="9">Z5/O5</f>
        <v>8.7692307692307597E-2</v>
      </c>
      <c r="AD5" s="38"/>
      <c r="AE5" s="4" t="s">
        <v>101</v>
      </c>
      <c r="AF5" s="4" t="s">
        <v>102</v>
      </c>
      <c r="AG5" s="4" t="s">
        <v>103</v>
      </c>
      <c r="AH5" s="4" t="s">
        <v>104</v>
      </c>
    </row>
    <row r="6" spans="1:34" x14ac:dyDescent="0.2">
      <c r="A6" s="48" t="s">
        <v>14</v>
      </c>
      <c r="B6" s="49">
        <v>45173</v>
      </c>
      <c r="C6" s="48">
        <f t="shared" si="0"/>
        <v>20</v>
      </c>
      <c r="D6" s="48" t="s">
        <v>85</v>
      </c>
      <c r="E6" s="48">
        <v>2</v>
      </c>
      <c r="F6" s="9">
        <v>12</v>
      </c>
      <c r="G6" s="5">
        <v>2</v>
      </c>
      <c r="H6" s="68">
        <v>0.05</v>
      </c>
      <c r="I6" s="5">
        <v>5</v>
      </c>
      <c r="J6" s="5">
        <f t="shared" si="1"/>
        <v>7</v>
      </c>
      <c r="K6" s="5">
        <v>1</v>
      </c>
      <c r="L6" s="5">
        <f t="shared" si="2"/>
        <v>4</v>
      </c>
      <c r="M6" s="5">
        <v>1.77</v>
      </c>
      <c r="N6" s="5">
        <v>0.92</v>
      </c>
      <c r="O6" s="8">
        <v>0.84</v>
      </c>
      <c r="P6" s="28">
        <f t="shared" si="3"/>
        <v>1.76</v>
      </c>
      <c r="Q6" s="28">
        <f t="shared" si="4"/>
        <v>1.0000000000000009E-2</v>
      </c>
      <c r="R6" s="8">
        <v>38.950000000000003</v>
      </c>
      <c r="S6" s="65" t="s">
        <v>32</v>
      </c>
      <c r="T6" s="5" t="s">
        <v>32</v>
      </c>
      <c r="U6" s="3"/>
      <c r="V6" s="39" t="str">
        <f t="shared" si="5"/>
        <v>CHERRY_2</v>
      </c>
      <c r="W6" s="76">
        <v>2.5710000000000002</v>
      </c>
      <c r="X6" s="77">
        <f t="shared" si="6"/>
        <v>6.4000000000000057E-2</v>
      </c>
      <c r="Y6" s="76">
        <v>2.5640000000000001</v>
      </c>
      <c r="Z6" s="77">
        <f t="shared" si="7"/>
        <v>5.699999999999994E-2</v>
      </c>
      <c r="AA6" s="41">
        <f t="shared" si="8"/>
        <v>6.9565217391304404E-2</v>
      </c>
      <c r="AB6" s="41">
        <f t="shared" si="9"/>
        <v>6.7857142857142783E-2</v>
      </c>
      <c r="AD6" s="38" t="s">
        <v>53</v>
      </c>
      <c r="AE6" s="5">
        <v>2.63</v>
      </c>
      <c r="AF6" s="5">
        <v>2.67</v>
      </c>
      <c r="AG6" s="5">
        <v>5.12</v>
      </c>
      <c r="AH6" s="5">
        <v>5.08</v>
      </c>
    </row>
    <row r="7" spans="1:34" x14ac:dyDescent="0.2">
      <c r="A7" s="48" t="s">
        <v>14</v>
      </c>
      <c r="B7" s="49">
        <v>45173</v>
      </c>
      <c r="C7" s="48">
        <f t="shared" si="0"/>
        <v>20</v>
      </c>
      <c r="D7" s="48" t="s">
        <v>86</v>
      </c>
      <c r="E7" s="48">
        <v>3</v>
      </c>
      <c r="F7" s="9">
        <v>11</v>
      </c>
      <c r="G7" s="5">
        <v>2</v>
      </c>
      <c r="H7" s="68">
        <v>7.0000000000000007E-2</v>
      </c>
      <c r="I7" s="5">
        <v>5</v>
      </c>
      <c r="J7" s="5">
        <f t="shared" si="1"/>
        <v>7</v>
      </c>
      <c r="K7" s="5">
        <v>2</v>
      </c>
      <c r="L7" s="5">
        <f t="shared" si="2"/>
        <v>3</v>
      </c>
      <c r="M7" s="5">
        <v>1.75</v>
      </c>
      <c r="N7" s="5">
        <v>0.91</v>
      </c>
      <c r="O7" s="8">
        <v>0.8</v>
      </c>
      <c r="P7" s="28">
        <f t="shared" si="3"/>
        <v>1.71</v>
      </c>
      <c r="Q7" s="28">
        <f t="shared" si="4"/>
        <v>4.0000000000000036E-2</v>
      </c>
      <c r="R7" s="8">
        <v>38.58</v>
      </c>
      <c r="S7" s="67" t="s">
        <v>32</v>
      </c>
      <c r="T7" s="5" t="s">
        <v>32</v>
      </c>
      <c r="U7" s="3"/>
      <c r="V7" s="39" t="str">
        <f t="shared" si="5"/>
        <v>CHERRY_3</v>
      </c>
      <c r="W7" s="76">
        <v>2.5619999999999998</v>
      </c>
      <c r="X7" s="77">
        <f t="shared" si="6"/>
        <v>5.4999999999999716E-2</v>
      </c>
      <c r="Y7" s="76">
        <v>2.5750000000000002</v>
      </c>
      <c r="Z7" s="77">
        <f t="shared" si="7"/>
        <v>6.800000000000006E-2</v>
      </c>
      <c r="AA7" s="41">
        <f t="shared" si="8"/>
        <v>6.0439560439560128E-2</v>
      </c>
      <c r="AB7" s="41">
        <f t="shared" si="9"/>
        <v>8.5000000000000075E-2</v>
      </c>
      <c r="AD7" s="38" t="s">
        <v>54</v>
      </c>
      <c r="AE7" s="74">
        <v>2.4870000000000001</v>
      </c>
      <c r="AF7" s="74">
        <v>2.5270000000000001</v>
      </c>
      <c r="AG7" s="74">
        <v>4.7320000000000002</v>
      </c>
      <c r="AH7" s="74">
        <v>4.7629999999999999</v>
      </c>
    </row>
    <row r="8" spans="1:34" x14ac:dyDescent="0.2">
      <c r="A8" s="48" t="s">
        <v>14</v>
      </c>
      <c r="B8" s="49">
        <v>45173</v>
      </c>
      <c r="C8" s="48">
        <f t="shared" si="0"/>
        <v>20</v>
      </c>
      <c r="D8" s="48" t="s">
        <v>87</v>
      </c>
      <c r="E8" s="48">
        <v>4</v>
      </c>
      <c r="F8" s="9">
        <v>12.5</v>
      </c>
      <c r="G8" s="5">
        <v>2</v>
      </c>
      <c r="H8" s="68">
        <v>0.11</v>
      </c>
      <c r="I8" s="5">
        <v>5</v>
      </c>
      <c r="J8" s="5">
        <f t="shared" si="1"/>
        <v>7</v>
      </c>
      <c r="K8" s="5">
        <v>2</v>
      </c>
      <c r="L8" s="5">
        <f t="shared" si="2"/>
        <v>3</v>
      </c>
      <c r="M8" s="5">
        <v>1.88</v>
      </c>
      <c r="N8" s="5">
        <v>1.05</v>
      </c>
      <c r="O8" s="8">
        <v>0.79</v>
      </c>
      <c r="P8" s="28">
        <f t="shared" si="3"/>
        <v>1.84</v>
      </c>
      <c r="Q8" s="28">
        <f t="shared" si="4"/>
        <v>3.9999999999999813E-2</v>
      </c>
      <c r="R8" s="8">
        <v>41.88</v>
      </c>
      <c r="S8" s="65">
        <v>2.5099999999999998</v>
      </c>
      <c r="T8" s="57" t="s">
        <v>32</v>
      </c>
      <c r="U8" s="3"/>
      <c r="V8" s="39" t="str">
        <f t="shared" si="5"/>
        <v>CHERRY_4</v>
      </c>
      <c r="W8" s="76">
        <v>2.5859999999999999</v>
      </c>
      <c r="X8" s="77">
        <f t="shared" si="6"/>
        <v>7.8999999999999737E-2</v>
      </c>
      <c r="Y8" s="76">
        <v>2.5139999999999998</v>
      </c>
      <c r="Z8" s="77">
        <f t="shared" si="7"/>
        <v>6.9999999999996732E-3</v>
      </c>
      <c r="AA8" s="41">
        <f t="shared" si="8"/>
        <v>7.5238095238094979E-2</v>
      </c>
      <c r="AB8" s="41">
        <f t="shared" si="9"/>
        <v>8.8607594936704719E-3</v>
      </c>
    </row>
    <row r="9" spans="1:34" x14ac:dyDescent="0.2">
      <c r="A9" s="48" t="s">
        <v>14</v>
      </c>
      <c r="B9" s="49">
        <v>45173</v>
      </c>
      <c r="C9" s="48">
        <f t="shared" si="0"/>
        <v>20</v>
      </c>
      <c r="D9" s="48" t="s">
        <v>88</v>
      </c>
      <c r="E9" s="48">
        <v>5</v>
      </c>
      <c r="F9" s="9">
        <v>10.5</v>
      </c>
      <c r="G9" s="5">
        <v>2</v>
      </c>
      <c r="H9" s="68">
        <v>7.0000000000000007E-2</v>
      </c>
      <c r="I9" s="5">
        <v>5</v>
      </c>
      <c r="J9" s="5">
        <f t="shared" si="1"/>
        <v>7</v>
      </c>
      <c r="K9" s="5">
        <v>2</v>
      </c>
      <c r="L9" s="5">
        <f t="shared" si="2"/>
        <v>3</v>
      </c>
      <c r="M9" s="5">
        <v>1.77</v>
      </c>
      <c r="N9" s="5">
        <v>0.96</v>
      </c>
      <c r="O9" s="8">
        <v>0.81</v>
      </c>
      <c r="P9" s="28">
        <f t="shared" si="3"/>
        <v>1.77</v>
      </c>
      <c r="Q9" s="28">
        <f t="shared" si="4"/>
        <v>0</v>
      </c>
      <c r="R9" s="8">
        <v>39.25</v>
      </c>
      <c r="S9" s="65">
        <v>2.66</v>
      </c>
      <c r="T9" s="57" t="s">
        <v>32</v>
      </c>
      <c r="U9" s="54"/>
      <c r="V9" s="39" t="str">
        <f t="shared" si="5"/>
        <v>CHERRY_5</v>
      </c>
      <c r="W9" s="76">
        <v>2.609</v>
      </c>
      <c r="X9" s="77">
        <f t="shared" si="6"/>
        <v>0.10199999999999987</v>
      </c>
      <c r="Y9" s="76">
        <v>2.5209999999999999</v>
      </c>
      <c r="Z9" s="77">
        <f t="shared" si="7"/>
        <v>1.399999999999979E-2</v>
      </c>
      <c r="AA9" s="41">
        <f t="shared" si="8"/>
        <v>0.10624999999999987</v>
      </c>
      <c r="AB9" s="41">
        <f t="shared" si="9"/>
        <v>1.7283950617283692E-2</v>
      </c>
    </row>
    <row r="10" spans="1:34" x14ac:dyDescent="0.2">
      <c r="A10" s="48" t="s">
        <v>14</v>
      </c>
      <c r="B10" s="49">
        <v>45173</v>
      </c>
      <c r="C10" s="48">
        <f t="shared" si="0"/>
        <v>20</v>
      </c>
      <c r="D10" s="48" t="s">
        <v>89</v>
      </c>
      <c r="E10" s="48">
        <v>6</v>
      </c>
      <c r="F10" s="9">
        <v>12</v>
      </c>
      <c r="G10" s="5">
        <v>2</v>
      </c>
      <c r="H10" s="68">
        <v>0.1</v>
      </c>
      <c r="I10" s="5">
        <v>5</v>
      </c>
      <c r="J10" s="5">
        <f t="shared" si="1"/>
        <v>7</v>
      </c>
      <c r="K10" s="5">
        <v>2</v>
      </c>
      <c r="L10" s="5">
        <f t="shared" si="2"/>
        <v>3</v>
      </c>
      <c r="M10" s="5">
        <v>1.79</v>
      </c>
      <c r="N10" s="5">
        <v>0.9</v>
      </c>
      <c r="O10" s="8">
        <v>0.87</v>
      </c>
      <c r="P10" s="28">
        <f t="shared" si="3"/>
        <v>1.77</v>
      </c>
      <c r="Q10" s="28">
        <f t="shared" si="4"/>
        <v>2.0000000000000018E-2</v>
      </c>
      <c r="R10" s="8">
        <v>39.85</v>
      </c>
      <c r="S10" s="65">
        <v>2.41</v>
      </c>
      <c r="T10" s="57" t="s">
        <v>32</v>
      </c>
      <c r="U10" s="3"/>
      <c r="V10" s="39" t="str">
        <f t="shared" si="5"/>
        <v>CHERRY_6</v>
      </c>
      <c r="W10" s="76">
        <v>2.58</v>
      </c>
      <c r="X10" s="77">
        <f t="shared" si="6"/>
        <v>7.2999999999999954E-2</v>
      </c>
      <c r="Y10" s="76">
        <v>2.5299999999999998</v>
      </c>
      <c r="Z10" s="77">
        <f t="shared" si="7"/>
        <v>2.2999999999999687E-2</v>
      </c>
      <c r="AA10" s="41">
        <f t="shared" si="8"/>
        <v>8.1111111111111064E-2</v>
      </c>
      <c r="AB10" s="41">
        <f t="shared" si="9"/>
        <v>2.6436781609195045E-2</v>
      </c>
    </row>
    <row r="11" spans="1:34" x14ac:dyDescent="0.2">
      <c r="A11" s="48" t="s">
        <v>14</v>
      </c>
      <c r="B11" s="49">
        <v>45173</v>
      </c>
      <c r="C11" s="48">
        <f t="shared" si="0"/>
        <v>20</v>
      </c>
      <c r="D11" s="48" t="s">
        <v>90</v>
      </c>
      <c r="E11" s="48">
        <v>7</v>
      </c>
      <c r="F11" s="9">
        <v>11</v>
      </c>
      <c r="G11" s="5">
        <v>2</v>
      </c>
      <c r="H11" s="68">
        <v>0.09</v>
      </c>
      <c r="I11" s="5">
        <v>5</v>
      </c>
      <c r="J11" s="5">
        <f t="shared" si="1"/>
        <v>7</v>
      </c>
      <c r="K11" s="5">
        <v>3</v>
      </c>
      <c r="L11" s="5">
        <f t="shared" si="2"/>
        <v>2</v>
      </c>
      <c r="M11" s="5">
        <v>1.75</v>
      </c>
      <c r="N11" s="5">
        <v>0.84</v>
      </c>
      <c r="O11" s="8">
        <v>0.93</v>
      </c>
      <c r="P11" s="28">
        <f t="shared" si="3"/>
        <v>1.77</v>
      </c>
      <c r="Q11" s="28">
        <f t="shared" si="4"/>
        <v>2.0000000000000018E-2</v>
      </c>
      <c r="R11" s="8">
        <v>30</v>
      </c>
      <c r="S11" s="65">
        <v>2.86</v>
      </c>
      <c r="T11" s="57" t="s">
        <v>32</v>
      </c>
      <c r="U11" s="3"/>
      <c r="V11" s="39" t="str">
        <f t="shared" si="5"/>
        <v>CHERRY_7</v>
      </c>
      <c r="W11" s="76">
        <v>2.5739999999999998</v>
      </c>
      <c r="X11" s="77">
        <f t="shared" si="6"/>
        <v>6.6999999999999726E-2</v>
      </c>
      <c r="Y11" s="76">
        <v>2.552</v>
      </c>
      <c r="Z11" s="77">
        <f t="shared" si="7"/>
        <v>4.4999999999999929E-2</v>
      </c>
      <c r="AA11" s="41">
        <f t="shared" si="8"/>
        <v>7.9761904761904437E-2</v>
      </c>
      <c r="AB11" s="41">
        <f t="shared" si="9"/>
        <v>4.8387096774193471E-2</v>
      </c>
    </row>
    <row r="12" spans="1:34" x14ac:dyDescent="0.2">
      <c r="A12" s="48" t="s">
        <v>14</v>
      </c>
      <c r="B12" s="49">
        <v>45173</v>
      </c>
      <c r="C12" s="48">
        <f t="shared" si="0"/>
        <v>20</v>
      </c>
      <c r="D12" s="48" t="s">
        <v>91</v>
      </c>
      <c r="E12" s="48">
        <v>8</v>
      </c>
      <c r="F12" s="9">
        <v>9.5</v>
      </c>
      <c r="G12" s="5">
        <v>2</v>
      </c>
      <c r="H12" s="68">
        <v>7.0000000000000007E-2</v>
      </c>
      <c r="I12" s="5">
        <v>5</v>
      </c>
      <c r="J12" s="5">
        <f t="shared" si="1"/>
        <v>7</v>
      </c>
      <c r="K12" s="5">
        <v>2</v>
      </c>
      <c r="L12" s="5">
        <f t="shared" si="2"/>
        <v>3</v>
      </c>
      <c r="M12" s="5">
        <v>1.5</v>
      </c>
      <c r="N12" s="5">
        <v>0.84</v>
      </c>
      <c r="O12" s="8">
        <v>0.64</v>
      </c>
      <c r="P12" s="28">
        <f t="shared" si="3"/>
        <v>1.48</v>
      </c>
      <c r="Q12" s="28">
        <f t="shared" si="4"/>
        <v>2.0000000000000018E-2</v>
      </c>
      <c r="R12" s="8">
        <v>31.2</v>
      </c>
      <c r="S12" s="65">
        <v>3.01</v>
      </c>
      <c r="T12" s="57" t="s">
        <v>32</v>
      </c>
      <c r="U12" s="3"/>
      <c r="V12" s="39" t="str">
        <f t="shared" si="5"/>
        <v>CHERRY_8</v>
      </c>
      <c r="W12" s="76">
        <v>2.589</v>
      </c>
      <c r="X12" s="77">
        <f t="shared" si="6"/>
        <v>8.1999999999999851E-2</v>
      </c>
      <c r="Y12" s="76">
        <v>2.5619999999999998</v>
      </c>
      <c r="Z12" s="77">
        <f t="shared" si="7"/>
        <v>5.4999999999999716E-2</v>
      </c>
      <c r="AA12" s="41">
        <f t="shared" si="8"/>
        <v>9.7619047619047439E-2</v>
      </c>
      <c r="AB12" s="41">
        <f t="shared" si="9"/>
        <v>8.5937499999999556E-2</v>
      </c>
    </row>
    <row r="13" spans="1:34" x14ac:dyDescent="0.2">
      <c r="A13" s="48" t="s">
        <v>14</v>
      </c>
      <c r="B13" s="49">
        <v>45173</v>
      </c>
      <c r="C13" s="48">
        <f t="shared" si="0"/>
        <v>20</v>
      </c>
      <c r="D13" s="48" t="s">
        <v>92</v>
      </c>
      <c r="E13" s="48">
        <v>9</v>
      </c>
      <c r="F13" s="9">
        <v>11.5</v>
      </c>
      <c r="G13" s="5">
        <v>2</v>
      </c>
      <c r="H13" s="68">
        <v>0.09</v>
      </c>
      <c r="I13" s="5">
        <v>5</v>
      </c>
      <c r="J13" s="5">
        <f t="shared" si="1"/>
        <v>7</v>
      </c>
      <c r="K13" s="5">
        <v>1</v>
      </c>
      <c r="L13" s="5">
        <f t="shared" si="2"/>
        <v>4</v>
      </c>
      <c r="M13" s="5">
        <v>1.73</v>
      </c>
      <c r="N13" s="5">
        <v>0.83</v>
      </c>
      <c r="O13" s="8">
        <v>0.86</v>
      </c>
      <c r="P13" s="28">
        <f t="shared" si="3"/>
        <v>1.69</v>
      </c>
      <c r="Q13" s="28">
        <f t="shared" si="4"/>
        <v>4.0000000000000036E-2</v>
      </c>
      <c r="R13" s="8">
        <v>35.57</v>
      </c>
      <c r="S13" s="65">
        <v>2.29</v>
      </c>
      <c r="T13" s="57" t="s">
        <v>32</v>
      </c>
      <c r="U13" s="3"/>
      <c r="V13" s="39" t="str">
        <f t="shared" si="5"/>
        <v>CHERRY_9</v>
      </c>
      <c r="W13" s="76">
        <v>2.569</v>
      </c>
      <c r="X13" s="77">
        <f t="shared" si="6"/>
        <v>6.1999999999999833E-2</v>
      </c>
      <c r="Y13" s="76">
        <v>2.5259999999999998</v>
      </c>
      <c r="Z13" s="77">
        <f t="shared" si="7"/>
        <v>1.8999999999999684E-2</v>
      </c>
      <c r="AA13" s="41">
        <f t="shared" si="8"/>
        <v>7.4698795180722699E-2</v>
      </c>
      <c r="AB13" s="41">
        <f t="shared" si="9"/>
        <v>2.2093023255813585E-2</v>
      </c>
    </row>
    <row r="14" spans="1:34" x14ac:dyDescent="0.2">
      <c r="A14" s="48" t="s">
        <v>14</v>
      </c>
      <c r="B14" s="49">
        <v>45173</v>
      </c>
      <c r="C14" s="48">
        <f t="shared" si="0"/>
        <v>20</v>
      </c>
      <c r="D14" s="48" t="s">
        <v>93</v>
      </c>
      <c r="E14" s="48">
        <v>10</v>
      </c>
      <c r="F14" s="9">
        <v>12.5</v>
      </c>
      <c r="G14" s="5">
        <v>2</v>
      </c>
      <c r="H14" s="68">
        <v>0.1</v>
      </c>
      <c r="I14" s="5">
        <v>5</v>
      </c>
      <c r="J14" s="5">
        <f t="shared" si="1"/>
        <v>7</v>
      </c>
      <c r="K14" s="5">
        <v>1</v>
      </c>
      <c r="L14" s="5">
        <f t="shared" si="2"/>
        <v>4</v>
      </c>
      <c r="M14" s="5">
        <v>1.65</v>
      </c>
      <c r="N14" s="5">
        <v>0.87</v>
      </c>
      <c r="O14" s="8">
        <v>0.76</v>
      </c>
      <c r="P14" s="28">
        <f t="shared" si="3"/>
        <v>1.63</v>
      </c>
      <c r="Q14" s="28">
        <f t="shared" si="4"/>
        <v>2.0000000000000018E-2</v>
      </c>
      <c r="R14" s="8">
        <v>35.89</v>
      </c>
      <c r="S14" s="65">
        <v>2.78</v>
      </c>
      <c r="T14" s="57" t="s">
        <v>32</v>
      </c>
      <c r="U14" s="3"/>
      <c r="V14" s="39" t="str">
        <f t="shared" si="5"/>
        <v>CHERRY_10</v>
      </c>
      <c r="W14" s="76">
        <v>2.573</v>
      </c>
      <c r="X14" s="77">
        <f t="shared" si="6"/>
        <v>6.5999999999999837E-2</v>
      </c>
      <c r="Y14" s="76">
        <v>2.5390000000000001</v>
      </c>
      <c r="Z14" s="77">
        <f t="shared" si="7"/>
        <v>3.2000000000000028E-2</v>
      </c>
      <c r="AA14" s="41">
        <f t="shared" si="8"/>
        <v>7.586206896551706E-2</v>
      </c>
      <c r="AB14" s="41">
        <f t="shared" si="9"/>
        <v>4.2105263157894771E-2</v>
      </c>
    </row>
    <row r="15" spans="1:34" x14ac:dyDescent="0.2">
      <c r="A15" s="48" t="s">
        <v>14</v>
      </c>
      <c r="B15" s="49">
        <v>45173</v>
      </c>
      <c r="C15" s="48">
        <f t="shared" si="0"/>
        <v>20</v>
      </c>
      <c r="D15" s="48" t="s">
        <v>94</v>
      </c>
      <c r="E15" s="48">
        <v>11</v>
      </c>
      <c r="F15" s="9">
        <v>11.5</v>
      </c>
      <c r="G15" s="5">
        <v>2</v>
      </c>
      <c r="H15" s="68">
        <v>0.09</v>
      </c>
      <c r="I15" s="5">
        <v>5</v>
      </c>
      <c r="J15" s="5">
        <f t="shared" si="1"/>
        <v>7</v>
      </c>
      <c r="K15" s="5">
        <v>2</v>
      </c>
      <c r="L15" s="5">
        <f t="shared" si="2"/>
        <v>3</v>
      </c>
      <c r="M15" s="5">
        <v>1.48</v>
      </c>
      <c r="N15" s="5">
        <v>0.75</v>
      </c>
      <c r="O15" s="8">
        <v>0.72</v>
      </c>
      <c r="P15" s="28">
        <f t="shared" si="3"/>
        <v>1.47</v>
      </c>
      <c r="Q15" s="28">
        <f t="shared" si="4"/>
        <v>1.0000000000000009E-2</v>
      </c>
      <c r="R15" s="8">
        <v>29.31</v>
      </c>
      <c r="S15" s="65">
        <v>2.99</v>
      </c>
      <c r="T15" s="57" t="s">
        <v>32</v>
      </c>
      <c r="U15" s="3"/>
      <c r="V15" s="39" t="str">
        <f t="shared" si="5"/>
        <v>CHERRY_11</v>
      </c>
      <c r="W15" s="76">
        <v>2.5539999999999998</v>
      </c>
      <c r="X15" s="77">
        <f t="shared" si="6"/>
        <v>4.6999999999999709E-2</v>
      </c>
      <c r="Y15" s="76">
        <v>2.5550000000000002</v>
      </c>
      <c r="Z15" s="77">
        <f t="shared" si="7"/>
        <v>4.8000000000000043E-2</v>
      </c>
      <c r="AA15" s="41">
        <f t="shared" si="8"/>
        <v>6.2666666666666274E-2</v>
      </c>
      <c r="AB15" s="41">
        <f t="shared" si="9"/>
        <v>6.6666666666666735E-2</v>
      </c>
    </row>
    <row r="16" spans="1:34" ht="16" thickBot="1" x14ac:dyDescent="0.25">
      <c r="A16" s="50" t="s">
        <v>14</v>
      </c>
      <c r="B16" s="51">
        <v>45173</v>
      </c>
      <c r="C16" s="50">
        <f t="shared" si="0"/>
        <v>20</v>
      </c>
      <c r="D16" s="50" t="s">
        <v>95</v>
      </c>
      <c r="E16" s="50">
        <v>12</v>
      </c>
      <c r="F16" s="44">
        <v>12.5</v>
      </c>
      <c r="G16" s="42">
        <v>2</v>
      </c>
      <c r="H16" s="69">
        <v>7.0000000000000007E-2</v>
      </c>
      <c r="I16" s="42">
        <v>5</v>
      </c>
      <c r="J16" s="42">
        <f t="shared" si="1"/>
        <v>7</v>
      </c>
      <c r="K16" s="42">
        <v>2</v>
      </c>
      <c r="L16" s="42">
        <f t="shared" si="2"/>
        <v>3</v>
      </c>
      <c r="M16" s="42">
        <v>1.71</v>
      </c>
      <c r="N16" s="42">
        <v>0.82</v>
      </c>
      <c r="O16" s="45">
        <v>0.87</v>
      </c>
      <c r="P16" s="28">
        <f t="shared" si="3"/>
        <v>1.69</v>
      </c>
      <c r="Q16" s="28">
        <f t="shared" si="4"/>
        <v>2.0000000000000018E-2</v>
      </c>
      <c r="R16" s="45">
        <v>31.24</v>
      </c>
      <c r="S16" s="66">
        <v>1.37</v>
      </c>
      <c r="T16" s="59" t="s">
        <v>32</v>
      </c>
      <c r="U16" s="3"/>
      <c r="V16" s="39" t="str">
        <f t="shared" si="5"/>
        <v>CHERRY_12</v>
      </c>
      <c r="W16" s="78">
        <v>2.552</v>
      </c>
      <c r="X16" s="79">
        <f t="shared" si="6"/>
        <v>4.4999999999999929E-2</v>
      </c>
      <c r="Y16" s="78">
        <v>2.6019999999999999</v>
      </c>
      <c r="Z16" s="79">
        <v>9.4999999999999751E-2</v>
      </c>
      <c r="AA16" s="62">
        <f t="shared" si="8"/>
        <v>5.4878048780487722E-2</v>
      </c>
      <c r="AB16" s="62">
        <f t="shared" si="9"/>
        <v>0.10919540229885029</v>
      </c>
    </row>
    <row r="17" spans="4:28" x14ac:dyDescent="0.2">
      <c r="P17" s="2"/>
      <c r="Q17" s="2"/>
      <c r="X17" s="75"/>
      <c r="Z17" s="75"/>
    </row>
    <row r="20" spans="4:28" x14ac:dyDescent="0.2">
      <c r="D20" s="3" t="s">
        <v>108</v>
      </c>
      <c r="E20" s="26" t="s">
        <v>15</v>
      </c>
      <c r="F20" s="27">
        <f t="shared" ref="F20:S20" si="10">AVERAGE(F5:F16)</f>
        <v>11.458333333333334</v>
      </c>
      <c r="G20" s="27">
        <f t="shared" si="10"/>
        <v>2</v>
      </c>
      <c r="H20" s="27">
        <f t="shared" si="10"/>
        <v>8.2727272727272719E-2</v>
      </c>
      <c r="I20" s="27">
        <f t="shared" si="10"/>
        <v>5</v>
      </c>
      <c r="J20" s="27">
        <f t="shared" si="10"/>
        <v>7</v>
      </c>
      <c r="K20" s="27">
        <f t="shared" si="10"/>
        <v>1.9166666666666667</v>
      </c>
      <c r="L20" s="27">
        <f t="shared" si="10"/>
        <v>3.0833333333333335</v>
      </c>
      <c r="M20" s="27">
        <f t="shared" si="10"/>
        <v>1.6791666666666669</v>
      </c>
      <c r="N20" s="27">
        <f t="shared" si="10"/>
        <v>0.86583333333333334</v>
      </c>
      <c r="O20" s="27">
        <f t="shared" si="10"/>
        <v>0.79499999999999993</v>
      </c>
      <c r="P20" s="27">
        <f t="shared" si="10"/>
        <v>1.6608333333333334</v>
      </c>
      <c r="Q20" s="27">
        <f t="shared" si="10"/>
        <v>2.1666666666666667E-2</v>
      </c>
      <c r="R20" s="27">
        <f t="shared" si="10"/>
        <v>35.095833333333331</v>
      </c>
      <c r="S20" s="27">
        <f t="shared" si="10"/>
        <v>2.5422222222222222</v>
      </c>
      <c r="T20" s="29" t="s">
        <v>32</v>
      </c>
      <c r="V20" s="2" t="str">
        <f t="shared" ref="V20" si="11">D20</f>
        <v>CHERRY</v>
      </c>
      <c r="W20" s="28" t="str">
        <f>E20</f>
        <v>average</v>
      </c>
      <c r="X20" s="28">
        <f>AVERAGE(X5:X16)</f>
        <v>6.7999999999999838E-2</v>
      </c>
      <c r="Y20" s="28"/>
      <c r="Z20" s="28"/>
      <c r="AA20" s="28">
        <f>AVERAGE(AA5:AA16)</f>
        <v>7.8650400155725136E-2</v>
      </c>
      <c r="AB20" s="28">
        <f>AVERAGE(AB5:AB16)</f>
        <v>5.5626324535251508E-2</v>
      </c>
    </row>
    <row r="21" spans="4:28" x14ac:dyDescent="0.2">
      <c r="E21" s="26" t="s">
        <v>16</v>
      </c>
      <c r="F21" s="27">
        <f t="shared" ref="F21:S21" si="12">STDEV(F5:F16)</f>
        <v>0.91597770252072808</v>
      </c>
      <c r="G21" s="27">
        <f t="shared" si="12"/>
        <v>0</v>
      </c>
      <c r="H21" s="27">
        <f t="shared" si="12"/>
        <v>1.7939291563999479E-2</v>
      </c>
      <c r="I21" s="27">
        <f t="shared" si="12"/>
        <v>0</v>
      </c>
      <c r="J21" s="27">
        <f t="shared" si="12"/>
        <v>0</v>
      </c>
      <c r="K21" s="27">
        <f t="shared" si="12"/>
        <v>0.66855792342152132</v>
      </c>
      <c r="L21" s="27">
        <f t="shared" si="12"/>
        <v>0.66855792342152176</v>
      </c>
      <c r="M21" s="27">
        <f t="shared" si="12"/>
        <v>0.15102428060856082</v>
      </c>
      <c r="N21" s="27">
        <f t="shared" si="12"/>
        <v>9.2683070272576371E-2</v>
      </c>
      <c r="O21" s="27">
        <f t="shared" si="12"/>
        <v>8.9391884927600002E-2</v>
      </c>
      <c r="P21" s="27">
        <f t="shared" si="12"/>
        <v>0.15030020464108329</v>
      </c>
      <c r="Q21" s="27">
        <f t="shared" si="12"/>
        <v>1.2673044646258465E-2</v>
      </c>
      <c r="R21" s="27">
        <f t="shared" si="12"/>
        <v>4.6252635469546881</v>
      </c>
      <c r="S21" s="27">
        <f t="shared" si="12"/>
        <v>0.50583539263721489</v>
      </c>
      <c r="T21" s="29" t="s">
        <v>32</v>
      </c>
      <c r="W21" s="28" t="str">
        <f t="shared" ref="W21:W22" si="13">E21</f>
        <v>stdev</v>
      </c>
      <c r="X21" s="28">
        <f>STDEV(X5:X16)</f>
        <v>1.5753787423404542E-2</v>
      </c>
      <c r="Y21" s="28"/>
      <c r="Z21" s="28"/>
      <c r="AA21" s="28">
        <f>STDEV(AA5:AA16)</f>
        <v>1.6871453548733189E-2</v>
      </c>
      <c r="AB21" s="28">
        <f>STDEV(AB5:AB16)</f>
        <v>3.2780022393685847E-2</v>
      </c>
    </row>
    <row r="22" spans="4:28" x14ac:dyDescent="0.2">
      <c r="E22" s="26" t="s">
        <v>31</v>
      </c>
      <c r="F22" s="27">
        <f t="shared" ref="F22:S22" si="14">MAX(F5:F16)-MIN(F5:F16)</f>
        <v>3</v>
      </c>
      <c r="G22" s="27">
        <f t="shared" si="14"/>
        <v>0</v>
      </c>
      <c r="H22" s="27">
        <f t="shared" si="14"/>
        <v>0.06</v>
      </c>
      <c r="I22" s="27">
        <f t="shared" si="14"/>
        <v>0</v>
      </c>
      <c r="J22" s="27">
        <f t="shared" si="14"/>
        <v>0</v>
      </c>
      <c r="K22" s="27">
        <f t="shared" si="14"/>
        <v>2</v>
      </c>
      <c r="L22" s="27">
        <f t="shared" si="14"/>
        <v>2</v>
      </c>
      <c r="M22" s="27">
        <f t="shared" si="14"/>
        <v>0.50999999999999979</v>
      </c>
      <c r="N22" s="27">
        <f t="shared" si="14"/>
        <v>0.35000000000000009</v>
      </c>
      <c r="O22" s="27">
        <f t="shared" si="14"/>
        <v>0.29000000000000004</v>
      </c>
      <c r="P22" s="27">
        <f t="shared" si="14"/>
        <v>0.49</v>
      </c>
      <c r="Q22" s="27">
        <f t="shared" si="14"/>
        <v>4.0000000000000036E-2</v>
      </c>
      <c r="R22" s="27">
        <f t="shared" si="14"/>
        <v>12.570000000000004</v>
      </c>
      <c r="S22" s="27">
        <f t="shared" si="14"/>
        <v>1.6399999999999997</v>
      </c>
      <c r="T22" s="29" t="s">
        <v>32</v>
      </c>
      <c r="W22" s="28" t="str">
        <f t="shared" si="13"/>
        <v>Range (max-min)</v>
      </c>
      <c r="X22" s="28">
        <f>MAX(X5:X16)-(MIN(X5:X16))</f>
        <v>5.699999999999994E-2</v>
      </c>
      <c r="Y22" s="28"/>
      <c r="Z22" s="28"/>
      <c r="AA22" s="28">
        <f>MAX(AA5:AA16)-(MIN(AA5:AA16))</f>
        <v>5.1371951219512151E-2</v>
      </c>
      <c r="AB22" s="28">
        <f>MAX(AB5:AB16)-(MIN(AB5:AB16))</f>
        <v>0.10033464280517981</v>
      </c>
    </row>
    <row r="37" spans="27:27" x14ac:dyDescent="0.2">
      <c r="AA37" s="161">
        <v>1287.8499999999999</v>
      </c>
    </row>
  </sheetData>
  <mergeCells count="3">
    <mergeCell ref="AE4:AF4"/>
    <mergeCell ref="AG4:AH4"/>
    <mergeCell ref="AA2:AB2"/>
  </mergeCells>
  <phoneticPr fontId="3" type="noConversion"/>
  <conditionalFormatting sqref="Z5:Z16">
    <cfRule type="cellIs" dxfId="1" priority="1" operator="lessThan">
      <formula>0</formula>
    </cfRule>
  </conditionalFormatting>
  <conditionalFormatting sqref="AA5:AA16">
    <cfRule type="dataBar" priority="7">
      <dataBar>
        <cfvo type="min"/>
        <cfvo type="max"/>
        <color rgb="FF63C384"/>
      </dataBar>
      <extLst>
        <ext xmlns:x14="http://schemas.microsoft.com/office/spreadsheetml/2009/9/main" uri="{B025F937-C7B1-47D3-B67F-A62EFF666E3E}">
          <x14:id>{E4CC4D53-94CE-49A0-8988-AA74E7FE8ECC}</x14:id>
        </ext>
      </extLst>
    </cfRule>
  </conditionalFormatting>
  <conditionalFormatting sqref="AB5:AB16">
    <cfRule type="dataBar" priority="8">
      <dataBar>
        <cfvo type="min"/>
        <cfvo type="max"/>
        <color rgb="FF63C384"/>
      </dataBar>
      <extLst>
        <ext xmlns:x14="http://schemas.microsoft.com/office/spreadsheetml/2009/9/main" uri="{B025F937-C7B1-47D3-B67F-A62EFF666E3E}">
          <x14:id>{8C8D6A52-0310-4E9B-AF0A-24083663A594}</x14:id>
        </ext>
      </extLst>
    </cfRule>
  </conditionalFormatting>
  <pageMargins left="0.25" right="0.25" top="0.75" bottom="0.75" header="0.3" footer="0.3"/>
  <pageSetup paperSize="9" scale="40" orientation="landscape" r:id="rId1"/>
  <ignoredErrors>
    <ignoredError sqref="F18:R23" formulaRange="1"/>
  </ignoredErrors>
  <extLst>
    <ext xmlns:x14="http://schemas.microsoft.com/office/spreadsheetml/2009/9/main" uri="{78C0D931-6437-407d-A8EE-F0AAD7539E65}">
      <x14:conditionalFormattings>
        <x14:conditionalFormatting xmlns:xm="http://schemas.microsoft.com/office/excel/2006/main">
          <x14:cfRule type="dataBar" id="{E4CC4D53-94CE-49A0-8988-AA74E7FE8ECC}">
            <x14:dataBar minLength="0" maxLength="100" border="1" negativeBarBorderColorSameAsPositive="0">
              <x14:cfvo type="autoMin"/>
              <x14:cfvo type="autoMax"/>
              <x14:borderColor rgb="FF63C384"/>
              <x14:negativeFillColor rgb="FFFF0000"/>
              <x14:negativeBorderColor rgb="FFFF0000"/>
              <x14:axisColor rgb="FF000000"/>
            </x14:dataBar>
          </x14:cfRule>
          <xm:sqref>AA5:AA16</xm:sqref>
        </x14:conditionalFormatting>
        <x14:conditionalFormatting xmlns:xm="http://schemas.microsoft.com/office/excel/2006/main">
          <x14:cfRule type="dataBar" id="{8C8D6A52-0310-4E9B-AF0A-24083663A594}">
            <x14:dataBar minLength="0" maxLength="100" border="1" negativeBarBorderColorSameAsPositive="0">
              <x14:cfvo type="autoMin"/>
              <x14:cfvo type="autoMax"/>
              <x14:borderColor rgb="FF63C384"/>
              <x14:negativeFillColor rgb="FFFF0000"/>
              <x14:negativeBorderColor rgb="FFFF0000"/>
              <x14:axisColor rgb="FF000000"/>
            </x14:dataBar>
          </x14:cfRule>
          <xm:sqref>AB5:AB16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F7C5-5B98-4DBA-9A7E-FCBC31698664}">
  <dimension ref="A1:AJ118"/>
  <sheetViews>
    <sheetView zoomScaleNormal="100" workbookViewId="0">
      <pane ySplit="4" topLeftCell="A5" activePane="bottomLeft" state="frozen"/>
      <selection activeCell="E38" sqref="E38"/>
      <selection pane="bottomLeft" activeCell="H20" sqref="H20"/>
    </sheetView>
  </sheetViews>
  <sheetFormatPr baseColWidth="10" defaultColWidth="9.1640625" defaultRowHeight="15" x14ac:dyDescent="0.2"/>
  <cols>
    <col min="1" max="1" width="9.1640625" style="1"/>
    <col min="2" max="2" width="9.6640625" style="1" bestFit="1" customWidth="1"/>
    <col min="3" max="3" width="16.5" style="1" bestFit="1" customWidth="1"/>
    <col min="4" max="4" width="9.1640625" style="1"/>
    <col min="5" max="5" width="20.5" style="1" bestFit="1" customWidth="1"/>
    <col min="6" max="6" width="6.83203125" style="1" bestFit="1" customWidth="1"/>
    <col min="7" max="7" width="4.1640625" style="1" bestFit="1" customWidth="1"/>
    <col min="8" max="8" width="9.5" style="1" bestFit="1" customWidth="1"/>
    <col min="9" max="9" width="16.6640625" style="1" bestFit="1" customWidth="1"/>
    <col min="10" max="10" width="8.5" style="1" bestFit="1" customWidth="1"/>
    <col min="11" max="19" width="9.1640625" style="1"/>
    <col min="20" max="20" width="10.33203125" style="1" customWidth="1"/>
    <col min="21" max="22" width="11.33203125" style="1" customWidth="1"/>
    <col min="23" max="23" width="16.33203125" style="1" bestFit="1" customWidth="1"/>
    <col min="24" max="31" width="9.1640625" style="1"/>
    <col min="32" max="33" width="18.5" style="1" bestFit="1" customWidth="1"/>
    <col min="34" max="16384" width="9.1640625" style="1"/>
  </cols>
  <sheetData>
    <row r="1" spans="1:36" s="11" customFormat="1" ht="21" x14ac:dyDescent="0.2">
      <c r="A1" s="10" t="s">
        <v>128</v>
      </c>
      <c r="B1" s="10"/>
      <c r="K1" s="81"/>
      <c r="X1" s="81"/>
    </row>
    <row r="2" spans="1:36" s="2" customFormat="1" x14ac:dyDescent="0.2">
      <c r="A2" s="2" t="s">
        <v>57</v>
      </c>
      <c r="C2" s="3"/>
      <c r="D2" s="3"/>
      <c r="E2" s="3"/>
      <c r="F2" s="3"/>
      <c r="G2" s="3"/>
      <c r="H2" s="3"/>
      <c r="I2" s="3"/>
      <c r="J2" s="3"/>
      <c r="K2" s="82"/>
      <c r="Q2" s="3"/>
      <c r="R2" s="3"/>
      <c r="S2" s="3"/>
      <c r="X2" s="82"/>
    </row>
    <row r="3" spans="1:36" s="2" customFormat="1" x14ac:dyDescent="0.2">
      <c r="A3" s="2" t="s">
        <v>68</v>
      </c>
      <c r="C3" s="47">
        <v>45153</v>
      </c>
      <c r="D3" s="3"/>
      <c r="E3" s="3"/>
      <c r="F3" s="3"/>
      <c r="G3" s="3"/>
      <c r="H3" s="3"/>
      <c r="I3" s="3"/>
      <c r="J3" s="3"/>
      <c r="K3" s="82"/>
      <c r="T3" s="104" t="s">
        <v>138</v>
      </c>
      <c r="X3" s="82"/>
      <c r="Y3" s="3" t="s">
        <v>105</v>
      </c>
      <c r="Z3" s="3" t="s">
        <v>106</v>
      </c>
      <c r="AA3" s="3" t="s">
        <v>215</v>
      </c>
      <c r="AC3" s="104" t="s">
        <v>138</v>
      </c>
    </row>
    <row r="4" spans="1:36" ht="62.5" customHeight="1" thickBot="1" x14ac:dyDescent="0.25">
      <c r="A4" s="93" t="s">
        <v>67</v>
      </c>
      <c r="B4" s="93" t="s">
        <v>21</v>
      </c>
      <c r="C4" s="93" t="s">
        <v>9</v>
      </c>
      <c r="D4" s="94" t="s">
        <v>124</v>
      </c>
      <c r="E4" s="94" t="s">
        <v>123</v>
      </c>
      <c r="F4" s="94" t="s">
        <v>129</v>
      </c>
      <c r="G4" s="94" t="s">
        <v>137</v>
      </c>
      <c r="H4" s="94" t="s">
        <v>130</v>
      </c>
      <c r="I4" s="94" t="s">
        <v>33</v>
      </c>
      <c r="J4" s="116" t="s">
        <v>4</v>
      </c>
      <c r="K4" s="83" t="s">
        <v>125</v>
      </c>
      <c r="L4" s="80" t="s">
        <v>209</v>
      </c>
      <c r="M4" s="80" t="s">
        <v>208</v>
      </c>
      <c r="N4" s="80" t="s">
        <v>210</v>
      </c>
      <c r="O4" s="80" t="s">
        <v>207</v>
      </c>
      <c r="P4" s="80" t="s">
        <v>198</v>
      </c>
      <c r="Q4" s="80" t="s">
        <v>199</v>
      </c>
      <c r="R4" s="80" t="s">
        <v>200</v>
      </c>
      <c r="S4" s="80" t="s">
        <v>201</v>
      </c>
      <c r="T4" s="111" t="s">
        <v>202</v>
      </c>
      <c r="U4" s="111" t="s">
        <v>126</v>
      </c>
      <c r="V4" s="2"/>
      <c r="W4" s="2"/>
      <c r="X4" s="112" t="s">
        <v>139</v>
      </c>
      <c r="Y4" s="111" t="s">
        <v>203</v>
      </c>
      <c r="Z4" s="111" t="s">
        <v>204</v>
      </c>
      <c r="AA4" s="111" t="s">
        <v>205</v>
      </c>
      <c r="AB4" s="111" t="s">
        <v>206</v>
      </c>
      <c r="AC4" s="113" t="s">
        <v>127</v>
      </c>
      <c r="AF4" s="38"/>
      <c r="AG4" s="178" t="s">
        <v>211</v>
      </c>
      <c r="AH4" s="179"/>
      <c r="AI4" s="178" t="s">
        <v>212</v>
      </c>
      <c r="AJ4" s="179"/>
    </row>
    <row r="5" spans="1:36" x14ac:dyDescent="0.2">
      <c r="A5" s="98">
        <f t="shared" ref="A5:A52" si="0">B5-$C$3</f>
        <v>34</v>
      </c>
      <c r="B5" s="114">
        <v>45187</v>
      </c>
      <c r="C5" s="99" t="s">
        <v>140</v>
      </c>
      <c r="D5" s="98">
        <v>48</v>
      </c>
      <c r="E5" s="98" t="s">
        <v>141</v>
      </c>
      <c r="F5" s="100" t="s">
        <v>142</v>
      </c>
      <c r="G5" s="98" t="s">
        <v>131</v>
      </c>
      <c r="H5" s="98" t="s">
        <v>132</v>
      </c>
      <c r="I5" s="98" t="s">
        <v>192</v>
      </c>
      <c r="J5" s="109">
        <v>1</v>
      </c>
      <c r="K5" s="90">
        <v>22</v>
      </c>
      <c r="L5" s="91">
        <v>3</v>
      </c>
      <c r="M5" s="91">
        <v>0</v>
      </c>
      <c r="N5" s="91">
        <v>0</v>
      </c>
      <c r="O5" s="91">
        <v>18.079999999999998</v>
      </c>
      <c r="P5" s="91">
        <v>11</v>
      </c>
      <c r="Q5" s="92">
        <v>10.32</v>
      </c>
      <c r="R5" s="92">
        <v>6.78</v>
      </c>
      <c r="S5" s="92">
        <v>0.97</v>
      </c>
      <c r="T5" s="92">
        <f>SUM(Q5:S5)</f>
        <v>18.07</v>
      </c>
      <c r="U5" s="1">
        <v>292.26</v>
      </c>
      <c r="V5" s="2"/>
      <c r="W5" s="108" t="str">
        <f>I5</f>
        <v>Cherry_EC6_HL_1</v>
      </c>
      <c r="X5" s="85"/>
      <c r="Y5" s="1">
        <v>0.89200000000000002</v>
      </c>
      <c r="Z5" s="1">
        <v>0.503</v>
      </c>
      <c r="AA5" s="1">
        <v>8.8999999999999996E-2</v>
      </c>
      <c r="AB5" s="1">
        <f>SUM(Y5:AA5)</f>
        <v>1.484</v>
      </c>
      <c r="AC5" s="88">
        <f t="shared" ref="AC5:AC16" si="1">U5/Y5</f>
        <v>327.64573991031386</v>
      </c>
      <c r="AD5" s="92"/>
      <c r="AE5" s="92"/>
      <c r="AF5" s="38"/>
      <c r="AG5" s="4" t="s">
        <v>101</v>
      </c>
      <c r="AH5" s="4" t="s">
        <v>102</v>
      </c>
      <c r="AI5" s="4" t="s">
        <v>213</v>
      </c>
      <c r="AJ5" s="4" t="s">
        <v>214</v>
      </c>
    </row>
    <row r="6" spans="1:36" x14ac:dyDescent="0.2">
      <c r="A6" s="95">
        <f t="shared" si="0"/>
        <v>34</v>
      </c>
      <c r="B6" s="114">
        <v>45187</v>
      </c>
      <c r="C6" s="96" t="s">
        <v>140</v>
      </c>
      <c r="D6" s="95">
        <v>48</v>
      </c>
      <c r="E6" s="95" t="s">
        <v>141</v>
      </c>
      <c r="F6" s="97" t="s">
        <v>142</v>
      </c>
      <c r="G6" s="95" t="s">
        <v>131</v>
      </c>
      <c r="H6" s="95" t="s">
        <v>132</v>
      </c>
      <c r="I6" s="95" t="s">
        <v>193</v>
      </c>
      <c r="J6" s="95">
        <v>2</v>
      </c>
      <c r="K6" s="84">
        <v>19</v>
      </c>
      <c r="L6" s="3">
        <v>4</v>
      </c>
      <c r="M6" s="3">
        <v>1</v>
      </c>
      <c r="N6" s="3">
        <v>0</v>
      </c>
      <c r="O6" s="3">
        <v>18.59</v>
      </c>
      <c r="P6" s="3">
        <v>12</v>
      </c>
      <c r="Q6" s="1">
        <v>10.73</v>
      </c>
      <c r="R6" s="1">
        <v>6.33</v>
      </c>
      <c r="S6" s="1">
        <v>1.53</v>
      </c>
      <c r="T6" s="1">
        <f t="shared" ref="T6:T52" si="2">SUM(Q6:S6)</f>
        <v>18.590000000000003</v>
      </c>
      <c r="U6" s="1">
        <v>315.97000000000003</v>
      </c>
      <c r="V6" s="2"/>
      <c r="W6" s="108" t="str">
        <f t="shared" ref="W6:W52" si="3">I6</f>
        <v>Cherry_EC6_HL_2</v>
      </c>
      <c r="X6" s="85"/>
      <c r="Y6" s="1">
        <v>0.91400000000000003</v>
      </c>
      <c r="Z6" s="1">
        <v>0.44900000000000001</v>
      </c>
      <c r="AA6" s="1">
        <v>0.123</v>
      </c>
      <c r="AB6" s="1">
        <f t="shared" ref="AB6:AB52" si="4">SUM(Y6:AA6)</f>
        <v>1.486</v>
      </c>
      <c r="AC6" s="88">
        <f t="shared" si="1"/>
        <v>345.70021881838073</v>
      </c>
      <c r="AF6" s="38" t="s">
        <v>53</v>
      </c>
      <c r="AG6" s="1">
        <v>5.19</v>
      </c>
      <c r="AH6" s="5">
        <v>5.21</v>
      </c>
      <c r="AI6" s="106">
        <v>5.42</v>
      </c>
      <c r="AJ6" s="5">
        <v>5.38</v>
      </c>
    </row>
    <row r="7" spans="1:36" x14ac:dyDescent="0.2">
      <c r="A7" s="95">
        <f t="shared" si="0"/>
        <v>34</v>
      </c>
      <c r="B7" s="114">
        <v>45187</v>
      </c>
      <c r="C7" s="96" t="s">
        <v>140</v>
      </c>
      <c r="D7" s="95">
        <v>48</v>
      </c>
      <c r="E7" s="95" t="s">
        <v>141</v>
      </c>
      <c r="F7" s="97" t="s">
        <v>142</v>
      </c>
      <c r="G7" s="95" t="s">
        <v>131</v>
      </c>
      <c r="H7" s="95" t="s">
        <v>132</v>
      </c>
      <c r="I7" s="95" t="s">
        <v>194</v>
      </c>
      <c r="J7" s="95">
        <v>3</v>
      </c>
      <c r="K7" s="85">
        <v>24.5</v>
      </c>
      <c r="L7" s="1">
        <v>4</v>
      </c>
      <c r="M7" s="1">
        <v>2</v>
      </c>
      <c r="N7" s="1">
        <v>0</v>
      </c>
      <c r="O7" s="1">
        <v>18.600000000000001</v>
      </c>
      <c r="P7" s="1">
        <v>13</v>
      </c>
      <c r="Q7" s="1">
        <v>9.93</v>
      </c>
      <c r="R7" s="1">
        <v>6.36</v>
      </c>
      <c r="S7" s="1">
        <v>2.23</v>
      </c>
      <c r="T7" s="1">
        <f t="shared" si="2"/>
        <v>18.52</v>
      </c>
      <c r="U7" s="1">
        <v>292.97000000000003</v>
      </c>
      <c r="V7" s="2"/>
      <c r="W7" s="108" t="str">
        <f t="shared" si="3"/>
        <v>Cherry_EC6_HL_3</v>
      </c>
      <c r="X7" s="85"/>
      <c r="Y7" s="1">
        <v>0.88400000000000001</v>
      </c>
      <c r="Z7" s="1">
        <v>0.52</v>
      </c>
      <c r="AA7" s="1">
        <v>0.17799999999999999</v>
      </c>
      <c r="AB7" s="1">
        <f t="shared" si="4"/>
        <v>1.5819999999999999</v>
      </c>
      <c r="AC7" s="88">
        <f t="shared" si="1"/>
        <v>331.41402714932127</v>
      </c>
      <c r="AF7" s="38" t="s">
        <v>54</v>
      </c>
      <c r="AG7" s="74"/>
      <c r="AH7" s="74"/>
      <c r="AI7" s="107"/>
      <c r="AJ7" s="107"/>
    </row>
    <row r="8" spans="1:36" x14ac:dyDescent="0.2">
      <c r="A8" s="95">
        <f t="shared" si="0"/>
        <v>34</v>
      </c>
      <c r="B8" s="114">
        <v>45187</v>
      </c>
      <c r="C8" s="96" t="s">
        <v>140</v>
      </c>
      <c r="D8" s="95">
        <v>48</v>
      </c>
      <c r="E8" s="95" t="s">
        <v>141</v>
      </c>
      <c r="F8" s="97" t="s">
        <v>142</v>
      </c>
      <c r="G8" s="95" t="s">
        <v>131</v>
      </c>
      <c r="H8" s="95" t="s">
        <v>132</v>
      </c>
      <c r="I8" s="95" t="s">
        <v>195</v>
      </c>
      <c r="J8" s="95">
        <v>4</v>
      </c>
      <c r="K8" s="85">
        <v>22.5</v>
      </c>
      <c r="L8" s="1">
        <v>4</v>
      </c>
      <c r="M8" s="1">
        <v>2</v>
      </c>
      <c r="N8" s="1">
        <v>0</v>
      </c>
      <c r="O8" s="1">
        <v>22.14</v>
      </c>
      <c r="P8" s="1">
        <v>13</v>
      </c>
      <c r="Q8" s="1">
        <v>12.18</v>
      </c>
      <c r="R8" s="1">
        <v>8.3800000000000008</v>
      </c>
      <c r="S8" s="1">
        <v>1.55</v>
      </c>
      <c r="T8" s="1">
        <f t="shared" si="2"/>
        <v>22.110000000000003</v>
      </c>
      <c r="U8" s="1">
        <v>356.71</v>
      </c>
      <c r="V8" s="2"/>
      <c r="W8" s="108" t="str">
        <f t="shared" si="3"/>
        <v>Cherry_EC6_HL_4</v>
      </c>
      <c r="X8" s="85"/>
      <c r="Y8" s="1">
        <v>1.145</v>
      </c>
      <c r="Z8" s="1">
        <v>0.69099999999999995</v>
      </c>
      <c r="AA8" s="1">
        <v>0.154</v>
      </c>
      <c r="AB8" s="1">
        <f t="shared" si="4"/>
        <v>1.9899999999999998</v>
      </c>
      <c r="AC8" s="88">
        <f t="shared" si="1"/>
        <v>311.5371179039301</v>
      </c>
    </row>
    <row r="9" spans="1:36" x14ac:dyDescent="0.2">
      <c r="A9" s="95">
        <f t="shared" si="0"/>
        <v>34</v>
      </c>
      <c r="B9" s="114">
        <v>45187</v>
      </c>
      <c r="C9" s="96" t="s">
        <v>140</v>
      </c>
      <c r="D9" s="95">
        <v>48</v>
      </c>
      <c r="E9" s="95" t="s">
        <v>141</v>
      </c>
      <c r="F9" s="97" t="s">
        <v>142</v>
      </c>
      <c r="G9" s="95" t="s">
        <v>131</v>
      </c>
      <c r="H9" s="95" t="s">
        <v>132</v>
      </c>
      <c r="I9" s="95" t="s">
        <v>196</v>
      </c>
      <c r="J9" s="95">
        <v>5</v>
      </c>
      <c r="K9" s="85">
        <v>23.4</v>
      </c>
      <c r="L9" s="1">
        <v>4</v>
      </c>
      <c r="M9" s="1">
        <v>2</v>
      </c>
      <c r="N9" s="1">
        <v>0</v>
      </c>
      <c r="O9" s="1">
        <v>18.38</v>
      </c>
      <c r="P9" s="1">
        <v>12</v>
      </c>
      <c r="Q9" s="1">
        <v>9.94</v>
      </c>
      <c r="R9" s="1">
        <v>7.33</v>
      </c>
      <c r="S9" s="1">
        <v>1.01</v>
      </c>
      <c r="T9" s="1">
        <f t="shared" si="2"/>
        <v>18.28</v>
      </c>
      <c r="U9" s="1">
        <v>307.82</v>
      </c>
      <c r="V9" s="2"/>
      <c r="W9" s="108" t="str">
        <f t="shared" si="3"/>
        <v>Cherry_EC6_HL_5</v>
      </c>
      <c r="X9" s="85"/>
      <c r="Y9" s="1">
        <v>0.92</v>
      </c>
      <c r="Z9" s="1">
        <v>0.57599999999999996</v>
      </c>
      <c r="AA9" s="1">
        <v>0.106</v>
      </c>
      <c r="AB9" s="1">
        <f t="shared" si="4"/>
        <v>1.6020000000000001</v>
      </c>
      <c r="AC9" s="88">
        <f t="shared" si="1"/>
        <v>334.58695652173913</v>
      </c>
    </row>
    <row r="10" spans="1:36" ht="16" thickBot="1" x14ac:dyDescent="0.25">
      <c r="A10" s="101">
        <f t="shared" si="0"/>
        <v>34</v>
      </c>
      <c r="B10" s="115">
        <v>45187</v>
      </c>
      <c r="C10" s="102" t="s">
        <v>140</v>
      </c>
      <c r="D10" s="101">
        <v>48</v>
      </c>
      <c r="E10" s="101" t="s">
        <v>141</v>
      </c>
      <c r="F10" s="103" t="s">
        <v>142</v>
      </c>
      <c r="G10" s="101" t="s">
        <v>131</v>
      </c>
      <c r="H10" s="101" t="s">
        <v>132</v>
      </c>
      <c r="I10" s="101" t="s">
        <v>197</v>
      </c>
      <c r="J10" s="101">
        <v>6</v>
      </c>
      <c r="K10" s="87">
        <v>24</v>
      </c>
      <c r="L10" s="86">
        <v>5</v>
      </c>
      <c r="M10" s="86">
        <v>1</v>
      </c>
      <c r="N10" s="86">
        <v>0</v>
      </c>
      <c r="O10" s="86">
        <v>18.82</v>
      </c>
      <c r="P10" s="86">
        <v>14</v>
      </c>
      <c r="Q10" s="86">
        <v>10.52</v>
      </c>
      <c r="R10" s="86">
        <v>7.51</v>
      </c>
      <c r="S10" s="86">
        <v>0.77</v>
      </c>
      <c r="T10" s="86">
        <f t="shared" si="2"/>
        <v>18.8</v>
      </c>
      <c r="U10" s="86">
        <v>319.14</v>
      </c>
      <c r="V10" s="2"/>
      <c r="W10" s="110" t="str">
        <f t="shared" si="3"/>
        <v>Cherry_EC6_HL_6</v>
      </c>
      <c r="X10" s="87"/>
      <c r="Y10" s="86">
        <v>0.95099999999999996</v>
      </c>
      <c r="Z10" s="86">
        <v>0.54700000000000004</v>
      </c>
      <c r="AA10" s="86">
        <v>0.08</v>
      </c>
      <c r="AB10" s="86">
        <f t="shared" si="4"/>
        <v>1.5780000000000001</v>
      </c>
      <c r="AC10" s="89">
        <f t="shared" si="1"/>
        <v>335.58359621451103</v>
      </c>
    </row>
    <row r="11" spans="1:36" x14ac:dyDescent="0.2">
      <c r="A11" s="98">
        <f t="shared" si="0"/>
        <v>34</v>
      </c>
      <c r="B11" s="114">
        <v>45187</v>
      </c>
      <c r="C11" s="99" t="s">
        <v>140</v>
      </c>
      <c r="D11" s="98">
        <v>48</v>
      </c>
      <c r="E11" s="98" t="s">
        <v>143</v>
      </c>
      <c r="F11" s="100" t="s">
        <v>142</v>
      </c>
      <c r="G11" s="98" t="s">
        <v>131</v>
      </c>
      <c r="H11" s="98" t="s">
        <v>133</v>
      </c>
      <c r="I11" s="98" t="s">
        <v>150</v>
      </c>
      <c r="J11" s="95">
        <v>1</v>
      </c>
      <c r="K11" s="90">
        <v>21</v>
      </c>
      <c r="L11" s="91">
        <v>2</v>
      </c>
      <c r="M11" s="91">
        <v>0</v>
      </c>
      <c r="N11" s="91">
        <v>0</v>
      </c>
      <c r="O11" s="91">
        <v>9.6300000000000008</v>
      </c>
      <c r="P11" s="91">
        <v>11</v>
      </c>
      <c r="Q11" s="92">
        <v>5.36</v>
      </c>
      <c r="R11" s="92">
        <v>0.26</v>
      </c>
      <c r="S11" s="92">
        <v>3.97</v>
      </c>
      <c r="T11" s="92">
        <f t="shared" si="2"/>
        <v>9.59</v>
      </c>
      <c r="U11" s="1">
        <v>194.67</v>
      </c>
      <c r="V11" s="2"/>
      <c r="W11" s="108" t="str">
        <f t="shared" si="3"/>
        <v>Cherry_EC6_ML_1</v>
      </c>
      <c r="X11" s="85"/>
      <c r="Y11" s="1">
        <v>0.51400000000000001</v>
      </c>
      <c r="Z11" s="1">
        <v>0.314</v>
      </c>
      <c r="AA11" s="1">
        <v>2.8000000000000001E-2</v>
      </c>
      <c r="AB11" s="1">
        <f t="shared" si="4"/>
        <v>0.85600000000000009</v>
      </c>
      <c r="AC11" s="88">
        <f t="shared" si="1"/>
        <v>378.73540856031127</v>
      </c>
    </row>
    <row r="12" spans="1:36" x14ac:dyDescent="0.2">
      <c r="A12" s="95">
        <f t="shared" si="0"/>
        <v>34</v>
      </c>
      <c r="B12" s="114">
        <v>45187</v>
      </c>
      <c r="C12" s="96" t="s">
        <v>140</v>
      </c>
      <c r="D12" s="95">
        <v>48</v>
      </c>
      <c r="E12" s="95" t="s">
        <v>143</v>
      </c>
      <c r="F12" s="97" t="s">
        <v>142</v>
      </c>
      <c r="G12" s="95" t="s">
        <v>131</v>
      </c>
      <c r="H12" s="95" t="s">
        <v>133</v>
      </c>
      <c r="I12" s="95" t="s">
        <v>151</v>
      </c>
      <c r="J12" s="95">
        <v>2</v>
      </c>
      <c r="K12" s="84">
        <v>20</v>
      </c>
      <c r="L12" s="3">
        <v>5</v>
      </c>
      <c r="M12" s="3">
        <v>4</v>
      </c>
      <c r="N12" s="3">
        <v>0</v>
      </c>
      <c r="O12" s="3">
        <v>20.83</v>
      </c>
      <c r="P12" s="3">
        <v>11</v>
      </c>
      <c r="Q12" s="1">
        <v>11.35</v>
      </c>
      <c r="R12" s="1">
        <v>1.58</v>
      </c>
      <c r="S12" s="1">
        <v>7.91</v>
      </c>
      <c r="T12" s="1">
        <f t="shared" si="2"/>
        <v>20.84</v>
      </c>
      <c r="U12" s="1">
        <v>324.07</v>
      </c>
      <c r="V12" s="2"/>
      <c r="W12" s="108" t="str">
        <f t="shared" si="3"/>
        <v>Cherry_EC6_ML_2</v>
      </c>
      <c r="X12" s="85"/>
      <c r="Y12" s="1">
        <v>0.94699999999999995</v>
      </c>
      <c r="Z12" s="1">
        <v>0.54700000000000004</v>
      </c>
      <c r="AA12" s="1">
        <v>0.155</v>
      </c>
      <c r="AB12" s="1">
        <f t="shared" si="4"/>
        <v>1.649</v>
      </c>
      <c r="AC12" s="88">
        <f t="shared" si="1"/>
        <v>342.20696937697994</v>
      </c>
    </row>
    <row r="13" spans="1:36" x14ac:dyDescent="0.2">
      <c r="A13" s="95">
        <f t="shared" si="0"/>
        <v>34</v>
      </c>
      <c r="B13" s="114">
        <v>45187</v>
      </c>
      <c r="C13" s="96" t="s">
        <v>140</v>
      </c>
      <c r="D13" s="95">
        <v>48</v>
      </c>
      <c r="E13" s="95" t="s">
        <v>143</v>
      </c>
      <c r="F13" s="97" t="s">
        <v>142</v>
      </c>
      <c r="G13" s="95" t="s">
        <v>131</v>
      </c>
      <c r="H13" s="95" t="s">
        <v>133</v>
      </c>
      <c r="I13" s="95" t="s">
        <v>152</v>
      </c>
      <c r="J13" s="95">
        <v>3</v>
      </c>
      <c r="K13" s="85">
        <v>21.5</v>
      </c>
      <c r="L13" s="1">
        <v>4</v>
      </c>
      <c r="M13" s="1">
        <v>1</v>
      </c>
      <c r="N13" s="1">
        <v>0</v>
      </c>
      <c r="O13" s="1">
        <v>15.05</v>
      </c>
      <c r="P13" s="1">
        <v>11</v>
      </c>
      <c r="Q13" s="1">
        <v>8.11</v>
      </c>
      <c r="R13" s="1">
        <v>1.05</v>
      </c>
      <c r="S13" s="1">
        <v>5.81</v>
      </c>
      <c r="T13" s="1">
        <f t="shared" si="2"/>
        <v>14.969999999999999</v>
      </c>
      <c r="U13" s="1">
        <v>242.03</v>
      </c>
      <c r="V13" s="2"/>
      <c r="W13" s="108" t="str">
        <f t="shared" si="3"/>
        <v>Cherry_EC6_ML_3</v>
      </c>
      <c r="X13" s="85"/>
      <c r="Y13" s="1">
        <v>0.75800000000000001</v>
      </c>
      <c r="Z13" s="1">
        <v>0.47799999999999998</v>
      </c>
      <c r="AA13" s="1">
        <v>0.1</v>
      </c>
      <c r="AB13" s="1">
        <f t="shared" si="4"/>
        <v>1.3360000000000001</v>
      </c>
      <c r="AC13" s="88">
        <f t="shared" si="1"/>
        <v>319.30079155672826</v>
      </c>
    </row>
    <row r="14" spans="1:36" x14ac:dyDescent="0.2">
      <c r="A14" s="95">
        <f t="shared" si="0"/>
        <v>34</v>
      </c>
      <c r="B14" s="114">
        <v>45187</v>
      </c>
      <c r="C14" s="96" t="s">
        <v>140</v>
      </c>
      <c r="D14" s="95">
        <v>48</v>
      </c>
      <c r="E14" s="95" t="s">
        <v>143</v>
      </c>
      <c r="F14" s="97" t="s">
        <v>142</v>
      </c>
      <c r="G14" s="95" t="s">
        <v>131</v>
      </c>
      <c r="H14" s="95" t="s">
        <v>133</v>
      </c>
      <c r="I14" s="95" t="s">
        <v>153</v>
      </c>
      <c r="J14" s="95">
        <v>4</v>
      </c>
      <c r="K14" s="85">
        <v>22</v>
      </c>
      <c r="L14" s="1">
        <v>4</v>
      </c>
      <c r="M14" s="1">
        <v>2</v>
      </c>
      <c r="N14" s="1">
        <v>0</v>
      </c>
      <c r="O14" s="1">
        <v>16.43</v>
      </c>
      <c r="P14" s="1">
        <v>11</v>
      </c>
      <c r="Q14" s="1">
        <v>8.65</v>
      </c>
      <c r="R14" s="1">
        <v>1.04</v>
      </c>
      <c r="S14" s="1">
        <v>6.73</v>
      </c>
      <c r="T14" s="1">
        <f t="shared" si="2"/>
        <v>16.420000000000002</v>
      </c>
      <c r="U14" s="1">
        <v>273.45999999999998</v>
      </c>
      <c r="V14" s="2"/>
      <c r="W14" s="108" t="str">
        <f t="shared" si="3"/>
        <v>Cherry_EC6_ML_4</v>
      </c>
      <c r="X14" s="85"/>
      <c r="Y14" s="1">
        <v>0.79600000000000004</v>
      </c>
      <c r="Z14" s="1">
        <v>0.52300000000000002</v>
      </c>
      <c r="AA14" s="1">
        <v>0.113</v>
      </c>
      <c r="AB14" s="1">
        <f t="shared" si="4"/>
        <v>1.4319999999999999</v>
      </c>
      <c r="AC14" s="88">
        <f t="shared" si="1"/>
        <v>343.54271356783914</v>
      </c>
    </row>
    <row r="15" spans="1:36" x14ac:dyDescent="0.2">
      <c r="A15" s="95">
        <f t="shared" si="0"/>
        <v>34</v>
      </c>
      <c r="B15" s="114">
        <v>45187</v>
      </c>
      <c r="C15" s="96" t="s">
        <v>140</v>
      </c>
      <c r="D15" s="95">
        <v>48</v>
      </c>
      <c r="E15" s="95" t="s">
        <v>143</v>
      </c>
      <c r="F15" s="97" t="s">
        <v>142</v>
      </c>
      <c r="G15" s="95" t="s">
        <v>131</v>
      </c>
      <c r="H15" s="95" t="s">
        <v>133</v>
      </c>
      <c r="I15" s="95" t="s">
        <v>154</v>
      </c>
      <c r="J15" s="95">
        <v>5</v>
      </c>
      <c r="K15" s="85">
        <v>20</v>
      </c>
      <c r="L15" s="1">
        <v>2</v>
      </c>
      <c r="M15" s="1">
        <v>0</v>
      </c>
      <c r="N15" s="1">
        <v>0</v>
      </c>
      <c r="O15" s="1">
        <v>14.4</v>
      </c>
      <c r="P15" s="1">
        <v>10</v>
      </c>
      <c r="Q15" s="1">
        <v>8.11</v>
      </c>
      <c r="R15" s="1">
        <v>0.28999999999999998</v>
      </c>
      <c r="S15" s="1">
        <v>5.83</v>
      </c>
      <c r="T15" s="1">
        <f t="shared" si="2"/>
        <v>14.229999999999999</v>
      </c>
      <c r="U15" s="1">
        <v>249</v>
      </c>
      <c r="V15" s="2"/>
      <c r="W15" s="108" t="str">
        <f t="shared" si="3"/>
        <v>Cherry_EC6_ML_5</v>
      </c>
      <c r="X15" s="85"/>
      <c r="Y15" s="1">
        <v>0.63700000000000001</v>
      </c>
      <c r="Z15" s="1">
        <v>0.377</v>
      </c>
      <c r="AA15" s="1">
        <v>3.3000000000000002E-2</v>
      </c>
      <c r="AB15" s="1">
        <f t="shared" si="4"/>
        <v>1.0469999999999999</v>
      </c>
      <c r="AC15" s="88">
        <f t="shared" si="1"/>
        <v>390.89481946624801</v>
      </c>
    </row>
    <row r="16" spans="1:36" ht="16" thickBot="1" x14ac:dyDescent="0.25">
      <c r="A16" s="101">
        <f t="shared" si="0"/>
        <v>34</v>
      </c>
      <c r="B16" s="115">
        <v>45187</v>
      </c>
      <c r="C16" s="102" t="s">
        <v>140</v>
      </c>
      <c r="D16" s="101">
        <v>48</v>
      </c>
      <c r="E16" s="101" t="s">
        <v>143</v>
      </c>
      <c r="F16" s="103" t="s">
        <v>142</v>
      </c>
      <c r="G16" s="101" t="s">
        <v>131</v>
      </c>
      <c r="H16" s="101" t="s">
        <v>133</v>
      </c>
      <c r="I16" s="101" t="s">
        <v>155</v>
      </c>
      <c r="J16" s="101">
        <v>6</v>
      </c>
      <c r="K16" s="87">
        <v>24.5</v>
      </c>
      <c r="L16" s="86">
        <v>5</v>
      </c>
      <c r="M16" s="86">
        <v>5</v>
      </c>
      <c r="N16" s="86">
        <v>0</v>
      </c>
      <c r="O16" s="86">
        <v>18.649999999999999</v>
      </c>
      <c r="P16" s="86">
        <v>12</v>
      </c>
      <c r="Q16" s="86">
        <v>9.2799999999999994</v>
      </c>
      <c r="R16" s="86">
        <v>1.61</v>
      </c>
      <c r="S16" s="86">
        <v>7.69</v>
      </c>
      <c r="T16" s="86">
        <f t="shared" si="2"/>
        <v>18.579999999999998</v>
      </c>
      <c r="U16" s="86">
        <v>294.2</v>
      </c>
      <c r="V16" s="2"/>
      <c r="W16" s="110" t="str">
        <f t="shared" si="3"/>
        <v>Cherry_EC6_ML_6</v>
      </c>
      <c r="X16" s="87"/>
      <c r="Y16" s="86">
        <v>0.80900000000000005</v>
      </c>
      <c r="Z16" s="86">
        <v>0.60499999999999998</v>
      </c>
      <c r="AA16" s="86">
        <v>0.156</v>
      </c>
      <c r="AB16" s="86">
        <f t="shared" si="4"/>
        <v>1.57</v>
      </c>
      <c r="AC16" s="89">
        <f t="shared" si="1"/>
        <v>363.65883807169342</v>
      </c>
    </row>
    <row r="17" spans="1:29" x14ac:dyDescent="0.2">
      <c r="A17" s="98">
        <f t="shared" si="0"/>
        <v>34</v>
      </c>
      <c r="B17" s="114">
        <v>45187</v>
      </c>
      <c r="C17" s="99" t="s">
        <v>140</v>
      </c>
      <c r="D17" s="98">
        <v>48</v>
      </c>
      <c r="E17" s="98" t="s">
        <v>144</v>
      </c>
      <c r="F17" s="100" t="s">
        <v>142</v>
      </c>
      <c r="G17" s="98" t="s">
        <v>131</v>
      </c>
      <c r="H17" s="98" t="s">
        <v>134</v>
      </c>
      <c r="I17" s="98" t="s">
        <v>156</v>
      </c>
      <c r="J17" s="95">
        <v>1</v>
      </c>
      <c r="K17" s="90">
        <v>21.5</v>
      </c>
      <c r="L17" s="91">
        <v>3</v>
      </c>
      <c r="M17" s="91">
        <v>0</v>
      </c>
      <c r="N17" s="91">
        <v>0</v>
      </c>
      <c r="O17" s="91">
        <v>15.85</v>
      </c>
      <c r="P17" s="91">
        <v>13</v>
      </c>
      <c r="Q17" s="92">
        <v>9.16</v>
      </c>
      <c r="R17" s="92">
        <v>5.8</v>
      </c>
      <c r="S17" s="92">
        <v>0.9</v>
      </c>
      <c r="T17" s="92">
        <f t="shared" si="2"/>
        <v>15.860000000000001</v>
      </c>
      <c r="U17" s="1">
        <v>282.76</v>
      </c>
      <c r="V17" s="2"/>
      <c r="W17" s="108" t="str">
        <f t="shared" si="3"/>
        <v>Cherry_EC6_LL_1</v>
      </c>
      <c r="X17" s="85"/>
      <c r="Y17" s="1">
        <v>0.81599999999999995</v>
      </c>
      <c r="Z17" s="1">
        <v>0.40300000000000002</v>
      </c>
      <c r="AA17" s="1">
        <v>7.4999999999999997E-2</v>
      </c>
      <c r="AB17" s="1">
        <f t="shared" si="4"/>
        <v>1.2939999999999998</v>
      </c>
      <c r="AC17" s="88">
        <f t="shared" ref="AC17:AC28" si="5">U17/Y17</f>
        <v>346.51960784313729</v>
      </c>
    </row>
    <row r="18" spans="1:29" x14ac:dyDescent="0.2">
      <c r="A18" s="95">
        <f t="shared" si="0"/>
        <v>34</v>
      </c>
      <c r="B18" s="114">
        <v>45187</v>
      </c>
      <c r="C18" s="96" t="s">
        <v>140</v>
      </c>
      <c r="D18" s="95">
        <v>48</v>
      </c>
      <c r="E18" s="95" t="s">
        <v>144</v>
      </c>
      <c r="F18" s="97" t="s">
        <v>142</v>
      </c>
      <c r="G18" s="95" t="s">
        <v>131</v>
      </c>
      <c r="H18" s="95" t="s">
        <v>134</v>
      </c>
      <c r="I18" s="95" t="s">
        <v>157</v>
      </c>
      <c r="J18" s="95">
        <v>2</v>
      </c>
      <c r="K18" s="84">
        <v>19</v>
      </c>
      <c r="L18" s="3">
        <v>4</v>
      </c>
      <c r="M18" s="3">
        <v>3</v>
      </c>
      <c r="N18" s="3">
        <v>0</v>
      </c>
      <c r="O18" s="3">
        <v>13.83</v>
      </c>
      <c r="P18" s="3">
        <v>12</v>
      </c>
      <c r="Q18" s="1">
        <v>7.71</v>
      </c>
      <c r="R18" s="1">
        <v>4.99</v>
      </c>
      <c r="S18" s="1">
        <v>1.04</v>
      </c>
      <c r="T18" s="1">
        <f t="shared" si="2"/>
        <v>13.739999999999998</v>
      </c>
      <c r="U18" s="1">
        <v>238.06</v>
      </c>
      <c r="V18" s="2"/>
      <c r="W18" s="108" t="str">
        <f t="shared" si="3"/>
        <v>Cherry_EC6_LL_2</v>
      </c>
      <c r="X18" s="85"/>
      <c r="Y18" s="1">
        <v>0.66300000000000003</v>
      </c>
      <c r="Z18" s="1">
        <v>0.379</v>
      </c>
      <c r="AA18" s="1">
        <v>9.7000000000000003E-2</v>
      </c>
      <c r="AB18" s="1">
        <f t="shared" si="4"/>
        <v>1.139</v>
      </c>
      <c r="AC18" s="88">
        <f t="shared" si="5"/>
        <v>359.06485671191552</v>
      </c>
    </row>
    <row r="19" spans="1:29" x14ac:dyDescent="0.2">
      <c r="A19" s="95">
        <f t="shared" si="0"/>
        <v>34</v>
      </c>
      <c r="B19" s="114">
        <v>45187</v>
      </c>
      <c r="C19" s="96" t="s">
        <v>140</v>
      </c>
      <c r="D19" s="95">
        <v>48</v>
      </c>
      <c r="E19" s="95" t="s">
        <v>144</v>
      </c>
      <c r="F19" s="97" t="s">
        <v>142</v>
      </c>
      <c r="G19" s="95" t="s">
        <v>131</v>
      </c>
      <c r="H19" s="95" t="s">
        <v>134</v>
      </c>
      <c r="I19" s="95" t="s">
        <v>158</v>
      </c>
      <c r="J19" s="95">
        <v>3</v>
      </c>
      <c r="K19" s="85">
        <v>18.5</v>
      </c>
      <c r="L19" s="1">
        <v>3</v>
      </c>
      <c r="M19" s="1">
        <v>4</v>
      </c>
      <c r="N19" s="1">
        <v>0</v>
      </c>
      <c r="O19" s="1">
        <v>13.68</v>
      </c>
      <c r="P19" s="1">
        <v>10</v>
      </c>
      <c r="Q19" s="1">
        <v>7.54</v>
      </c>
      <c r="R19" s="1">
        <v>5.03</v>
      </c>
      <c r="S19" s="1">
        <v>1.08</v>
      </c>
      <c r="T19" s="1">
        <f t="shared" si="2"/>
        <v>13.65</v>
      </c>
      <c r="U19" s="1">
        <v>233.44</v>
      </c>
      <c r="V19" s="2"/>
      <c r="W19" s="108" t="str">
        <f t="shared" si="3"/>
        <v>Cherry_EC6_LL_3</v>
      </c>
      <c r="X19" s="85">
        <v>5.7830000000000004</v>
      </c>
      <c r="Y19" s="1">
        <v>0.65600000000000003</v>
      </c>
      <c r="Z19" s="1">
        <v>0.40200000000000002</v>
      </c>
      <c r="AA19" s="1">
        <v>0.10299999999999999</v>
      </c>
      <c r="AB19" s="1">
        <f t="shared" si="4"/>
        <v>1.161</v>
      </c>
      <c r="AC19" s="88">
        <f t="shared" si="5"/>
        <v>355.85365853658533</v>
      </c>
    </row>
    <row r="20" spans="1:29" x14ac:dyDescent="0.2">
      <c r="A20" s="95">
        <f t="shared" si="0"/>
        <v>34</v>
      </c>
      <c r="B20" s="114">
        <v>45187</v>
      </c>
      <c r="C20" s="96" t="s">
        <v>140</v>
      </c>
      <c r="D20" s="95">
        <v>48</v>
      </c>
      <c r="E20" s="95" t="s">
        <v>144</v>
      </c>
      <c r="F20" s="97" t="s">
        <v>142</v>
      </c>
      <c r="G20" s="95" t="s">
        <v>131</v>
      </c>
      <c r="H20" s="95" t="s">
        <v>134</v>
      </c>
      <c r="I20" s="95" t="s">
        <v>159</v>
      </c>
      <c r="J20" s="95">
        <v>4</v>
      </c>
      <c r="K20" s="85">
        <v>20</v>
      </c>
      <c r="L20" s="1">
        <v>2</v>
      </c>
      <c r="M20" s="1">
        <v>0</v>
      </c>
      <c r="N20" s="1">
        <v>0</v>
      </c>
      <c r="O20" s="1">
        <v>10.24</v>
      </c>
      <c r="P20" s="1">
        <v>10</v>
      </c>
      <c r="Q20" s="1">
        <v>5.84</v>
      </c>
      <c r="R20" s="1">
        <v>4.07</v>
      </c>
      <c r="S20" s="1">
        <v>0.35</v>
      </c>
      <c r="T20" s="1">
        <f t="shared" si="2"/>
        <v>10.26</v>
      </c>
      <c r="U20" s="1">
        <v>189.68</v>
      </c>
      <c r="V20" s="2"/>
      <c r="W20" s="108" t="str">
        <f t="shared" si="3"/>
        <v>Cherry_EC6_LL_4</v>
      </c>
      <c r="X20" s="85"/>
      <c r="Y20" s="1">
        <v>0.48</v>
      </c>
      <c r="Z20" s="1">
        <v>0.26200000000000001</v>
      </c>
      <c r="AA20" s="1">
        <v>3.1E-2</v>
      </c>
      <c r="AB20" s="1">
        <f t="shared" si="4"/>
        <v>0.77300000000000002</v>
      </c>
      <c r="AC20" s="88">
        <f t="shared" si="5"/>
        <v>395.16666666666669</v>
      </c>
    </row>
    <row r="21" spans="1:29" x14ac:dyDescent="0.2">
      <c r="A21" s="95">
        <f t="shared" si="0"/>
        <v>34</v>
      </c>
      <c r="B21" s="114">
        <v>45187</v>
      </c>
      <c r="C21" s="96" t="s">
        <v>140</v>
      </c>
      <c r="D21" s="95">
        <v>48</v>
      </c>
      <c r="E21" s="95" t="s">
        <v>144</v>
      </c>
      <c r="F21" s="97" t="s">
        <v>142</v>
      </c>
      <c r="G21" s="95" t="s">
        <v>131</v>
      </c>
      <c r="H21" s="95" t="s">
        <v>134</v>
      </c>
      <c r="I21" s="95" t="s">
        <v>160</v>
      </c>
      <c r="J21" s="95">
        <v>5</v>
      </c>
      <c r="K21" s="85">
        <v>20</v>
      </c>
      <c r="L21" s="1">
        <v>3</v>
      </c>
      <c r="M21" s="1">
        <v>0</v>
      </c>
      <c r="N21" s="1">
        <v>0</v>
      </c>
      <c r="O21" s="1">
        <v>15.98</v>
      </c>
      <c r="P21" s="1">
        <v>13</v>
      </c>
      <c r="Q21" s="1">
        <v>9.33</v>
      </c>
      <c r="R21" s="1">
        <v>5.9</v>
      </c>
      <c r="S21" s="1">
        <v>0.75</v>
      </c>
      <c r="T21" s="1">
        <f t="shared" si="2"/>
        <v>15.98</v>
      </c>
      <c r="U21" s="1">
        <v>270.39999999999998</v>
      </c>
      <c r="V21" s="2"/>
      <c r="W21" s="108" t="str">
        <f t="shared" si="3"/>
        <v>Cherry_EC6_LL_5</v>
      </c>
      <c r="X21" s="85"/>
      <c r="Y21" s="1">
        <v>0.78</v>
      </c>
      <c r="Z21" s="1">
        <v>0.44</v>
      </c>
      <c r="AA21" s="1">
        <v>6.0999999999999999E-2</v>
      </c>
      <c r="AB21" s="1">
        <f t="shared" si="4"/>
        <v>1.2809999999999999</v>
      </c>
      <c r="AC21" s="88">
        <f t="shared" si="5"/>
        <v>346.66666666666663</v>
      </c>
    </row>
    <row r="22" spans="1:29" ht="16" thickBot="1" x14ac:dyDescent="0.25">
      <c r="A22" s="101">
        <f t="shared" si="0"/>
        <v>34</v>
      </c>
      <c r="B22" s="115">
        <v>45187</v>
      </c>
      <c r="C22" s="102" t="s">
        <v>140</v>
      </c>
      <c r="D22" s="101">
        <v>48</v>
      </c>
      <c r="E22" s="101" t="s">
        <v>144</v>
      </c>
      <c r="F22" s="103" t="s">
        <v>142</v>
      </c>
      <c r="G22" s="101" t="s">
        <v>131</v>
      </c>
      <c r="H22" s="101" t="s">
        <v>134</v>
      </c>
      <c r="I22" s="101" t="s">
        <v>161</v>
      </c>
      <c r="J22" s="101">
        <v>6</v>
      </c>
      <c r="K22" s="87">
        <v>25</v>
      </c>
      <c r="L22" s="86">
        <v>4</v>
      </c>
      <c r="M22" s="86">
        <v>2</v>
      </c>
      <c r="N22" s="86">
        <v>0</v>
      </c>
      <c r="O22" s="86">
        <v>16.989999999999998</v>
      </c>
      <c r="P22" s="86">
        <v>13</v>
      </c>
      <c r="Q22" s="86">
        <v>8.84</v>
      </c>
      <c r="R22" s="86">
        <v>6.96</v>
      </c>
      <c r="S22" s="86">
        <v>1.04</v>
      </c>
      <c r="T22" s="86">
        <f t="shared" si="2"/>
        <v>16.84</v>
      </c>
      <c r="U22" s="86">
        <v>293.36</v>
      </c>
      <c r="V22" s="2"/>
      <c r="W22" s="110" t="str">
        <f t="shared" si="3"/>
        <v>Cherry_EC6_LL_6</v>
      </c>
      <c r="X22" s="87"/>
      <c r="Y22" s="86">
        <v>0.84599999999999997</v>
      </c>
      <c r="Z22" s="86">
        <v>0.56399999999999995</v>
      </c>
      <c r="AA22" s="86">
        <v>8.2000000000000003E-2</v>
      </c>
      <c r="AB22" s="86">
        <f t="shared" si="4"/>
        <v>1.492</v>
      </c>
      <c r="AC22" s="89">
        <f t="shared" si="5"/>
        <v>346.7612293144208</v>
      </c>
    </row>
    <row r="23" spans="1:29" x14ac:dyDescent="0.2">
      <c r="A23" s="98">
        <f t="shared" si="0"/>
        <v>34</v>
      </c>
      <c r="B23" s="114">
        <v>45187</v>
      </c>
      <c r="C23" s="99" t="s">
        <v>140</v>
      </c>
      <c r="D23" s="98">
        <v>48</v>
      </c>
      <c r="E23" s="98" t="s">
        <v>145</v>
      </c>
      <c r="F23" s="100" t="s">
        <v>142</v>
      </c>
      <c r="G23" s="98" t="s">
        <v>131</v>
      </c>
      <c r="H23" s="98" t="s">
        <v>135</v>
      </c>
      <c r="I23" s="98" t="s">
        <v>162</v>
      </c>
      <c r="J23" s="95">
        <v>1</v>
      </c>
      <c r="K23" s="90">
        <v>19.5</v>
      </c>
      <c r="L23" s="91">
        <v>4</v>
      </c>
      <c r="M23" s="91">
        <v>4</v>
      </c>
      <c r="N23" s="91">
        <v>0</v>
      </c>
      <c r="O23" s="91">
        <v>14.7</v>
      </c>
      <c r="P23" s="91">
        <v>11</v>
      </c>
      <c r="Q23" s="92">
        <v>7.9</v>
      </c>
      <c r="R23" s="92">
        <v>0.9</v>
      </c>
      <c r="S23" s="92">
        <v>5.85</v>
      </c>
      <c r="T23" s="92">
        <f t="shared" si="2"/>
        <v>14.65</v>
      </c>
      <c r="U23" s="1">
        <v>247.07</v>
      </c>
      <c r="V23" s="2"/>
      <c r="W23" s="108" t="str">
        <f t="shared" si="3"/>
        <v>Cherry_EC6__1</v>
      </c>
      <c r="X23" s="85"/>
      <c r="Y23" s="1">
        <v>0.69</v>
      </c>
      <c r="Z23" s="1">
        <v>0.438</v>
      </c>
      <c r="AA23" s="1">
        <v>0.10199999999999999</v>
      </c>
      <c r="AB23" s="1">
        <f t="shared" si="4"/>
        <v>1.23</v>
      </c>
      <c r="AC23" s="88">
        <f t="shared" si="5"/>
        <v>358.07246376811594</v>
      </c>
    </row>
    <row r="24" spans="1:29" x14ac:dyDescent="0.2">
      <c r="A24" s="95">
        <f t="shared" si="0"/>
        <v>34</v>
      </c>
      <c r="B24" s="114">
        <v>45187</v>
      </c>
      <c r="C24" s="96" t="s">
        <v>140</v>
      </c>
      <c r="D24" s="95">
        <v>48</v>
      </c>
      <c r="E24" s="95" t="s">
        <v>145</v>
      </c>
      <c r="F24" s="97" t="s">
        <v>142</v>
      </c>
      <c r="G24" s="95" t="s">
        <v>131</v>
      </c>
      <c r="H24" s="95" t="s">
        <v>135</v>
      </c>
      <c r="I24" s="95" t="s">
        <v>163</v>
      </c>
      <c r="J24" s="95">
        <v>2</v>
      </c>
      <c r="K24" s="84">
        <v>23.5</v>
      </c>
      <c r="L24" s="3">
        <v>4</v>
      </c>
      <c r="M24" s="3">
        <v>1</v>
      </c>
      <c r="N24" s="3">
        <v>0</v>
      </c>
      <c r="O24" s="3">
        <v>15.47</v>
      </c>
      <c r="P24" s="3">
        <v>13</v>
      </c>
      <c r="Q24" s="1">
        <v>8.44</v>
      </c>
      <c r="R24" s="1">
        <v>0.61</v>
      </c>
      <c r="S24" s="1">
        <v>6.36</v>
      </c>
      <c r="T24" s="1">
        <f t="shared" si="2"/>
        <v>15.41</v>
      </c>
      <c r="U24" s="1">
        <v>271.89</v>
      </c>
      <c r="V24" s="2"/>
      <c r="W24" s="108" t="str">
        <f t="shared" si="3"/>
        <v>Cherry_EC6__2</v>
      </c>
      <c r="X24" s="85"/>
      <c r="Y24" s="1">
        <v>0.77100000000000002</v>
      </c>
      <c r="Z24" s="1">
        <v>0.49399999999999999</v>
      </c>
      <c r="AA24" s="1">
        <v>7.3999999999999996E-2</v>
      </c>
      <c r="AB24" s="1">
        <f t="shared" si="4"/>
        <v>1.3390000000000002</v>
      </c>
      <c r="AC24" s="88">
        <f t="shared" si="5"/>
        <v>352.64591439688712</v>
      </c>
    </row>
    <row r="25" spans="1:29" x14ac:dyDescent="0.2">
      <c r="A25" s="95">
        <f t="shared" si="0"/>
        <v>34</v>
      </c>
      <c r="B25" s="114">
        <v>45187</v>
      </c>
      <c r="C25" s="96" t="s">
        <v>140</v>
      </c>
      <c r="D25" s="95">
        <v>48</v>
      </c>
      <c r="E25" s="95" t="s">
        <v>145</v>
      </c>
      <c r="F25" s="97" t="s">
        <v>142</v>
      </c>
      <c r="G25" s="95" t="s">
        <v>131</v>
      </c>
      <c r="H25" s="95" t="s">
        <v>135</v>
      </c>
      <c r="I25" s="95" t="s">
        <v>164</v>
      </c>
      <c r="J25" s="95">
        <v>3</v>
      </c>
      <c r="K25" s="85">
        <v>21.5</v>
      </c>
      <c r="L25" s="1">
        <v>2</v>
      </c>
      <c r="M25" s="1">
        <v>0</v>
      </c>
      <c r="N25" s="1">
        <v>0</v>
      </c>
      <c r="O25" s="1">
        <v>14.15</v>
      </c>
      <c r="P25" s="1">
        <v>12</v>
      </c>
      <c r="Q25" s="1">
        <v>8.09</v>
      </c>
      <c r="R25" s="1">
        <v>0.47</v>
      </c>
      <c r="S25" s="1">
        <v>5.56</v>
      </c>
      <c r="T25" s="1">
        <f t="shared" si="2"/>
        <v>14.120000000000001</v>
      </c>
      <c r="U25" s="1">
        <v>248.91</v>
      </c>
      <c r="V25" s="2"/>
      <c r="W25" s="108" t="str">
        <f t="shared" si="3"/>
        <v>Cherry_EC6__3</v>
      </c>
      <c r="X25" s="85"/>
      <c r="Y25" s="1">
        <v>0.72299999999999998</v>
      </c>
      <c r="Z25" s="1">
        <v>0.42399999999999999</v>
      </c>
      <c r="AA25" s="1">
        <v>5.7000000000000002E-2</v>
      </c>
      <c r="AB25" s="1">
        <f t="shared" si="4"/>
        <v>1.204</v>
      </c>
      <c r="AC25" s="88">
        <f t="shared" si="5"/>
        <v>344.27385892116183</v>
      </c>
    </row>
    <row r="26" spans="1:29" x14ac:dyDescent="0.2">
      <c r="A26" s="95">
        <f t="shared" si="0"/>
        <v>34</v>
      </c>
      <c r="B26" s="114">
        <v>45187</v>
      </c>
      <c r="C26" s="96" t="s">
        <v>140</v>
      </c>
      <c r="D26" s="95">
        <v>48</v>
      </c>
      <c r="E26" s="95" t="s">
        <v>145</v>
      </c>
      <c r="F26" s="97" t="s">
        <v>142</v>
      </c>
      <c r="G26" s="95" t="s">
        <v>131</v>
      </c>
      <c r="H26" s="95" t="s">
        <v>135</v>
      </c>
      <c r="I26" s="95" t="s">
        <v>165</v>
      </c>
      <c r="J26" s="95">
        <v>4</v>
      </c>
      <c r="K26" s="85">
        <v>22</v>
      </c>
      <c r="L26" s="1">
        <v>2</v>
      </c>
      <c r="M26" s="1">
        <v>1</v>
      </c>
      <c r="N26" s="1">
        <v>0</v>
      </c>
      <c r="O26" s="1">
        <v>14.62</v>
      </c>
      <c r="P26" s="1">
        <v>10</v>
      </c>
      <c r="Q26" s="1">
        <v>8.51</v>
      </c>
      <c r="R26" s="1">
        <v>0.49</v>
      </c>
      <c r="S26" s="1">
        <v>5.66</v>
      </c>
      <c r="T26" s="1">
        <f t="shared" si="2"/>
        <v>14.66</v>
      </c>
      <c r="U26" s="1">
        <v>272.05</v>
      </c>
      <c r="V26" s="2"/>
      <c r="W26" s="108" t="str">
        <f t="shared" si="3"/>
        <v>Cherry_EC6__4</v>
      </c>
      <c r="X26" s="85"/>
      <c r="Y26" s="1">
        <v>0.74</v>
      </c>
      <c r="Z26" s="1">
        <v>0.39200000000000002</v>
      </c>
      <c r="AA26" s="1">
        <v>5.3999999999999999E-2</v>
      </c>
      <c r="AB26" s="1">
        <f t="shared" si="4"/>
        <v>1.1860000000000002</v>
      </c>
      <c r="AC26" s="88">
        <f t="shared" si="5"/>
        <v>367.63513513513516</v>
      </c>
    </row>
    <row r="27" spans="1:29" x14ac:dyDescent="0.2">
      <c r="A27" s="95">
        <f t="shared" si="0"/>
        <v>34</v>
      </c>
      <c r="B27" s="114">
        <v>45187</v>
      </c>
      <c r="C27" s="96" t="s">
        <v>140</v>
      </c>
      <c r="D27" s="95">
        <v>48</v>
      </c>
      <c r="E27" s="95" t="s">
        <v>145</v>
      </c>
      <c r="F27" s="97" t="s">
        <v>142</v>
      </c>
      <c r="G27" s="95" t="s">
        <v>131</v>
      </c>
      <c r="H27" s="95" t="s">
        <v>135</v>
      </c>
      <c r="I27" s="95" t="s">
        <v>166</v>
      </c>
      <c r="J27" s="95">
        <v>5</v>
      </c>
      <c r="K27" s="85">
        <v>20</v>
      </c>
      <c r="L27" s="1">
        <v>3</v>
      </c>
      <c r="M27" s="1">
        <v>2</v>
      </c>
      <c r="N27" s="1">
        <v>0</v>
      </c>
      <c r="O27" s="1">
        <v>13.91</v>
      </c>
      <c r="P27" s="1">
        <v>10</v>
      </c>
      <c r="Q27" s="1">
        <v>7.25</v>
      </c>
      <c r="R27" s="1">
        <v>0.73</v>
      </c>
      <c r="S27" s="1">
        <v>5.87</v>
      </c>
      <c r="T27" s="1">
        <f t="shared" si="2"/>
        <v>13.850000000000001</v>
      </c>
      <c r="U27" s="1">
        <v>226.04</v>
      </c>
      <c r="V27" s="2"/>
      <c r="W27" s="108" t="str">
        <f t="shared" si="3"/>
        <v>Cherry_EC6__5</v>
      </c>
      <c r="X27" s="85"/>
      <c r="Y27" s="1">
        <v>0.629</v>
      </c>
      <c r="Z27" s="1">
        <v>0.41699999999999998</v>
      </c>
      <c r="AA27" s="1">
        <v>7.3999999999999996E-2</v>
      </c>
      <c r="AB27" s="1">
        <f t="shared" si="4"/>
        <v>1.1200000000000001</v>
      </c>
      <c r="AC27" s="88">
        <f t="shared" si="5"/>
        <v>359.36406995230521</v>
      </c>
    </row>
    <row r="28" spans="1:29" ht="16" thickBot="1" x14ac:dyDescent="0.25">
      <c r="A28" s="101">
        <f t="shared" si="0"/>
        <v>34</v>
      </c>
      <c r="B28" s="115">
        <v>45187</v>
      </c>
      <c r="C28" s="102" t="s">
        <v>140</v>
      </c>
      <c r="D28" s="101">
        <v>48</v>
      </c>
      <c r="E28" s="101" t="s">
        <v>145</v>
      </c>
      <c r="F28" s="103" t="s">
        <v>142</v>
      </c>
      <c r="G28" s="101" t="s">
        <v>131</v>
      </c>
      <c r="H28" s="101" t="s">
        <v>135</v>
      </c>
      <c r="I28" s="101" t="s">
        <v>167</v>
      </c>
      <c r="J28" s="101">
        <v>6</v>
      </c>
      <c r="K28" s="87">
        <v>20</v>
      </c>
      <c r="L28" s="86">
        <v>2</v>
      </c>
      <c r="M28" s="86">
        <v>0</v>
      </c>
      <c r="N28" s="86">
        <v>0</v>
      </c>
      <c r="O28" s="86">
        <v>10.96</v>
      </c>
      <c r="P28" s="86">
        <v>10</v>
      </c>
      <c r="Q28" s="86">
        <v>6.39</v>
      </c>
      <c r="R28" s="86">
        <v>0.19</v>
      </c>
      <c r="S28" s="86">
        <v>4.3099999999999996</v>
      </c>
      <c r="T28" s="86">
        <f t="shared" si="2"/>
        <v>10.89</v>
      </c>
      <c r="U28" s="86">
        <v>200.38</v>
      </c>
      <c r="V28" s="2"/>
      <c r="W28" s="110" t="str">
        <f t="shared" si="3"/>
        <v>Cherry_EC6__6</v>
      </c>
      <c r="X28" s="87"/>
      <c r="Y28" s="86">
        <v>0.53700000000000003</v>
      </c>
      <c r="Z28" s="86">
        <v>0.29099999999999998</v>
      </c>
      <c r="AA28" s="86">
        <v>2.5999999999999999E-2</v>
      </c>
      <c r="AB28" s="86">
        <f t="shared" si="4"/>
        <v>0.85400000000000009</v>
      </c>
      <c r="AC28" s="89">
        <f t="shared" si="5"/>
        <v>373.14711359404095</v>
      </c>
    </row>
    <row r="29" spans="1:29" x14ac:dyDescent="0.2">
      <c r="A29" s="98">
        <f t="shared" si="0"/>
        <v>34</v>
      </c>
      <c r="B29" s="114">
        <v>45187</v>
      </c>
      <c r="C29" s="99" t="s">
        <v>140</v>
      </c>
      <c r="D29" s="98">
        <v>48</v>
      </c>
      <c r="E29" s="98" t="s">
        <v>146</v>
      </c>
      <c r="F29" s="100" t="s">
        <v>142</v>
      </c>
      <c r="G29" s="98" t="s">
        <v>136</v>
      </c>
      <c r="H29" s="98" t="s">
        <v>132</v>
      </c>
      <c r="I29" s="98" t="s">
        <v>168</v>
      </c>
      <c r="J29" s="95">
        <v>1</v>
      </c>
      <c r="K29" s="90">
        <v>22</v>
      </c>
      <c r="L29" s="91">
        <v>2</v>
      </c>
      <c r="M29" s="91">
        <v>0</v>
      </c>
      <c r="N29" s="91">
        <v>0</v>
      </c>
      <c r="O29" s="91">
        <v>17.329999999999998</v>
      </c>
      <c r="P29" s="91">
        <v>12</v>
      </c>
      <c r="Q29" s="92">
        <v>9.9</v>
      </c>
      <c r="R29" s="92">
        <v>6.69</v>
      </c>
      <c r="S29" s="92">
        <v>0.72</v>
      </c>
      <c r="T29" s="92">
        <f t="shared" si="2"/>
        <v>17.309999999999999</v>
      </c>
      <c r="U29" s="1">
        <v>272.14999999999998</v>
      </c>
      <c r="V29" s="2"/>
      <c r="W29" s="108" t="str">
        <f t="shared" si="3"/>
        <v>Cherry_EC3_HL_1</v>
      </c>
      <c r="X29" s="85"/>
      <c r="Y29" s="1">
        <v>0.85099999999999998</v>
      </c>
      <c r="Z29" s="1">
        <v>0.44400000000000001</v>
      </c>
      <c r="AA29" s="1">
        <v>6.2E-2</v>
      </c>
      <c r="AB29" s="1">
        <f t="shared" si="4"/>
        <v>1.357</v>
      </c>
      <c r="AC29" s="88">
        <f t="shared" ref="AC29:AC34" si="6">U29/Y29</f>
        <v>319.80023501762628</v>
      </c>
    </row>
    <row r="30" spans="1:29" x14ac:dyDescent="0.2">
      <c r="A30" s="95">
        <f t="shared" si="0"/>
        <v>34</v>
      </c>
      <c r="B30" s="114">
        <v>45187</v>
      </c>
      <c r="C30" s="96" t="s">
        <v>140</v>
      </c>
      <c r="D30" s="95">
        <v>48</v>
      </c>
      <c r="E30" s="95" t="s">
        <v>146</v>
      </c>
      <c r="F30" s="97" t="s">
        <v>142</v>
      </c>
      <c r="G30" s="95" t="s">
        <v>136</v>
      </c>
      <c r="H30" s="95" t="s">
        <v>132</v>
      </c>
      <c r="I30" s="95" t="s">
        <v>169</v>
      </c>
      <c r="J30" s="95">
        <v>2</v>
      </c>
      <c r="K30" s="84">
        <v>22</v>
      </c>
      <c r="L30" s="3">
        <v>4</v>
      </c>
      <c r="M30" s="3">
        <v>1</v>
      </c>
      <c r="N30" s="3">
        <v>0</v>
      </c>
      <c r="O30" s="3">
        <v>16.38</v>
      </c>
      <c r="P30" s="3">
        <v>13</v>
      </c>
      <c r="Q30" s="1">
        <v>8.6999999999999993</v>
      </c>
      <c r="R30" s="1">
        <v>6.77</v>
      </c>
      <c r="S30" s="1">
        <v>0.85</v>
      </c>
      <c r="T30" s="1">
        <f t="shared" si="2"/>
        <v>16.32</v>
      </c>
      <c r="U30" s="1">
        <v>248.81</v>
      </c>
      <c r="V30" s="2"/>
      <c r="W30" s="108" t="str">
        <f t="shared" si="3"/>
        <v>Cherry_EC3_HL_2</v>
      </c>
      <c r="X30" s="85"/>
      <c r="Y30" s="1">
        <v>0.747</v>
      </c>
      <c r="Z30" s="1">
        <v>0.47599999999999998</v>
      </c>
      <c r="AA30" s="1">
        <v>8.2000000000000003E-2</v>
      </c>
      <c r="AB30" s="1">
        <f t="shared" si="4"/>
        <v>1.3049999999999999</v>
      </c>
      <c r="AC30" s="88">
        <f t="shared" si="6"/>
        <v>333.0789825970549</v>
      </c>
    </row>
    <row r="31" spans="1:29" x14ac:dyDescent="0.2">
      <c r="A31" s="95">
        <f t="shared" si="0"/>
        <v>34</v>
      </c>
      <c r="B31" s="114">
        <v>45187</v>
      </c>
      <c r="C31" s="96" t="s">
        <v>140</v>
      </c>
      <c r="D31" s="95">
        <v>48</v>
      </c>
      <c r="E31" s="95" t="s">
        <v>146</v>
      </c>
      <c r="F31" s="97" t="s">
        <v>142</v>
      </c>
      <c r="G31" s="95" t="s">
        <v>136</v>
      </c>
      <c r="H31" s="95" t="s">
        <v>132</v>
      </c>
      <c r="I31" s="95" t="s">
        <v>170</v>
      </c>
      <c r="J31" s="95">
        <v>3</v>
      </c>
      <c r="K31" s="85">
        <v>23</v>
      </c>
      <c r="L31" s="1">
        <v>4</v>
      </c>
      <c r="M31" s="1">
        <v>3</v>
      </c>
      <c r="N31" s="1">
        <v>0</v>
      </c>
      <c r="O31" s="1">
        <v>20.77</v>
      </c>
      <c r="P31" s="1">
        <v>12</v>
      </c>
      <c r="Q31" s="1">
        <v>10.86</v>
      </c>
      <c r="R31" s="1">
        <v>8.1</v>
      </c>
      <c r="S31" s="1">
        <v>1.79</v>
      </c>
      <c r="T31" s="1">
        <f t="shared" si="2"/>
        <v>20.75</v>
      </c>
      <c r="U31" s="1">
        <v>294.70999999999998</v>
      </c>
      <c r="V31" s="2"/>
      <c r="W31" s="108" t="str">
        <f t="shared" si="3"/>
        <v>Cherry_EC3_HL_3</v>
      </c>
      <c r="X31" s="85"/>
      <c r="Y31" s="1">
        <v>0.95399999999999996</v>
      </c>
      <c r="Z31" s="1">
        <v>0.59899999999999998</v>
      </c>
      <c r="AA31" s="1">
        <v>0.156</v>
      </c>
      <c r="AB31" s="1">
        <f t="shared" si="4"/>
        <v>1.7089999999999999</v>
      </c>
      <c r="AC31" s="88">
        <f t="shared" si="6"/>
        <v>308.92033542976941</v>
      </c>
    </row>
    <row r="32" spans="1:29" x14ac:dyDescent="0.2">
      <c r="A32" s="95">
        <f t="shared" si="0"/>
        <v>34</v>
      </c>
      <c r="B32" s="114">
        <v>45187</v>
      </c>
      <c r="C32" s="96" t="s">
        <v>140</v>
      </c>
      <c r="D32" s="95">
        <v>48</v>
      </c>
      <c r="E32" s="95" t="s">
        <v>146</v>
      </c>
      <c r="F32" s="97" t="s">
        <v>142</v>
      </c>
      <c r="G32" s="95" t="s">
        <v>136</v>
      </c>
      <c r="H32" s="95" t="s">
        <v>132</v>
      </c>
      <c r="I32" s="95" t="s">
        <v>171</v>
      </c>
      <c r="J32" s="95">
        <v>4</v>
      </c>
      <c r="K32" s="85">
        <v>20</v>
      </c>
      <c r="L32" s="1">
        <v>4</v>
      </c>
      <c r="M32" s="1">
        <v>1</v>
      </c>
      <c r="N32" s="1">
        <v>0</v>
      </c>
      <c r="O32" s="1">
        <v>17.920000000000002</v>
      </c>
      <c r="P32" s="1">
        <v>13</v>
      </c>
      <c r="Q32" s="1">
        <v>9.92</v>
      </c>
      <c r="R32" s="1">
        <v>6.52</v>
      </c>
      <c r="S32" s="1">
        <v>1.45</v>
      </c>
      <c r="T32" s="1">
        <f t="shared" si="2"/>
        <v>17.889999999999997</v>
      </c>
      <c r="U32" s="1">
        <v>295.11</v>
      </c>
      <c r="V32" s="2"/>
      <c r="W32" s="108" t="str">
        <f t="shared" si="3"/>
        <v>Cherry_EC3_HL_4</v>
      </c>
      <c r="X32" s="85"/>
      <c r="Y32" s="1">
        <v>0.879</v>
      </c>
      <c r="Z32" s="1">
        <v>0.51700000000000002</v>
      </c>
      <c r="AA32" s="1">
        <v>0.124</v>
      </c>
      <c r="AB32" s="1">
        <f t="shared" si="4"/>
        <v>1.52</v>
      </c>
      <c r="AC32" s="88">
        <f t="shared" si="6"/>
        <v>335.73378839590447</v>
      </c>
    </row>
    <row r="33" spans="1:29" x14ac:dyDescent="0.2">
      <c r="A33" s="95">
        <f t="shared" si="0"/>
        <v>34</v>
      </c>
      <c r="B33" s="114">
        <v>45187</v>
      </c>
      <c r="C33" s="96" t="s">
        <v>140</v>
      </c>
      <c r="D33" s="95">
        <v>48</v>
      </c>
      <c r="E33" s="95" t="s">
        <v>146</v>
      </c>
      <c r="F33" s="97" t="s">
        <v>142</v>
      </c>
      <c r="G33" s="95" t="s">
        <v>136</v>
      </c>
      <c r="H33" s="95" t="s">
        <v>132</v>
      </c>
      <c r="I33" s="95" t="s">
        <v>172</v>
      </c>
      <c r="J33" s="95">
        <v>5</v>
      </c>
      <c r="K33" s="85">
        <v>24</v>
      </c>
      <c r="L33" s="1">
        <v>4</v>
      </c>
      <c r="M33" s="1">
        <v>2</v>
      </c>
      <c r="N33" s="1">
        <v>0</v>
      </c>
      <c r="O33" s="1">
        <v>19.86</v>
      </c>
      <c r="P33" s="1">
        <v>12</v>
      </c>
      <c r="Q33" s="1">
        <v>10.54</v>
      </c>
      <c r="R33" s="1">
        <v>7.7</v>
      </c>
      <c r="S33" s="1">
        <v>1.49</v>
      </c>
      <c r="T33" s="1">
        <f t="shared" si="2"/>
        <v>19.729999999999997</v>
      </c>
      <c r="U33" s="1">
        <v>315.11</v>
      </c>
      <c r="V33" s="2"/>
      <c r="W33" s="108" t="str">
        <f t="shared" si="3"/>
        <v>Cherry_EC3_HL_5</v>
      </c>
      <c r="X33" s="85"/>
      <c r="Y33" s="1">
        <v>0.96199999999999997</v>
      </c>
      <c r="Z33" s="1">
        <v>0.63</v>
      </c>
      <c r="AA33" s="1">
        <v>0.13500000000000001</v>
      </c>
      <c r="AB33" s="1">
        <f t="shared" si="4"/>
        <v>1.7270000000000001</v>
      </c>
      <c r="AC33" s="88">
        <f t="shared" si="6"/>
        <v>327.55717255717258</v>
      </c>
    </row>
    <row r="34" spans="1:29" ht="16" thickBot="1" x14ac:dyDescent="0.25">
      <c r="A34" s="101">
        <f t="shared" si="0"/>
        <v>34</v>
      </c>
      <c r="B34" s="115">
        <v>45187</v>
      </c>
      <c r="C34" s="102" t="s">
        <v>140</v>
      </c>
      <c r="D34" s="101">
        <v>48</v>
      </c>
      <c r="E34" s="101" t="s">
        <v>146</v>
      </c>
      <c r="F34" s="103" t="s">
        <v>142</v>
      </c>
      <c r="G34" s="101" t="s">
        <v>136</v>
      </c>
      <c r="H34" s="101" t="s">
        <v>132</v>
      </c>
      <c r="I34" s="101" t="s">
        <v>173</v>
      </c>
      <c r="J34" s="101">
        <v>6</v>
      </c>
      <c r="K34" s="87">
        <v>23</v>
      </c>
      <c r="L34" s="86">
        <v>2</v>
      </c>
      <c r="M34" s="86">
        <v>0</v>
      </c>
      <c r="N34" s="86">
        <v>0</v>
      </c>
      <c r="O34" s="86">
        <v>17.149999999999999</v>
      </c>
      <c r="P34" s="86">
        <v>13</v>
      </c>
      <c r="Q34" s="86">
        <v>9.69</v>
      </c>
      <c r="R34" s="86">
        <v>6.9</v>
      </c>
      <c r="S34" s="86">
        <v>0.53</v>
      </c>
      <c r="T34" s="86">
        <f t="shared" si="2"/>
        <v>17.12</v>
      </c>
      <c r="U34" s="86">
        <v>276.47000000000003</v>
      </c>
      <c r="V34" s="2"/>
      <c r="W34" s="110" t="str">
        <f t="shared" si="3"/>
        <v>Cherry_EC3_HL_6</v>
      </c>
      <c r="X34" s="87"/>
      <c r="Y34" s="86">
        <v>0.83199999999999996</v>
      </c>
      <c r="Z34" s="86">
        <v>0.497</v>
      </c>
      <c r="AA34" s="86">
        <v>5.1999999999999998E-2</v>
      </c>
      <c r="AB34" s="86">
        <f t="shared" si="4"/>
        <v>1.381</v>
      </c>
      <c r="AC34" s="89">
        <f t="shared" si="6"/>
        <v>332.29567307692315</v>
      </c>
    </row>
    <row r="35" spans="1:29" x14ac:dyDescent="0.2">
      <c r="A35" s="98">
        <f t="shared" si="0"/>
        <v>34</v>
      </c>
      <c r="B35" s="114">
        <v>45187</v>
      </c>
      <c r="C35" s="99" t="s">
        <v>140</v>
      </c>
      <c r="D35" s="98">
        <v>48</v>
      </c>
      <c r="E35" s="98" t="s">
        <v>147</v>
      </c>
      <c r="F35" s="100" t="s">
        <v>142</v>
      </c>
      <c r="G35" s="98" t="s">
        <v>136</v>
      </c>
      <c r="H35" s="98" t="s">
        <v>133</v>
      </c>
      <c r="I35" s="98" t="s">
        <v>174</v>
      </c>
      <c r="J35" s="95">
        <v>1</v>
      </c>
      <c r="K35" s="90">
        <v>24.5</v>
      </c>
      <c r="L35" s="91">
        <v>4</v>
      </c>
      <c r="M35" s="91">
        <v>1</v>
      </c>
      <c r="N35" s="91">
        <v>0</v>
      </c>
      <c r="O35" s="91">
        <v>21.67</v>
      </c>
      <c r="P35" s="91">
        <v>13</v>
      </c>
      <c r="Q35" s="92">
        <v>11.52</v>
      </c>
      <c r="R35" s="92">
        <v>1.06</v>
      </c>
      <c r="S35" s="92">
        <v>9.0399999999999991</v>
      </c>
      <c r="T35" s="92">
        <f t="shared" si="2"/>
        <v>21.619999999999997</v>
      </c>
      <c r="U35" s="1">
        <v>323.07</v>
      </c>
      <c r="V35" s="2"/>
      <c r="W35" s="108" t="str">
        <f t="shared" si="3"/>
        <v>Cherry_EC3_ML_1</v>
      </c>
      <c r="X35" s="85"/>
      <c r="Y35" s="1">
        <v>0.99299999999999999</v>
      </c>
      <c r="Z35" s="1">
        <v>0.61499999999999999</v>
      </c>
      <c r="AA35" s="1">
        <v>0.10299999999999999</v>
      </c>
      <c r="AB35" s="1">
        <f t="shared" si="4"/>
        <v>1.7110000000000001</v>
      </c>
      <c r="AC35" s="88">
        <f>U35/Y35</f>
        <v>325.34743202416917</v>
      </c>
    </row>
    <row r="36" spans="1:29" x14ac:dyDescent="0.2">
      <c r="A36" s="95">
        <f t="shared" si="0"/>
        <v>34</v>
      </c>
      <c r="B36" s="114">
        <v>45187</v>
      </c>
      <c r="C36" s="96" t="s">
        <v>140</v>
      </c>
      <c r="D36" s="95">
        <v>48</v>
      </c>
      <c r="E36" s="95" t="s">
        <v>147</v>
      </c>
      <c r="F36" s="97" t="s">
        <v>142</v>
      </c>
      <c r="G36" s="95" t="s">
        <v>136</v>
      </c>
      <c r="H36" s="95" t="s">
        <v>133</v>
      </c>
      <c r="I36" s="95" t="s">
        <v>175</v>
      </c>
      <c r="J36" s="95">
        <v>2</v>
      </c>
      <c r="K36" s="84">
        <v>21.5</v>
      </c>
      <c r="L36" s="3">
        <v>3</v>
      </c>
      <c r="M36" s="3">
        <v>1</v>
      </c>
      <c r="N36" s="3">
        <v>0</v>
      </c>
      <c r="O36" s="3">
        <v>16.88</v>
      </c>
      <c r="P36" s="3">
        <v>11</v>
      </c>
      <c r="Q36" s="1">
        <v>9.1999999999999993</v>
      </c>
      <c r="R36" s="1">
        <v>0.99</v>
      </c>
      <c r="S36" s="1">
        <v>6.61</v>
      </c>
      <c r="T36" s="1">
        <f t="shared" si="2"/>
        <v>16.8</v>
      </c>
      <c r="U36" s="1">
        <v>260.60000000000002</v>
      </c>
      <c r="V36" s="2"/>
      <c r="W36" s="108" t="str">
        <f t="shared" si="3"/>
        <v>Cherry_EC3_ML_2</v>
      </c>
      <c r="X36" s="85"/>
      <c r="Y36" s="1">
        <v>0.76300000000000001</v>
      </c>
      <c r="Z36" s="1">
        <v>0.47299999999999998</v>
      </c>
      <c r="AA36" s="1">
        <v>8.5999999999999993E-2</v>
      </c>
      <c r="AB36" s="1">
        <f t="shared" si="4"/>
        <v>1.3220000000000001</v>
      </c>
      <c r="AC36" s="88">
        <f>U36/Y36</f>
        <v>341.54652686762779</v>
      </c>
    </row>
    <row r="37" spans="1:29" x14ac:dyDescent="0.2">
      <c r="A37" s="95">
        <f t="shared" si="0"/>
        <v>34</v>
      </c>
      <c r="B37" s="114">
        <v>45187</v>
      </c>
      <c r="C37" s="96" t="s">
        <v>140</v>
      </c>
      <c r="D37" s="95">
        <v>48</v>
      </c>
      <c r="E37" s="95" t="s">
        <v>147</v>
      </c>
      <c r="F37" s="97" t="s">
        <v>142</v>
      </c>
      <c r="G37" s="95" t="s">
        <v>136</v>
      </c>
      <c r="H37" s="95" t="s">
        <v>133</v>
      </c>
      <c r="I37" s="95" t="s">
        <v>176</v>
      </c>
      <c r="J37" s="95">
        <v>3</v>
      </c>
      <c r="K37" s="85">
        <v>23</v>
      </c>
      <c r="L37" s="1">
        <v>3</v>
      </c>
      <c r="M37" s="1">
        <v>0</v>
      </c>
      <c r="N37" s="1">
        <v>0</v>
      </c>
      <c r="O37" s="1">
        <v>19.170000000000002</v>
      </c>
      <c r="P37" s="1">
        <v>11</v>
      </c>
      <c r="Q37" s="1">
        <v>10.89</v>
      </c>
      <c r="R37" s="1">
        <v>0.84</v>
      </c>
      <c r="S37" s="1">
        <v>7.4</v>
      </c>
      <c r="T37" s="1">
        <f t="shared" si="2"/>
        <v>19.130000000000003</v>
      </c>
      <c r="U37" s="1">
        <v>302.87</v>
      </c>
      <c r="V37" s="2"/>
      <c r="W37" s="108" t="str">
        <f t="shared" si="3"/>
        <v>Cherry_EC3_ML_3</v>
      </c>
      <c r="X37" s="85"/>
      <c r="Y37" s="1">
        <v>0.95099999999999996</v>
      </c>
      <c r="Z37" s="1">
        <v>0.56599999999999995</v>
      </c>
      <c r="AA37" s="159">
        <v>1287.8499999999999</v>
      </c>
      <c r="AB37" s="1">
        <f t="shared" si="4"/>
        <v>1289.367</v>
      </c>
      <c r="AC37" s="88">
        <f>U37/Y37</f>
        <v>318.47528916929548</v>
      </c>
    </row>
    <row r="38" spans="1:29" x14ac:dyDescent="0.2">
      <c r="A38" s="95">
        <f t="shared" si="0"/>
        <v>34</v>
      </c>
      <c r="B38" s="114">
        <v>45187</v>
      </c>
      <c r="C38" s="96" t="s">
        <v>140</v>
      </c>
      <c r="D38" s="95">
        <v>48</v>
      </c>
      <c r="E38" s="95" t="s">
        <v>147</v>
      </c>
      <c r="F38" s="97" t="s">
        <v>142</v>
      </c>
      <c r="G38" s="95" t="s">
        <v>136</v>
      </c>
      <c r="H38" s="95" t="s">
        <v>133</v>
      </c>
      <c r="I38" s="95" t="s">
        <v>177</v>
      </c>
      <c r="J38" s="95">
        <v>4</v>
      </c>
      <c r="K38" s="85">
        <v>20.5</v>
      </c>
      <c r="L38" s="1">
        <v>2</v>
      </c>
      <c r="M38" s="1">
        <v>0</v>
      </c>
      <c r="N38" s="1">
        <v>0</v>
      </c>
      <c r="O38" s="1">
        <v>13.72</v>
      </c>
      <c r="P38" s="1">
        <v>11</v>
      </c>
      <c r="Q38" s="1">
        <v>7.53</v>
      </c>
      <c r="R38" s="1">
        <v>0.37</v>
      </c>
      <c r="S38" s="1">
        <v>5.8</v>
      </c>
      <c r="T38" s="1">
        <f t="shared" si="2"/>
        <v>13.7</v>
      </c>
      <c r="U38" s="1">
        <v>224.04</v>
      </c>
      <c r="V38" s="2"/>
      <c r="W38" s="108" t="str">
        <f t="shared" si="3"/>
        <v>Cherry_EC3_ML_4</v>
      </c>
      <c r="X38" s="85"/>
      <c r="Y38" s="1">
        <v>0.63800000000000001</v>
      </c>
      <c r="Z38" s="1">
        <v>0.40799999999999997</v>
      </c>
      <c r="AA38" s="1">
        <v>3.4000000000000002E-2</v>
      </c>
      <c r="AB38" s="1">
        <f t="shared" si="4"/>
        <v>1.08</v>
      </c>
      <c r="AC38" s="88">
        <f>U38/Y38</f>
        <v>351.15987460815046</v>
      </c>
    </row>
    <row r="39" spans="1:29" x14ac:dyDescent="0.2">
      <c r="A39" s="95">
        <f t="shared" si="0"/>
        <v>34</v>
      </c>
      <c r="B39" s="114">
        <v>45187</v>
      </c>
      <c r="C39" s="96" t="s">
        <v>140</v>
      </c>
      <c r="D39" s="95">
        <v>48</v>
      </c>
      <c r="E39" s="95" t="s">
        <v>147</v>
      </c>
      <c r="F39" s="97" t="s">
        <v>142</v>
      </c>
      <c r="G39" s="95" t="s">
        <v>136</v>
      </c>
      <c r="H39" s="95" t="s">
        <v>133</v>
      </c>
      <c r="I39" s="95" t="s">
        <v>178</v>
      </c>
      <c r="J39" s="95">
        <v>5</v>
      </c>
      <c r="K39" s="85">
        <v>21.5</v>
      </c>
      <c r="L39" s="1">
        <v>3</v>
      </c>
      <c r="M39" s="1">
        <v>4</v>
      </c>
      <c r="N39" s="1">
        <v>0</v>
      </c>
      <c r="O39" s="1">
        <v>18.940000000000001</v>
      </c>
      <c r="P39" s="1">
        <v>12</v>
      </c>
      <c r="Q39" s="1">
        <v>10.119999999999999</v>
      </c>
      <c r="R39" s="1">
        <v>1.48</v>
      </c>
      <c r="S39" s="1">
        <v>7.23</v>
      </c>
      <c r="T39" s="1">
        <f t="shared" si="2"/>
        <v>18.829999999999998</v>
      </c>
      <c r="U39" s="1">
        <v>299.69</v>
      </c>
      <c r="V39" s="2"/>
      <c r="W39" s="108" t="str">
        <f t="shared" si="3"/>
        <v>Cherry_EC3_ML_5</v>
      </c>
      <c r="X39" s="85"/>
      <c r="Y39" s="1">
        <v>0.86899999999999999</v>
      </c>
      <c r="Z39" s="1">
        <v>0.57099999999999995</v>
      </c>
      <c r="AA39" s="1">
        <v>0.13700000000000001</v>
      </c>
      <c r="AB39" s="1">
        <f t="shared" si="4"/>
        <v>1.577</v>
      </c>
      <c r="AC39" s="88">
        <f>U39/Y39</f>
        <v>344.86766398158801</v>
      </c>
    </row>
    <row r="40" spans="1:29" ht="16" thickBot="1" x14ac:dyDescent="0.25">
      <c r="A40" s="101">
        <f t="shared" si="0"/>
        <v>34</v>
      </c>
      <c r="B40" s="115">
        <v>45187</v>
      </c>
      <c r="C40" s="102" t="s">
        <v>140</v>
      </c>
      <c r="D40" s="101">
        <v>48</v>
      </c>
      <c r="E40" s="101" t="s">
        <v>147</v>
      </c>
      <c r="F40" s="103" t="s">
        <v>142</v>
      </c>
      <c r="G40" s="101" t="s">
        <v>136</v>
      </c>
      <c r="H40" s="101" t="s">
        <v>133</v>
      </c>
      <c r="I40" s="101" t="s">
        <v>179</v>
      </c>
      <c r="J40" s="101">
        <v>6</v>
      </c>
      <c r="K40" s="87">
        <v>22.5</v>
      </c>
      <c r="L40" s="86">
        <v>3</v>
      </c>
      <c r="M40" s="86">
        <v>4</v>
      </c>
      <c r="N40" s="86">
        <v>0</v>
      </c>
      <c r="O40" s="86">
        <v>21.61</v>
      </c>
      <c r="P40" s="86">
        <v>12</v>
      </c>
      <c r="Q40" s="86">
        <v>10.48</v>
      </c>
      <c r="R40" s="86">
        <v>1.86</v>
      </c>
      <c r="S40" s="86">
        <v>9.1300000000000008</v>
      </c>
      <c r="T40" s="86">
        <f t="shared" si="2"/>
        <v>21.47</v>
      </c>
      <c r="U40" s="86">
        <v>294.69</v>
      </c>
      <c r="V40" s="2"/>
      <c r="W40" s="110" t="str">
        <f t="shared" si="3"/>
        <v>Cherry_EC3_ML_6</v>
      </c>
      <c r="X40" s="87"/>
      <c r="Y40" s="86">
        <v>0.94199999999999995</v>
      </c>
      <c r="Z40" s="86">
        <v>0.747</v>
      </c>
      <c r="AA40" s="86">
        <v>0.16800000000000001</v>
      </c>
      <c r="AB40" s="86">
        <f t="shared" si="4"/>
        <v>1.857</v>
      </c>
      <c r="AC40" s="89">
        <v>351.15987460815046</v>
      </c>
    </row>
    <row r="41" spans="1:29" x14ac:dyDescent="0.2">
      <c r="A41" s="98">
        <f t="shared" si="0"/>
        <v>34</v>
      </c>
      <c r="B41" s="114">
        <v>45187</v>
      </c>
      <c r="C41" s="99" t="s">
        <v>140</v>
      </c>
      <c r="D41" s="98">
        <v>48</v>
      </c>
      <c r="E41" s="98" t="s">
        <v>148</v>
      </c>
      <c r="F41" s="100" t="s">
        <v>142</v>
      </c>
      <c r="G41" s="98" t="s">
        <v>136</v>
      </c>
      <c r="H41" s="98" t="s">
        <v>134</v>
      </c>
      <c r="I41" s="98" t="s">
        <v>180</v>
      </c>
      <c r="J41" s="95">
        <v>1</v>
      </c>
      <c r="K41" s="90">
        <v>19</v>
      </c>
      <c r="L41" s="91">
        <v>2</v>
      </c>
      <c r="M41" s="91">
        <v>0</v>
      </c>
      <c r="N41" s="91">
        <v>0</v>
      </c>
      <c r="O41" s="91">
        <v>10.48</v>
      </c>
      <c r="P41" s="91">
        <v>10</v>
      </c>
      <c r="Q41" s="92">
        <v>5.4</v>
      </c>
      <c r="R41" s="92">
        <v>0.13</v>
      </c>
      <c r="S41" s="92">
        <v>4.87</v>
      </c>
      <c r="T41" s="92">
        <f t="shared" si="2"/>
        <v>10.4</v>
      </c>
      <c r="U41" s="1">
        <v>177.48</v>
      </c>
      <c r="V41" s="2"/>
      <c r="W41" s="108" t="str">
        <f t="shared" si="3"/>
        <v>Cherry_EC3_LL_1</v>
      </c>
      <c r="X41" s="85"/>
      <c r="Y41" s="1">
        <v>0.439</v>
      </c>
      <c r="Z41" s="1">
        <v>0.28299999999999997</v>
      </c>
      <c r="AA41" s="1">
        <v>1.2999999999999999E-2</v>
      </c>
      <c r="AB41" s="1">
        <f t="shared" si="4"/>
        <v>0.73499999999999999</v>
      </c>
      <c r="AC41" s="88">
        <f>U41/Y41</f>
        <v>404.28246013667422</v>
      </c>
    </row>
    <row r="42" spans="1:29" x14ac:dyDescent="0.2">
      <c r="A42" s="95">
        <f t="shared" si="0"/>
        <v>34</v>
      </c>
      <c r="B42" s="114">
        <v>45187</v>
      </c>
      <c r="C42" s="96" t="s">
        <v>140</v>
      </c>
      <c r="D42" s="95">
        <v>48</v>
      </c>
      <c r="E42" s="95" t="s">
        <v>148</v>
      </c>
      <c r="F42" s="97" t="s">
        <v>142</v>
      </c>
      <c r="G42" s="95" t="s">
        <v>136</v>
      </c>
      <c r="H42" s="95" t="s">
        <v>134</v>
      </c>
      <c r="I42" s="95" t="s">
        <v>181</v>
      </c>
      <c r="J42" s="95">
        <v>2</v>
      </c>
      <c r="K42" s="84">
        <v>23</v>
      </c>
      <c r="L42" s="3">
        <v>3</v>
      </c>
      <c r="M42" s="3">
        <v>2</v>
      </c>
      <c r="N42" s="3">
        <v>0</v>
      </c>
      <c r="O42" s="3">
        <v>18.25</v>
      </c>
      <c r="P42" s="3">
        <v>12</v>
      </c>
      <c r="Q42" s="1">
        <v>10</v>
      </c>
      <c r="R42" s="1">
        <v>0.79</v>
      </c>
      <c r="S42" s="1">
        <v>7.44</v>
      </c>
      <c r="T42" s="1">
        <f t="shared" si="2"/>
        <v>18.23</v>
      </c>
      <c r="U42" s="1">
        <v>311.74</v>
      </c>
      <c r="V42" s="2"/>
      <c r="W42" s="108" t="str">
        <f t="shared" si="3"/>
        <v>Cherry_EC3_LL_2</v>
      </c>
      <c r="X42" s="85"/>
      <c r="Y42" s="1">
        <v>0.85099999999999998</v>
      </c>
      <c r="Z42" s="1">
        <v>0.54500000000000004</v>
      </c>
      <c r="AA42" s="1">
        <v>7.8E-2</v>
      </c>
      <c r="AB42" s="1">
        <f t="shared" si="4"/>
        <v>1.474</v>
      </c>
      <c r="AC42" s="88">
        <f>U42/Y42</f>
        <v>366.32197414806114</v>
      </c>
    </row>
    <row r="43" spans="1:29" x14ac:dyDescent="0.2">
      <c r="A43" s="95">
        <f t="shared" si="0"/>
        <v>34</v>
      </c>
      <c r="B43" s="114">
        <v>45187</v>
      </c>
      <c r="C43" s="96" t="s">
        <v>140</v>
      </c>
      <c r="D43" s="95">
        <v>48</v>
      </c>
      <c r="E43" s="95" t="s">
        <v>148</v>
      </c>
      <c r="F43" s="97" t="s">
        <v>142</v>
      </c>
      <c r="G43" s="95" t="s">
        <v>136</v>
      </c>
      <c r="H43" s="95" t="s">
        <v>134</v>
      </c>
      <c r="I43" s="95" t="s">
        <v>182</v>
      </c>
      <c r="J43" s="95">
        <v>3</v>
      </c>
      <c r="K43" s="85">
        <v>20.5</v>
      </c>
      <c r="L43" s="1">
        <v>2</v>
      </c>
      <c r="M43" s="1">
        <v>0</v>
      </c>
      <c r="N43" s="1">
        <v>0</v>
      </c>
      <c r="O43" s="1">
        <v>9.68</v>
      </c>
      <c r="P43" s="1">
        <v>9</v>
      </c>
      <c r="Q43" s="1">
        <v>5.74</v>
      </c>
      <c r="R43" s="1">
        <v>0.18</v>
      </c>
      <c r="S43" s="1">
        <v>3.68</v>
      </c>
      <c r="T43" s="1">
        <f t="shared" si="2"/>
        <v>9.6</v>
      </c>
      <c r="U43" s="1">
        <v>171.43</v>
      </c>
      <c r="V43" s="2"/>
      <c r="W43" s="108" t="str">
        <f t="shared" si="3"/>
        <v>Cherry_EC3_LL_3</v>
      </c>
      <c r="X43" s="85"/>
      <c r="Y43" s="1">
        <v>0.49299999999999999</v>
      </c>
      <c r="Z43" s="1">
        <v>0.26500000000000001</v>
      </c>
      <c r="AA43" s="1">
        <v>1.6E-2</v>
      </c>
      <c r="AB43" s="1">
        <f t="shared" si="4"/>
        <v>0.77400000000000002</v>
      </c>
      <c r="AC43" s="88">
        <f>U43/Y43</f>
        <v>347.72819472616635</v>
      </c>
    </row>
    <row r="44" spans="1:29" x14ac:dyDescent="0.2">
      <c r="A44" s="95">
        <f t="shared" si="0"/>
        <v>34</v>
      </c>
      <c r="B44" s="114">
        <v>45187</v>
      </c>
      <c r="C44" s="96" t="s">
        <v>140</v>
      </c>
      <c r="D44" s="95">
        <v>48</v>
      </c>
      <c r="E44" s="95" t="s">
        <v>148</v>
      </c>
      <c r="F44" s="97" t="s">
        <v>142</v>
      </c>
      <c r="G44" s="95" t="s">
        <v>136</v>
      </c>
      <c r="H44" s="95" t="s">
        <v>134</v>
      </c>
      <c r="I44" s="95" t="s">
        <v>183</v>
      </c>
      <c r="J44" s="95">
        <v>4</v>
      </c>
      <c r="K44" s="85">
        <v>24.5</v>
      </c>
      <c r="L44" s="1">
        <v>3</v>
      </c>
      <c r="M44" s="1">
        <v>1</v>
      </c>
      <c r="N44" s="1">
        <v>0</v>
      </c>
      <c r="O44" s="1">
        <v>18.79</v>
      </c>
      <c r="P44" s="1">
        <v>11</v>
      </c>
      <c r="Q44" s="1">
        <v>10.59</v>
      </c>
      <c r="R44" s="1">
        <v>0.75</v>
      </c>
      <c r="S44" s="1">
        <v>7.38</v>
      </c>
      <c r="T44" s="1">
        <f t="shared" si="2"/>
        <v>18.72</v>
      </c>
      <c r="U44" s="1">
        <v>327.16000000000003</v>
      </c>
      <c r="V44" s="2"/>
      <c r="W44" s="108" t="str">
        <f t="shared" si="3"/>
        <v>Cherry_EC3_LL_4</v>
      </c>
      <c r="X44" s="85"/>
      <c r="Y44" s="1">
        <v>0.92900000000000005</v>
      </c>
      <c r="Z44" s="1">
        <v>0.54800000000000004</v>
      </c>
      <c r="AA44" s="1">
        <v>7.8E-2</v>
      </c>
      <c r="AB44" s="1">
        <f t="shared" si="4"/>
        <v>1.5550000000000002</v>
      </c>
      <c r="AC44" s="88">
        <f>U44/Y44</f>
        <v>352.16361679224974</v>
      </c>
    </row>
    <row r="45" spans="1:29" x14ac:dyDescent="0.2">
      <c r="A45" s="95">
        <f t="shared" si="0"/>
        <v>34</v>
      </c>
      <c r="B45" s="114">
        <v>45187</v>
      </c>
      <c r="C45" s="96" t="s">
        <v>140</v>
      </c>
      <c r="D45" s="95">
        <v>48</v>
      </c>
      <c r="E45" s="95" t="s">
        <v>148</v>
      </c>
      <c r="F45" s="97" t="s">
        <v>142</v>
      </c>
      <c r="G45" s="95" t="s">
        <v>136</v>
      </c>
      <c r="H45" s="95" t="s">
        <v>134</v>
      </c>
      <c r="I45" s="95" t="s">
        <v>184</v>
      </c>
      <c r="J45" s="95">
        <v>5</v>
      </c>
      <c r="K45" s="85">
        <v>24</v>
      </c>
      <c r="L45" s="1">
        <v>4</v>
      </c>
      <c r="M45" s="1">
        <v>2</v>
      </c>
      <c r="N45" s="1">
        <v>0</v>
      </c>
      <c r="O45" s="1">
        <v>17.57</v>
      </c>
      <c r="P45" s="1">
        <v>11</v>
      </c>
      <c r="Q45" s="1">
        <v>8.9</v>
      </c>
      <c r="R45" s="1">
        <v>1.02</v>
      </c>
      <c r="S45" s="1">
        <v>7.57</v>
      </c>
      <c r="T45" s="1">
        <f t="shared" si="2"/>
        <v>17.490000000000002</v>
      </c>
      <c r="U45" s="1">
        <v>283.79000000000002</v>
      </c>
      <c r="V45" s="2"/>
      <c r="W45" s="108" t="str">
        <f t="shared" si="3"/>
        <v>Cherry_EC3_LL_5</v>
      </c>
      <c r="X45" s="85"/>
      <c r="Y45" s="1">
        <v>0.75800000000000001</v>
      </c>
      <c r="Z45" s="1">
        <v>0.54300000000000004</v>
      </c>
      <c r="AA45" s="1">
        <v>0.10299999999999999</v>
      </c>
      <c r="AB45" s="1">
        <f t="shared" si="4"/>
        <v>1.4040000000000001</v>
      </c>
      <c r="AC45" s="88">
        <f>U45/Y45</f>
        <v>374.39313984168865</v>
      </c>
    </row>
    <row r="46" spans="1:29" ht="16" thickBot="1" x14ac:dyDescent="0.25">
      <c r="A46" s="101">
        <f t="shared" si="0"/>
        <v>34</v>
      </c>
      <c r="B46" s="115">
        <v>45187</v>
      </c>
      <c r="C46" s="102" t="s">
        <v>140</v>
      </c>
      <c r="D46" s="101">
        <v>48</v>
      </c>
      <c r="E46" s="101" t="s">
        <v>148</v>
      </c>
      <c r="F46" s="103" t="s">
        <v>142</v>
      </c>
      <c r="G46" s="101" t="s">
        <v>136</v>
      </c>
      <c r="H46" s="101" t="s">
        <v>134</v>
      </c>
      <c r="I46" s="101" t="s">
        <v>185</v>
      </c>
      <c r="J46" s="101">
        <v>6</v>
      </c>
      <c r="K46" s="87">
        <v>19.5</v>
      </c>
      <c r="L46" s="86">
        <v>2</v>
      </c>
      <c r="M46" s="86">
        <v>0</v>
      </c>
      <c r="N46" s="86">
        <v>0</v>
      </c>
      <c r="O46" s="86">
        <v>15.53</v>
      </c>
      <c r="P46" s="86">
        <v>11</v>
      </c>
      <c r="Q46" s="86">
        <v>8.83</v>
      </c>
      <c r="R46" s="86">
        <v>0.4</v>
      </c>
      <c r="S46" s="86">
        <v>6.31</v>
      </c>
      <c r="T46" s="86">
        <f t="shared" si="2"/>
        <v>15.54</v>
      </c>
      <c r="U46" s="86">
        <v>256.8</v>
      </c>
      <c r="V46" s="2"/>
      <c r="W46" s="110" t="str">
        <f t="shared" si="3"/>
        <v>Cherry_EC3_LL_6</v>
      </c>
      <c r="X46" s="87"/>
      <c r="Y46" s="86">
        <v>0.755</v>
      </c>
      <c r="Z46" s="86">
        <v>0.44600000000000001</v>
      </c>
      <c r="AA46" s="86">
        <v>3.6999999999999998E-2</v>
      </c>
      <c r="AB46" s="86">
        <f t="shared" si="4"/>
        <v>1.238</v>
      </c>
      <c r="AC46" s="89">
        <v>374.39313984168865</v>
      </c>
    </row>
    <row r="47" spans="1:29" x14ac:dyDescent="0.2">
      <c r="A47" s="98">
        <f t="shared" si="0"/>
        <v>34</v>
      </c>
      <c r="B47" s="114">
        <v>45187</v>
      </c>
      <c r="C47" s="99" t="s">
        <v>140</v>
      </c>
      <c r="D47" s="98">
        <v>48</v>
      </c>
      <c r="E47" s="98" t="s">
        <v>149</v>
      </c>
      <c r="F47" s="100" t="s">
        <v>142</v>
      </c>
      <c r="G47" s="98" t="s">
        <v>136</v>
      </c>
      <c r="H47" s="98" t="s">
        <v>135</v>
      </c>
      <c r="I47" s="98" t="s">
        <v>186</v>
      </c>
      <c r="J47" s="95">
        <v>1</v>
      </c>
      <c r="K47" s="90">
        <v>19</v>
      </c>
      <c r="L47" s="91">
        <v>2</v>
      </c>
      <c r="M47" s="91">
        <v>0</v>
      </c>
      <c r="N47" s="91">
        <v>0</v>
      </c>
      <c r="O47" s="91">
        <v>11.63</v>
      </c>
      <c r="P47" s="91">
        <v>11</v>
      </c>
      <c r="Q47" s="92">
        <v>6.5</v>
      </c>
      <c r="R47" s="92">
        <v>4.75</v>
      </c>
      <c r="S47" s="92">
        <v>0.35</v>
      </c>
      <c r="T47" s="92">
        <f t="shared" si="2"/>
        <v>11.6</v>
      </c>
      <c r="U47" s="1">
        <v>209.89</v>
      </c>
      <c r="V47" s="2"/>
      <c r="W47" s="108" t="str">
        <f t="shared" si="3"/>
        <v>Cherry_EC3__1</v>
      </c>
      <c r="X47" s="85"/>
      <c r="Y47" s="1">
        <v>0.52300000000000002</v>
      </c>
      <c r="Z47" s="1">
        <v>0.28599999999999998</v>
      </c>
      <c r="AA47" s="1">
        <v>0.03</v>
      </c>
      <c r="AB47" s="1">
        <f t="shared" si="4"/>
        <v>0.83899999999999997</v>
      </c>
      <c r="AC47" s="88">
        <f t="shared" ref="AC47:AC52" si="7">U47/Y47</f>
        <v>401.31931166347988</v>
      </c>
    </row>
    <row r="48" spans="1:29" x14ac:dyDescent="0.2">
      <c r="A48" s="95">
        <f t="shared" si="0"/>
        <v>34</v>
      </c>
      <c r="B48" s="114">
        <v>45187</v>
      </c>
      <c r="C48" s="96" t="s">
        <v>140</v>
      </c>
      <c r="D48" s="95">
        <v>48</v>
      </c>
      <c r="E48" s="95" t="s">
        <v>149</v>
      </c>
      <c r="F48" s="97" t="s">
        <v>142</v>
      </c>
      <c r="G48" s="95" t="s">
        <v>136</v>
      </c>
      <c r="H48" s="95" t="s">
        <v>135</v>
      </c>
      <c r="I48" s="95" t="s">
        <v>187</v>
      </c>
      <c r="J48" s="95">
        <v>2</v>
      </c>
      <c r="K48" s="84">
        <v>18</v>
      </c>
      <c r="L48" s="3">
        <v>2</v>
      </c>
      <c r="M48" s="3">
        <v>1</v>
      </c>
      <c r="N48" s="3">
        <v>0</v>
      </c>
      <c r="O48" s="3">
        <v>11</v>
      </c>
      <c r="P48" s="3">
        <v>9</v>
      </c>
      <c r="Q48" s="1">
        <v>6.31</v>
      </c>
      <c r="R48" s="1">
        <v>3.82</v>
      </c>
      <c r="S48" s="1">
        <v>0.8</v>
      </c>
      <c r="T48" s="1">
        <f t="shared" si="2"/>
        <v>10.93</v>
      </c>
      <c r="U48" s="1">
        <v>206.75</v>
      </c>
      <c r="V48" s="2"/>
      <c r="W48" s="108" t="str">
        <f t="shared" si="3"/>
        <v>Cherry_EC3__2</v>
      </c>
      <c r="X48" s="85"/>
      <c r="Y48" s="1">
        <v>0.54200000000000004</v>
      </c>
      <c r="Z48" s="1">
        <v>0.27</v>
      </c>
      <c r="AA48" s="1">
        <v>6.7000000000000004E-2</v>
      </c>
      <c r="AB48" s="1">
        <f t="shared" si="4"/>
        <v>0.879</v>
      </c>
      <c r="AC48" s="88">
        <f t="shared" si="7"/>
        <v>381.45756457564573</v>
      </c>
    </row>
    <row r="49" spans="1:29" x14ac:dyDescent="0.2">
      <c r="A49" s="95">
        <f t="shared" si="0"/>
        <v>34</v>
      </c>
      <c r="B49" s="114">
        <v>45187</v>
      </c>
      <c r="C49" s="96" t="s">
        <v>140</v>
      </c>
      <c r="D49" s="95">
        <v>48</v>
      </c>
      <c r="E49" s="95" t="s">
        <v>149</v>
      </c>
      <c r="F49" s="97" t="s">
        <v>142</v>
      </c>
      <c r="G49" s="95" t="s">
        <v>136</v>
      </c>
      <c r="H49" s="95" t="s">
        <v>135</v>
      </c>
      <c r="I49" s="95" t="s">
        <v>188</v>
      </c>
      <c r="J49" s="95">
        <v>3</v>
      </c>
      <c r="K49" s="85">
        <v>24</v>
      </c>
      <c r="L49" s="1">
        <v>3</v>
      </c>
      <c r="M49" s="1">
        <v>3</v>
      </c>
      <c r="N49" s="1">
        <v>0</v>
      </c>
      <c r="O49" s="1">
        <v>16.510000000000002</v>
      </c>
      <c r="P49" s="1">
        <v>11</v>
      </c>
      <c r="Q49" s="1">
        <v>9.0299999999999994</v>
      </c>
      <c r="R49" s="1">
        <v>6</v>
      </c>
      <c r="S49" s="1">
        <v>1.48</v>
      </c>
      <c r="T49" s="1">
        <f t="shared" si="2"/>
        <v>16.509999999999998</v>
      </c>
      <c r="U49" s="1">
        <v>281.38</v>
      </c>
      <c r="V49" s="2"/>
      <c r="W49" s="108" t="str">
        <f t="shared" si="3"/>
        <v>Cherry_EC3__3</v>
      </c>
      <c r="X49" s="85"/>
      <c r="Y49" s="1">
        <v>0.752</v>
      </c>
      <c r="Z49" s="1">
        <v>0.432</v>
      </c>
      <c r="AA49" s="1">
        <v>0.12</v>
      </c>
      <c r="AB49" s="1">
        <f t="shared" si="4"/>
        <v>1.3039999999999998</v>
      </c>
      <c r="AC49" s="88">
        <f t="shared" si="7"/>
        <v>374.17553191489361</v>
      </c>
    </row>
    <row r="50" spans="1:29" x14ac:dyDescent="0.2">
      <c r="A50" s="95">
        <f t="shared" si="0"/>
        <v>34</v>
      </c>
      <c r="B50" s="114">
        <v>45187</v>
      </c>
      <c r="C50" s="96" t="s">
        <v>140</v>
      </c>
      <c r="D50" s="95">
        <v>48</v>
      </c>
      <c r="E50" s="95" t="s">
        <v>149</v>
      </c>
      <c r="F50" s="97" t="s">
        <v>142</v>
      </c>
      <c r="G50" s="95" t="s">
        <v>136</v>
      </c>
      <c r="H50" s="95" t="s">
        <v>135</v>
      </c>
      <c r="I50" s="95" t="s">
        <v>189</v>
      </c>
      <c r="J50" s="95">
        <v>4</v>
      </c>
      <c r="K50" s="85">
        <v>21</v>
      </c>
      <c r="L50" s="1">
        <v>4</v>
      </c>
      <c r="M50" s="1">
        <v>2</v>
      </c>
      <c r="N50" s="1">
        <v>0</v>
      </c>
      <c r="O50" s="1">
        <v>15.93</v>
      </c>
      <c r="P50" s="1">
        <v>13</v>
      </c>
      <c r="Q50" s="1">
        <v>9.6</v>
      </c>
      <c r="R50" s="1">
        <v>4.87</v>
      </c>
      <c r="S50" s="1">
        <v>1.39</v>
      </c>
      <c r="T50" s="1">
        <f t="shared" si="2"/>
        <v>15.86</v>
      </c>
      <c r="U50" s="1">
        <v>283.45999999999998</v>
      </c>
      <c r="V50" s="2"/>
      <c r="W50" s="108" t="str">
        <f t="shared" si="3"/>
        <v>Cherry_EC3__4</v>
      </c>
      <c r="X50" s="85"/>
      <c r="Y50" s="1">
        <v>0.80100000000000005</v>
      </c>
      <c r="Z50" s="1">
        <v>0.36199999999999999</v>
      </c>
      <c r="AA50" s="1">
        <v>0.11799999999999999</v>
      </c>
      <c r="AB50" s="1">
        <f t="shared" si="4"/>
        <v>1.2810000000000001</v>
      </c>
      <c r="AC50" s="88">
        <f t="shared" si="7"/>
        <v>353.88264669163539</v>
      </c>
    </row>
    <row r="51" spans="1:29" x14ac:dyDescent="0.2">
      <c r="A51" s="95">
        <f t="shared" si="0"/>
        <v>34</v>
      </c>
      <c r="B51" s="114">
        <v>45187</v>
      </c>
      <c r="C51" s="96" t="s">
        <v>140</v>
      </c>
      <c r="D51" s="95">
        <v>48</v>
      </c>
      <c r="E51" s="95" t="s">
        <v>149</v>
      </c>
      <c r="F51" s="97" t="s">
        <v>142</v>
      </c>
      <c r="G51" s="95" t="s">
        <v>136</v>
      </c>
      <c r="H51" s="95" t="s">
        <v>135</v>
      </c>
      <c r="I51" s="95" t="s">
        <v>190</v>
      </c>
      <c r="J51" s="95">
        <v>5</v>
      </c>
      <c r="K51" s="85">
        <v>18</v>
      </c>
      <c r="L51" s="1">
        <v>3</v>
      </c>
      <c r="M51" s="1">
        <v>0</v>
      </c>
      <c r="N51" s="1">
        <v>0</v>
      </c>
      <c r="O51" s="1">
        <v>11.37</v>
      </c>
      <c r="P51" s="1">
        <v>11</v>
      </c>
      <c r="Q51" s="1">
        <v>6.55</v>
      </c>
      <c r="R51" s="1">
        <v>4.5199999999999996</v>
      </c>
      <c r="S51" s="1">
        <v>0.28000000000000003</v>
      </c>
      <c r="T51" s="1">
        <f t="shared" si="2"/>
        <v>11.35</v>
      </c>
      <c r="U51" s="1">
        <v>213.95</v>
      </c>
      <c r="V51" s="2"/>
      <c r="W51" s="108" t="str">
        <f t="shared" si="3"/>
        <v>Cherry_EC3__5</v>
      </c>
      <c r="X51" s="85"/>
      <c r="Y51" s="1">
        <v>0.52800000000000002</v>
      </c>
      <c r="Z51" s="1">
        <v>0.29299999999999998</v>
      </c>
      <c r="AA51" s="1">
        <v>0.03</v>
      </c>
      <c r="AB51" s="1">
        <f t="shared" si="4"/>
        <v>0.85099999999999998</v>
      </c>
      <c r="AC51" s="88">
        <f t="shared" si="7"/>
        <v>405.20833333333331</v>
      </c>
    </row>
    <row r="52" spans="1:29" ht="16" thickBot="1" x14ac:dyDescent="0.25">
      <c r="A52" s="101">
        <f t="shared" si="0"/>
        <v>34</v>
      </c>
      <c r="B52" s="115">
        <v>45187</v>
      </c>
      <c r="C52" s="102" t="s">
        <v>140</v>
      </c>
      <c r="D52" s="101">
        <v>48</v>
      </c>
      <c r="E52" s="101" t="s">
        <v>149</v>
      </c>
      <c r="F52" s="103" t="s">
        <v>142</v>
      </c>
      <c r="G52" s="101" t="s">
        <v>136</v>
      </c>
      <c r="H52" s="101" t="s">
        <v>135</v>
      </c>
      <c r="I52" s="101" t="s">
        <v>191</v>
      </c>
      <c r="J52" s="101">
        <v>6</v>
      </c>
      <c r="K52" s="87">
        <v>16</v>
      </c>
      <c r="L52" s="86">
        <v>2</v>
      </c>
      <c r="M52" s="86">
        <v>0</v>
      </c>
      <c r="N52" s="86">
        <v>0</v>
      </c>
      <c r="O52" s="86">
        <v>11.22</v>
      </c>
      <c r="P52" s="86">
        <v>11</v>
      </c>
      <c r="Q52" s="86">
        <v>6.26</v>
      </c>
      <c r="R52" s="86">
        <v>4.6900000000000004</v>
      </c>
      <c r="S52" s="86">
        <v>0.3</v>
      </c>
      <c r="T52" s="86">
        <f t="shared" si="2"/>
        <v>11.25</v>
      </c>
      <c r="U52" s="86">
        <v>208.99</v>
      </c>
      <c r="V52" s="2"/>
      <c r="W52" s="110" t="str">
        <f t="shared" si="3"/>
        <v>Cherry_EC3__6</v>
      </c>
      <c r="X52" s="87"/>
      <c r="Y52" s="86">
        <v>0.51200000000000001</v>
      </c>
      <c r="Z52" s="86">
        <v>0.28599999999999998</v>
      </c>
      <c r="AA52" s="86">
        <v>2.8000000000000001E-2</v>
      </c>
      <c r="AB52" s="86">
        <f t="shared" si="4"/>
        <v>0.82600000000000007</v>
      </c>
      <c r="AC52" s="89">
        <f t="shared" si="7"/>
        <v>408.18359375</v>
      </c>
    </row>
    <row r="53" spans="1:29" x14ac:dyDescent="0.2">
      <c r="K53" s="85"/>
      <c r="V53" s="2"/>
      <c r="W53" s="108"/>
      <c r="X53" s="85"/>
    </row>
    <row r="54" spans="1:29" x14ac:dyDescent="0.2">
      <c r="V54" s="2"/>
      <c r="W54" s="108"/>
    </row>
    <row r="55" spans="1:29" x14ac:dyDescent="0.2">
      <c r="V55" s="2"/>
      <c r="W55" s="108"/>
    </row>
    <row r="56" spans="1:29" x14ac:dyDescent="0.2">
      <c r="V56" s="2"/>
      <c r="W56" s="108"/>
    </row>
    <row r="57" spans="1:29" x14ac:dyDescent="0.2">
      <c r="V57" s="2"/>
      <c r="W57" s="108"/>
    </row>
    <row r="58" spans="1:29" x14ac:dyDescent="0.2">
      <c r="V58" s="2"/>
      <c r="W58" s="108"/>
    </row>
    <row r="59" spans="1:29" x14ac:dyDescent="0.2">
      <c r="V59" s="2"/>
      <c r="W59" s="108"/>
    </row>
    <row r="60" spans="1:29" x14ac:dyDescent="0.2">
      <c r="V60" s="2"/>
      <c r="W60" s="108"/>
    </row>
    <row r="61" spans="1:29" x14ac:dyDescent="0.2">
      <c r="V61" s="2"/>
      <c r="W61" s="108"/>
    </row>
    <row r="62" spans="1:29" x14ac:dyDescent="0.2">
      <c r="V62" s="2"/>
      <c r="W62" s="108"/>
    </row>
    <row r="63" spans="1:29" x14ac:dyDescent="0.2">
      <c r="V63" s="2"/>
      <c r="W63" s="108"/>
    </row>
    <row r="64" spans="1:29" x14ac:dyDescent="0.2">
      <c r="V64" s="2"/>
      <c r="W64" s="108"/>
    </row>
    <row r="65" spans="22:23" x14ac:dyDescent="0.2">
      <c r="V65" s="2"/>
      <c r="W65" s="108"/>
    </row>
    <row r="66" spans="22:23" x14ac:dyDescent="0.2">
      <c r="V66" s="2"/>
      <c r="W66" s="108"/>
    </row>
    <row r="67" spans="22:23" x14ac:dyDescent="0.2">
      <c r="V67" s="2"/>
      <c r="W67" s="108"/>
    </row>
    <row r="68" spans="22:23" x14ac:dyDescent="0.2">
      <c r="V68" s="2"/>
      <c r="W68" s="108"/>
    </row>
    <row r="69" spans="22:23" x14ac:dyDescent="0.2">
      <c r="V69" s="2"/>
      <c r="W69" s="108"/>
    </row>
    <row r="70" spans="22:23" x14ac:dyDescent="0.2">
      <c r="V70" s="2"/>
      <c r="W70" s="108"/>
    </row>
    <row r="71" spans="22:23" x14ac:dyDescent="0.2">
      <c r="W71" s="108"/>
    </row>
    <row r="72" spans="22:23" x14ac:dyDescent="0.2">
      <c r="W72" s="108"/>
    </row>
    <row r="73" spans="22:23" x14ac:dyDescent="0.2">
      <c r="W73" s="108"/>
    </row>
    <row r="74" spans="22:23" x14ac:dyDescent="0.2">
      <c r="W74" s="108"/>
    </row>
    <row r="75" spans="22:23" x14ac:dyDescent="0.2">
      <c r="W75" s="2"/>
    </row>
    <row r="76" spans="22:23" x14ac:dyDescent="0.2">
      <c r="W76" s="2"/>
    </row>
    <row r="77" spans="22:23" x14ac:dyDescent="0.2">
      <c r="W77" s="2"/>
    </row>
    <row r="78" spans="22:23" x14ac:dyDescent="0.2">
      <c r="W78" s="2"/>
    </row>
    <row r="79" spans="22:23" x14ac:dyDescent="0.2">
      <c r="W79" s="2"/>
    </row>
    <row r="80" spans="22:23" x14ac:dyDescent="0.2">
      <c r="W80" s="2"/>
    </row>
    <row r="81" spans="23:23" x14ac:dyDescent="0.2">
      <c r="W81" s="2"/>
    </row>
    <row r="82" spans="23:23" x14ac:dyDescent="0.2">
      <c r="W82" s="2"/>
    </row>
    <row r="83" spans="23:23" x14ac:dyDescent="0.2">
      <c r="W83" s="2"/>
    </row>
    <row r="84" spans="23:23" x14ac:dyDescent="0.2">
      <c r="W84" s="2"/>
    </row>
    <row r="85" spans="23:23" x14ac:dyDescent="0.2">
      <c r="W85" s="2"/>
    </row>
    <row r="86" spans="23:23" x14ac:dyDescent="0.2">
      <c r="W86" s="2"/>
    </row>
    <row r="87" spans="23:23" x14ac:dyDescent="0.2">
      <c r="W87" s="2"/>
    </row>
    <row r="88" spans="23:23" x14ac:dyDescent="0.2">
      <c r="W88" s="2"/>
    </row>
    <row r="89" spans="23:23" x14ac:dyDescent="0.2">
      <c r="W89" s="2"/>
    </row>
    <row r="90" spans="23:23" x14ac:dyDescent="0.2">
      <c r="W90" s="2"/>
    </row>
    <row r="91" spans="23:23" x14ac:dyDescent="0.2">
      <c r="W91" s="2"/>
    </row>
    <row r="92" spans="23:23" x14ac:dyDescent="0.2">
      <c r="W92" s="2"/>
    </row>
    <row r="93" spans="23:23" x14ac:dyDescent="0.2">
      <c r="W93" s="2"/>
    </row>
    <row r="94" spans="23:23" x14ac:dyDescent="0.2">
      <c r="W94" s="2"/>
    </row>
    <row r="95" spans="23:23" x14ac:dyDescent="0.2">
      <c r="W95" s="2"/>
    </row>
    <row r="96" spans="23:23" x14ac:dyDescent="0.2">
      <c r="W96" s="2"/>
    </row>
    <row r="97" spans="23:23" x14ac:dyDescent="0.2">
      <c r="W97" s="2"/>
    </row>
    <row r="98" spans="23:23" x14ac:dyDescent="0.2">
      <c r="W98" s="2"/>
    </row>
    <row r="99" spans="23:23" x14ac:dyDescent="0.2">
      <c r="W99" s="2"/>
    </row>
    <row r="100" spans="23:23" x14ac:dyDescent="0.2">
      <c r="W100" s="2"/>
    </row>
    <row r="101" spans="23:23" x14ac:dyDescent="0.2">
      <c r="W101" s="2"/>
    </row>
    <row r="102" spans="23:23" x14ac:dyDescent="0.2">
      <c r="W102" s="2"/>
    </row>
    <row r="103" spans="23:23" x14ac:dyDescent="0.2">
      <c r="W103" s="2"/>
    </row>
    <row r="104" spans="23:23" x14ac:dyDescent="0.2">
      <c r="W104" s="2"/>
    </row>
    <row r="105" spans="23:23" x14ac:dyDescent="0.2">
      <c r="W105" s="2"/>
    </row>
    <row r="106" spans="23:23" x14ac:dyDescent="0.2">
      <c r="W106" s="2"/>
    </row>
    <row r="107" spans="23:23" x14ac:dyDescent="0.2">
      <c r="W107" s="2"/>
    </row>
    <row r="108" spans="23:23" x14ac:dyDescent="0.2">
      <c r="W108" s="2"/>
    </row>
    <row r="109" spans="23:23" x14ac:dyDescent="0.2">
      <c r="W109" s="2"/>
    </row>
    <row r="110" spans="23:23" x14ac:dyDescent="0.2">
      <c r="W110" s="2"/>
    </row>
    <row r="111" spans="23:23" x14ac:dyDescent="0.2">
      <c r="W111" s="2"/>
    </row>
    <row r="112" spans="23:23" x14ac:dyDescent="0.2">
      <c r="W112" s="2"/>
    </row>
    <row r="113" spans="23:23" x14ac:dyDescent="0.2">
      <c r="W113" s="2"/>
    </row>
    <row r="114" spans="23:23" x14ac:dyDescent="0.2">
      <c r="W114" s="2"/>
    </row>
    <row r="115" spans="23:23" x14ac:dyDescent="0.2">
      <c r="W115" s="2"/>
    </row>
    <row r="116" spans="23:23" x14ac:dyDescent="0.2">
      <c r="W116" s="2"/>
    </row>
    <row r="117" spans="23:23" x14ac:dyDescent="0.2">
      <c r="W117" s="2"/>
    </row>
    <row r="118" spans="23:23" x14ac:dyDescent="0.2">
      <c r="W118" s="2"/>
    </row>
  </sheetData>
  <mergeCells count="2">
    <mergeCell ref="AG4:AH4"/>
    <mergeCell ref="AI4:AJ4"/>
  </mergeCells>
  <phoneticPr fontId="3" type="noConversion"/>
  <pageMargins left="0.7" right="0.7" top="0.75" bottom="0.75" header="0.3" footer="0.3"/>
  <pageSetup paperSize="9" orientation="portrait" r:id="rId1"/>
  <ignoredErrors>
    <ignoredError sqref="T5:T5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16BD-B691-4D12-817E-C34F22EB9332}">
  <dimension ref="A1:AN118"/>
  <sheetViews>
    <sheetView topLeftCell="C1" zoomScale="90" zoomScaleNormal="90" workbookViewId="0">
      <pane ySplit="4" topLeftCell="A5" activePane="bottomLeft" state="frozen"/>
      <selection activeCell="E38" sqref="E38"/>
      <selection pane="bottomLeft" activeCell="K8" sqref="K8"/>
    </sheetView>
  </sheetViews>
  <sheetFormatPr baseColWidth="10" defaultColWidth="9.1640625" defaultRowHeight="15" x14ac:dyDescent="0.2"/>
  <cols>
    <col min="1" max="1" width="9.1640625" style="1"/>
    <col min="2" max="2" width="9.6640625" style="1" bestFit="1" customWidth="1"/>
    <col min="3" max="3" width="16.5" style="1" bestFit="1" customWidth="1"/>
    <col min="4" max="4" width="9.1640625" style="1"/>
    <col min="5" max="5" width="20.5" style="1" bestFit="1" customWidth="1"/>
    <col min="6" max="6" width="6.83203125" style="1" bestFit="1" customWidth="1"/>
    <col min="7" max="7" width="4.1640625" style="1" bestFit="1" customWidth="1"/>
    <col min="8" max="8" width="9.5" style="1" bestFit="1" customWidth="1"/>
    <col min="9" max="9" width="16.6640625" style="1" bestFit="1" customWidth="1"/>
    <col min="10" max="10" width="8.5" style="1" bestFit="1" customWidth="1"/>
    <col min="11" max="11" width="9.1640625" style="85"/>
    <col min="12" max="22" width="9.1640625" style="1"/>
    <col min="23" max="23" width="10.33203125" style="1" customWidth="1"/>
    <col min="24" max="25" width="11.33203125" style="1" customWidth="1"/>
    <col min="26" max="26" width="19.33203125" style="1" bestFit="1" customWidth="1"/>
    <col min="27" max="27" width="0" style="85" hidden="1" customWidth="1"/>
    <col min="28" max="35" width="9.1640625" style="1"/>
    <col min="36" max="37" width="18.5" style="1" bestFit="1" customWidth="1"/>
    <col min="38" max="16384" width="9.1640625" style="1"/>
  </cols>
  <sheetData>
    <row r="1" spans="1:40" s="11" customFormat="1" ht="21" x14ac:dyDescent="0.2">
      <c r="A1" s="10" t="s">
        <v>363</v>
      </c>
      <c r="B1" s="10"/>
      <c r="K1" s="81"/>
      <c r="AA1" s="81"/>
    </row>
    <row r="2" spans="1:40" s="2" customFormat="1" x14ac:dyDescent="0.2">
      <c r="A2" s="2" t="s">
        <v>57</v>
      </c>
      <c r="C2" s="3"/>
      <c r="D2" s="3"/>
      <c r="E2" s="3"/>
      <c r="F2" s="3"/>
      <c r="G2" s="3"/>
      <c r="H2" s="3"/>
      <c r="I2" s="3"/>
      <c r="J2" s="3"/>
      <c r="K2" s="82"/>
      <c r="S2" s="3"/>
      <c r="T2" s="3"/>
      <c r="U2" s="3"/>
      <c r="V2" s="3"/>
      <c r="AA2" s="82"/>
    </row>
    <row r="3" spans="1:40" s="2" customFormat="1" x14ac:dyDescent="0.2">
      <c r="A3" s="2" t="s">
        <v>68</v>
      </c>
      <c r="C3" s="47">
        <v>45153</v>
      </c>
      <c r="D3" s="3"/>
      <c r="E3" s="3"/>
      <c r="F3" s="3"/>
      <c r="G3" s="3"/>
      <c r="H3" s="3"/>
      <c r="I3" s="3"/>
      <c r="J3" s="3"/>
      <c r="K3" s="82"/>
      <c r="W3" s="104" t="s">
        <v>138</v>
      </c>
      <c r="AA3" s="82"/>
      <c r="AB3" s="3" t="s">
        <v>105</v>
      </c>
      <c r="AC3" s="3" t="s">
        <v>106</v>
      </c>
      <c r="AD3" s="3" t="s">
        <v>215</v>
      </c>
      <c r="AE3" s="3" t="s">
        <v>291</v>
      </c>
      <c r="AG3" s="104" t="s">
        <v>138</v>
      </c>
    </row>
    <row r="4" spans="1:40" ht="62.5" customHeight="1" thickBot="1" x14ac:dyDescent="0.25">
      <c r="A4" s="93" t="s">
        <v>67</v>
      </c>
      <c r="B4" s="93" t="s">
        <v>21</v>
      </c>
      <c r="C4" s="93" t="s">
        <v>9</v>
      </c>
      <c r="D4" s="94" t="s">
        <v>124</v>
      </c>
      <c r="E4" s="94" t="s">
        <v>123</v>
      </c>
      <c r="F4" s="94" t="s">
        <v>129</v>
      </c>
      <c r="G4" s="94" t="s">
        <v>137</v>
      </c>
      <c r="H4" s="94" t="s">
        <v>130</v>
      </c>
      <c r="I4" s="94" t="s">
        <v>33</v>
      </c>
      <c r="J4" s="116" t="s">
        <v>4</v>
      </c>
      <c r="K4" s="83" t="s">
        <v>125</v>
      </c>
      <c r="L4" s="80" t="s">
        <v>209</v>
      </c>
      <c r="M4" s="80" t="s">
        <v>208</v>
      </c>
      <c r="N4" s="117" t="s">
        <v>223</v>
      </c>
      <c r="O4" s="117" t="s">
        <v>224</v>
      </c>
      <c r="P4" s="117" t="s">
        <v>210</v>
      </c>
      <c r="Q4" s="80" t="s">
        <v>207</v>
      </c>
      <c r="R4" s="80" t="s">
        <v>198</v>
      </c>
      <c r="S4" s="80" t="s">
        <v>199</v>
      </c>
      <c r="T4" s="80" t="s">
        <v>200</v>
      </c>
      <c r="U4" s="80" t="s">
        <v>201</v>
      </c>
      <c r="V4" s="80" t="s">
        <v>225</v>
      </c>
      <c r="W4" s="111" t="s">
        <v>202</v>
      </c>
      <c r="X4" s="111" t="s">
        <v>126</v>
      </c>
      <c r="Y4" s="2"/>
      <c r="Z4" s="2"/>
      <c r="AA4" s="112" t="s">
        <v>139</v>
      </c>
      <c r="AB4" s="111" t="s">
        <v>203</v>
      </c>
      <c r="AC4" s="111" t="s">
        <v>204</v>
      </c>
      <c r="AD4" s="111" t="s">
        <v>205</v>
      </c>
      <c r="AE4" s="111" t="s">
        <v>290</v>
      </c>
      <c r="AF4" s="111" t="s">
        <v>206</v>
      </c>
      <c r="AG4" s="113" t="s">
        <v>127</v>
      </c>
      <c r="AJ4" s="38"/>
      <c r="AK4" s="178" t="s">
        <v>211</v>
      </c>
      <c r="AL4" s="179"/>
      <c r="AM4" s="178" t="s">
        <v>212</v>
      </c>
      <c r="AN4" s="179"/>
    </row>
    <row r="5" spans="1:40" s="92" customFormat="1" x14ac:dyDescent="0.2">
      <c r="A5" s="98">
        <f t="shared" ref="A5:A52" si="0">B5-$C$3</f>
        <v>45</v>
      </c>
      <c r="B5" s="114">
        <v>45198</v>
      </c>
      <c r="C5" s="99" t="s">
        <v>286</v>
      </c>
      <c r="D5" s="98">
        <v>25</v>
      </c>
      <c r="E5" s="98" t="s">
        <v>141</v>
      </c>
      <c r="F5" s="100" t="s">
        <v>142</v>
      </c>
      <c r="G5" s="98" t="s">
        <v>131</v>
      </c>
      <c r="H5" s="98" t="s">
        <v>132</v>
      </c>
      <c r="I5" s="98" t="s">
        <v>192</v>
      </c>
      <c r="J5" s="109">
        <v>1</v>
      </c>
      <c r="K5" s="90">
        <v>28</v>
      </c>
      <c r="L5" s="91">
        <v>5</v>
      </c>
      <c r="M5" s="91">
        <v>8</v>
      </c>
      <c r="N5" s="118">
        <f>AVERAGE(5,7)</f>
        <v>6</v>
      </c>
      <c r="O5" s="91">
        <v>2</v>
      </c>
      <c r="P5" s="91">
        <v>5</v>
      </c>
      <c r="Q5" s="91">
        <v>45.74</v>
      </c>
      <c r="R5" s="91">
        <v>20</v>
      </c>
      <c r="S5" s="92">
        <v>24.93</v>
      </c>
      <c r="T5" s="92">
        <v>14.2</v>
      </c>
      <c r="U5" s="92">
        <v>1.83</v>
      </c>
      <c r="V5" s="92">
        <v>4.75</v>
      </c>
      <c r="W5" s="1">
        <f t="shared" ref="W5:W52" si="1">SUM(S5:V5)</f>
        <v>45.709999999999994</v>
      </c>
      <c r="X5" s="1">
        <v>664.03</v>
      </c>
      <c r="Y5" s="2"/>
      <c r="Z5" s="108" t="str">
        <f t="shared" ref="Z5:Z52" si="2">I5</f>
        <v>Cherry_EC6_HL_1</v>
      </c>
      <c r="AA5" s="85"/>
      <c r="AB5" s="1">
        <v>2.7269999999999999</v>
      </c>
      <c r="AC5" s="1">
        <v>1.59</v>
      </c>
      <c r="AD5" s="1">
        <v>0.23100000000000001</v>
      </c>
      <c r="AE5" s="1">
        <v>0.55500000000000005</v>
      </c>
      <c r="AF5" s="1"/>
      <c r="AG5" s="88">
        <f t="shared" ref="AG5:AG52" si="3">X5/AB5</f>
        <v>243.50201686835351</v>
      </c>
      <c r="AJ5" s="38"/>
      <c r="AK5" s="4" t="s">
        <v>101</v>
      </c>
      <c r="AL5" s="4" t="s">
        <v>102</v>
      </c>
      <c r="AM5" s="4" t="s">
        <v>213</v>
      </c>
      <c r="AN5" s="4" t="s">
        <v>214</v>
      </c>
    </row>
    <row r="6" spans="1:40" x14ac:dyDescent="0.2">
      <c r="A6" s="95">
        <f t="shared" si="0"/>
        <v>45</v>
      </c>
      <c r="B6" s="114">
        <v>45198</v>
      </c>
      <c r="C6" s="96" t="s">
        <v>286</v>
      </c>
      <c r="D6" s="95">
        <v>25</v>
      </c>
      <c r="E6" s="95" t="s">
        <v>141</v>
      </c>
      <c r="F6" s="97" t="s">
        <v>142</v>
      </c>
      <c r="G6" s="95" t="s">
        <v>131</v>
      </c>
      <c r="H6" s="95" t="s">
        <v>132</v>
      </c>
      <c r="I6" s="95" t="s">
        <v>193</v>
      </c>
      <c r="J6" s="95">
        <v>2</v>
      </c>
      <c r="K6" s="84">
        <v>26</v>
      </c>
      <c r="L6" s="3">
        <v>8</v>
      </c>
      <c r="M6" s="3">
        <v>6</v>
      </c>
      <c r="N6" s="119">
        <v>7</v>
      </c>
      <c r="O6" s="3">
        <v>2</v>
      </c>
      <c r="P6" s="3">
        <v>11</v>
      </c>
      <c r="Q6" s="3">
        <v>51.82</v>
      </c>
      <c r="R6" s="3">
        <v>24</v>
      </c>
      <c r="S6" s="1">
        <v>25.06</v>
      </c>
      <c r="T6" s="1">
        <v>14.24</v>
      </c>
      <c r="U6" s="1">
        <v>1.6</v>
      </c>
      <c r="V6" s="1">
        <v>10.84</v>
      </c>
      <c r="W6" s="1">
        <f t="shared" si="1"/>
        <v>51.739999999999995</v>
      </c>
      <c r="X6" s="1">
        <v>680.03</v>
      </c>
      <c r="Y6" s="2"/>
      <c r="Z6" s="108" t="str">
        <f t="shared" si="2"/>
        <v>Cherry_EC6_HL_2</v>
      </c>
      <c r="AB6" s="1">
        <v>2.4780000000000002</v>
      </c>
      <c r="AC6" s="1">
        <v>1.3979999999999999</v>
      </c>
      <c r="AD6" s="1">
        <v>0.19500000000000001</v>
      </c>
      <c r="AE6" s="1">
        <v>1.21</v>
      </c>
      <c r="AG6" s="88">
        <f t="shared" si="3"/>
        <v>274.42695722356734</v>
      </c>
      <c r="AJ6" s="38" t="s">
        <v>53</v>
      </c>
      <c r="AK6" s="1">
        <v>5.19</v>
      </c>
      <c r="AL6" s="5">
        <v>5.21</v>
      </c>
      <c r="AM6" s="106">
        <v>5.42</v>
      </c>
      <c r="AN6" s="5">
        <v>5.38</v>
      </c>
    </row>
    <row r="7" spans="1:40" x14ac:dyDescent="0.2">
      <c r="A7" s="95">
        <f t="shared" si="0"/>
        <v>45</v>
      </c>
      <c r="B7" s="114">
        <v>45198</v>
      </c>
      <c r="C7" s="96" t="s">
        <v>286</v>
      </c>
      <c r="D7" s="95">
        <v>25</v>
      </c>
      <c r="E7" s="95" t="s">
        <v>141</v>
      </c>
      <c r="F7" s="97" t="s">
        <v>142</v>
      </c>
      <c r="G7" s="95" t="s">
        <v>131</v>
      </c>
      <c r="H7" s="95" t="s">
        <v>132</v>
      </c>
      <c r="I7" s="95" t="s">
        <v>194</v>
      </c>
      <c r="J7" s="95">
        <v>3</v>
      </c>
      <c r="K7" s="85">
        <v>33</v>
      </c>
      <c r="L7" s="1">
        <v>4</v>
      </c>
      <c r="M7" s="1">
        <v>6</v>
      </c>
      <c r="N7" s="46">
        <f>27/O7</f>
        <v>6.75</v>
      </c>
      <c r="O7" s="1">
        <v>4</v>
      </c>
      <c r="P7" s="1">
        <v>21</v>
      </c>
      <c r="Q7" s="1">
        <v>65.010000000000005</v>
      </c>
      <c r="R7" s="1">
        <v>30</v>
      </c>
      <c r="S7" s="1">
        <v>28.57</v>
      </c>
      <c r="T7" s="1">
        <v>16.95</v>
      </c>
      <c r="U7" s="1">
        <v>1.42</v>
      </c>
      <c r="V7" s="1">
        <v>17.86</v>
      </c>
      <c r="W7" s="1">
        <f t="shared" si="1"/>
        <v>64.8</v>
      </c>
      <c r="X7" s="1">
        <v>787.19</v>
      </c>
      <c r="Y7" s="2"/>
      <c r="Z7" s="108" t="str">
        <f t="shared" si="2"/>
        <v>Cherry_EC6_HL_3</v>
      </c>
      <c r="AB7" s="1">
        <v>3.0659999999999998</v>
      </c>
      <c r="AC7" s="1">
        <v>1.921</v>
      </c>
      <c r="AD7" s="1">
        <v>0.17699999999999999</v>
      </c>
      <c r="AE7" s="1">
        <v>2.0619999999999998</v>
      </c>
      <c r="AG7" s="88">
        <f t="shared" si="3"/>
        <v>256.7482061317678</v>
      </c>
      <c r="AJ7" s="38" t="s">
        <v>54</v>
      </c>
      <c r="AK7" s="74"/>
      <c r="AL7" s="74"/>
      <c r="AM7" s="107"/>
      <c r="AN7" s="107"/>
    </row>
    <row r="8" spans="1:40" x14ac:dyDescent="0.2">
      <c r="A8" s="95">
        <f t="shared" si="0"/>
        <v>45</v>
      </c>
      <c r="B8" s="114">
        <v>45198</v>
      </c>
      <c r="C8" s="96" t="s">
        <v>286</v>
      </c>
      <c r="D8" s="95">
        <v>25</v>
      </c>
      <c r="E8" s="95" t="s">
        <v>141</v>
      </c>
      <c r="F8" s="97" t="s">
        <v>142</v>
      </c>
      <c r="G8" s="95" t="s">
        <v>131</v>
      </c>
      <c r="H8" s="95" t="s">
        <v>132</v>
      </c>
      <c r="I8" s="95" t="s">
        <v>195</v>
      </c>
      <c r="J8" s="95">
        <v>4</v>
      </c>
      <c r="K8" s="85">
        <v>26</v>
      </c>
      <c r="L8" s="1">
        <v>2</v>
      </c>
      <c r="M8" s="1">
        <v>4</v>
      </c>
      <c r="N8" s="46">
        <f>17/O8</f>
        <v>5.666666666666667</v>
      </c>
      <c r="O8" s="1">
        <v>3</v>
      </c>
      <c r="P8" s="1">
        <v>12</v>
      </c>
      <c r="Q8" s="1">
        <v>38.450000000000003</v>
      </c>
      <c r="R8" s="1">
        <v>18</v>
      </c>
      <c r="S8" s="1">
        <v>18.079999999999998</v>
      </c>
      <c r="T8" s="1">
        <v>8.94</v>
      </c>
      <c r="U8" s="1">
        <f>Q8-(S8+T8+V8)</f>
        <v>0.62000000000000455</v>
      </c>
      <c r="V8" s="1">
        <v>10.81</v>
      </c>
      <c r="W8" s="1">
        <f t="shared" si="1"/>
        <v>38.450000000000003</v>
      </c>
      <c r="X8" s="1">
        <v>499.91</v>
      </c>
      <c r="Y8" s="2"/>
      <c r="Z8" s="108" t="str">
        <f t="shared" si="2"/>
        <v>Cherry_EC6_HL_4</v>
      </c>
      <c r="AB8" s="1">
        <v>1.651</v>
      </c>
      <c r="AC8" s="1">
        <v>0.9</v>
      </c>
      <c r="AD8" s="1">
        <v>5.8999999999999997E-2</v>
      </c>
      <c r="AE8" s="1">
        <v>1.0960000000000001</v>
      </c>
      <c r="AG8" s="88">
        <f t="shared" si="3"/>
        <v>302.79224712295581</v>
      </c>
    </row>
    <row r="9" spans="1:40" x14ac:dyDescent="0.2">
      <c r="A9" s="95">
        <f t="shared" si="0"/>
        <v>45</v>
      </c>
      <c r="B9" s="114">
        <v>45198</v>
      </c>
      <c r="C9" s="96" t="s">
        <v>286</v>
      </c>
      <c r="D9" s="95">
        <v>25</v>
      </c>
      <c r="E9" s="95" t="s">
        <v>141</v>
      </c>
      <c r="F9" s="97" t="s">
        <v>142</v>
      </c>
      <c r="G9" s="95" t="s">
        <v>131</v>
      </c>
      <c r="H9" s="95" t="s">
        <v>132</v>
      </c>
      <c r="I9" s="95" t="s">
        <v>196</v>
      </c>
      <c r="J9" s="95">
        <v>5</v>
      </c>
      <c r="K9" s="85">
        <v>32</v>
      </c>
      <c r="L9" s="1">
        <v>6</v>
      </c>
      <c r="M9" s="1">
        <v>8</v>
      </c>
      <c r="N9" s="1">
        <f>11/O9</f>
        <v>5.5</v>
      </c>
      <c r="O9" s="1">
        <v>2</v>
      </c>
      <c r="P9" s="1">
        <v>10</v>
      </c>
      <c r="Q9" s="1">
        <v>46.99</v>
      </c>
      <c r="R9" s="1">
        <v>29</v>
      </c>
      <c r="S9" s="1">
        <v>25.79</v>
      </c>
      <c r="T9" s="1">
        <v>15.39</v>
      </c>
      <c r="U9" s="1">
        <v>2.1800000000000002</v>
      </c>
      <c r="V9" s="1">
        <v>3.32</v>
      </c>
      <c r="W9" s="1">
        <f t="shared" si="1"/>
        <v>46.68</v>
      </c>
      <c r="X9" s="1">
        <v>695.8</v>
      </c>
      <c r="Y9" s="2"/>
      <c r="Z9" s="108" t="str">
        <f t="shared" si="2"/>
        <v>Cherry_EC6_HL_5</v>
      </c>
      <c r="AB9" s="1">
        <v>2.8879999999999999</v>
      </c>
      <c r="AC9" s="1">
        <v>1.6619999999999999</v>
      </c>
      <c r="AD9" s="1">
        <v>0.28199999999999997</v>
      </c>
      <c r="AE9" s="1">
        <v>0.40300000000000002</v>
      </c>
      <c r="AG9" s="88">
        <f t="shared" si="3"/>
        <v>240.92797783933517</v>
      </c>
    </row>
    <row r="10" spans="1:40" ht="16" thickBot="1" x14ac:dyDescent="0.25">
      <c r="A10" s="101">
        <f t="shared" si="0"/>
        <v>45</v>
      </c>
      <c r="B10" s="115">
        <v>45198</v>
      </c>
      <c r="C10" s="102" t="s">
        <v>286</v>
      </c>
      <c r="D10" s="101">
        <v>25</v>
      </c>
      <c r="E10" s="101" t="s">
        <v>141</v>
      </c>
      <c r="F10" s="103" t="s">
        <v>142</v>
      </c>
      <c r="G10" s="101" t="s">
        <v>131</v>
      </c>
      <c r="H10" s="101" t="s">
        <v>132</v>
      </c>
      <c r="I10" s="101" t="s">
        <v>197</v>
      </c>
      <c r="J10" s="101">
        <v>6</v>
      </c>
      <c r="K10" s="87">
        <v>32</v>
      </c>
      <c r="L10" s="86">
        <v>7</v>
      </c>
      <c r="M10" s="86">
        <v>7</v>
      </c>
      <c r="N10" s="86">
        <f>21/O10</f>
        <v>5.25</v>
      </c>
      <c r="O10" s="86">
        <v>4</v>
      </c>
      <c r="P10" s="86">
        <v>19</v>
      </c>
      <c r="Q10" s="86">
        <v>56.73</v>
      </c>
      <c r="R10" s="86">
        <v>27</v>
      </c>
      <c r="S10" s="86">
        <v>26.44</v>
      </c>
      <c r="T10" s="86">
        <v>16.739999999999998</v>
      </c>
      <c r="U10" s="86">
        <v>1.39</v>
      </c>
      <c r="V10" s="86">
        <f>Q10-(SUM(S10:U10))</f>
        <v>12.159999999999997</v>
      </c>
      <c r="W10" s="86">
        <f t="shared" si="1"/>
        <v>56.73</v>
      </c>
      <c r="X10" s="86">
        <v>746.49</v>
      </c>
      <c r="Y10" s="2"/>
      <c r="Z10" s="110" t="str">
        <f t="shared" si="2"/>
        <v>Cherry_EC6_HL_6</v>
      </c>
      <c r="AA10" s="87"/>
      <c r="AB10" s="86">
        <v>2.7389999999999999</v>
      </c>
      <c r="AC10" s="86">
        <v>1.7769999999999999</v>
      </c>
      <c r="AD10" s="86">
        <v>0.187</v>
      </c>
      <c r="AE10" s="86">
        <v>1.377</v>
      </c>
      <c r="AF10" s="86"/>
      <c r="AG10" s="89">
        <f t="shared" si="3"/>
        <v>272.54107338444692</v>
      </c>
    </row>
    <row r="11" spans="1:40" x14ac:dyDescent="0.2">
      <c r="A11" s="98">
        <f t="shared" si="0"/>
        <v>45</v>
      </c>
      <c r="B11" s="114">
        <v>45198</v>
      </c>
      <c r="C11" s="99" t="s">
        <v>286</v>
      </c>
      <c r="D11" s="98">
        <v>25</v>
      </c>
      <c r="E11" s="98" t="s">
        <v>143</v>
      </c>
      <c r="F11" s="100" t="s">
        <v>142</v>
      </c>
      <c r="G11" s="98" t="s">
        <v>131</v>
      </c>
      <c r="H11" s="98" t="s">
        <v>133</v>
      </c>
      <c r="I11" s="98" t="s">
        <v>150</v>
      </c>
      <c r="J11" s="95">
        <v>1</v>
      </c>
      <c r="K11" s="90">
        <v>22</v>
      </c>
      <c r="L11" s="91">
        <v>4</v>
      </c>
      <c r="M11" s="91">
        <v>3</v>
      </c>
      <c r="N11" s="91">
        <f>11/O11</f>
        <v>5.5</v>
      </c>
      <c r="O11" s="91">
        <v>2</v>
      </c>
      <c r="P11" s="91">
        <v>11</v>
      </c>
      <c r="Q11" s="91">
        <v>27.87</v>
      </c>
      <c r="R11" s="91">
        <v>16</v>
      </c>
      <c r="S11" s="92">
        <v>10.91</v>
      </c>
      <c r="T11" s="92">
        <v>6.88</v>
      </c>
      <c r="U11" s="92">
        <v>0.53</v>
      </c>
      <c r="V11" s="92">
        <v>9.59</v>
      </c>
      <c r="W11" s="1">
        <f t="shared" si="1"/>
        <v>27.91</v>
      </c>
      <c r="X11" s="1">
        <v>326.27999999999997</v>
      </c>
      <c r="Y11" s="2"/>
      <c r="Z11" s="108" t="str">
        <f t="shared" si="2"/>
        <v>Cherry_EC6_ML_1</v>
      </c>
      <c r="AB11" s="1">
        <v>1.004</v>
      </c>
      <c r="AC11" s="1">
        <v>0.64400000000000002</v>
      </c>
      <c r="AD11" s="1">
        <v>5.8999999999999997E-2</v>
      </c>
      <c r="AE11" s="1">
        <v>0.92100000000000004</v>
      </c>
      <c r="AG11" s="88">
        <f t="shared" si="3"/>
        <v>324.98007968127484</v>
      </c>
    </row>
    <row r="12" spans="1:40" x14ac:dyDescent="0.2">
      <c r="A12" s="95">
        <f t="shared" si="0"/>
        <v>45</v>
      </c>
      <c r="B12" s="114">
        <v>45198</v>
      </c>
      <c r="C12" s="96" t="s">
        <v>286</v>
      </c>
      <c r="D12" s="95">
        <v>25</v>
      </c>
      <c r="E12" s="95" t="s">
        <v>143</v>
      </c>
      <c r="F12" s="97" t="s">
        <v>142</v>
      </c>
      <c r="G12" s="95" t="s">
        <v>131</v>
      </c>
      <c r="H12" s="95" t="s">
        <v>133</v>
      </c>
      <c r="I12" s="95" t="s">
        <v>151</v>
      </c>
      <c r="J12" s="95">
        <v>2</v>
      </c>
      <c r="K12" s="84">
        <v>32</v>
      </c>
      <c r="L12" s="3">
        <v>4</v>
      </c>
      <c r="M12" s="3">
        <v>3</v>
      </c>
      <c r="N12" s="3">
        <f>18/O12</f>
        <v>6</v>
      </c>
      <c r="O12" s="3">
        <v>3</v>
      </c>
      <c r="P12" s="3">
        <v>10</v>
      </c>
      <c r="Q12" s="3">
        <v>44.31</v>
      </c>
      <c r="R12" s="3">
        <v>18</v>
      </c>
      <c r="S12" s="1">
        <v>23.82</v>
      </c>
      <c r="T12" s="1">
        <v>15.2</v>
      </c>
      <c r="U12" s="1">
        <v>1</v>
      </c>
      <c r="V12" s="1">
        <v>4.09</v>
      </c>
      <c r="W12" s="1">
        <f t="shared" si="1"/>
        <v>44.11</v>
      </c>
      <c r="X12" s="1">
        <v>657.62</v>
      </c>
      <c r="Y12" s="2"/>
      <c r="Z12" s="108" t="str">
        <f t="shared" si="2"/>
        <v>Cherry_EC6_ML_2</v>
      </c>
      <c r="AB12" s="1">
        <v>2.516</v>
      </c>
      <c r="AC12" s="1">
        <v>1.6140000000000001</v>
      </c>
      <c r="AD12" s="1">
        <v>0.128</v>
      </c>
      <c r="AE12" s="1">
        <v>0.49099999999999999</v>
      </c>
      <c r="AG12" s="88">
        <f t="shared" si="3"/>
        <v>261.37519872813988</v>
      </c>
    </row>
    <row r="13" spans="1:40" x14ac:dyDescent="0.2">
      <c r="A13" s="95">
        <f t="shared" si="0"/>
        <v>45</v>
      </c>
      <c r="B13" s="114">
        <v>45198</v>
      </c>
      <c r="C13" s="96" t="s">
        <v>286</v>
      </c>
      <c r="D13" s="95">
        <v>25</v>
      </c>
      <c r="E13" s="95" t="s">
        <v>143</v>
      </c>
      <c r="F13" s="97" t="s">
        <v>142</v>
      </c>
      <c r="G13" s="95" t="s">
        <v>131</v>
      </c>
      <c r="H13" s="95" t="s">
        <v>133</v>
      </c>
      <c r="I13" s="95" t="s">
        <v>152</v>
      </c>
      <c r="J13" s="95">
        <v>3</v>
      </c>
      <c r="K13" s="85">
        <v>28</v>
      </c>
      <c r="L13" s="1">
        <v>3</v>
      </c>
      <c r="M13" s="1">
        <v>6</v>
      </c>
      <c r="N13" s="46">
        <f>19/O13</f>
        <v>6.333333333333333</v>
      </c>
      <c r="O13" s="1">
        <v>3</v>
      </c>
      <c r="P13" s="1">
        <v>13</v>
      </c>
      <c r="Q13" s="1">
        <v>34.17</v>
      </c>
      <c r="R13" s="1">
        <v>16</v>
      </c>
      <c r="S13" s="1">
        <v>16.350000000000001</v>
      </c>
      <c r="T13" s="1">
        <v>9.6</v>
      </c>
      <c r="U13" s="1">
        <v>0.84</v>
      </c>
      <c r="V13" s="1">
        <v>7.34</v>
      </c>
      <c r="W13" s="1">
        <f t="shared" si="1"/>
        <v>34.130000000000003</v>
      </c>
      <c r="X13" s="1">
        <v>464.11</v>
      </c>
      <c r="Y13" s="2"/>
      <c r="Z13" s="108" t="str">
        <f t="shared" si="2"/>
        <v>Cherry_EC6_ML_3</v>
      </c>
      <c r="AB13" s="1">
        <v>1.494</v>
      </c>
      <c r="AC13" s="1">
        <v>0.95699999999999996</v>
      </c>
      <c r="AD13" s="1">
        <v>9.6000000000000002E-2</v>
      </c>
      <c r="AE13" s="1">
        <v>0.78700000000000003</v>
      </c>
      <c r="AG13" s="88">
        <f t="shared" si="3"/>
        <v>310.64926372155287</v>
      </c>
    </row>
    <row r="14" spans="1:40" x14ac:dyDescent="0.2">
      <c r="A14" s="95">
        <f t="shared" si="0"/>
        <v>45</v>
      </c>
      <c r="B14" s="114">
        <v>45198</v>
      </c>
      <c r="C14" s="96" t="s">
        <v>286</v>
      </c>
      <c r="D14" s="95">
        <v>25</v>
      </c>
      <c r="E14" s="95" t="s">
        <v>143</v>
      </c>
      <c r="F14" s="97" t="s">
        <v>142</v>
      </c>
      <c r="G14" s="95" t="s">
        <v>131</v>
      </c>
      <c r="H14" s="95" t="s">
        <v>133</v>
      </c>
      <c r="I14" s="95" t="s">
        <v>153</v>
      </c>
      <c r="J14" s="95">
        <v>4</v>
      </c>
      <c r="K14" s="85">
        <v>33</v>
      </c>
      <c r="L14" s="1">
        <v>3</v>
      </c>
      <c r="M14" s="1">
        <v>3</v>
      </c>
      <c r="N14" s="1">
        <f>18/O14</f>
        <v>6</v>
      </c>
      <c r="O14" s="1">
        <v>3</v>
      </c>
      <c r="P14" s="1">
        <v>10</v>
      </c>
      <c r="Q14" s="1">
        <v>48.37</v>
      </c>
      <c r="R14" s="1">
        <v>19</v>
      </c>
      <c r="S14" s="1">
        <v>23.42</v>
      </c>
      <c r="T14" s="1">
        <v>13.4</v>
      </c>
      <c r="U14" s="1">
        <v>0.72</v>
      </c>
      <c r="V14" s="1">
        <v>10.29</v>
      </c>
      <c r="W14" s="1">
        <f t="shared" si="1"/>
        <v>47.83</v>
      </c>
      <c r="X14" s="1">
        <v>652.54999999999995</v>
      </c>
      <c r="Y14" s="2"/>
      <c r="Z14" s="108" t="str">
        <f t="shared" si="2"/>
        <v>Cherry_EC6_ML_4</v>
      </c>
      <c r="AB14" s="1">
        <v>2.3479999999999999</v>
      </c>
      <c r="AC14" s="1">
        <v>1.4119999999999999</v>
      </c>
      <c r="AD14" s="1">
        <v>0.106</v>
      </c>
      <c r="AE14" s="1">
        <v>1.163</v>
      </c>
      <c r="AG14" s="88">
        <f t="shared" si="3"/>
        <v>277.91737649063032</v>
      </c>
    </row>
    <row r="15" spans="1:40" x14ac:dyDescent="0.2">
      <c r="A15" s="95">
        <f t="shared" si="0"/>
        <v>45</v>
      </c>
      <c r="B15" s="114">
        <v>45198</v>
      </c>
      <c r="C15" s="96" t="s">
        <v>286</v>
      </c>
      <c r="D15" s="95">
        <v>25</v>
      </c>
      <c r="E15" s="95" t="s">
        <v>143</v>
      </c>
      <c r="F15" s="97" t="s">
        <v>142</v>
      </c>
      <c r="G15" s="95" t="s">
        <v>131</v>
      </c>
      <c r="H15" s="95" t="s">
        <v>133</v>
      </c>
      <c r="I15" s="95" t="s">
        <v>154</v>
      </c>
      <c r="J15" s="95">
        <v>5</v>
      </c>
      <c r="K15" s="85">
        <v>27</v>
      </c>
      <c r="L15" s="1">
        <v>4</v>
      </c>
      <c r="M15" s="1">
        <v>7</v>
      </c>
      <c r="N15" s="1">
        <f>14/O15</f>
        <v>7</v>
      </c>
      <c r="O15" s="1">
        <v>2</v>
      </c>
      <c r="P15" s="1">
        <v>10</v>
      </c>
      <c r="Q15" s="1">
        <v>43.37</v>
      </c>
      <c r="R15" s="1">
        <v>21</v>
      </c>
      <c r="S15" s="1">
        <v>23.59</v>
      </c>
      <c r="T15" s="1">
        <v>13.91</v>
      </c>
      <c r="U15" s="1">
        <v>1.78</v>
      </c>
      <c r="V15" s="1">
        <v>3.86</v>
      </c>
      <c r="W15" s="1">
        <f t="shared" si="1"/>
        <v>43.14</v>
      </c>
      <c r="X15" s="1">
        <v>606.96</v>
      </c>
      <c r="Y15" s="2"/>
      <c r="Z15" s="108" t="str">
        <f t="shared" si="2"/>
        <v>Cherry_EC6_ML_5</v>
      </c>
      <c r="AB15" s="1">
        <v>2.62</v>
      </c>
      <c r="AC15" s="1">
        <v>1.516</v>
      </c>
      <c r="AD15" s="1">
        <v>0.22</v>
      </c>
      <c r="AE15" s="1">
        <v>0.46300000000000002</v>
      </c>
      <c r="AG15" s="88">
        <f t="shared" si="3"/>
        <v>231.66412213740458</v>
      </c>
    </row>
    <row r="16" spans="1:40" ht="16" thickBot="1" x14ac:dyDescent="0.25">
      <c r="A16" s="101">
        <f t="shared" si="0"/>
        <v>45</v>
      </c>
      <c r="B16" s="115">
        <v>45198</v>
      </c>
      <c r="C16" s="102" t="s">
        <v>286</v>
      </c>
      <c r="D16" s="101">
        <v>25</v>
      </c>
      <c r="E16" s="101" t="s">
        <v>143</v>
      </c>
      <c r="F16" s="103" t="s">
        <v>142</v>
      </c>
      <c r="G16" s="101" t="s">
        <v>131</v>
      </c>
      <c r="H16" s="101" t="s">
        <v>133</v>
      </c>
      <c r="I16" s="101" t="s">
        <v>155</v>
      </c>
      <c r="J16" s="101">
        <v>6</v>
      </c>
      <c r="K16" s="87">
        <v>26</v>
      </c>
      <c r="L16" s="86">
        <v>3</v>
      </c>
      <c r="M16" s="86">
        <v>9</v>
      </c>
      <c r="N16" s="86">
        <f>14/O16</f>
        <v>7</v>
      </c>
      <c r="O16" s="86">
        <v>2</v>
      </c>
      <c r="P16" s="86">
        <v>8</v>
      </c>
      <c r="Q16" s="86">
        <v>39.299999999999997</v>
      </c>
      <c r="R16" s="86">
        <v>25</v>
      </c>
      <c r="S16" s="86">
        <v>22.44</v>
      </c>
      <c r="T16" s="86">
        <v>12.03</v>
      </c>
      <c r="U16" s="86">
        <v>1.1100000000000001</v>
      </c>
      <c r="V16" s="86">
        <v>3.45</v>
      </c>
      <c r="W16" s="1">
        <f t="shared" si="1"/>
        <v>39.03</v>
      </c>
      <c r="X16" s="86">
        <v>602.59</v>
      </c>
      <c r="Y16" s="2"/>
      <c r="Z16" s="110" t="str">
        <f t="shared" si="2"/>
        <v>Cherry_EC6_ML_6</v>
      </c>
      <c r="AA16" s="87"/>
      <c r="AB16" s="86">
        <v>2.1949999999999998</v>
      </c>
      <c r="AC16" s="86">
        <v>1.2210000000000001</v>
      </c>
      <c r="AD16" s="86">
        <v>0.124</v>
      </c>
      <c r="AE16" s="86">
        <v>0.39</v>
      </c>
      <c r="AF16" s="86"/>
      <c r="AG16" s="89">
        <f t="shared" si="3"/>
        <v>274.52847380410026</v>
      </c>
    </row>
    <row r="17" spans="1:33" x14ac:dyDescent="0.2">
      <c r="A17" s="98">
        <f t="shared" si="0"/>
        <v>45</v>
      </c>
      <c r="B17" s="114">
        <v>45198</v>
      </c>
      <c r="C17" s="99" t="s">
        <v>286</v>
      </c>
      <c r="D17" s="98">
        <v>25</v>
      </c>
      <c r="E17" s="98" t="s">
        <v>144</v>
      </c>
      <c r="F17" s="100" t="s">
        <v>142</v>
      </c>
      <c r="G17" s="98" t="s">
        <v>131</v>
      </c>
      <c r="H17" s="98" t="s">
        <v>134</v>
      </c>
      <c r="I17" s="98" t="s">
        <v>156</v>
      </c>
      <c r="J17" s="95">
        <v>1</v>
      </c>
      <c r="K17" s="90">
        <v>30</v>
      </c>
      <c r="L17" s="91">
        <v>3</v>
      </c>
      <c r="M17" s="91">
        <v>0</v>
      </c>
      <c r="N17" s="91">
        <f>28/O17</f>
        <v>5.6</v>
      </c>
      <c r="O17" s="91">
        <v>5</v>
      </c>
      <c r="P17" s="91">
        <v>15</v>
      </c>
      <c r="Q17" s="91">
        <v>39.74</v>
      </c>
      <c r="R17" s="91">
        <v>23</v>
      </c>
      <c r="S17" s="92">
        <v>18.3</v>
      </c>
      <c r="T17" s="92">
        <v>11.62</v>
      </c>
      <c r="U17" s="92">
        <v>0.28999999999999998</v>
      </c>
      <c r="V17" s="92">
        <v>9.24</v>
      </c>
      <c r="W17" s="92">
        <f t="shared" si="1"/>
        <v>39.450000000000003</v>
      </c>
      <c r="X17" s="1">
        <v>538.64</v>
      </c>
      <c r="Y17" s="2"/>
      <c r="Z17" s="108" t="str">
        <f t="shared" si="2"/>
        <v>Cherry_EC6_LL_1</v>
      </c>
      <c r="AB17" s="1">
        <v>1.8</v>
      </c>
      <c r="AC17" s="1">
        <v>1.121</v>
      </c>
      <c r="AD17" s="1">
        <v>4.5999999999999999E-2</v>
      </c>
      <c r="AE17" s="1">
        <v>1.0129999999999999</v>
      </c>
      <c r="AG17" s="88">
        <f t="shared" si="3"/>
        <v>299.24444444444441</v>
      </c>
    </row>
    <row r="18" spans="1:33" x14ac:dyDescent="0.2">
      <c r="A18" s="95">
        <f t="shared" si="0"/>
        <v>45</v>
      </c>
      <c r="B18" s="114">
        <v>45198</v>
      </c>
      <c r="C18" s="96" t="s">
        <v>286</v>
      </c>
      <c r="D18" s="95">
        <v>25</v>
      </c>
      <c r="E18" s="95" t="s">
        <v>144</v>
      </c>
      <c r="F18" s="97" t="s">
        <v>142</v>
      </c>
      <c r="G18" s="95" t="s">
        <v>131</v>
      </c>
      <c r="H18" s="95" t="s">
        <v>134</v>
      </c>
      <c r="I18" s="95" t="s">
        <v>157</v>
      </c>
      <c r="J18" s="95">
        <v>2</v>
      </c>
      <c r="K18" s="84">
        <v>28</v>
      </c>
      <c r="L18" s="3">
        <v>4</v>
      </c>
      <c r="M18" s="3">
        <v>4</v>
      </c>
      <c r="N18" s="3">
        <f>15/O18</f>
        <v>7.5</v>
      </c>
      <c r="O18" s="3">
        <v>2</v>
      </c>
      <c r="P18" s="3">
        <v>8</v>
      </c>
      <c r="Q18" s="3">
        <v>40.119999999999997</v>
      </c>
      <c r="R18" s="3">
        <v>20</v>
      </c>
      <c r="S18" s="1">
        <v>23.7</v>
      </c>
      <c r="T18" s="1">
        <v>13.27</v>
      </c>
      <c r="U18" s="1">
        <v>1.59</v>
      </c>
      <c r="V18" s="1">
        <v>1.66</v>
      </c>
      <c r="W18" s="1">
        <f t="shared" si="1"/>
        <v>40.22</v>
      </c>
      <c r="X18" s="1">
        <v>641.29999999999995</v>
      </c>
      <c r="Y18" s="2"/>
      <c r="Z18" s="108" t="str">
        <f t="shared" si="2"/>
        <v>Cherry_EC6_LL_2</v>
      </c>
      <c r="AB18" s="1">
        <v>2.48</v>
      </c>
      <c r="AC18" s="1">
        <v>1.2869999999999999</v>
      </c>
      <c r="AD18" s="1">
        <v>0.18</v>
      </c>
      <c r="AE18" s="1">
        <v>0.17699999999999999</v>
      </c>
      <c r="AG18" s="88">
        <f t="shared" si="3"/>
        <v>258.58870967741933</v>
      </c>
    </row>
    <row r="19" spans="1:33" x14ac:dyDescent="0.2">
      <c r="A19" s="95">
        <f t="shared" si="0"/>
        <v>45</v>
      </c>
      <c r="B19" s="114">
        <v>45198</v>
      </c>
      <c r="C19" s="96" t="s">
        <v>286</v>
      </c>
      <c r="D19" s="95">
        <v>25</v>
      </c>
      <c r="E19" s="95" t="s">
        <v>144</v>
      </c>
      <c r="F19" s="97" t="s">
        <v>142</v>
      </c>
      <c r="G19" s="95" t="s">
        <v>131</v>
      </c>
      <c r="H19" s="95" t="s">
        <v>134</v>
      </c>
      <c r="I19" s="95" t="s">
        <v>158</v>
      </c>
      <c r="J19" s="95">
        <v>3</v>
      </c>
      <c r="K19" s="85">
        <v>33</v>
      </c>
      <c r="L19" s="1">
        <v>5</v>
      </c>
      <c r="M19" s="1">
        <f>3</f>
        <v>3</v>
      </c>
      <c r="N19" s="1">
        <f>23/O19</f>
        <v>5.75</v>
      </c>
      <c r="O19" s="1">
        <v>4</v>
      </c>
      <c r="P19" s="1">
        <v>14</v>
      </c>
      <c r="Q19" s="1">
        <v>50.18</v>
      </c>
      <c r="R19" s="1">
        <v>21</v>
      </c>
      <c r="S19" s="1">
        <v>23.98</v>
      </c>
      <c r="T19" s="1">
        <v>14.63</v>
      </c>
      <c r="U19" s="1">
        <v>1.05</v>
      </c>
      <c r="V19" s="1">
        <v>10.28</v>
      </c>
      <c r="W19" s="1">
        <f t="shared" si="1"/>
        <v>49.94</v>
      </c>
      <c r="X19" s="1">
        <v>666.26</v>
      </c>
      <c r="Y19" s="2"/>
      <c r="Z19" s="108" t="str">
        <f t="shared" si="2"/>
        <v>Cherry_EC6_LL_3</v>
      </c>
      <c r="AB19" s="1">
        <v>2.585</v>
      </c>
      <c r="AC19" s="1">
        <v>1.589</v>
      </c>
      <c r="AD19" s="1">
        <v>0.13900000000000001</v>
      </c>
      <c r="AE19" s="1">
        <v>1.1950000000000001</v>
      </c>
      <c r="AG19" s="88">
        <f t="shared" si="3"/>
        <v>257.74081237911025</v>
      </c>
    </row>
    <row r="20" spans="1:33" x14ac:dyDescent="0.2">
      <c r="A20" s="95">
        <f t="shared" si="0"/>
        <v>45</v>
      </c>
      <c r="B20" s="114">
        <v>45198</v>
      </c>
      <c r="C20" s="96" t="s">
        <v>286</v>
      </c>
      <c r="D20" s="95">
        <v>25</v>
      </c>
      <c r="E20" s="95" t="s">
        <v>144</v>
      </c>
      <c r="F20" s="97" t="s">
        <v>142</v>
      </c>
      <c r="G20" s="95" t="s">
        <v>131</v>
      </c>
      <c r="H20" s="95" t="s">
        <v>134</v>
      </c>
      <c r="I20" s="95" t="s">
        <v>159</v>
      </c>
      <c r="J20" s="95">
        <v>4</v>
      </c>
      <c r="K20" s="85">
        <v>30</v>
      </c>
      <c r="L20" s="1">
        <v>2</v>
      </c>
      <c r="M20" s="1">
        <v>1</v>
      </c>
      <c r="N20" s="1">
        <f>23/O20</f>
        <v>5.75</v>
      </c>
      <c r="O20" s="1">
        <v>4</v>
      </c>
      <c r="P20" s="1">
        <v>15</v>
      </c>
      <c r="Q20" s="1">
        <v>43.51</v>
      </c>
      <c r="R20" s="1">
        <v>17</v>
      </c>
      <c r="S20" s="1">
        <v>21.38</v>
      </c>
      <c r="T20" s="1">
        <v>12.51</v>
      </c>
      <c r="U20" s="1">
        <v>0.77</v>
      </c>
      <c r="V20" s="1">
        <v>8.73</v>
      </c>
      <c r="W20" s="1">
        <f t="shared" si="1"/>
        <v>43.39</v>
      </c>
      <c r="X20" s="1">
        <v>586.04</v>
      </c>
      <c r="Y20" s="2"/>
      <c r="Z20" s="108" t="str">
        <f t="shared" si="2"/>
        <v>Cherry_EC6_LL_4</v>
      </c>
      <c r="AB20" s="1">
        <v>2.133</v>
      </c>
      <c r="AC20" s="1">
        <v>1.33</v>
      </c>
      <c r="AD20" s="1">
        <v>9.0999999999999998E-2</v>
      </c>
      <c r="AE20" s="1">
        <v>1.0049999999999999</v>
      </c>
      <c r="AG20" s="88">
        <f t="shared" si="3"/>
        <v>274.74917955930613</v>
      </c>
    </row>
    <row r="21" spans="1:33" x14ac:dyDescent="0.2">
      <c r="A21" s="95">
        <f t="shared" si="0"/>
        <v>45</v>
      </c>
      <c r="B21" s="114">
        <v>45198</v>
      </c>
      <c r="C21" s="96" t="s">
        <v>286</v>
      </c>
      <c r="D21" s="95">
        <v>25</v>
      </c>
      <c r="E21" s="95" t="s">
        <v>144</v>
      </c>
      <c r="F21" s="97" t="s">
        <v>142</v>
      </c>
      <c r="G21" s="95" t="s">
        <v>131</v>
      </c>
      <c r="H21" s="95" t="s">
        <v>134</v>
      </c>
      <c r="I21" s="95" t="s">
        <v>160</v>
      </c>
      <c r="J21" s="95">
        <v>5</v>
      </c>
      <c r="K21" s="85">
        <v>29</v>
      </c>
      <c r="L21" s="1">
        <v>3</v>
      </c>
      <c r="M21" s="1">
        <v>4</v>
      </c>
      <c r="N21" s="1">
        <f>12/O21</f>
        <v>6</v>
      </c>
      <c r="O21" s="1">
        <v>2</v>
      </c>
      <c r="P21" s="1">
        <v>8</v>
      </c>
      <c r="Q21" s="1">
        <v>34.64</v>
      </c>
      <c r="R21" s="1">
        <v>18</v>
      </c>
      <c r="S21" s="1">
        <v>19.52</v>
      </c>
      <c r="T21" s="1">
        <v>11.18</v>
      </c>
      <c r="U21" s="1">
        <v>1.08</v>
      </c>
      <c r="V21" s="1">
        <v>2.75</v>
      </c>
      <c r="W21" s="1">
        <f t="shared" si="1"/>
        <v>34.53</v>
      </c>
      <c r="X21" s="1">
        <v>559.78</v>
      </c>
      <c r="Y21" s="2"/>
      <c r="Z21" s="108" t="str">
        <f t="shared" si="2"/>
        <v>Cherry_EC6_LL_5</v>
      </c>
      <c r="AB21" s="1">
        <v>1.9510000000000001</v>
      </c>
      <c r="AC21" s="1">
        <v>1.1659999999999999</v>
      </c>
      <c r="AD21" s="1">
        <v>0.129</v>
      </c>
      <c r="AE21" s="1">
        <v>0.313</v>
      </c>
      <c r="AG21" s="88">
        <f t="shared" si="3"/>
        <v>286.91952844695027</v>
      </c>
    </row>
    <row r="22" spans="1:33" ht="16" thickBot="1" x14ac:dyDescent="0.25">
      <c r="A22" s="101">
        <f t="shared" si="0"/>
        <v>45</v>
      </c>
      <c r="B22" s="115">
        <v>45198</v>
      </c>
      <c r="C22" s="102" t="s">
        <v>286</v>
      </c>
      <c r="D22" s="101">
        <v>25</v>
      </c>
      <c r="E22" s="101" t="s">
        <v>144</v>
      </c>
      <c r="F22" s="103" t="s">
        <v>142</v>
      </c>
      <c r="G22" s="101" t="s">
        <v>131</v>
      </c>
      <c r="H22" s="101" t="s">
        <v>134</v>
      </c>
      <c r="I22" s="101" t="s">
        <v>161</v>
      </c>
      <c r="J22" s="101">
        <v>6</v>
      </c>
      <c r="K22" s="87">
        <v>32</v>
      </c>
      <c r="L22" s="86">
        <v>4</v>
      </c>
      <c r="M22" s="86">
        <v>6</v>
      </c>
      <c r="N22" s="86">
        <f>15/O22</f>
        <v>7.5</v>
      </c>
      <c r="O22" s="86">
        <v>2</v>
      </c>
      <c r="P22" s="86">
        <v>11</v>
      </c>
      <c r="Q22" s="86">
        <v>47.79</v>
      </c>
      <c r="R22" s="86">
        <v>23</v>
      </c>
      <c r="S22" s="86">
        <v>26.63</v>
      </c>
      <c r="T22" s="86">
        <v>15.3</v>
      </c>
      <c r="U22" s="86">
        <v>1.57</v>
      </c>
      <c r="V22" s="86">
        <v>3.96</v>
      </c>
      <c r="W22" s="86">
        <f t="shared" si="1"/>
        <v>47.46</v>
      </c>
      <c r="X22" s="86">
        <v>711.25</v>
      </c>
      <c r="Y22" s="2"/>
      <c r="Z22" s="110" t="str">
        <f t="shared" si="2"/>
        <v>Cherry_EC6_LL_6</v>
      </c>
      <c r="AA22" s="87"/>
      <c r="AB22" s="86">
        <v>2.6930000000000001</v>
      </c>
      <c r="AC22" s="86">
        <v>1.6279999999999999</v>
      </c>
      <c r="AD22" s="86">
        <v>0.19500000000000001</v>
      </c>
      <c r="AE22" s="86">
        <v>0.47899999999999998</v>
      </c>
      <c r="AF22" s="86"/>
      <c r="AG22" s="89">
        <f t="shared" si="3"/>
        <v>264.11065725956183</v>
      </c>
    </row>
    <row r="23" spans="1:33" x14ac:dyDescent="0.2">
      <c r="A23" s="98">
        <f t="shared" si="0"/>
        <v>45</v>
      </c>
      <c r="B23" s="114">
        <v>45198</v>
      </c>
      <c r="C23" s="99" t="s">
        <v>286</v>
      </c>
      <c r="D23" s="98">
        <v>25</v>
      </c>
      <c r="E23" s="98" t="s">
        <v>145</v>
      </c>
      <c r="F23" s="100" t="s">
        <v>142</v>
      </c>
      <c r="G23" s="98" t="s">
        <v>131</v>
      </c>
      <c r="H23" s="98" t="s">
        <v>135</v>
      </c>
      <c r="I23" s="98" t="s">
        <v>162</v>
      </c>
      <c r="J23" s="95">
        <v>1</v>
      </c>
      <c r="K23" s="90">
        <v>26</v>
      </c>
      <c r="L23" s="91">
        <v>4</v>
      </c>
      <c r="M23" s="91">
        <v>1</v>
      </c>
      <c r="N23" s="118">
        <f>15/O23</f>
        <v>7.5</v>
      </c>
      <c r="O23" s="91">
        <v>2</v>
      </c>
      <c r="P23" s="91">
        <v>4</v>
      </c>
      <c r="Q23" s="91">
        <v>26.37</v>
      </c>
      <c r="R23" s="91">
        <v>19</v>
      </c>
      <c r="S23" s="92">
        <v>11.64</v>
      </c>
      <c r="T23" s="92">
        <f>9.79-0.01</f>
        <v>9.7799999999999994</v>
      </c>
      <c r="U23" s="92">
        <f>0.47+0.01</f>
        <v>0.48</v>
      </c>
      <c r="V23" s="92">
        <v>1.26</v>
      </c>
      <c r="W23" s="92">
        <f t="shared" si="1"/>
        <v>23.160000000000004</v>
      </c>
      <c r="X23" s="1">
        <v>461.22</v>
      </c>
      <c r="Y23" s="2"/>
      <c r="Z23" s="108" t="str">
        <f t="shared" si="2"/>
        <v>Cherry_EC6__1</v>
      </c>
      <c r="AB23" s="1">
        <v>1.3660000000000001</v>
      </c>
      <c r="AC23" s="1">
        <v>0.84399999999999997</v>
      </c>
      <c r="AD23" s="1">
        <v>6.4000000000000001E-2</v>
      </c>
      <c r="AE23" s="1">
        <v>0.13600000000000001</v>
      </c>
      <c r="AG23" s="88">
        <f t="shared" si="3"/>
        <v>337.6427525622255</v>
      </c>
    </row>
    <row r="24" spans="1:33" x14ac:dyDescent="0.2">
      <c r="A24" s="95">
        <f t="shared" si="0"/>
        <v>45</v>
      </c>
      <c r="B24" s="114">
        <v>45198</v>
      </c>
      <c r="C24" s="96" t="s">
        <v>286</v>
      </c>
      <c r="D24" s="95">
        <v>25</v>
      </c>
      <c r="E24" s="95" t="s">
        <v>145</v>
      </c>
      <c r="F24" s="97" t="s">
        <v>142</v>
      </c>
      <c r="G24" s="95" t="s">
        <v>131</v>
      </c>
      <c r="H24" s="95" t="s">
        <v>135</v>
      </c>
      <c r="I24" s="95" t="s">
        <v>163</v>
      </c>
      <c r="J24" s="95">
        <v>2</v>
      </c>
      <c r="K24" s="84">
        <v>22</v>
      </c>
      <c r="L24" s="3">
        <v>5</v>
      </c>
      <c r="M24" s="3">
        <v>4</v>
      </c>
      <c r="N24" s="119">
        <f>17/O24</f>
        <v>5.666666666666667</v>
      </c>
      <c r="O24" s="3">
        <v>3</v>
      </c>
      <c r="P24" s="3">
        <v>13</v>
      </c>
      <c r="Q24" s="3">
        <v>37.51</v>
      </c>
      <c r="R24" s="3">
        <v>20</v>
      </c>
      <c r="S24" s="1">
        <v>17.97</v>
      </c>
      <c r="T24" s="1">
        <v>9.67</v>
      </c>
      <c r="U24" s="1">
        <v>0.66</v>
      </c>
      <c r="V24" s="1">
        <v>8.9700000000000006</v>
      </c>
      <c r="W24" s="1">
        <f t="shared" si="1"/>
        <v>37.270000000000003</v>
      </c>
      <c r="X24" s="1">
        <v>517.79999999999995</v>
      </c>
      <c r="Y24" s="2"/>
      <c r="Z24" s="108" t="str">
        <f t="shared" si="2"/>
        <v>Cherry_EC6__2</v>
      </c>
      <c r="AB24" s="1">
        <v>1.7170000000000001</v>
      </c>
      <c r="AC24" s="1">
        <v>0.96499999999999997</v>
      </c>
      <c r="AD24" s="1">
        <v>8.6999999999999994E-2</v>
      </c>
      <c r="AE24" s="1">
        <v>0.96</v>
      </c>
      <c r="AG24" s="88">
        <f t="shared" si="3"/>
        <v>301.57251019219564</v>
      </c>
    </row>
    <row r="25" spans="1:33" x14ac:dyDescent="0.2">
      <c r="A25" s="95">
        <f t="shared" si="0"/>
        <v>45</v>
      </c>
      <c r="B25" s="114">
        <v>45198</v>
      </c>
      <c r="C25" s="96" t="s">
        <v>286</v>
      </c>
      <c r="D25" s="95">
        <v>25</v>
      </c>
      <c r="E25" s="95" t="s">
        <v>145</v>
      </c>
      <c r="F25" s="97" t="s">
        <v>142</v>
      </c>
      <c r="G25" s="95" t="s">
        <v>131</v>
      </c>
      <c r="H25" s="95" t="s">
        <v>135</v>
      </c>
      <c r="I25" s="95" t="s">
        <v>164</v>
      </c>
      <c r="J25" s="95">
        <v>3</v>
      </c>
      <c r="K25" s="85">
        <v>24</v>
      </c>
      <c r="L25" s="1">
        <v>2</v>
      </c>
      <c r="M25" s="1">
        <v>0</v>
      </c>
      <c r="N25" s="46">
        <f>17/O25</f>
        <v>5.666666666666667</v>
      </c>
      <c r="O25" s="1">
        <v>3</v>
      </c>
      <c r="P25" s="1">
        <v>12</v>
      </c>
      <c r="Q25" s="1">
        <v>30.93</v>
      </c>
      <c r="R25" s="1">
        <v>16</v>
      </c>
      <c r="S25" s="1">
        <v>15.11</v>
      </c>
      <c r="T25" s="1">
        <v>8.08</v>
      </c>
      <c r="U25" s="1">
        <v>0.35</v>
      </c>
      <c r="V25" s="1">
        <v>7.34</v>
      </c>
      <c r="W25" s="1">
        <f t="shared" si="1"/>
        <v>30.88</v>
      </c>
      <c r="X25" s="1">
        <v>440.8</v>
      </c>
      <c r="Y25" s="2"/>
      <c r="Z25" s="108" t="str">
        <f t="shared" si="2"/>
        <v>Cherry_EC6__3</v>
      </c>
      <c r="AB25" s="1">
        <v>1.4450000000000001</v>
      </c>
      <c r="AC25" s="1">
        <v>0.74</v>
      </c>
      <c r="AD25" s="1">
        <v>3.9E-2</v>
      </c>
      <c r="AE25" s="1">
        <v>0.754</v>
      </c>
      <c r="AG25" s="88">
        <f t="shared" si="3"/>
        <v>305.05190311418687</v>
      </c>
    </row>
    <row r="26" spans="1:33" x14ac:dyDescent="0.2">
      <c r="A26" s="95">
        <f t="shared" si="0"/>
        <v>45</v>
      </c>
      <c r="B26" s="114">
        <v>45198</v>
      </c>
      <c r="C26" s="96" t="s">
        <v>286</v>
      </c>
      <c r="D26" s="95">
        <v>25</v>
      </c>
      <c r="E26" s="95" t="s">
        <v>145</v>
      </c>
      <c r="F26" s="97" t="s">
        <v>142</v>
      </c>
      <c r="G26" s="95" t="s">
        <v>131</v>
      </c>
      <c r="H26" s="95" t="s">
        <v>135</v>
      </c>
      <c r="I26" s="95" t="s">
        <v>165</v>
      </c>
      <c r="J26" s="95">
        <v>4</v>
      </c>
      <c r="K26" s="85">
        <v>23</v>
      </c>
      <c r="L26" s="1">
        <v>2</v>
      </c>
      <c r="M26" s="1">
        <v>6</v>
      </c>
      <c r="N26" s="46">
        <v>0</v>
      </c>
      <c r="O26" s="1">
        <v>0</v>
      </c>
      <c r="P26" s="1">
        <v>0</v>
      </c>
      <c r="Q26" s="1">
        <v>16.41</v>
      </c>
      <c r="R26" s="1">
        <v>16</v>
      </c>
      <c r="S26" s="1">
        <v>9.44</v>
      </c>
      <c r="T26" s="1">
        <v>6.2</v>
      </c>
      <c r="U26" s="1">
        <v>0.69</v>
      </c>
      <c r="V26" s="1">
        <v>0</v>
      </c>
      <c r="W26" s="1">
        <f t="shared" si="1"/>
        <v>16.330000000000002</v>
      </c>
      <c r="X26" s="1">
        <v>306.68</v>
      </c>
      <c r="Y26" s="2"/>
      <c r="Z26" s="108" t="str">
        <f t="shared" si="2"/>
        <v>Cherry_EC6__4</v>
      </c>
      <c r="AB26" s="1">
        <v>0.88400000000000001</v>
      </c>
      <c r="AC26" s="1">
        <v>0.55500000000000005</v>
      </c>
      <c r="AD26" s="1">
        <v>0.08</v>
      </c>
      <c r="AG26" s="88">
        <f t="shared" si="3"/>
        <v>346.92307692307691</v>
      </c>
    </row>
    <row r="27" spans="1:33" x14ac:dyDescent="0.2">
      <c r="A27" s="95">
        <f t="shared" si="0"/>
        <v>45</v>
      </c>
      <c r="B27" s="114">
        <v>45198</v>
      </c>
      <c r="C27" s="96" t="s">
        <v>286</v>
      </c>
      <c r="D27" s="95">
        <v>25</v>
      </c>
      <c r="E27" s="95" t="s">
        <v>145</v>
      </c>
      <c r="F27" s="97" t="s">
        <v>142</v>
      </c>
      <c r="G27" s="95" t="s">
        <v>131</v>
      </c>
      <c r="H27" s="95" t="s">
        <v>135</v>
      </c>
      <c r="I27" s="95" t="s">
        <v>166</v>
      </c>
      <c r="J27" s="95">
        <v>5</v>
      </c>
      <c r="K27" s="85">
        <v>28</v>
      </c>
      <c r="L27" s="1">
        <v>0</v>
      </c>
      <c r="M27" s="1">
        <v>0</v>
      </c>
      <c r="N27" s="46">
        <f>29/O27</f>
        <v>7.25</v>
      </c>
      <c r="O27" s="1">
        <v>4</v>
      </c>
      <c r="P27" s="1">
        <v>14</v>
      </c>
      <c r="Q27" s="1">
        <v>38.92</v>
      </c>
      <c r="R27" s="1">
        <v>20</v>
      </c>
      <c r="S27" s="1">
        <v>21.02</v>
      </c>
      <c r="T27" s="1">
        <v>12.47</v>
      </c>
      <c r="U27" s="1">
        <v>0.55000000000000004</v>
      </c>
      <c r="V27" s="1">
        <v>5.32</v>
      </c>
      <c r="W27" s="1">
        <f t="shared" si="1"/>
        <v>39.36</v>
      </c>
      <c r="X27" s="1">
        <v>607.11</v>
      </c>
      <c r="Y27" s="2"/>
      <c r="Z27" s="108" t="str">
        <f t="shared" si="2"/>
        <v>Cherry_EC6__5</v>
      </c>
      <c r="AB27" s="1">
        <v>2.1309999999999998</v>
      </c>
      <c r="AC27" s="1">
        <v>1.2270000000000001</v>
      </c>
      <c r="AD27" s="1">
        <v>5.3999999999999999E-2</v>
      </c>
      <c r="AE27" s="1">
        <v>0.59599999999999997</v>
      </c>
      <c r="AG27" s="88">
        <f t="shared" si="3"/>
        <v>284.89441576724545</v>
      </c>
    </row>
    <row r="28" spans="1:33" ht="16" thickBot="1" x14ac:dyDescent="0.25">
      <c r="A28" s="101">
        <f t="shared" si="0"/>
        <v>45</v>
      </c>
      <c r="B28" s="115">
        <v>45198</v>
      </c>
      <c r="C28" s="102" t="s">
        <v>286</v>
      </c>
      <c r="D28" s="101">
        <v>25</v>
      </c>
      <c r="E28" s="101" t="s">
        <v>145</v>
      </c>
      <c r="F28" s="103" t="s">
        <v>142</v>
      </c>
      <c r="G28" s="101" t="s">
        <v>131</v>
      </c>
      <c r="H28" s="101" t="s">
        <v>135</v>
      </c>
      <c r="I28" s="101" t="s">
        <v>167</v>
      </c>
      <c r="J28" s="101">
        <v>6</v>
      </c>
      <c r="K28" s="87">
        <v>29</v>
      </c>
      <c r="L28" s="86">
        <v>3</v>
      </c>
      <c r="M28" s="86">
        <v>1</v>
      </c>
      <c r="N28" s="120">
        <f>18/O28</f>
        <v>6</v>
      </c>
      <c r="O28" s="86">
        <v>3</v>
      </c>
      <c r="P28" s="86">
        <v>13</v>
      </c>
      <c r="Q28" s="86">
        <v>36.36</v>
      </c>
      <c r="R28" s="86">
        <v>21</v>
      </c>
      <c r="S28" s="86">
        <v>15.27</v>
      </c>
      <c r="T28" s="86">
        <v>10.42</v>
      </c>
      <c r="U28" s="86">
        <v>0.28999999999999998</v>
      </c>
      <c r="V28" s="86">
        <v>10.3</v>
      </c>
      <c r="W28" s="86">
        <f t="shared" si="1"/>
        <v>36.28</v>
      </c>
      <c r="X28" s="86">
        <v>489.54</v>
      </c>
      <c r="Y28" s="2"/>
      <c r="Z28" s="110" t="str">
        <f t="shared" si="2"/>
        <v>Cherry_EC6__6</v>
      </c>
      <c r="AA28" s="87"/>
      <c r="AB28" s="86">
        <v>1.508</v>
      </c>
      <c r="AC28" s="86">
        <v>0.97599999999999998</v>
      </c>
      <c r="AD28" s="86">
        <v>3.9E-2</v>
      </c>
      <c r="AE28" s="86">
        <v>1.0469999999999999</v>
      </c>
      <c r="AF28" s="86"/>
      <c r="AG28" s="89">
        <f t="shared" si="3"/>
        <v>324.62864721485414</v>
      </c>
    </row>
    <row r="29" spans="1:33" x14ac:dyDescent="0.2">
      <c r="A29" s="98">
        <f t="shared" si="0"/>
        <v>45</v>
      </c>
      <c r="B29" s="114">
        <v>45198</v>
      </c>
      <c r="C29" s="99" t="s">
        <v>286</v>
      </c>
      <c r="D29" s="98">
        <v>25</v>
      </c>
      <c r="E29" s="98" t="s">
        <v>146</v>
      </c>
      <c r="F29" s="100" t="s">
        <v>142</v>
      </c>
      <c r="G29" s="98" t="s">
        <v>136</v>
      </c>
      <c r="H29" s="98" t="s">
        <v>132</v>
      </c>
      <c r="I29" s="98" t="s">
        <v>168</v>
      </c>
      <c r="J29" s="95">
        <v>1</v>
      </c>
      <c r="K29" s="90">
        <v>20</v>
      </c>
      <c r="L29" s="91">
        <v>6</v>
      </c>
      <c r="M29" s="91">
        <v>5</v>
      </c>
      <c r="N29" s="91">
        <f>18/O29</f>
        <v>6</v>
      </c>
      <c r="O29" s="91">
        <v>3</v>
      </c>
      <c r="P29" s="91">
        <v>18</v>
      </c>
      <c r="Q29" s="91">
        <v>46.83</v>
      </c>
      <c r="R29" s="91">
        <v>22</v>
      </c>
      <c r="S29" s="92">
        <v>17.57</v>
      </c>
      <c r="T29" s="92">
        <v>10.93</v>
      </c>
      <c r="U29" s="92">
        <v>0.73</v>
      </c>
      <c r="V29" s="92">
        <v>17.45</v>
      </c>
      <c r="W29" s="92">
        <f t="shared" si="1"/>
        <v>46.68</v>
      </c>
      <c r="X29" s="1">
        <v>487.82</v>
      </c>
      <c r="Y29" s="2"/>
      <c r="Z29" s="108" t="str">
        <f t="shared" si="2"/>
        <v>Cherry_EC3_HL_1</v>
      </c>
      <c r="AB29" s="1">
        <v>1.6160000000000001</v>
      </c>
      <c r="AC29" s="1">
        <v>1.048</v>
      </c>
      <c r="AD29" s="1">
        <v>8.8999999999999996E-2</v>
      </c>
      <c r="AE29" s="1">
        <v>1.635</v>
      </c>
      <c r="AG29" s="88">
        <f t="shared" si="3"/>
        <v>301.86881188118809</v>
      </c>
    </row>
    <row r="30" spans="1:33" x14ac:dyDescent="0.2">
      <c r="A30" s="95">
        <f t="shared" si="0"/>
        <v>45</v>
      </c>
      <c r="B30" s="114">
        <v>45198</v>
      </c>
      <c r="C30" s="96" t="s">
        <v>286</v>
      </c>
      <c r="D30" s="95">
        <v>25</v>
      </c>
      <c r="E30" s="95" t="s">
        <v>146</v>
      </c>
      <c r="F30" s="97" t="s">
        <v>142</v>
      </c>
      <c r="G30" s="95" t="s">
        <v>136</v>
      </c>
      <c r="H30" s="95" t="s">
        <v>132</v>
      </c>
      <c r="I30" s="95" t="s">
        <v>169</v>
      </c>
      <c r="J30" s="95">
        <v>2</v>
      </c>
      <c r="K30" s="84">
        <v>31</v>
      </c>
      <c r="L30" s="3">
        <v>4</v>
      </c>
      <c r="M30" s="3">
        <v>4</v>
      </c>
      <c r="N30" s="3">
        <f>21/O30</f>
        <v>7</v>
      </c>
      <c r="O30" s="3">
        <v>3</v>
      </c>
      <c r="P30" s="3">
        <v>14</v>
      </c>
      <c r="Q30" s="3">
        <v>49.83</v>
      </c>
      <c r="R30" s="3">
        <v>24</v>
      </c>
      <c r="S30" s="1">
        <v>25.94</v>
      </c>
      <c r="T30" s="1">
        <v>16.399999999999999</v>
      </c>
      <c r="U30" s="1">
        <v>1.1100000000000001</v>
      </c>
      <c r="V30" s="1">
        <v>6.51</v>
      </c>
      <c r="W30" s="1">
        <f t="shared" si="1"/>
        <v>49.96</v>
      </c>
      <c r="X30" s="1">
        <v>667.37</v>
      </c>
      <c r="Y30" s="2"/>
      <c r="Z30" s="108" t="str">
        <f t="shared" si="2"/>
        <v>Cherry_EC3_HL_2</v>
      </c>
      <c r="AB30" s="1">
        <v>2.6190000000000002</v>
      </c>
      <c r="AC30" s="1">
        <v>1.7869999999999999</v>
      </c>
      <c r="AD30" s="1">
        <v>0.125</v>
      </c>
      <c r="AE30" s="1">
        <v>0.71699999999999997</v>
      </c>
      <c r="AG30" s="88">
        <f t="shared" si="3"/>
        <v>254.81863306605572</v>
      </c>
    </row>
    <row r="31" spans="1:33" x14ac:dyDescent="0.2">
      <c r="A31" s="95">
        <f t="shared" si="0"/>
        <v>45</v>
      </c>
      <c r="B31" s="114">
        <v>45198</v>
      </c>
      <c r="C31" s="96" t="s">
        <v>286</v>
      </c>
      <c r="D31" s="95">
        <v>25</v>
      </c>
      <c r="E31" s="95" t="s">
        <v>146</v>
      </c>
      <c r="F31" s="97" t="s">
        <v>142</v>
      </c>
      <c r="G31" s="95" t="s">
        <v>136</v>
      </c>
      <c r="H31" s="95" t="s">
        <v>132</v>
      </c>
      <c r="I31" s="95" t="s">
        <v>170</v>
      </c>
      <c r="J31" s="95">
        <v>3</v>
      </c>
      <c r="K31" s="85">
        <v>26</v>
      </c>
      <c r="L31" s="1">
        <v>0</v>
      </c>
      <c r="M31" s="1">
        <v>0</v>
      </c>
      <c r="N31" s="1">
        <f>23/O31</f>
        <v>7.666666666666667</v>
      </c>
      <c r="O31" s="1">
        <v>3</v>
      </c>
      <c r="P31" s="1">
        <v>10</v>
      </c>
      <c r="Q31" s="1">
        <v>25.17</v>
      </c>
      <c r="R31" s="1">
        <v>11</v>
      </c>
      <c r="S31" s="1">
        <v>8.76</v>
      </c>
      <c r="T31" s="1">
        <v>6.79</v>
      </c>
      <c r="U31" s="1">
        <v>0</v>
      </c>
      <c r="V31" s="1">
        <v>9.5399999999999991</v>
      </c>
      <c r="W31" s="1">
        <f t="shared" si="1"/>
        <v>25.09</v>
      </c>
      <c r="X31" s="1">
        <v>260.10000000000002</v>
      </c>
      <c r="Y31" s="2"/>
      <c r="Z31" s="108" t="str">
        <f t="shared" si="2"/>
        <v>Cherry_EC3_HL_3</v>
      </c>
      <c r="AB31" s="1">
        <v>0.88300000000000001</v>
      </c>
      <c r="AC31" s="1">
        <v>0.85</v>
      </c>
      <c r="AD31" s="1">
        <v>4.9000000000000002E-2</v>
      </c>
      <c r="AE31" s="1">
        <v>0.94599999999999995</v>
      </c>
      <c r="AG31" s="88">
        <f t="shared" si="3"/>
        <v>294.56398640996605</v>
      </c>
    </row>
    <row r="32" spans="1:33" x14ac:dyDescent="0.2">
      <c r="A32" s="95">
        <f t="shared" si="0"/>
        <v>45</v>
      </c>
      <c r="B32" s="114">
        <v>45198</v>
      </c>
      <c r="C32" s="96" t="s">
        <v>286</v>
      </c>
      <c r="D32" s="95">
        <v>25</v>
      </c>
      <c r="E32" s="95" t="s">
        <v>146</v>
      </c>
      <c r="F32" s="97" t="s">
        <v>142</v>
      </c>
      <c r="G32" s="95" t="s">
        <v>136</v>
      </c>
      <c r="H32" s="95" t="s">
        <v>132</v>
      </c>
      <c r="I32" s="95" t="s">
        <v>171</v>
      </c>
      <c r="J32" s="95">
        <v>4</v>
      </c>
      <c r="K32" s="85">
        <v>29</v>
      </c>
      <c r="L32" s="1">
        <v>2</v>
      </c>
      <c r="M32" s="1">
        <v>3</v>
      </c>
      <c r="N32" s="1">
        <f>32/O32</f>
        <v>10.666666666666666</v>
      </c>
      <c r="O32" s="1">
        <v>3</v>
      </c>
      <c r="P32" s="1">
        <v>20</v>
      </c>
      <c r="Q32" s="1">
        <v>36.33</v>
      </c>
      <c r="R32" s="1">
        <v>13</v>
      </c>
      <c r="S32" s="1">
        <v>12.15</v>
      </c>
      <c r="T32" s="1">
        <v>9.14</v>
      </c>
      <c r="U32" s="1">
        <v>0.39</v>
      </c>
      <c r="V32" s="1">
        <v>14.71</v>
      </c>
      <c r="W32" s="1">
        <f t="shared" si="1"/>
        <v>36.39</v>
      </c>
      <c r="X32" s="1">
        <v>335.01</v>
      </c>
      <c r="Y32" s="2"/>
      <c r="Z32" s="108" t="str">
        <f t="shared" si="2"/>
        <v>Cherry_EC3_HL_4</v>
      </c>
      <c r="AB32" s="1">
        <v>1.296</v>
      </c>
      <c r="AC32" s="1">
        <v>1.038</v>
      </c>
      <c r="AD32" s="1">
        <v>1.6E-2</v>
      </c>
      <c r="AE32" s="1">
        <v>1.5569999999999999</v>
      </c>
      <c r="AG32" s="88">
        <f t="shared" si="3"/>
        <v>258.49537037037038</v>
      </c>
    </row>
    <row r="33" spans="1:33" x14ac:dyDescent="0.2">
      <c r="A33" s="95">
        <f t="shared" si="0"/>
        <v>45</v>
      </c>
      <c r="B33" s="114">
        <v>45198</v>
      </c>
      <c r="C33" s="96" t="s">
        <v>286</v>
      </c>
      <c r="D33" s="95">
        <v>25</v>
      </c>
      <c r="E33" s="95" t="s">
        <v>146</v>
      </c>
      <c r="F33" s="97" t="s">
        <v>142</v>
      </c>
      <c r="G33" s="95" t="s">
        <v>136</v>
      </c>
      <c r="H33" s="95" t="s">
        <v>132</v>
      </c>
      <c r="I33" s="95" t="s">
        <v>172</v>
      </c>
      <c r="J33" s="95">
        <v>5</v>
      </c>
      <c r="K33" s="85">
        <v>30</v>
      </c>
      <c r="L33" s="1">
        <v>2</v>
      </c>
      <c r="M33" s="1">
        <v>0</v>
      </c>
      <c r="N33" s="1">
        <f>16/O33</f>
        <v>5.333333333333333</v>
      </c>
      <c r="O33" s="1">
        <v>3</v>
      </c>
      <c r="P33" s="1">
        <v>12</v>
      </c>
      <c r="Q33" s="1">
        <v>28.11</v>
      </c>
      <c r="R33" s="1">
        <v>12</v>
      </c>
      <c r="S33" s="1">
        <v>13.05</v>
      </c>
      <c r="T33" s="1">
        <v>9.44</v>
      </c>
      <c r="U33" s="1">
        <v>0.1</v>
      </c>
      <c r="V33" s="1">
        <v>5.6</v>
      </c>
      <c r="W33" s="1">
        <f t="shared" si="1"/>
        <v>28.190000000000005</v>
      </c>
      <c r="X33" s="1">
        <v>378.13</v>
      </c>
      <c r="Y33" s="2"/>
      <c r="Z33" s="108" t="str">
        <f t="shared" si="2"/>
        <v>Cherry_EC3_HL_5</v>
      </c>
      <c r="AB33" s="1">
        <v>1.1639999999999999</v>
      </c>
      <c r="AC33" s="1">
        <v>0.84399999999999997</v>
      </c>
      <c r="AE33" s="1">
        <v>0.504</v>
      </c>
      <c r="AG33" s="88">
        <f t="shared" si="3"/>
        <v>324.85395189003441</v>
      </c>
    </row>
    <row r="34" spans="1:33" ht="16" thickBot="1" x14ac:dyDescent="0.25">
      <c r="A34" s="101">
        <f t="shared" si="0"/>
        <v>45</v>
      </c>
      <c r="B34" s="115">
        <v>45198</v>
      </c>
      <c r="C34" s="102" t="s">
        <v>286</v>
      </c>
      <c r="D34" s="101">
        <v>25</v>
      </c>
      <c r="E34" s="101" t="s">
        <v>146</v>
      </c>
      <c r="F34" s="103" t="s">
        <v>142</v>
      </c>
      <c r="G34" s="101" t="s">
        <v>136</v>
      </c>
      <c r="H34" s="101" t="s">
        <v>132</v>
      </c>
      <c r="I34" s="101" t="s">
        <v>173</v>
      </c>
      <c r="J34" s="101">
        <v>6</v>
      </c>
      <c r="K34" s="87">
        <v>31</v>
      </c>
      <c r="L34" s="86">
        <v>4</v>
      </c>
      <c r="M34" s="86">
        <v>0</v>
      </c>
      <c r="N34" s="86">
        <f>22/O34</f>
        <v>5.5</v>
      </c>
      <c r="O34" s="86">
        <v>4</v>
      </c>
      <c r="P34" s="86">
        <v>14</v>
      </c>
      <c r="Q34" s="86">
        <v>39.46</v>
      </c>
      <c r="R34" s="86">
        <v>20</v>
      </c>
      <c r="S34" s="86">
        <v>19.54</v>
      </c>
      <c r="T34" s="86">
        <v>13.2</v>
      </c>
      <c r="U34" s="86">
        <v>0.56999999999999995</v>
      </c>
      <c r="V34" s="86">
        <v>6.03</v>
      </c>
      <c r="W34" s="86">
        <f t="shared" si="1"/>
        <v>39.339999999999996</v>
      </c>
      <c r="X34" s="86">
        <v>554.39</v>
      </c>
      <c r="Y34" s="2"/>
      <c r="Z34" s="110" t="str">
        <f t="shared" si="2"/>
        <v>Cherry_EC3_HL_6</v>
      </c>
      <c r="AA34" s="87"/>
      <c r="AB34" s="86">
        <v>1.9319999999999999</v>
      </c>
      <c r="AC34" s="86">
        <v>1.286</v>
      </c>
      <c r="AD34" s="86">
        <v>7.2999999999999995E-2</v>
      </c>
      <c r="AE34" s="86">
        <v>0.63800000000000001</v>
      </c>
      <c r="AF34" s="86"/>
      <c r="AG34" s="89">
        <f t="shared" si="3"/>
        <v>286.95134575569358</v>
      </c>
    </row>
    <row r="35" spans="1:33" x14ac:dyDescent="0.2">
      <c r="A35" s="98">
        <f t="shared" si="0"/>
        <v>45</v>
      </c>
      <c r="B35" s="114">
        <v>45198</v>
      </c>
      <c r="C35" s="99" t="s">
        <v>286</v>
      </c>
      <c r="D35" s="98">
        <v>25</v>
      </c>
      <c r="E35" s="98" t="s">
        <v>147</v>
      </c>
      <c r="F35" s="100" t="s">
        <v>142</v>
      </c>
      <c r="G35" s="98" t="s">
        <v>136</v>
      </c>
      <c r="H35" s="98" t="s">
        <v>133</v>
      </c>
      <c r="I35" s="98" t="s">
        <v>174</v>
      </c>
      <c r="J35" s="95">
        <v>1</v>
      </c>
      <c r="K35" s="90">
        <v>35</v>
      </c>
      <c r="L35" s="91">
        <v>3</v>
      </c>
      <c r="M35" s="91">
        <v>2</v>
      </c>
      <c r="N35" s="91">
        <f>30/O35</f>
        <v>7.5</v>
      </c>
      <c r="O35" s="91">
        <v>4</v>
      </c>
      <c r="P35" s="91">
        <v>18</v>
      </c>
      <c r="Q35" s="91">
        <v>60.91</v>
      </c>
      <c r="R35" s="91">
        <v>24</v>
      </c>
      <c r="S35" s="92">
        <v>32.06</v>
      </c>
      <c r="T35" s="92">
        <v>19.09</v>
      </c>
      <c r="U35" s="92">
        <v>0.67</v>
      </c>
      <c r="V35" s="92">
        <v>8.91</v>
      </c>
      <c r="W35" s="92">
        <f t="shared" si="1"/>
        <v>60.730000000000004</v>
      </c>
      <c r="X35" s="1">
        <v>838.07</v>
      </c>
      <c r="Y35" s="2"/>
      <c r="Z35" s="108" t="str">
        <f t="shared" si="2"/>
        <v>Cherry_EC3_ML_1</v>
      </c>
      <c r="AB35" s="1">
        <v>3.3359999999999999</v>
      </c>
      <c r="AC35" s="1">
        <v>2.1349999999999998</v>
      </c>
      <c r="AD35" s="1">
        <v>8.7999999999999995E-2</v>
      </c>
      <c r="AE35" s="1">
        <v>1.024</v>
      </c>
      <c r="AG35" s="88">
        <f t="shared" si="3"/>
        <v>251.22002398081537</v>
      </c>
    </row>
    <row r="36" spans="1:33" x14ac:dyDescent="0.2">
      <c r="A36" s="95">
        <f t="shared" si="0"/>
        <v>45</v>
      </c>
      <c r="B36" s="114">
        <v>45198</v>
      </c>
      <c r="C36" s="96" t="s">
        <v>286</v>
      </c>
      <c r="D36" s="95">
        <v>25</v>
      </c>
      <c r="E36" s="95" t="s">
        <v>147</v>
      </c>
      <c r="F36" s="97" t="s">
        <v>142</v>
      </c>
      <c r="G36" s="95" t="s">
        <v>136</v>
      </c>
      <c r="H36" s="95" t="s">
        <v>133</v>
      </c>
      <c r="I36" s="95" t="s">
        <v>175</v>
      </c>
      <c r="J36" s="95">
        <v>2</v>
      </c>
      <c r="K36" s="84">
        <v>30</v>
      </c>
      <c r="L36" s="3">
        <v>2</v>
      </c>
      <c r="M36" s="3">
        <v>2</v>
      </c>
      <c r="N36" s="3">
        <f>29/O36</f>
        <v>5.8</v>
      </c>
      <c r="O36" s="3">
        <v>5</v>
      </c>
      <c r="P36" s="3">
        <v>17</v>
      </c>
      <c r="Q36" s="3">
        <v>52.01</v>
      </c>
      <c r="R36" s="3">
        <v>18</v>
      </c>
      <c r="S36" s="1">
        <v>23.22</v>
      </c>
      <c r="T36" s="1">
        <v>13.53</v>
      </c>
      <c r="U36" s="1">
        <v>0.38</v>
      </c>
      <c r="V36" s="1">
        <v>14.71</v>
      </c>
      <c r="W36" s="1">
        <f t="shared" si="1"/>
        <v>51.84</v>
      </c>
      <c r="X36" s="1">
        <v>609.79999999999995</v>
      </c>
      <c r="Y36" s="2"/>
      <c r="Z36" s="108" t="str">
        <f t="shared" si="2"/>
        <v>Cherry_EC3_ML_2</v>
      </c>
      <c r="AB36" s="1">
        <v>2.1339999999999999</v>
      </c>
      <c r="AC36" s="1">
        <v>1.353</v>
      </c>
      <c r="AD36" s="1">
        <v>4.5999999999999999E-2</v>
      </c>
      <c r="AE36" s="1">
        <v>1.5089999999999999</v>
      </c>
      <c r="AG36" s="88">
        <f t="shared" si="3"/>
        <v>285.75445173383315</v>
      </c>
    </row>
    <row r="37" spans="1:33" x14ac:dyDescent="0.2">
      <c r="A37" s="95">
        <f t="shared" si="0"/>
        <v>45</v>
      </c>
      <c r="B37" s="114">
        <v>45198</v>
      </c>
      <c r="C37" s="96" t="s">
        <v>286</v>
      </c>
      <c r="D37" s="95">
        <v>25</v>
      </c>
      <c r="E37" s="95" t="s">
        <v>147</v>
      </c>
      <c r="F37" s="97" t="s">
        <v>142</v>
      </c>
      <c r="G37" s="95" t="s">
        <v>136</v>
      </c>
      <c r="H37" s="95" t="s">
        <v>133</v>
      </c>
      <c r="I37" s="95" t="s">
        <v>176</v>
      </c>
      <c r="J37" s="95">
        <v>3</v>
      </c>
      <c r="K37" s="85">
        <v>34</v>
      </c>
      <c r="L37" s="1">
        <v>3</v>
      </c>
      <c r="M37" s="1">
        <v>2</v>
      </c>
      <c r="N37" s="1">
        <f>32/O37</f>
        <v>6.4</v>
      </c>
      <c r="O37" s="1">
        <v>5</v>
      </c>
      <c r="P37" s="1">
        <v>21</v>
      </c>
      <c r="Q37" s="1">
        <v>55.98</v>
      </c>
      <c r="R37" s="1">
        <v>25</v>
      </c>
      <c r="S37" s="1">
        <v>25.55</v>
      </c>
      <c r="T37" s="1">
        <v>16.37</v>
      </c>
      <c r="U37" s="1">
        <v>0.62</v>
      </c>
      <c r="V37" s="1">
        <v>13.41</v>
      </c>
      <c r="W37" s="1">
        <f t="shared" si="1"/>
        <v>55.95</v>
      </c>
      <c r="X37" s="1">
        <v>679.15</v>
      </c>
      <c r="Y37" s="2"/>
      <c r="Z37" s="108" t="str">
        <f t="shared" si="2"/>
        <v>Cherry_EC3_ML_3</v>
      </c>
      <c r="AA37" s="160">
        <v>1287.8499999999999</v>
      </c>
      <c r="AB37" s="1">
        <v>2.9</v>
      </c>
      <c r="AC37" s="1">
        <v>1.907</v>
      </c>
      <c r="AD37" s="1">
        <v>8.3000000000000004E-2</v>
      </c>
      <c r="AE37" s="1">
        <v>1.5960000000000001</v>
      </c>
      <c r="AG37" s="88">
        <f t="shared" si="3"/>
        <v>234.18965517241378</v>
      </c>
    </row>
    <row r="38" spans="1:33" x14ac:dyDescent="0.2">
      <c r="A38" s="95">
        <f t="shared" si="0"/>
        <v>45</v>
      </c>
      <c r="B38" s="114">
        <v>45198</v>
      </c>
      <c r="C38" s="96" t="s">
        <v>286</v>
      </c>
      <c r="D38" s="95">
        <v>25</v>
      </c>
      <c r="E38" s="95" t="s">
        <v>147</v>
      </c>
      <c r="F38" s="97" t="s">
        <v>142</v>
      </c>
      <c r="G38" s="95" t="s">
        <v>136</v>
      </c>
      <c r="H38" s="95" t="s">
        <v>133</v>
      </c>
      <c r="I38" s="95" t="s">
        <v>177</v>
      </c>
      <c r="J38" s="95">
        <v>4</v>
      </c>
      <c r="K38" s="85">
        <v>28</v>
      </c>
      <c r="L38" s="1">
        <v>2</v>
      </c>
      <c r="M38" s="1">
        <v>0</v>
      </c>
      <c r="N38" s="1">
        <f>21/O38</f>
        <v>7</v>
      </c>
      <c r="O38" s="1">
        <v>3</v>
      </c>
      <c r="P38" s="1">
        <v>19</v>
      </c>
      <c r="Q38" s="1">
        <v>43.83</v>
      </c>
      <c r="R38" s="1">
        <v>30</v>
      </c>
      <c r="S38" s="1">
        <v>19.420000000000002</v>
      </c>
      <c r="T38" s="1">
        <v>10.52</v>
      </c>
      <c r="U38" s="1">
        <v>0.3</v>
      </c>
      <c r="V38" s="1">
        <v>13.5</v>
      </c>
      <c r="W38" s="1">
        <f t="shared" si="1"/>
        <v>43.74</v>
      </c>
      <c r="X38" s="1">
        <v>543</v>
      </c>
      <c r="Y38" s="2"/>
      <c r="Z38" s="108" t="str">
        <f t="shared" si="2"/>
        <v>Cherry_EC3_ML_4</v>
      </c>
      <c r="AB38" s="1">
        <v>2.052</v>
      </c>
      <c r="AC38" s="1">
        <v>1.1279999999999999</v>
      </c>
      <c r="AD38" s="1">
        <v>0.04</v>
      </c>
      <c r="AE38" s="1">
        <v>1.4610000000000001</v>
      </c>
      <c r="AG38" s="88">
        <f t="shared" si="3"/>
        <v>264.61988304093569</v>
      </c>
    </row>
    <row r="39" spans="1:33" x14ac:dyDescent="0.2">
      <c r="A39" s="95">
        <f t="shared" si="0"/>
        <v>45</v>
      </c>
      <c r="B39" s="114">
        <v>45198</v>
      </c>
      <c r="C39" s="96" t="s">
        <v>286</v>
      </c>
      <c r="D39" s="95">
        <v>25</v>
      </c>
      <c r="E39" s="95" t="s">
        <v>147</v>
      </c>
      <c r="F39" s="97" t="s">
        <v>142</v>
      </c>
      <c r="G39" s="95" t="s">
        <v>136</v>
      </c>
      <c r="H39" s="95" t="s">
        <v>133</v>
      </c>
      <c r="I39" s="95" t="s">
        <v>178</v>
      </c>
      <c r="J39" s="95">
        <v>5</v>
      </c>
      <c r="K39" s="85">
        <v>28</v>
      </c>
      <c r="L39" s="1">
        <v>1</v>
      </c>
      <c r="M39" s="1">
        <v>0</v>
      </c>
      <c r="N39" s="1">
        <f>19/O39</f>
        <v>6.333333333333333</v>
      </c>
      <c r="O39" s="1">
        <v>3</v>
      </c>
      <c r="P39" s="1">
        <v>12</v>
      </c>
      <c r="Q39" s="1">
        <v>25.95</v>
      </c>
      <c r="R39" s="1">
        <v>15</v>
      </c>
      <c r="S39" s="1">
        <v>11.07</v>
      </c>
      <c r="T39" s="1">
        <v>8.18</v>
      </c>
      <c r="U39" s="1">
        <v>0.05</v>
      </c>
      <c r="V39" s="1">
        <v>6.62</v>
      </c>
      <c r="W39" s="1">
        <f t="shared" si="1"/>
        <v>25.92</v>
      </c>
      <c r="X39" s="1">
        <v>330.09</v>
      </c>
      <c r="Y39" s="2"/>
      <c r="Z39" s="108" t="str">
        <f t="shared" si="2"/>
        <v>Cherry_EC3_ML_5</v>
      </c>
      <c r="AB39" s="1">
        <v>1.016</v>
      </c>
      <c r="AC39" s="1">
        <v>0.83</v>
      </c>
      <c r="AD39" s="1">
        <v>4.0000000000000001E-3</v>
      </c>
      <c r="AE39" s="1">
        <v>0.63600000000000001</v>
      </c>
      <c r="AG39" s="88">
        <f t="shared" si="3"/>
        <v>324.89173228346453</v>
      </c>
    </row>
    <row r="40" spans="1:33" ht="16" thickBot="1" x14ac:dyDescent="0.25">
      <c r="A40" s="101">
        <f t="shared" si="0"/>
        <v>45</v>
      </c>
      <c r="B40" s="115">
        <v>45198</v>
      </c>
      <c r="C40" s="102" t="s">
        <v>286</v>
      </c>
      <c r="D40" s="101">
        <v>25</v>
      </c>
      <c r="E40" s="101" t="s">
        <v>147</v>
      </c>
      <c r="F40" s="103" t="s">
        <v>142</v>
      </c>
      <c r="G40" s="101" t="s">
        <v>136</v>
      </c>
      <c r="H40" s="101" t="s">
        <v>133</v>
      </c>
      <c r="I40" s="101" t="s">
        <v>179</v>
      </c>
      <c r="J40" s="101">
        <v>6</v>
      </c>
      <c r="K40" s="87">
        <v>30</v>
      </c>
      <c r="L40" s="86">
        <v>4</v>
      </c>
      <c r="M40" s="86">
        <v>5</v>
      </c>
      <c r="N40" s="86">
        <f>19/O40</f>
        <v>6.333333333333333</v>
      </c>
      <c r="O40" s="86">
        <v>3</v>
      </c>
      <c r="P40" s="86">
        <v>14</v>
      </c>
      <c r="Q40" s="86">
        <v>38.42</v>
      </c>
      <c r="R40" s="86">
        <v>16</v>
      </c>
      <c r="S40" s="86">
        <v>15.86</v>
      </c>
      <c r="T40" s="86">
        <v>11.44</v>
      </c>
      <c r="U40" s="86">
        <v>1.19</v>
      </c>
      <c r="V40" s="86">
        <v>10.029999999999999</v>
      </c>
      <c r="W40" s="86">
        <f t="shared" si="1"/>
        <v>38.519999999999996</v>
      </c>
      <c r="X40" s="86">
        <v>448.01</v>
      </c>
      <c r="Y40" s="2"/>
      <c r="Z40" s="110" t="str">
        <f t="shared" si="2"/>
        <v>Cherry_EC3_ML_6</v>
      </c>
      <c r="AA40" s="87"/>
      <c r="AB40" s="86">
        <v>1.508</v>
      </c>
      <c r="AC40" s="86">
        <v>1.097</v>
      </c>
      <c r="AD40" s="86">
        <v>0.128</v>
      </c>
      <c r="AE40" s="86">
        <v>1.022</v>
      </c>
      <c r="AF40" s="86"/>
      <c r="AG40" s="89">
        <f t="shared" si="3"/>
        <v>297.08885941644564</v>
      </c>
    </row>
    <row r="41" spans="1:33" x14ac:dyDescent="0.2">
      <c r="A41" s="98">
        <f t="shared" si="0"/>
        <v>45</v>
      </c>
      <c r="B41" s="114">
        <v>45198</v>
      </c>
      <c r="C41" s="99" t="s">
        <v>286</v>
      </c>
      <c r="D41" s="98">
        <v>25</v>
      </c>
      <c r="E41" s="98" t="s">
        <v>148</v>
      </c>
      <c r="F41" s="100" t="s">
        <v>142</v>
      </c>
      <c r="G41" s="98" t="s">
        <v>136</v>
      </c>
      <c r="H41" s="98" t="s">
        <v>134</v>
      </c>
      <c r="I41" s="98" t="s">
        <v>180</v>
      </c>
      <c r="J41" s="95">
        <v>1</v>
      </c>
      <c r="K41" s="90">
        <v>25</v>
      </c>
      <c r="L41" s="91">
        <v>4</v>
      </c>
      <c r="M41" s="91">
        <v>3</v>
      </c>
      <c r="N41" s="91">
        <f>12/O41</f>
        <v>6</v>
      </c>
      <c r="O41" s="91">
        <v>2</v>
      </c>
      <c r="P41" s="91">
        <v>9</v>
      </c>
      <c r="Q41" s="91">
        <v>30.2</v>
      </c>
      <c r="R41" s="91">
        <v>19</v>
      </c>
      <c r="S41" s="92">
        <v>16.29</v>
      </c>
      <c r="T41" s="92">
        <v>10.02</v>
      </c>
      <c r="U41" s="92">
        <v>1.07</v>
      </c>
      <c r="V41" s="92">
        <v>2.83</v>
      </c>
      <c r="W41" s="92">
        <f t="shared" si="1"/>
        <v>30.21</v>
      </c>
      <c r="X41" s="1">
        <v>439.45</v>
      </c>
      <c r="Y41" s="2"/>
      <c r="Z41" s="108" t="str">
        <f t="shared" si="2"/>
        <v>Cherry_EC3_LL_1</v>
      </c>
      <c r="AB41" s="1">
        <v>1.5820000000000001</v>
      </c>
      <c r="AC41" s="1">
        <v>0.93300000000000005</v>
      </c>
      <c r="AD41" s="1">
        <v>0.11600000000000001</v>
      </c>
      <c r="AE41" s="1">
        <v>0.28799999999999998</v>
      </c>
      <c r="AG41" s="88">
        <f t="shared" si="3"/>
        <v>277.78128950695321</v>
      </c>
    </row>
    <row r="42" spans="1:33" x14ac:dyDescent="0.2">
      <c r="A42" s="95">
        <f t="shared" si="0"/>
        <v>45</v>
      </c>
      <c r="B42" s="114">
        <v>45198</v>
      </c>
      <c r="C42" s="96" t="s">
        <v>286</v>
      </c>
      <c r="D42" s="95">
        <v>25</v>
      </c>
      <c r="E42" s="95" t="s">
        <v>148</v>
      </c>
      <c r="F42" s="97" t="s">
        <v>142</v>
      </c>
      <c r="G42" s="95" t="s">
        <v>136</v>
      </c>
      <c r="H42" s="95" t="s">
        <v>134</v>
      </c>
      <c r="I42" s="95" t="s">
        <v>181</v>
      </c>
      <c r="J42" s="95">
        <v>2</v>
      </c>
      <c r="K42" s="84">
        <v>29</v>
      </c>
      <c r="L42" s="3">
        <v>4</v>
      </c>
      <c r="M42" s="3">
        <v>3</v>
      </c>
      <c r="N42" s="3">
        <f>12/O42</f>
        <v>6</v>
      </c>
      <c r="O42" s="3">
        <v>2</v>
      </c>
      <c r="P42" s="3">
        <v>9</v>
      </c>
      <c r="Q42" s="3">
        <v>32.81</v>
      </c>
      <c r="R42" s="3">
        <v>13</v>
      </c>
      <c r="S42" s="1">
        <v>17.48</v>
      </c>
      <c r="T42" s="1">
        <v>11.06</v>
      </c>
      <c r="U42" s="1">
        <v>0.91</v>
      </c>
      <c r="V42" s="1">
        <v>3.57</v>
      </c>
      <c r="W42" s="1">
        <f t="shared" si="1"/>
        <v>33.019999999999996</v>
      </c>
      <c r="X42" s="1">
        <v>478.39</v>
      </c>
      <c r="Y42" s="2"/>
      <c r="Z42" s="108" t="str">
        <f t="shared" si="2"/>
        <v>Cherry_EC3_LL_2</v>
      </c>
      <c r="AB42" s="1">
        <v>1.613</v>
      </c>
      <c r="AC42" s="1">
        <v>1.101</v>
      </c>
      <c r="AD42" s="1">
        <v>9.5000000000000001E-2</v>
      </c>
      <c r="AE42" s="1">
        <v>0.36799999999999999</v>
      </c>
      <c r="AG42" s="88">
        <f t="shared" si="3"/>
        <v>296.58400495970238</v>
      </c>
    </row>
    <row r="43" spans="1:33" x14ac:dyDescent="0.2">
      <c r="A43" s="95">
        <f t="shared" si="0"/>
        <v>45</v>
      </c>
      <c r="B43" s="114">
        <v>45198</v>
      </c>
      <c r="C43" s="96" t="s">
        <v>286</v>
      </c>
      <c r="D43" s="95">
        <v>25</v>
      </c>
      <c r="E43" s="95" t="s">
        <v>148</v>
      </c>
      <c r="F43" s="97" t="s">
        <v>142</v>
      </c>
      <c r="G43" s="95" t="s">
        <v>136</v>
      </c>
      <c r="H43" s="95" t="s">
        <v>134</v>
      </c>
      <c r="I43" s="95" t="s">
        <v>182</v>
      </c>
      <c r="J43" s="95">
        <v>3</v>
      </c>
      <c r="K43" s="85">
        <v>26</v>
      </c>
      <c r="L43" s="1">
        <v>3</v>
      </c>
      <c r="M43" s="1">
        <v>0</v>
      </c>
      <c r="N43" s="1">
        <f>20/O43</f>
        <v>6.666666666666667</v>
      </c>
      <c r="O43" s="1">
        <v>3</v>
      </c>
      <c r="P43" s="1">
        <v>11</v>
      </c>
      <c r="Q43" s="1">
        <v>30.35</v>
      </c>
      <c r="R43" s="1">
        <v>16</v>
      </c>
      <c r="S43" s="1">
        <v>14.28</v>
      </c>
      <c r="T43" s="1">
        <v>9.02</v>
      </c>
      <c r="U43" s="1">
        <v>0.19</v>
      </c>
      <c r="V43" s="1">
        <v>6.85</v>
      </c>
      <c r="W43" s="1">
        <f t="shared" si="1"/>
        <v>30.339999999999996</v>
      </c>
      <c r="X43" s="1">
        <v>449.72</v>
      </c>
      <c r="Y43" s="2"/>
      <c r="Z43" s="108" t="str">
        <f t="shared" si="2"/>
        <v>Cherry_EC3_LL_3</v>
      </c>
      <c r="AB43" s="1">
        <v>1.175</v>
      </c>
      <c r="AC43" s="1">
        <v>0.79100000000000004</v>
      </c>
      <c r="AD43" s="1">
        <v>2.5000000000000001E-2</v>
      </c>
      <c r="AE43" s="1">
        <v>0.60499999999999998</v>
      </c>
      <c r="AG43" s="88">
        <f t="shared" si="3"/>
        <v>382.74042553191492</v>
      </c>
    </row>
    <row r="44" spans="1:33" x14ac:dyDescent="0.2">
      <c r="A44" s="95">
        <f t="shared" si="0"/>
        <v>45</v>
      </c>
      <c r="B44" s="114">
        <v>45198</v>
      </c>
      <c r="C44" s="96" t="s">
        <v>286</v>
      </c>
      <c r="D44" s="95">
        <v>25</v>
      </c>
      <c r="E44" s="95" t="s">
        <v>148</v>
      </c>
      <c r="F44" s="97" t="s">
        <v>142</v>
      </c>
      <c r="G44" s="95" t="s">
        <v>136</v>
      </c>
      <c r="H44" s="95" t="s">
        <v>134</v>
      </c>
      <c r="I44" s="95" t="s">
        <v>183</v>
      </c>
      <c r="J44" s="95">
        <v>4</v>
      </c>
      <c r="K44" s="85">
        <v>25</v>
      </c>
      <c r="L44" s="1">
        <v>4</v>
      </c>
      <c r="M44" s="1">
        <v>5</v>
      </c>
      <c r="N44" s="1">
        <f>10/O44</f>
        <v>5</v>
      </c>
      <c r="O44" s="1">
        <v>2</v>
      </c>
      <c r="P44" s="1">
        <v>9</v>
      </c>
      <c r="Q44" s="1">
        <v>36.81</v>
      </c>
      <c r="R44" s="1">
        <v>23</v>
      </c>
      <c r="S44" s="1">
        <v>20.83</v>
      </c>
      <c r="T44" s="1">
        <v>11.02</v>
      </c>
      <c r="U44" s="1">
        <v>0.98</v>
      </c>
      <c r="V44" s="1">
        <v>4.01</v>
      </c>
      <c r="W44" s="1">
        <f t="shared" si="1"/>
        <v>36.839999999999996</v>
      </c>
      <c r="X44" s="1">
        <v>563.20000000000005</v>
      </c>
      <c r="Y44" s="2"/>
      <c r="Z44" s="108" t="str">
        <f t="shared" si="2"/>
        <v>Cherry_EC3_LL_4</v>
      </c>
      <c r="AB44" s="1">
        <v>1.8560000000000001</v>
      </c>
      <c r="AC44" s="1">
        <v>1.0069999999999999</v>
      </c>
      <c r="AD44" s="1">
        <v>0.11</v>
      </c>
      <c r="AE44" s="1">
        <v>0.41099999999999998</v>
      </c>
      <c r="AG44" s="88">
        <f t="shared" si="3"/>
        <v>303.44827586206895</v>
      </c>
    </row>
    <row r="45" spans="1:33" x14ac:dyDescent="0.2">
      <c r="A45" s="95">
        <f t="shared" si="0"/>
        <v>45</v>
      </c>
      <c r="B45" s="114">
        <v>45198</v>
      </c>
      <c r="C45" s="96" t="s">
        <v>286</v>
      </c>
      <c r="D45" s="95">
        <v>25</v>
      </c>
      <c r="E45" s="95" t="s">
        <v>148</v>
      </c>
      <c r="F45" s="97" t="s">
        <v>142</v>
      </c>
      <c r="G45" s="95" t="s">
        <v>136</v>
      </c>
      <c r="H45" s="95" t="s">
        <v>134</v>
      </c>
      <c r="I45" s="95" t="s">
        <v>184</v>
      </c>
      <c r="J45" s="95">
        <v>5</v>
      </c>
      <c r="K45" s="85">
        <v>33</v>
      </c>
      <c r="L45" s="1">
        <v>4</v>
      </c>
      <c r="M45" s="1">
        <v>8</v>
      </c>
      <c r="N45" s="1">
        <f>12/O45</f>
        <v>6</v>
      </c>
      <c r="O45" s="1">
        <v>2</v>
      </c>
      <c r="P45" s="1">
        <v>11</v>
      </c>
      <c r="Q45" s="1">
        <v>34.659999999999997</v>
      </c>
      <c r="R45" s="1">
        <v>13</v>
      </c>
      <c r="S45" s="1">
        <v>15.39</v>
      </c>
      <c r="T45" s="1">
        <v>12.42</v>
      </c>
      <c r="U45" s="1">
        <v>1.22</v>
      </c>
      <c r="V45" s="1">
        <v>5.57</v>
      </c>
      <c r="W45" s="1">
        <f t="shared" si="1"/>
        <v>34.6</v>
      </c>
      <c r="X45" s="1">
        <v>471.87</v>
      </c>
      <c r="Y45" s="2"/>
      <c r="Z45" s="108" t="str">
        <f t="shared" si="2"/>
        <v>Cherry_EC3_LL_5</v>
      </c>
      <c r="AB45" s="1">
        <v>1.5609999999999999</v>
      </c>
      <c r="AC45" s="1">
        <v>1.389</v>
      </c>
      <c r="AD45" s="1">
        <v>0.155</v>
      </c>
      <c r="AE45" s="1">
        <v>0.60499999999999998</v>
      </c>
      <c r="AG45" s="88">
        <f t="shared" si="3"/>
        <v>302.28699551569508</v>
      </c>
    </row>
    <row r="46" spans="1:33" ht="16" thickBot="1" x14ac:dyDescent="0.25">
      <c r="A46" s="101">
        <f t="shared" si="0"/>
        <v>45</v>
      </c>
      <c r="B46" s="115">
        <v>45198</v>
      </c>
      <c r="C46" s="102" t="s">
        <v>286</v>
      </c>
      <c r="D46" s="101">
        <v>25</v>
      </c>
      <c r="E46" s="101" t="s">
        <v>148</v>
      </c>
      <c r="F46" s="103" t="s">
        <v>142</v>
      </c>
      <c r="G46" s="101" t="s">
        <v>136</v>
      </c>
      <c r="H46" s="101" t="s">
        <v>134</v>
      </c>
      <c r="I46" s="101" t="s">
        <v>185</v>
      </c>
      <c r="J46" s="101">
        <v>6</v>
      </c>
      <c r="K46" s="87">
        <v>28</v>
      </c>
      <c r="L46" s="86">
        <v>4</v>
      </c>
      <c r="M46" s="86">
        <v>8</v>
      </c>
      <c r="N46" s="86">
        <f>5</f>
        <v>5</v>
      </c>
      <c r="O46" s="86">
        <v>1</v>
      </c>
      <c r="P46" s="86">
        <v>2</v>
      </c>
      <c r="Q46" s="86">
        <v>27.57</v>
      </c>
      <c r="R46" s="86">
        <v>18</v>
      </c>
      <c r="S46" s="86">
        <v>14.48</v>
      </c>
      <c r="T46" s="86">
        <v>9.8800000000000008</v>
      </c>
      <c r="U46" s="86">
        <v>1.48</v>
      </c>
      <c r="V46" s="86">
        <v>1.64</v>
      </c>
      <c r="W46" s="86">
        <f t="shared" si="1"/>
        <v>27.48</v>
      </c>
      <c r="X46" s="86">
        <v>409.17</v>
      </c>
      <c r="Y46" s="2"/>
      <c r="Z46" s="110" t="str">
        <f t="shared" si="2"/>
        <v>Cherry_EC3_LL_6</v>
      </c>
      <c r="AA46" s="87"/>
      <c r="AB46" s="86">
        <v>1.389</v>
      </c>
      <c r="AC46" s="86">
        <v>0.92</v>
      </c>
      <c r="AD46" s="86">
        <v>0.16500000000000001</v>
      </c>
      <c r="AE46" s="86">
        <v>0.16500000000000001</v>
      </c>
      <c r="AF46" s="86"/>
      <c r="AG46" s="89">
        <f t="shared" si="3"/>
        <v>294.57883369330455</v>
      </c>
    </row>
    <row r="47" spans="1:33" x14ac:dyDescent="0.2">
      <c r="A47" s="98">
        <f t="shared" si="0"/>
        <v>45</v>
      </c>
      <c r="B47" s="114">
        <v>45198</v>
      </c>
      <c r="C47" s="99" t="s">
        <v>286</v>
      </c>
      <c r="D47" s="98">
        <v>25</v>
      </c>
      <c r="E47" s="98" t="s">
        <v>149</v>
      </c>
      <c r="F47" s="100" t="s">
        <v>142</v>
      </c>
      <c r="G47" s="98" t="s">
        <v>136</v>
      </c>
      <c r="H47" s="98" t="s">
        <v>135</v>
      </c>
      <c r="I47" s="98" t="s">
        <v>186</v>
      </c>
      <c r="J47" s="95">
        <v>1</v>
      </c>
      <c r="K47" s="90">
        <v>23</v>
      </c>
      <c r="L47" s="91">
        <v>3</v>
      </c>
      <c r="M47" s="91">
        <v>6</v>
      </c>
      <c r="N47" s="91">
        <v>4</v>
      </c>
      <c r="O47" s="91">
        <v>2</v>
      </c>
      <c r="P47" s="91">
        <v>8</v>
      </c>
      <c r="Q47" s="91">
        <v>26.85</v>
      </c>
      <c r="R47" s="91">
        <v>13</v>
      </c>
      <c r="S47" s="92">
        <v>11.12</v>
      </c>
      <c r="T47" s="92">
        <v>7.49</v>
      </c>
      <c r="U47" s="92">
        <v>0.76</v>
      </c>
      <c r="V47" s="92">
        <v>7.49</v>
      </c>
      <c r="W47" s="92">
        <f t="shared" si="1"/>
        <v>26.86</v>
      </c>
      <c r="X47" s="1">
        <v>338.76</v>
      </c>
      <c r="Y47" s="2"/>
      <c r="Z47" s="108" t="str">
        <f t="shared" si="2"/>
        <v>Cherry_EC3__1</v>
      </c>
      <c r="AB47" s="1">
        <v>0.92600000000000005</v>
      </c>
      <c r="AC47" s="1">
        <v>0.60699999999999998</v>
      </c>
      <c r="AD47" s="1">
        <v>7.3999999999999996E-2</v>
      </c>
      <c r="AE47" s="1">
        <v>0.60399999999999998</v>
      </c>
      <c r="AG47" s="88">
        <f t="shared" si="3"/>
        <v>365.83153347732178</v>
      </c>
    </row>
    <row r="48" spans="1:33" x14ac:dyDescent="0.2">
      <c r="A48" s="95">
        <f t="shared" si="0"/>
        <v>45</v>
      </c>
      <c r="B48" s="114">
        <v>45198</v>
      </c>
      <c r="C48" s="96" t="s">
        <v>286</v>
      </c>
      <c r="D48" s="95">
        <v>25</v>
      </c>
      <c r="E48" s="95" t="s">
        <v>149</v>
      </c>
      <c r="F48" s="97" t="s">
        <v>142</v>
      </c>
      <c r="G48" s="95" t="s">
        <v>136</v>
      </c>
      <c r="H48" s="95" t="s">
        <v>135</v>
      </c>
      <c r="I48" s="95" t="s">
        <v>187</v>
      </c>
      <c r="J48" s="95">
        <v>2</v>
      </c>
      <c r="K48" s="84">
        <v>21</v>
      </c>
      <c r="L48" s="3">
        <v>3</v>
      </c>
      <c r="M48" s="3">
        <v>3</v>
      </c>
      <c r="N48" s="3">
        <f>13/O48</f>
        <v>4.333333333333333</v>
      </c>
      <c r="O48" s="3">
        <v>3</v>
      </c>
      <c r="P48" s="3">
        <v>11</v>
      </c>
      <c r="Q48" s="3">
        <v>31.28</v>
      </c>
      <c r="R48" s="3">
        <v>14</v>
      </c>
      <c r="S48" s="1">
        <v>12.55</v>
      </c>
      <c r="T48" s="1">
        <v>8.3000000000000007</v>
      </c>
      <c r="U48" s="1">
        <v>0.57999999999999996</v>
      </c>
      <c r="V48" s="1">
        <v>9.8699999999999992</v>
      </c>
      <c r="W48" s="1">
        <f t="shared" si="1"/>
        <v>31.299999999999997</v>
      </c>
      <c r="X48" s="1">
        <v>377.57</v>
      </c>
      <c r="Y48" s="2"/>
      <c r="Z48" s="108" t="str">
        <f t="shared" si="2"/>
        <v>Cherry_EC3__2</v>
      </c>
      <c r="AB48" s="1">
        <v>1.216</v>
      </c>
      <c r="AC48" s="1">
        <v>0.83899999999999997</v>
      </c>
      <c r="AD48" s="1">
        <v>7.3999999999999996E-2</v>
      </c>
      <c r="AE48" s="1">
        <v>0.96599999999999997</v>
      </c>
      <c r="AG48" s="88">
        <f t="shared" si="3"/>
        <v>310.50164473684208</v>
      </c>
    </row>
    <row r="49" spans="1:33" x14ac:dyDescent="0.2">
      <c r="A49" s="95">
        <f t="shared" si="0"/>
        <v>45</v>
      </c>
      <c r="B49" s="114">
        <v>45198</v>
      </c>
      <c r="C49" s="96" t="s">
        <v>286</v>
      </c>
      <c r="D49" s="95">
        <v>25</v>
      </c>
      <c r="E49" s="95" t="s">
        <v>149</v>
      </c>
      <c r="F49" s="97" t="s">
        <v>142</v>
      </c>
      <c r="G49" s="95" t="s">
        <v>136</v>
      </c>
      <c r="H49" s="95" t="s">
        <v>135</v>
      </c>
      <c r="I49" s="95" t="s">
        <v>188</v>
      </c>
      <c r="J49" s="95">
        <v>3</v>
      </c>
      <c r="K49" s="85">
        <v>29</v>
      </c>
      <c r="L49" s="1">
        <v>5</v>
      </c>
      <c r="M49" s="1">
        <v>4</v>
      </c>
      <c r="N49" s="1">
        <v>0</v>
      </c>
      <c r="O49" s="1">
        <v>0</v>
      </c>
      <c r="P49" s="1">
        <v>0</v>
      </c>
      <c r="Q49" s="1">
        <v>24.67</v>
      </c>
      <c r="R49" s="1">
        <v>16</v>
      </c>
      <c r="S49" s="1">
        <v>13.78</v>
      </c>
      <c r="T49" s="1">
        <v>9.81</v>
      </c>
      <c r="U49" s="1">
        <v>1.08</v>
      </c>
      <c r="V49" s="1">
        <v>0</v>
      </c>
      <c r="W49" s="1">
        <f t="shared" si="1"/>
        <v>24.67</v>
      </c>
      <c r="X49" s="1">
        <v>425.29</v>
      </c>
      <c r="Y49" s="2"/>
      <c r="Z49" s="108" t="str">
        <f t="shared" si="2"/>
        <v>Cherry_EC3__3</v>
      </c>
      <c r="AB49" s="1">
        <v>1.58</v>
      </c>
      <c r="AC49" s="1">
        <v>0.77</v>
      </c>
      <c r="AD49" s="1">
        <v>0.122</v>
      </c>
      <c r="AG49" s="88">
        <f t="shared" si="3"/>
        <v>269.17088607594934</v>
      </c>
    </row>
    <row r="50" spans="1:33" x14ac:dyDescent="0.2">
      <c r="A50" s="95">
        <f t="shared" si="0"/>
        <v>45</v>
      </c>
      <c r="B50" s="114">
        <v>45198</v>
      </c>
      <c r="C50" s="96" t="s">
        <v>286</v>
      </c>
      <c r="D50" s="95">
        <v>25</v>
      </c>
      <c r="E50" s="95" t="s">
        <v>149</v>
      </c>
      <c r="F50" s="97" t="s">
        <v>142</v>
      </c>
      <c r="G50" s="95" t="s">
        <v>136</v>
      </c>
      <c r="H50" s="95" t="s">
        <v>135</v>
      </c>
      <c r="I50" s="95" t="s">
        <v>189</v>
      </c>
      <c r="J50" s="95">
        <v>4</v>
      </c>
      <c r="K50" s="85">
        <v>32</v>
      </c>
      <c r="L50" s="1">
        <v>5</v>
      </c>
      <c r="M50" s="1">
        <v>2</v>
      </c>
      <c r="N50" s="1">
        <f>9/O50</f>
        <v>4.5</v>
      </c>
      <c r="O50" s="1">
        <v>2</v>
      </c>
      <c r="P50" s="1">
        <v>5</v>
      </c>
      <c r="Q50" s="1">
        <v>32.880000000000003</v>
      </c>
      <c r="R50" s="1">
        <v>17</v>
      </c>
      <c r="S50" s="1">
        <v>18.47</v>
      </c>
      <c r="T50" s="1">
        <v>12.98</v>
      </c>
      <c r="U50" s="1">
        <v>0.75</v>
      </c>
      <c r="V50" s="1">
        <v>0.48</v>
      </c>
      <c r="W50" s="1">
        <f t="shared" si="1"/>
        <v>32.68</v>
      </c>
      <c r="X50" s="1">
        <v>523.51</v>
      </c>
      <c r="Y50" s="2"/>
      <c r="Z50" s="108" t="str">
        <f t="shared" si="2"/>
        <v>Cherry_EC3__4</v>
      </c>
      <c r="AB50" s="1">
        <v>1.8360000000000001</v>
      </c>
      <c r="AC50" s="1">
        <v>1.0649999999999999</v>
      </c>
      <c r="AD50" s="1">
        <v>9.4E-2</v>
      </c>
      <c r="AE50" s="1">
        <v>6.8000000000000005E-2</v>
      </c>
      <c r="AG50" s="88">
        <f t="shared" si="3"/>
        <v>285.13616557734201</v>
      </c>
    </row>
    <row r="51" spans="1:33" x14ac:dyDescent="0.2">
      <c r="A51" s="95">
        <f t="shared" si="0"/>
        <v>45</v>
      </c>
      <c r="B51" s="114">
        <v>45198</v>
      </c>
      <c r="C51" s="96" t="s">
        <v>286</v>
      </c>
      <c r="D51" s="95">
        <v>25</v>
      </c>
      <c r="E51" s="95" t="s">
        <v>149</v>
      </c>
      <c r="F51" s="97" t="s">
        <v>142</v>
      </c>
      <c r="G51" s="95" t="s">
        <v>136</v>
      </c>
      <c r="H51" s="95" t="s">
        <v>135</v>
      </c>
      <c r="I51" s="95" t="s">
        <v>190</v>
      </c>
      <c r="J51" s="95">
        <v>5</v>
      </c>
      <c r="K51" s="85">
        <v>26</v>
      </c>
      <c r="L51" s="1">
        <v>5</v>
      </c>
      <c r="M51" s="1">
        <v>6</v>
      </c>
      <c r="N51" s="1">
        <f>11/O51</f>
        <v>5.5</v>
      </c>
      <c r="O51" s="1">
        <v>2</v>
      </c>
      <c r="P51" s="1">
        <v>8</v>
      </c>
      <c r="Q51" s="1">
        <v>32.96</v>
      </c>
      <c r="R51" s="1">
        <v>17</v>
      </c>
      <c r="S51" s="1">
        <v>16.350000000000001</v>
      </c>
      <c r="T51" s="1">
        <v>9.19</v>
      </c>
      <c r="U51" s="1">
        <v>0.71</v>
      </c>
      <c r="V51" s="1">
        <v>6.78</v>
      </c>
      <c r="W51" s="1">
        <f t="shared" si="1"/>
        <v>33.03</v>
      </c>
      <c r="X51" s="1">
        <v>468.69</v>
      </c>
      <c r="Y51" s="2"/>
      <c r="Z51" s="108" t="str">
        <f t="shared" si="2"/>
        <v>Cherry_EC3__5</v>
      </c>
      <c r="AB51" s="1">
        <v>1.5549999999999999</v>
      </c>
      <c r="AC51" s="1">
        <v>0.81899999999999995</v>
      </c>
      <c r="AD51" s="1">
        <v>6.3E-2</v>
      </c>
      <c r="AE51" s="1">
        <v>0.63600000000000001</v>
      </c>
      <c r="AG51" s="88">
        <f t="shared" si="3"/>
        <v>301.40836012861735</v>
      </c>
    </row>
    <row r="52" spans="1:33" ht="16" thickBot="1" x14ac:dyDescent="0.25">
      <c r="A52" s="101">
        <f t="shared" si="0"/>
        <v>45</v>
      </c>
      <c r="B52" s="115">
        <v>45198</v>
      </c>
      <c r="C52" s="102" t="s">
        <v>286</v>
      </c>
      <c r="D52" s="101">
        <v>25</v>
      </c>
      <c r="E52" s="101" t="s">
        <v>149</v>
      </c>
      <c r="F52" s="103" t="s">
        <v>142</v>
      </c>
      <c r="G52" s="101" t="s">
        <v>136</v>
      </c>
      <c r="H52" s="101" t="s">
        <v>135</v>
      </c>
      <c r="I52" s="101" t="s">
        <v>191</v>
      </c>
      <c r="J52" s="101">
        <v>6</v>
      </c>
      <c r="K52" s="87">
        <v>23</v>
      </c>
      <c r="L52" s="86">
        <v>0</v>
      </c>
      <c r="M52" s="86">
        <v>0</v>
      </c>
      <c r="N52" s="86">
        <f>9/O52</f>
        <v>4.5</v>
      </c>
      <c r="O52" s="86">
        <v>2</v>
      </c>
      <c r="P52" s="86">
        <v>6</v>
      </c>
      <c r="Q52" s="86">
        <v>13.89</v>
      </c>
      <c r="R52" s="86">
        <v>9</v>
      </c>
      <c r="S52" s="86">
        <v>6.31</v>
      </c>
      <c r="T52" s="86">
        <v>4.87</v>
      </c>
      <c r="U52" s="86">
        <v>0</v>
      </c>
      <c r="V52" s="86">
        <v>2.63</v>
      </c>
      <c r="W52" s="86">
        <f t="shared" si="1"/>
        <v>13.809999999999999</v>
      </c>
      <c r="X52" s="86">
        <v>199.1</v>
      </c>
      <c r="Y52" s="2"/>
      <c r="Z52" s="110" t="str">
        <f t="shared" si="2"/>
        <v>Cherry_EC3__6</v>
      </c>
      <c r="AA52" s="87"/>
      <c r="AB52" s="86">
        <v>0.77200000000000002</v>
      </c>
      <c r="AC52" s="86">
        <v>0.61299999999999999</v>
      </c>
      <c r="AD52" s="86"/>
      <c r="AE52" s="86">
        <v>0.27900000000000003</v>
      </c>
      <c r="AF52" s="86"/>
      <c r="AG52" s="89">
        <f t="shared" si="3"/>
        <v>257.90155440414509</v>
      </c>
    </row>
    <row r="53" spans="1:33" x14ac:dyDescent="0.2">
      <c r="Y53" s="2"/>
      <c r="Z53" s="108"/>
    </row>
    <row r="54" spans="1:33" x14ac:dyDescent="0.2">
      <c r="Y54" s="2"/>
      <c r="Z54" s="108"/>
    </row>
    <row r="55" spans="1:33" x14ac:dyDescent="0.2">
      <c r="Y55" s="2"/>
      <c r="Z55" s="108"/>
    </row>
    <row r="56" spans="1:33" x14ac:dyDescent="0.2">
      <c r="Y56" s="2"/>
      <c r="Z56" s="108"/>
    </row>
    <row r="57" spans="1:33" x14ac:dyDescent="0.2">
      <c r="Y57" s="2"/>
      <c r="Z57" s="108"/>
    </row>
    <row r="58" spans="1:33" x14ac:dyDescent="0.2">
      <c r="Y58" s="2"/>
      <c r="Z58" s="108"/>
    </row>
    <row r="59" spans="1:33" x14ac:dyDescent="0.2">
      <c r="Y59" s="2"/>
      <c r="Z59" s="108"/>
    </row>
    <row r="60" spans="1:33" x14ac:dyDescent="0.2">
      <c r="Y60" s="2"/>
      <c r="Z60" s="108"/>
    </row>
    <row r="61" spans="1:33" x14ac:dyDescent="0.2">
      <c r="Y61" s="2"/>
      <c r="Z61" s="108"/>
    </row>
    <row r="62" spans="1:33" x14ac:dyDescent="0.2">
      <c r="Y62" s="2"/>
      <c r="Z62" s="108"/>
    </row>
    <row r="63" spans="1:33" x14ac:dyDescent="0.2">
      <c r="Y63" s="2"/>
      <c r="Z63" s="108"/>
    </row>
    <row r="64" spans="1:33" x14ac:dyDescent="0.2">
      <c r="Y64" s="2"/>
      <c r="Z64" s="108"/>
    </row>
    <row r="65" spans="25:26" x14ac:dyDescent="0.2">
      <c r="Y65" s="2"/>
      <c r="Z65" s="108"/>
    </row>
    <row r="66" spans="25:26" x14ac:dyDescent="0.2">
      <c r="Y66" s="2"/>
      <c r="Z66" s="108"/>
    </row>
    <row r="67" spans="25:26" x14ac:dyDescent="0.2">
      <c r="Y67" s="2"/>
      <c r="Z67" s="108"/>
    </row>
    <row r="68" spans="25:26" x14ac:dyDescent="0.2">
      <c r="Y68" s="2"/>
      <c r="Z68" s="108"/>
    </row>
    <row r="69" spans="25:26" x14ac:dyDescent="0.2">
      <c r="Y69" s="2"/>
      <c r="Z69" s="108"/>
    </row>
    <row r="70" spans="25:26" x14ac:dyDescent="0.2">
      <c r="Y70" s="2"/>
      <c r="Z70" s="108"/>
    </row>
    <row r="71" spans="25:26" x14ac:dyDescent="0.2">
      <c r="Z71" s="108"/>
    </row>
    <row r="72" spans="25:26" x14ac:dyDescent="0.2">
      <c r="Z72" s="108"/>
    </row>
    <row r="73" spans="25:26" x14ac:dyDescent="0.2">
      <c r="Z73" s="108"/>
    </row>
    <row r="74" spans="25:26" x14ac:dyDescent="0.2">
      <c r="Z74" s="108"/>
    </row>
    <row r="75" spans="25:26" x14ac:dyDescent="0.2">
      <c r="Z75" s="2"/>
    </row>
    <row r="76" spans="25:26" x14ac:dyDescent="0.2">
      <c r="Z76" s="2"/>
    </row>
    <row r="77" spans="25:26" x14ac:dyDescent="0.2">
      <c r="Z77" s="2"/>
    </row>
    <row r="78" spans="25:26" x14ac:dyDescent="0.2">
      <c r="Z78" s="2"/>
    </row>
    <row r="79" spans="25:26" x14ac:dyDescent="0.2">
      <c r="Z79" s="2"/>
    </row>
    <row r="80" spans="25:26" x14ac:dyDescent="0.2">
      <c r="Z80" s="2"/>
    </row>
    <row r="81" spans="26:26" x14ac:dyDescent="0.2">
      <c r="Z81" s="2"/>
    </row>
    <row r="82" spans="26:26" x14ac:dyDescent="0.2">
      <c r="Z82" s="2"/>
    </row>
    <row r="83" spans="26:26" x14ac:dyDescent="0.2">
      <c r="Z83" s="2"/>
    </row>
    <row r="84" spans="26:26" x14ac:dyDescent="0.2">
      <c r="Z84" s="2"/>
    </row>
    <row r="85" spans="26:26" x14ac:dyDescent="0.2">
      <c r="Z85" s="2"/>
    </row>
    <row r="86" spans="26:26" x14ac:dyDescent="0.2">
      <c r="Z86" s="2"/>
    </row>
    <row r="87" spans="26:26" x14ac:dyDescent="0.2">
      <c r="Z87" s="2"/>
    </row>
    <row r="88" spans="26:26" x14ac:dyDescent="0.2">
      <c r="Z88" s="2"/>
    </row>
    <row r="89" spans="26:26" x14ac:dyDescent="0.2">
      <c r="Z89" s="2"/>
    </row>
    <row r="90" spans="26:26" x14ac:dyDescent="0.2">
      <c r="Z90" s="2"/>
    </row>
    <row r="91" spans="26:26" x14ac:dyDescent="0.2">
      <c r="Z91" s="2"/>
    </row>
    <row r="92" spans="26:26" x14ac:dyDescent="0.2">
      <c r="Z92" s="2"/>
    </row>
    <row r="93" spans="26:26" x14ac:dyDescent="0.2">
      <c r="Z93" s="2"/>
    </row>
    <row r="94" spans="26:26" x14ac:dyDescent="0.2">
      <c r="Z94" s="2"/>
    </row>
    <row r="95" spans="26:26" x14ac:dyDescent="0.2">
      <c r="Z95" s="2"/>
    </row>
    <row r="96" spans="26:26" x14ac:dyDescent="0.2">
      <c r="Z96" s="2"/>
    </row>
    <row r="97" spans="26:26" x14ac:dyDescent="0.2">
      <c r="Z97" s="2"/>
    </row>
    <row r="98" spans="26:26" x14ac:dyDescent="0.2">
      <c r="Z98" s="2"/>
    </row>
    <row r="99" spans="26:26" x14ac:dyDescent="0.2">
      <c r="Z99" s="2"/>
    </row>
    <row r="100" spans="26:26" x14ac:dyDescent="0.2">
      <c r="Z100" s="2"/>
    </row>
    <row r="101" spans="26:26" x14ac:dyDescent="0.2">
      <c r="Z101" s="2"/>
    </row>
    <row r="102" spans="26:26" x14ac:dyDescent="0.2">
      <c r="Z102" s="2"/>
    </row>
    <row r="103" spans="26:26" x14ac:dyDescent="0.2">
      <c r="Z103" s="2"/>
    </row>
    <row r="104" spans="26:26" x14ac:dyDescent="0.2">
      <c r="Z104" s="2"/>
    </row>
    <row r="105" spans="26:26" x14ac:dyDescent="0.2">
      <c r="Z105" s="2"/>
    </row>
    <row r="106" spans="26:26" x14ac:dyDescent="0.2">
      <c r="Z106" s="2"/>
    </row>
    <row r="107" spans="26:26" x14ac:dyDescent="0.2">
      <c r="Z107" s="2"/>
    </row>
    <row r="108" spans="26:26" x14ac:dyDescent="0.2">
      <c r="Z108" s="2"/>
    </row>
    <row r="109" spans="26:26" x14ac:dyDescent="0.2">
      <c r="Z109" s="2"/>
    </row>
    <row r="110" spans="26:26" x14ac:dyDescent="0.2">
      <c r="Z110" s="2"/>
    </row>
    <row r="111" spans="26:26" x14ac:dyDescent="0.2">
      <c r="Z111" s="2"/>
    </row>
    <row r="112" spans="26:26" x14ac:dyDescent="0.2">
      <c r="Z112" s="2"/>
    </row>
    <row r="113" spans="26:26" x14ac:dyDescent="0.2">
      <c r="Z113" s="2"/>
    </row>
    <row r="114" spans="26:26" x14ac:dyDescent="0.2">
      <c r="Z114" s="2"/>
    </row>
    <row r="115" spans="26:26" x14ac:dyDescent="0.2">
      <c r="Z115" s="2"/>
    </row>
    <row r="116" spans="26:26" x14ac:dyDescent="0.2">
      <c r="Z116" s="2"/>
    </row>
    <row r="117" spans="26:26" x14ac:dyDescent="0.2">
      <c r="Z117" s="2"/>
    </row>
    <row r="118" spans="26:26" x14ac:dyDescent="0.2">
      <c r="Z118" s="2"/>
    </row>
  </sheetData>
  <mergeCells count="2">
    <mergeCell ref="AK4:AL4"/>
    <mergeCell ref="AM4:AN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213E-622C-430C-8F26-C1BE83396567}">
  <dimension ref="A1:AQ118"/>
  <sheetViews>
    <sheetView zoomScale="80" zoomScaleNormal="80" workbookViewId="0">
      <pane ySplit="4" topLeftCell="A5" activePane="bottomLeft" state="frozen"/>
      <selection activeCell="E38" sqref="E38"/>
      <selection pane="bottomLeft" activeCell="Q5" sqref="Q5:S49"/>
    </sheetView>
  </sheetViews>
  <sheetFormatPr baseColWidth="10" defaultColWidth="9.1640625" defaultRowHeight="15" x14ac:dyDescent="0.2"/>
  <cols>
    <col min="1" max="1" width="9.1640625" style="1"/>
    <col min="2" max="2" width="12.33203125" style="1" bestFit="1" customWidth="1"/>
    <col min="3" max="3" width="16.5" style="1" bestFit="1" customWidth="1"/>
    <col min="4" max="4" width="9.1640625" style="1"/>
    <col min="5" max="5" width="20.5" style="1" bestFit="1" customWidth="1"/>
    <col min="6" max="6" width="6.83203125" style="1" bestFit="1" customWidth="1"/>
    <col min="7" max="7" width="4.1640625" style="1" bestFit="1" customWidth="1"/>
    <col min="8" max="8" width="9.5" style="1" bestFit="1" customWidth="1"/>
    <col min="9" max="9" width="16.6640625" style="1" bestFit="1" customWidth="1"/>
    <col min="10" max="10" width="8.5" style="1" bestFit="1" customWidth="1"/>
    <col min="11" max="11" width="9.1640625" style="85"/>
    <col min="12" max="13" width="9.1640625" style="1"/>
    <col min="14" max="14" width="10.5" style="1" customWidth="1"/>
    <col min="15" max="25" width="9.1640625" style="1"/>
    <col min="26" max="26" width="10.33203125" style="1" customWidth="1"/>
    <col min="27" max="28" width="11.33203125" style="1" customWidth="1"/>
    <col min="29" max="29" width="19.33203125" style="1" bestFit="1" customWidth="1"/>
    <col min="30" max="30" width="9.1640625" style="85"/>
    <col min="31" max="38" width="9.1640625" style="1"/>
    <col min="39" max="40" width="18.5" style="1" bestFit="1" customWidth="1"/>
    <col min="41" max="16384" width="9.1640625" style="1"/>
  </cols>
  <sheetData>
    <row r="1" spans="1:43" s="11" customFormat="1" ht="21" x14ac:dyDescent="0.2">
      <c r="A1" s="10" t="s">
        <v>364</v>
      </c>
      <c r="B1" s="10"/>
      <c r="K1" s="81"/>
      <c r="AD1" s="81"/>
    </row>
    <row r="2" spans="1:43" s="2" customFormat="1" x14ac:dyDescent="0.2">
      <c r="A2" s="2" t="s">
        <v>57</v>
      </c>
      <c r="C2" s="3"/>
      <c r="D2" s="3"/>
      <c r="E2" s="3"/>
      <c r="F2" s="3"/>
      <c r="G2" s="3"/>
      <c r="H2" s="3"/>
      <c r="I2" s="3"/>
      <c r="J2" s="3"/>
      <c r="K2" s="82"/>
      <c r="V2" s="3"/>
      <c r="W2" s="3"/>
      <c r="X2" s="3"/>
      <c r="Y2" s="3"/>
      <c r="AD2" s="82"/>
    </row>
    <row r="3" spans="1:43" s="2" customFormat="1" x14ac:dyDescent="0.2">
      <c r="A3" s="2" t="s">
        <v>68</v>
      </c>
      <c r="C3" s="47">
        <v>45153</v>
      </c>
      <c r="D3" s="3"/>
      <c r="E3" s="3"/>
      <c r="F3" s="3"/>
      <c r="G3" s="3"/>
      <c r="H3" s="3"/>
      <c r="I3" s="3"/>
      <c r="J3" s="3"/>
      <c r="K3" s="82"/>
      <c r="Z3" s="104" t="s">
        <v>138</v>
      </c>
      <c r="AD3" s="82"/>
      <c r="AE3" s="3" t="s">
        <v>105</v>
      </c>
      <c r="AF3" s="3" t="s">
        <v>106</v>
      </c>
      <c r="AG3" s="3" t="s">
        <v>215</v>
      </c>
      <c r="AH3" s="3" t="s">
        <v>291</v>
      </c>
      <c r="AJ3" s="104" t="s">
        <v>138</v>
      </c>
    </row>
    <row r="4" spans="1:43" ht="62.5" customHeight="1" thickBot="1" x14ac:dyDescent="0.25">
      <c r="A4" s="93" t="s">
        <v>67</v>
      </c>
      <c r="B4" s="93" t="s">
        <v>21</v>
      </c>
      <c r="C4" s="93" t="s">
        <v>9</v>
      </c>
      <c r="D4" s="94" t="s">
        <v>124</v>
      </c>
      <c r="E4" s="94" t="s">
        <v>123</v>
      </c>
      <c r="F4" s="94" t="s">
        <v>129</v>
      </c>
      <c r="G4" s="94" t="s">
        <v>137</v>
      </c>
      <c r="H4" s="94" t="s">
        <v>130</v>
      </c>
      <c r="I4" s="94" t="s">
        <v>33</v>
      </c>
      <c r="J4" s="116" t="s">
        <v>4</v>
      </c>
      <c r="K4" s="83" t="s">
        <v>125</v>
      </c>
      <c r="L4" s="80" t="s">
        <v>209</v>
      </c>
      <c r="M4" s="80" t="s">
        <v>208</v>
      </c>
      <c r="N4" s="117" t="s">
        <v>223</v>
      </c>
      <c r="O4" s="117" t="s">
        <v>224</v>
      </c>
      <c r="P4" s="117" t="s">
        <v>210</v>
      </c>
      <c r="Q4" s="117" t="s">
        <v>310</v>
      </c>
      <c r="R4" s="117" t="s">
        <v>311</v>
      </c>
      <c r="S4" s="117" t="s">
        <v>312</v>
      </c>
      <c r="T4" s="80" t="s">
        <v>207</v>
      </c>
      <c r="U4" s="80" t="s">
        <v>198</v>
      </c>
      <c r="V4" s="80" t="s">
        <v>199</v>
      </c>
      <c r="W4" s="80" t="s">
        <v>200</v>
      </c>
      <c r="X4" s="80" t="s">
        <v>201</v>
      </c>
      <c r="Y4" s="80" t="s">
        <v>225</v>
      </c>
      <c r="Z4" s="111" t="s">
        <v>202</v>
      </c>
      <c r="AA4" s="111" t="s">
        <v>126</v>
      </c>
      <c r="AB4" s="2"/>
      <c r="AC4" s="2"/>
      <c r="AD4" s="112" t="s">
        <v>139</v>
      </c>
      <c r="AE4" s="111" t="s">
        <v>203</v>
      </c>
      <c r="AF4" s="111" t="s">
        <v>204</v>
      </c>
      <c r="AG4" s="111" t="s">
        <v>205</v>
      </c>
      <c r="AH4" s="111" t="s">
        <v>290</v>
      </c>
      <c r="AI4" s="111" t="s">
        <v>206</v>
      </c>
      <c r="AJ4" s="113" t="s">
        <v>127</v>
      </c>
      <c r="AM4" s="38"/>
      <c r="AN4" s="178" t="s">
        <v>211</v>
      </c>
      <c r="AO4" s="179"/>
      <c r="AP4" s="178" t="s">
        <v>212</v>
      </c>
      <c r="AQ4" s="179"/>
    </row>
    <row r="5" spans="1:43" s="92" customFormat="1" x14ac:dyDescent="0.2">
      <c r="A5" s="99">
        <f t="shared" ref="A5:A52" si="0">B5-$C$3</f>
        <v>86</v>
      </c>
      <c r="B5" s="114">
        <v>45239</v>
      </c>
      <c r="C5" s="99" t="s">
        <v>338</v>
      </c>
      <c r="D5" s="98">
        <v>20</v>
      </c>
      <c r="E5" s="98" t="s">
        <v>141</v>
      </c>
      <c r="F5" s="100" t="s">
        <v>142</v>
      </c>
      <c r="G5" s="98" t="s">
        <v>131</v>
      </c>
      <c r="H5" s="98" t="s">
        <v>132</v>
      </c>
      <c r="I5" s="98" t="s">
        <v>192</v>
      </c>
      <c r="J5" s="109">
        <v>1</v>
      </c>
      <c r="K5" s="90">
        <v>35</v>
      </c>
      <c r="L5" s="91">
        <v>5</v>
      </c>
      <c r="M5" s="91">
        <v>3</v>
      </c>
      <c r="N5" s="118">
        <f>P5/O5</f>
        <v>6</v>
      </c>
      <c r="O5" s="91">
        <v>8</v>
      </c>
      <c r="P5" s="91">
        <f>SUM(Q5:S5)</f>
        <v>48</v>
      </c>
      <c r="Q5" s="91">
        <v>26</v>
      </c>
      <c r="R5" s="91">
        <v>9</v>
      </c>
      <c r="S5" s="91">
        <v>13</v>
      </c>
      <c r="T5" s="91"/>
      <c r="U5" s="91">
        <v>54</v>
      </c>
      <c r="V5" s="92">
        <v>44.47</v>
      </c>
      <c r="W5" s="92">
        <v>20.309999999999999</v>
      </c>
      <c r="X5" s="92">
        <v>0.62</v>
      </c>
      <c r="Y5" s="92">
        <v>220.15</v>
      </c>
      <c r="Z5" s="92">
        <f>SUM(V5:Y5)</f>
        <v>285.55</v>
      </c>
      <c r="AA5" s="1">
        <v>1199.3599999999999</v>
      </c>
      <c r="AB5" s="2"/>
      <c r="AC5" s="108" t="str">
        <f t="shared" ref="AC5:AC52" si="1">I5</f>
        <v>Cherry_EC6_HL_1</v>
      </c>
      <c r="AD5" s="85"/>
      <c r="AE5" s="1">
        <v>5.1879999999999997</v>
      </c>
      <c r="AF5" s="1">
        <v>2.504</v>
      </c>
      <c r="AG5" s="1">
        <v>7.5999999999999998E-2</v>
      </c>
      <c r="AH5" s="1">
        <v>19.303000000000001</v>
      </c>
      <c r="AI5" s="1">
        <f>SUM(AE5:AH5)</f>
        <v>27.071000000000002</v>
      </c>
      <c r="AJ5" s="88">
        <f t="shared" ref="AJ5:AJ52" si="2">AA5/AE5</f>
        <v>231.17964533538935</v>
      </c>
      <c r="AM5" s="38"/>
      <c r="AN5" s="4" t="s">
        <v>101</v>
      </c>
      <c r="AO5" s="4" t="s">
        <v>102</v>
      </c>
      <c r="AP5" s="4" t="s">
        <v>213</v>
      </c>
      <c r="AQ5" s="4" t="s">
        <v>214</v>
      </c>
    </row>
    <row r="6" spans="1:43" x14ac:dyDescent="0.2">
      <c r="A6" s="96">
        <f t="shared" si="0"/>
        <v>86</v>
      </c>
      <c r="B6" s="114">
        <v>45239</v>
      </c>
      <c r="C6" s="96" t="s">
        <v>338</v>
      </c>
      <c r="D6" s="95">
        <v>20</v>
      </c>
      <c r="E6" s="95" t="s">
        <v>141</v>
      </c>
      <c r="F6" s="97" t="s">
        <v>142</v>
      </c>
      <c r="G6" s="95" t="s">
        <v>131</v>
      </c>
      <c r="H6" s="95" t="s">
        <v>132</v>
      </c>
      <c r="I6" s="95" t="s">
        <v>193</v>
      </c>
      <c r="J6" s="95">
        <v>2</v>
      </c>
      <c r="K6" s="84">
        <v>35</v>
      </c>
      <c r="L6" s="3">
        <v>6</v>
      </c>
      <c r="M6" s="3">
        <v>8</v>
      </c>
      <c r="N6" s="119">
        <f t="shared" ref="N6:N52" si="3">P6/O6</f>
        <v>4.4000000000000004</v>
      </c>
      <c r="O6" s="3">
        <v>5</v>
      </c>
      <c r="P6" s="3">
        <f t="shared" ref="P6:P52" si="4">SUM(Q6:S6)</f>
        <v>22</v>
      </c>
      <c r="Q6" s="3">
        <v>3</v>
      </c>
      <c r="R6" s="3">
        <v>4</v>
      </c>
      <c r="S6" s="3">
        <v>15</v>
      </c>
      <c r="T6" s="3">
        <v>225.06</v>
      </c>
      <c r="U6" s="3">
        <v>38</v>
      </c>
      <c r="V6" s="1">
        <v>38.869999999999997</v>
      </c>
      <c r="W6" s="1">
        <v>13.43</v>
      </c>
      <c r="X6" s="1">
        <v>1.1599999999999999</v>
      </c>
      <c r="Y6" s="1">
        <v>171.22</v>
      </c>
      <c r="Z6" s="1">
        <f t="shared" ref="Z6:Z52" si="5">SUM(V6:Y6)</f>
        <v>224.68</v>
      </c>
      <c r="AA6" s="1">
        <v>990.75</v>
      </c>
      <c r="AB6" s="2"/>
      <c r="AC6" s="108" t="str">
        <f t="shared" si="1"/>
        <v>Cherry_EC6_HL_2</v>
      </c>
      <c r="AE6" s="1">
        <v>4.42</v>
      </c>
      <c r="AF6" s="1">
        <v>1.734</v>
      </c>
      <c r="AG6" s="1">
        <v>0.16900000000000001</v>
      </c>
      <c r="AH6" s="1">
        <v>15.189</v>
      </c>
      <c r="AI6" s="1">
        <f t="shared" ref="AI6:AI52" si="6">SUM(AE6:AH6)</f>
        <v>21.512</v>
      </c>
      <c r="AJ6" s="88">
        <f t="shared" si="2"/>
        <v>224.15158371040724</v>
      </c>
      <c r="AM6" s="38" t="s">
        <v>53</v>
      </c>
      <c r="AN6" s="1">
        <v>5.19</v>
      </c>
      <c r="AO6" s="5">
        <v>5.21</v>
      </c>
      <c r="AP6" s="106">
        <v>5.42</v>
      </c>
      <c r="AQ6" s="5">
        <v>5.38</v>
      </c>
    </row>
    <row r="7" spans="1:43" x14ac:dyDescent="0.2">
      <c r="A7" s="96">
        <f t="shared" si="0"/>
        <v>86</v>
      </c>
      <c r="B7" s="114">
        <v>45239</v>
      </c>
      <c r="C7" s="96" t="s">
        <v>338</v>
      </c>
      <c r="D7" s="95">
        <v>20</v>
      </c>
      <c r="E7" s="95" t="s">
        <v>141</v>
      </c>
      <c r="F7" s="97" t="s">
        <v>142</v>
      </c>
      <c r="G7" s="95" t="s">
        <v>131</v>
      </c>
      <c r="H7" s="95" t="s">
        <v>132</v>
      </c>
      <c r="I7" s="95" t="s">
        <v>194</v>
      </c>
      <c r="J7" s="95">
        <v>3</v>
      </c>
      <c r="K7" s="85">
        <v>39</v>
      </c>
      <c r="L7" s="1">
        <v>1</v>
      </c>
      <c r="M7" s="1">
        <v>7</v>
      </c>
      <c r="N7" s="46">
        <f t="shared" si="3"/>
        <v>5.6923076923076925</v>
      </c>
      <c r="O7" s="1">
        <v>13</v>
      </c>
      <c r="P7" s="1">
        <f t="shared" si="4"/>
        <v>74</v>
      </c>
      <c r="Q7" s="1">
        <f>29+33</f>
        <v>62</v>
      </c>
      <c r="R7" s="1">
        <v>5</v>
      </c>
      <c r="S7" s="1">
        <v>7</v>
      </c>
      <c r="T7" s="1">
        <v>325.69</v>
      </c>
      <c r="U7" s="1">
        <v>67</v>
      </c>
      <c r="V7" s="1">
        <v>75.72</v>
      </c>
      <c r="W7" s="1">
        <v>31.68</v>
      </c>
      <c r="X7" s="1">
        <v>0.26</v>
      </c>
      <c r="Y7" s="1">
        <v>217.99</v>
      </c>
      <c r="Z7" s="1">
        <f t="shared" si="5"/>
        <v>325.65000000000003</v>
      </c>
      <c r="AA7" s="1">
        <v>1916.95</v>
      </c>
      <c r="AB7" s="2"/>
      <c r="AC7" s="108" t="str">
        <f t="shared" si="1"/>
        <v>Cherry_EC6_HL_3</v>
      </c>
      <c r="AE7" s="1">
        <v>8.2279999999999998</v>
      </c>
      <c r="AF7" s="1">
        <v>4.0250000000000004</v>
      </c>
      <c r="AG7" s="1">
        <v>1.9E-2</v>
      </c>
      <c r="AH7" s="1">
        <v>20.545999999999999</v>
      </c>
      <c r="AI7" s="1">
        <f t="shared" si="6"/>
        <v>32.817999999999998</v>
      </c>
      <c r="AJ7" s="88">
        <f t="shared" si="2"/>
        <v>232.97885269810405</v>
      </c>
      <c r="AM7" s="38" t="s">
        <v>54</v>
      </c>
      <c r="AN7" s="74"/>
      <c r="AO7" s="74"/>
      <c r="AP7" s="107"/>
      <c r="AQ7" s="107"/>
    </row>
    <row r="8" spans="1:43" x14ac:dyDescent="0.2">
      <c r="A8" s="96">
        <f t="shared" si="0"/>
        <v>86</v>
      </c>
      <c r="B8" s="114">
        <v>45239</v>
      </c>
      <c r="C8" s="96" t="s">
        <v>338</v>
      </c>
      <c r="D8" s="95">
        <v>20</v>
      </c>
      <c r="E8" s="95" t="s">
        <v>141</v>
      </c>
      <c r="F8" s="97" t="s">
        <v>142</v>
      </c>
      <c r="G8" s="95" t="s">
        <v>131</v>
      </c>
      <c r="H8" s="95" t="s">
        <v>132</v>
      </c>
      <c r="I8" s="95" t="s">
        <v>195</v>
      </c>
      <c r="J8" s="95">
        <v>4</v>
      </c>
      <c r="K8" s="85">
        <v>36</v>
      </c>
      <c r="L8" s="1">
        <v>6</v>
      </c>
      <c r="M8" s="1">
        <v>4</v>
      </c>
      <c r="N8" s="46">
        <f t="shared" si="3"/>
        <v>3.5</v>
      </c>
      <c r="O8" s="1">
        <v>10</v>
      </c>
      <c r="P8" s="1">
        <f t="shared" si="4"/>
        <v>35</v>
      </c>
      <c r="Q8" s="1">
        <v>15</v>
      </c>
      <c r="R8" s="1">
        <v>8</v>
      </c>
      <c r="S8" s="1">
        <v>12</v>
      </c>
      <c r="T8" s="1">
        <v>237.03</v>
      </c>
      <c r="U8" s="1">
        <v>46</v>
      </c>
      <c r="V8" s="1">
        <v>45.14</v>
      </c>
      <c r="W8" s="1">
        <v>21.36</v>
      </c>
      <c r="X8" s="1">
        <v>0.83</v>
      </c>
      <c r="Y8" s="1">
        <v>169.31</v>
      </c>
      <c r="Z8" s="1">
        <f t="shared" si="5"/>
        <v>236.64</v>
      </c>
      <c r="AA8" s="1">
        <v>1210.42</v>
      </c>
      <c r="AB8" s="2"/>
      <c r="AC8" s="108" t="str">
        <f t="shared" si="1"/>
        <v>Cherry_EC6_HL_4</v>
      </c>
      <c r="AE8" s="1">
        <v>4.8440000000000003</v>
      </c>
      <c r="AF8" s="1">
        <v>2.528</v>
      </c>
      <c r="AG8" s="1">
        <v>9.6000000000000002E-2</v>
      </c>
      <c r="AH8" s="1">
        <v>14.103</v>
      </c>
      <c r="AI8" s="1">
        <f t="shared" si="6"/>
        <v>21.570999999999998</v>
      </c>
      <c r="AJ8" s="88">
        <f t="shared" si="2"/>
        <v>249.88026424442609</v>
      </c>
    </row>
    <row r="9" spans="1:43" x14ac:dyDescent="0.2">
      <c r="A9" s="96">
        <f t="shared" si="0"/>
        <v>86</v>
      </c>
      <c r="B9" s="114">
        <v>45239</v>
      </c>
      <c r="C9" s="96" t="s">
        <v>338</v>
      </c>
      <c r="D9" s="95">
        <v>20</v>
      </c>
      <c r="E9" s="95" t="s">
        <v>141</v>
      </c>
      <c r="F9" s="97" t="s">
        <v>142</v>
      </c>
      <c r="G9" s="95" t="s">
        <v>131</v>
      </c>
      <c r="H9" s="95" t="s">
        <v>132</v>
      </c>
      <c r="I9" s="95" t="s">
        <v>196</v>
      </c>
      <c r="J9" s="95">
        <v>5</v>
      </c>
      <c r="K9" s="85">
        <v>39</v>
      </c>
      <c r="L9" s="1">
        <v>9</v>
      </c>
      <c r="M9" s="1">
        <v>7</v>
      </c>
      <c r="N9" s="46">
        <f t="shared" si="3"/>
        <v>4.5</v>
      </c>
      <c r="O9" s="1">
        <v>8</v>
      </c>
      <c r="P9" s="1">
        <f t="shared" si="4"/>
        <v>36</v>
      </c>
      <c r="Q9" s="1">
        <v>14</v>
      </c>
      <c r="R9" s="1">
        <v>10</v>
      </c>
      <c r="S9" s="1">
        <v>12</v>
      </c>
      <c r="T9" s="1">
        <v>245.15</v>
      </c>
      <c r="U9" s="1">
        <v>43</v>
      </c>
      <c r="V9" s="1">
        <v>38.880000000000003</v>
      </c>
      <c r="W9" s="1">
        <v>22.71</v>
      </c>
      <c r="X9" s="1">
        <v>1.71</v>
      </c>
      <c r="Y9" s="1">
        <v>181.46</v>
      </c>
      <c r="Z9" s="1">
        <f t="shared" si="5"/>
        <v>244.76000000000002</v>
      </c>
      <c r="AA9" s="1">
        <v>1084.04</v>
      </c>
      <c r="AB9" s="2"/>
      <c r="AC9" s="108" t="str">
        <f t="shared" si="1"/>
        <v>Cherry_EC6_HL_5</v>
      </c>
      <c r="AE9" s="1">
        <v>4.3769999999999998</v>
      </c>
      <c r="AF9" s="1">
        <v>2.6720000000000002</v>
      </c>
      <c r="AG9" s="1">
        <v>0.24199999999999999</v>
      </c>
      <c r="AH9" s="1">
        <v>14.613</v>
      </c>
      <c r="AI9" s="1">
        <f t="shared" si="6"/>
        <v>21.904</v>
      </c>
      <c r="AJ9" s="88">
        <f t="shared" si="2"/>
        <v>247.66735206762624</v>
      </c>
    </row>
    <row r="10" spans="1:43" ht="16" thickBot="1" x14ac:dyDescent="0.25">
      <c r="A10" s="102">
        <f t="shared" si="0"/>
        <v>86</v>
      </c>
      <c r="B10" s="115">
        <v>45239</v>
      </c>
      <c r="C10" s="102" t="s">
        <v>338</v>
      </c>
      <c r="D10" s="101">
        <v>20</v>
      </c>
      <c r="E10" s="101" t="s">
        <v>141</v>
      </c>
      <c r="F10" s="103" t="s">
        <v>142</v>
      </c>
      <c r="G10" s="101" t="s">
        <v>131</v>
      </c>
      <c r="H10" s="101" t="s">
        <v>132</v>
      </c>
      <c r="I10" s="101" t="s">
        <v>197</v>
      </c>
      <c r="J10" s="101">
        <v>6</v>
      </c>
      <c r="K10" s="87">
        <v>34</v>
      </c>
      <c r="L10" s="86">
        <v>5</v>
      </c>
      <c r="M10" s="86">
        <v>2</v>
      </c>
      <c r="N10" s="120">
        <f t="shared" si="3"/>
        <v>5</v>
      </c>
      <c r="O10" s="86">
        <v>9</v>
      </c>
      <c r="P10" s="86">
        <f t="shared" si="4"/>
        <v>45</v>
      </c>
      <c r="Q10" s="86">
        <v>29</v>
      </c>
      <c r="R10" s="86">
        <v>8</v>
      </c>
      <c r="S10" s="86">
        <v>8</v>
      </c>
      <c r="T10" s="86">
        <v>272.67</v>
      </c>
      <c r="U10" s="86">
        <v>72</v>
      </c>
      <c r="V10" s="86">
        <v>53.81</v>
      </c>
      <c r="W10" s="86">
        <v>19.28</v>
      </c>
      <c r="X10" s="86">
        <v>0.5</v>
      </c>
      <c r="Y10" s="86">
        <v>198.45</v>
      </c>
      <c r="Z10" s="86">
        <f t="shared" si="5"/>
        <v>272.03999999999996</v>
      </c>
      <c r="AA10" s="86">
        <v>1389.74</v>
      </c>
      <c r="AB10" s="2"/>
      <c r="AC10" s="110" t="str">
        <f t="shared" si="1"/>
        <v>Cherry_EC6_HL_6</v>
      </c>
      <c r="AD10" s="87"/>
      <c r="AE10" s="86">
        <v>6.0880000000000001</v>
      </c>
      <c r="AF10" s="86">
        <v>2.6320000000000001</v>
      </c>
      <c r="AG10" s="86">
        <v>7.1999999999999995E-2</v>
      </c>
      <c r="AH10" s="86">
        <v>18.25</v>
      </c>
      <c r="AI10" s="86">
        <f t="shared" si="6"/>
        <v>27.042000000000002</v>
      </c>
      <c r="AJ10" s="89">
        <f t="shared" si="2"/>
        <v>228.27529566360053</v>
      </c>
    </row>
    <row r="11" spans="1:43" x14ac:dyDescent="0.2">
      <c r="A11" s="99">
        <f t="shared" si="0"/>
        <v>86</v>
      </c>
      <c r="B11" s="114">
        <v>45239</v>
      </c>
      <c r="C11" s="99" t="s">
        <v>338</v>
      </c>
      <c r="D11" s="98">
        <v>20</v>
      </c>
      <c r="E11" s="98" t="s">
        <v>143</v>
      </c>
      <c r="F11" s="100" t="s">
        <v>142</v>
      </c>
      <c r="G11" s="98" t="s">
        <v>131</v>
      </c>
      <c r="H11" s="98" t="s">
        <v>133</v>
      </c>
      <c r="I11" s="98" t="s">
        <v>150</v>
      </c>
      <c r="J11" s="95">
        <v>1</v>
      </c>
      <c r="K11" s="90">
        <v>33</v>
      </c>
      <c r="L11" s="91"/>
      <c r="M11" s="91">
        <v>1</v>
      </c>
      <c r="N11" s="118">
        <f t="shared" si="3"/>
        <v>4</v>
      </c>
      <c r="O11" s="91">
        <v>12</v>
      </c>
      <c r="P11" s="91">
        <f t="shared" si="4"/>
        <v>48</v>
      </c>
      <c r="Q11" s="91">
        <v>27</v>
      </c>
      <c r="R11" s="91">
        <v>15</v>
      </c>
      <c r="S11" s="91">
        <v>6</v>
      </c>
      <c r="T11" s="91">
        <v>292.13</v>
      </c>
      <c r="U11" s="91">
        <v>48</v>
      </c>
      <c r="V11" s="92">
        <v>49.5</v>
      </c>
      <c r="W11" s="92">
        <v>22.17</v>
      </c>
      <c r="X11" s="92"/>
      <c r="Y11" s="92">
        <v>219.73</v>
      </c>
      <c r="Z11" s="92">
        <f t="shared" si="5"/>
        <v>291.39999999999998</v>
      </c>
      <c r="AA11" s="1">
        <v>1280.0999999999999</v>
      </c>
      <c r="AB11" s="2"/>
      <c r="AC11" s="108" t="str">
        <f t="shared" si="1"/>
        <v>Cherry_EC6_ML_1</v>
      </c>
      <c r="AE11" s="1">
        <v>5.79</v>
      </c>
      <c r="AF11" s="1">
        <v>2.8839999999999999</v>
      </c>
      <c r="AH11" s="1">
        <v>19.933</v>
      </c>
      <c r="AI11" s="1">
        <f t="shared" si="6"/>
        <v>28.606999999999999</v>
      </c>
      <c r="AJ11" s="88">
        <f t="shared" si="2"/>
        <v>221.0880829015544</v>
      </c>
    </row>
    <row r="12" spans="1:43" x14ac:dyDescent="0.2">
      <c r="A12" s="96">
        <f t="shared" si="0"/>
        <v>86</v>
      </c>
      <c r="B12" s="114">
        <v>45239</v>
      </c>
      <c r="C12" s="96" t="s">
        <v>338</v>
      </c>
      <c r="D12" s="95">
        <v>20</v>
      </c>
      <c r="E12" s="95" t="s">
        <v>143</v>
      </c>
      <c r="F12" s="97" t="s">
        <v>142</v>
      </c>
      <c r="G12" s="95" t="s">
        <v>131</v>
      </c>
      <c r="H12" s="95" t="s">
        <v>133</v>
      </c>
      <c r="I12" s="95" t="s">
        <v>151</v>
      </c>
      <c r="J12" s="95">
        <v>2</v>
      </c>
      <c r="K12" s="84">
        <v>42</v>
      </c>
      <c r="L12" s="3">
        <v>6</v>
      </c>
      <c r="M12" s="3"/>
      <c r="N12" s="119">
        <f t="shared" si="3"/>
        <v>3.6363636363636362</v>
      </c>
      <c r="O12" s="3">
        <v>11</v>
      </c>
      <c r="P12" s="3">
        <f t="shared" si="4"/>
        <v>40</v>
      </c>
      <c r="Q12" s="3">
        <v>19</v>
      </c>
      <c r="R12" s="3">
        <v>13</v>
      </c>
      <c r="S12" s="3">
        <v>8</v>
      </c>
      <c r="T12" s="3">
        <v>337.92</v>
      </c>
      <c r="U12" s="3">
        <v>49</v>
      </c>
      <c r="V12" s="1">
        <v>62.06</v>
      </c>
      <c r="W12" s="1">
        <v>28.82</v>
      </c>
      <c r="X12" s="1">
        <v>0.87</v>
      </c>
      <c r="Y12" s="1">
        <v>245.27</v>
      </c>
      <c r="Z12" s="1">
        <f t="shared" si="5"/>
        <v>337.02</v>
      </c>
      <c r="AA12" s="1">
        <v>1564.92</v>
      </c>
      <c r="AB12" s="2"/>
      <c r="AC12" s="108" t="str">
        <f t="shared" si="1"/>
        <v>Cherry_EC6_ML_2</v>
      </c>
      <c r="AE12" s="1">
        <v>7.2510000000000003</v>
      </c>
      <c r="AF12" s="1">
        <v>3.895</v>
      </c>
      <c r="AG12" s="1">
        <v>0.12</v>
      </c>
      <c r="AH12" s="1">
        <v>22.440999999999999</v>
      </c>
      <c r="AI12" s="1">
        <f t="shared" si="6"/>
        <v>33.707000000000001</v>
      </c>
      <c r="AJ12" s="88">
        <f t="shared" si="2"/>
        <v>215.82126603227141</v>
      </c>
    </row>
    <row r="13" spans="1:43" x14ac:dyDescent="0.2">
      <c r="A13" s="96">
        <f t="shared" si="0"/>
        <v>86</v>
      </c>
      <c r="B13" s="114">
        <v>45239</v>
      </c>
      <c r="C13" s="96" t="s">
        <v>338</v>
      </c>
      <c r="D13" s="95">
        <v>20</v>
      </c>
      <c r="E13" s="95" t="s">
        <v>143</v>
      </c>
      <c r="F13" s="97" t="s">
        <v>142</v>
      </c>
      <c r="G13" s="95" t="s">
        <v>131</v>
      </c>
      <c r="H13" s="95" t="s">
        <v>133</v>
      </c>
      <c r="I13" s="95" t="s">
        <v>152</v>
      </c>
      <c r="J13" s="95">
        <v>3</v>
      </c>
      <c r="K13" s="85">
        <v>39</v>
      </c>
      <c r="L13" s="1">
        <v>5</v>
      </c>
      <c r="M13" s="1">
        <v>5</v>
      </c>
      <c r="N13" s="46">
        <f t="shared" si="3"/>
        <v>3.4666666666666668</v>
      </c>
      <c r="O13" s="1">
        <v>15</v>
      </c>
      <c r="P13" s="1">
        <f t="shared" si="4"/>
        <v>52</v>
      </c>
      <c r="Q13" s="1">
        <v>37</v>
      </c>
      <c r="R13" s="1">
        <v>11</v>
      </c>
      <c r="S13" s="1">
        <v>4</v>
      </c>
      <c r="T13" s="1">
        <v>293.64</v>
      </c>
      <c r="U13" s="1">
        <v>64</v>
      </c>
      <c r="V13" s="1">
        <v>62.08</v>
      </c>
      <c r="W13" s="1">
        <v>29.45</v>
      </c>
      <c r="X13" s="1">
        <v>0.78</v>
      </c>
      <c r="Y13" s="1">
        <v>200.32</v>
      </c>
      <c r="Z13" s="1">
        <f t="shared" si="5"/>
        <v>292.63</v>
      </c>
      <c r="AA13" s="1">
        <v>1635.31</v>
      </c>
      <c r="AB13" s="2"/>
      <c r="AC13" s="108" t="str">
        <f t="shared" si="1"/>
        <v>Cherry_EC6_ML_3</v>
      </c>
      <c r="AE13" s="1">
        <v>7.1950000000000003</v>
      </c>
      <c r="AF13" s="1">
        <v>3.9359999999999999</v>
      </c>
      <c r="AG13" s="1">
        <v>0.109</v>
      </c>
      <c r="AH13" s="1">
        <v>19.059999999999999</v>
      </c>
      <c r="AI13" s="1">
        <f t="shared" si="6"/>
        <v>30.299999999999997</v>
      </c>
      <c r="AJ13" s="88">
        <f t="shared" si="2"/>
        <v>227.28422515635856</v>
      </c>
    </row>
    <row r="14" spans="1:43" x14ac:dyDescent="0.2">
      <c r="A14" s="96">
        <f t="shared" si="0"/>
        <v>86</v>
      </c>
      <c r="B14" s="114">
        <v>45239</v>
      </c>
      <c r="C14" s="96" t="s">
        <v>338</v>
      </c>
      <c r="D14" s="95">
        <v>20</v>
      </c>
      <c r="E14" s="95" t="s">
        <v>143</v>
      </c>
      <c r="F14" s="97" t="s">
        <v>142</v>
      </c>
      <c r="G14" s="95" t="s">
        <v>131</v>
      </c>
      <c r="H14" s="95" t="s">
        <v>133</v>
      </c>
      <c r="I14" s="95" t="s">
        <v>153</v>
      </c>
      <c r="J14" s="95">
        <v>4</v>
      </c>
      <c r="K14" s="85">
        <v>43</v>
      </c>
      <c r="N14" s="46">
        <f t="shared" si="3"/>
        <v>4.6363636363636367</v>
      </c>
      <c r="O14" s="1">
        <v>11</v>
      </c>
      <c r="P14" s="1">
        <f t="shared" si="4"/>
        <v>51</v>
      </c>
      <c r="Q14" s="1">
        <v>38</v>
      </c>
      <c r="R14" s="1">
        <v>6</v>
      </c>
      <c r="S14" s="1">
        <v>7</v>
      </c>
      <c r="T14" s="1">
        <v>267.26</v>
      </c>
      <c r="U14" s="1">
        <v>42</v>
      </c>
      <c r="V14" s="1">
        <v>49.74</v>
      </c>
      <c r="W14" s="1">
        <v>20.399999999999999</v>
      </c>
      <c r="Y14" s="1">
        <v>196.73</v>
      </c>
      <c r="Z14" s="1">
        <f t="shared" si="5"/>
        <v>266.87</v>
      </c>
      <c r="AA14" s="1">
        <v>1331.95</v>
      </c>
      <c r="AB14" s="2"/>
      <c r="AC14" s="108" t="str">
        <f t="shared" si="1"/>
        <v>Cherry_EC6_ML_4</v>
      </c>
      <c r="AE14" s="1">
        <v>5.4480000000000004</v>
      </c>
      <c r="AF14" s="1">
        <v>2.6419999999999999</v>
      </c>
      <c r="AH14" s="1">
        <v>18.34</v>
      </c>
      <c r="AI14" s="1">
        <f t="shared" si="6"/>
        <v>26.43</v>
      </c>
      <c r="AJ14" s="88">
        <f t="shared" si="2"/>
        <v>244.48421439060203</v>
      </c>
    </row>
    <row r="15" spans="1:43" x14ac:dyDescent="0.2">
      <c r="A15" s="96">
        <f t="shared" si="0"/>
        <v>86</v>
      </c>
      <c r="B15" s="114">
        <v>45239</v>
      </c>
      <c r="C15" s="96" t="s">
        <v>338</v>
      </c>
      <c r="D15" s="95">
        <v>20</v>
      </c>
      <c r="E15" s="95" t="s">
        <v>143</v>
      </c>
      <c r="F15" s="97" t="s">
        <v>142</v>
      </c>
      <c r="G15" s="95" t="s">
        <v>131</v>
      </c>
      <c r="H15" s="95" t="s">
        <v>133</v>
      </c>
      <c r="I15" s="95" t="s">
        <v>154</v>
      </c>
      <c r="J15" s="95">
        <v>5</v>
      </c>
      <c r="K15" s="85">
        <v>34</v>
      </c>
      <c r="L15" s="1">
        <v>8</v>
      </c>
      <c r="M15" s="1">
        <v>5</v>
      </c>
      <c r="N15" s="46">
        <f t="shared" si="3"/>
        <v>3.7142857142857144</v>
      </c>
      <c r="O15" s="1">
        <v>7</v>
      </c>
      <c r="P15" s="1">
        <f t="shared" si="4"/>
        <v>26</v>
      </c>
      <c r="Q15" s="1">
        <v>7</v>
      </c>
      <c r="R15" s="1">
        <v>9</v>
      </c>
      <c r="S15" s="1">
        <v>10</v>
      </c>
      <c r="T15" s="1">
        <v>240.31</v>
      </c>
      <c r="U15" s="1">
        <v>41</v>
      </c>
      <c r="V15" s="1">
        <v>39.46</v>
      </c>
      <c r="W15" s="1">
        <v>21.07</v>
      </c>
      <c r="X15" s="1">
        <v>0.95</v>
      </c>
      <c r="Y15" s="1">
        <v>178.39</v>
      </c>
      <c r="Z15" s="1">
        <f t="shared" si="5"/>
        <v>239.87</v>
      </c>
      <c r="AA15" s="1">
        <v>1024.9000000000001</v>
      </c>
      <c r="AB15" s="2"/>
      <c r="AC15" s="108" t="str">
        <f t="shared" si="1"/>
        <v>Cherry_EC6_ML_5</v>
      </c>
      <c r="AE15" s="1">
        <v>4.4530000000000003</v>
      </c>
      <c r="AF15" s="1">
        <v>2.4729999999999999</v>
      </c>
      <c r="AG15" s="1">
        <v>0.13600000000000001</v>
      </c>
      <c r="AH15" s="1">
        <v>14.432</v>
      </c>
      <c r="AI15" s="1">
        <f t="shared" si="6"/>
        <v>21.494</v>
      </c>
      <c r="AJ15" s="88">
        <f t="shared" si="2"/>
        <v>230.15944307208625</v>
      </c>
    </row>
    <row r="16" spans="1:43" ht="16" thickBot="1" x14ac:dyDescent="0.25">
      <c r="A16" s="102">
        <f t="shared" si="0"/>
        <v>86</v>
      </c>
      <c r="B16" s="115">
        <v>45239</v>
      </c>
      <c r="C16" s="102" t="s">
        <v>338</v>
      </c>
      <c r="D16" s="101">
        <v>20</v>
      </c>
      <c r="E16" s="101" t="s">
        <v>143</v>
      </c>
      <c r="F16" s="103" t="s">
        <v>142</v>
      </c>
      <c r="G16" s="101" t="s">
        <v>131</v>
      </c>
      <c r="H16" s="101" t="s">
        <v>133</v>
      </c>
      <c r="I16" s="101" t="s">
        <v>155</v>
      </c>
      <c r="J16" s="101">
        <v>6</v>
      </c>
      <c r="K16" s="87">
        <v>37</v>
      </c>
      <c r="L16" s="86"/>
      <c r="M16" s="86"/>
      <c r="N16" s="120">
        <f t="shared" si="3"/>
        <v>5.333333333333333</v>
      </c>
      <c r="O16" s="86">
        <v>9</v>
      </c>
      <c r="P16" s="86">
        <f t="shared" si="4"/>
        <v>48</v>
      </c>
      <c r="Q16" s="86">
        <f>24+9</f>
        <v>33</v>
      </c>
      <c r="R16" s="86">
        <v>5</v>
      </c>
      <c r="S16" s="86">
        <v>10</v>
      </c>
      <c r="T16" s="86">
        <v>241.57</v>
      </c>
      <c r="U16" s="86">
        <v>40</v>
      </c>
      <c r="V16" s="86">
        <v>43.36</v>
      </c>
      <c r="W16" s="86">
        <v>20.46</v>
      </c>
      <c r="X16" s="86"/>
      <c r="Y16" s="86">
        <v>177.19</v>
      </c>
      <c r="Z16" s="86">
        <f t="shared" si="5"/>
        <v>241.01</v>
      </c>
      <c r="AA16" s="86">
        <v>1203.67</v>
      </c>
      <c r="AB16" s="2"/>
      <c r="AC16" s="110" t="str">
        <f t="shared" si="1"/>
        <v>Cherry_EC6_ML_6</v>
      </c>
      <c r="AD16" s="87"/>
      <c r="AE16" s="86">
        <v>4.5419999999999998</v>
      </c>
      <c r="AF16" s="86">
        <v>2.4910000000000001</v>
      </c>
      <c r="AG16" s="86"/>
      <c r="AH16" s="86">
        <v>14.795999999999999</v>
      </c>
      <c r="AI16" s="86">
        <f t="shared" si="6"/>
        <v>21.829000000000001</v>
      </c>
      <c r="AJ16" s="89">
        <f t="shared" si="2"/>
        <v>265.0088066930868</v>
      </c>
    </row>
    <row r="17" spans="1:36" x14ac:dyDescent="0.2">
      <c r="A17" s="99">
        <f t="shared" si="0"/>
        <v>86</v>
      </c>
      <c r="B17" s="114">
        <v>45239</v>
      </c>
      <c r="C17" s="99" t="s">
        <v>338</v>
      </c>
      <c r="D17" s="98">
        <v>20</v>
      </c>
      <c r="E17" s="98" t="s">
        <v>144</v>
      </c>
      <c r="F17" s="100" t="s">
        <v>142</v>
      </c>
      <c r="G17" s="98" t="s">
        <v>131</v>
      </c>
      <c r="H17" s="98" t="s">
        <v>134</v>
      </c>
      <c r="I17" s="98" t="s">
        <v>156</v>
      </c>
      <c r="J17" s="95">
        <v>1</v>
      </c>
      <c r="K17" s="90">
        <v>37</v>
      </c>
      <c r="L17" s="91"/>
      <c r="M17" s="91"/>
      <c r="N17" s="118">
        <f t="shared" si="3"/>
        <v>5.6363636363636367</v>
      </c>
      <c r="O17" s="91">
        <v>11</v>
      </c>
      <c r="P17" s="91">
        <f t="shared" si="4"/>
        <v>62</v>
      </c>
      <c r="Q17" s="91">
        <v>48</v>
      </c>
      <c r="R17" s="91">
        <v>5</v>
      </c>
      <c r="S17" s="91">
        <v>9</v>
      </c>
      <c r="T17" s="91">
        <v>303.74</v>
      </c>
      <c r="U17" s="91">
        <v>48</v>
      </c>
      <c r="V17" s="92">
        <v>48</v>
      </c>
      <c r="W17" s="92">
        <v>14.47</v>
      </c>
      <c r="X17" s="92"/>
      <c r="Y17" s="92">
        <v>254.94</v>
      </c>
      <c r="Z17" s="92">
        <f t="shared" si="5"/>
        <v>317.40999999999997</v>
      </c>
      <c r="AA17" s="1">
        <v>1315.56</v>
      </c>
      <c r="AB17" s="2"/>
      <c r="AC17" s="108" t="str">
        <f t="shared" si="1"/>
        <v>Cherry_EC6_LL_1</v>
      </c>
      <c r="AE17" s="1">
        <v>5.524</v>
      </c>
      <c r="AF17" s="1">
        <v>1.923</v>
      </c>
      <c r="AH17" s="1">
        <v>21.448</v>
      </c>
      <c r="AI17" s="1">
        <f t="shared" si="6"/>
        <v>28.895</v>
      </c>
      <c r="AJ17" s="88">
        <f t="shared" si="2"/>
        <v>238.15351194786385</v>
      </c>
    </row>
    <row r="18" spans="1:36" x14ac:dyDescent="0.2">
      <c r="A18" s="96">
        <f t="shared" si="0"/>
        <v>86</v>
      </c>
      <c r="B18" s="114">
        <v>45239</v>
      </c>
      <c r="C18" s="96" t="s">
        <v>338</v>
      </c>
      <c r="D18" s="95">
        <v>20</v>
      </c>
      <c r="E18" s="95" t="s">
        <v>144</v>
      </c>
      <c r="F18" s="97" t="s">
        <v>142</v>
      </c>
      <c r="G18" s="95" t="s">
        <v>131</v>
      </c>
      <c r="H18" s="95" t="s">
        <v>134</v>
      </c>
      <c r="I18" s="95" t="s">
        <v>157</v>
      </c>
      <c r="J18" s="95">
        <v>2</v>
      </c>
      <c r="K18" s="84">
        <v>28</v>
      </c>
      <c r="L18" s="3"/>
      <c r="M18" s="3"/>
      <c r="N18" s="119">
        <f t="shared" si="3"/>
        <v>3.75</v>
      </c>
      <c r="O18" s="3">
        <v>8</v>
      </c>
      <c r="P18" s="3">
        <f t="shared" si="4"/>
        <v>30</v>
      </c>
      <c r="Q18" s="3">
        <v>18</v>
      </c>
      <c r="R18" s="3">
        <v>1</v>
      </c>
      <c r="S18" s="3">
        <v>11</v>
      </c>
      <c r="T18" s="3">
        <v>160.51</v>
      </c>
      <c r="U18" s="3">
        <v>25</v>
      </c>
      <c r="V18" s="1">
        <v>23.82</v>
      </c>
      <c r="W18" s="1">
        <v>10.43</v>
      </c>
      <c r="Y18" s="1">
        <v>136.26</v>
      </c>
      <c r="Z18" s="1">
        <f t="shared" si="5"/>
        <v>170.51</v>
      </c>
      <c r="AA18" s="1">
        <v>673.48</v>
      </c>
      <c r="AB18" s="2"/>
      <c r="AC18" s="108" t="str">
        <f t="shared" si="1"/>
        <v>Cherry_EC6_LL_2</v>
      </c>
      <c r="AE18" s="1">
        <v>2.6070000000000002</v>
      </c>
      <c r="AF18" s="1">
        <v>1.165</v>
      </c>
      <c r="AH18" s="1">
        <v>9.2759999999999998</v>
      </c>
      <c r="AI18" s="1">
        <f t="shared" si="6"/>
        <v>13.048</v>
      </c>
      <c r="AJ18" s="88">
        <f t="shared" si="2"/>
        <v>258.33525124664362</v>
      </c>
    </row>
    <row r="19" spans="1:36" x14ac:dyDescent="0.2">
      <c r="A19" s="96">
        <f t="shared" si="0"/>
        <v>86</v>
      </c>
      <c r="B19" s="114">
        <v>45239</v>
      </c>
      <c r="C19" s="96" t="s">
        <v>338</v>
      </c>
      <c r="D19" s="95">
        <v>20</v>
      </c>
      <c r="E19" s="95" t="s">
        <v>144</v>
      </c>
      <c r="F19" s="97" t="s">
        <v>142</v>
      </c>
      <c r="G19" s="95" t="s">
        <v>131</v>
      </c>
      <c r="H19" s="95" t="s">
        <v>134</v>
      </c>
      <c r="I19" s="95" t="s">
        <v>158</v>
      </c>
      <c r="J19" s="95">
        <v>3</v>
      </c>
      <c r="K19" s="85">
        <v>41</v>
      </c>
      <c r="L19" s="1">
        <v>26</v>
      </c>
      <c r="M19" s="1">
        <v>1</v>
      </c>
      <c r="N19" s="46">
        <f t="shared" si="3"/>
        <v>6.4285714285714288</v>
      </c>
      <c r="O19" s="1">
        <v>7</v>
      </c>
      <c r="P19" s="1">
        <f t="shared" si="4"/>
        <v>45</v>
      </c>
      <c r="Q19" s="1">
        <v>35</v>
      </c>
      <c r="R19" s="1">
        <v>7</v>
      </c>
      <c r="S19" s="1">
        <v>3</v>
      </c>
      <c r="T19" s="1">
        <v>254</v>
      </c>
      <c r="U19" s="1">
        <v>58</v>
      </c>
      <c r="V19" s="1">
        <v>50.98</v>
      </c>
      <c r="W19" s="1">
        <v>18.91</v>
      </c>
      <c r="X19" s="128"/>
      <c r="Y19" s="1">
        <v>202.14</v>
      </c>
      <c r="Z19" s="1">
        <f t="shared" si="5"/>
        <v>272.02999999999997</v>
      </c>
      <c r="AA19" s="1">
        <v>1393.69</v>
      </c>
      <c r="AB19" s="2"/>
      <c r="AC19" s="108" t="str">
        <f t="shared" si="1"/>
        <v>Cherry_EC6_LL_3</v>
      </c>
      <c r="AE19" s="1">
        <v>5.4820000000000002</v>
      </c>
      <c r="AF19" s="1">
        <v>2.3380000000000001</v>
      </c>
      <c r="AG19" s="1">
        <v>9.9000000000000005E-2</v>
      </c>
      <c r="AH19" s="1">
        <v>16.347000000000001</v>
      </c>
      <c r="AI19" s="1">
        <f t="shared" si="6"/>
        <v>24.266000000000002</v>
      </c>
      <c r="AJ19" s="88">
        <f t="shared" si="2"/>
        <v>254.23020795330171</v>
      </c>
    </row>
    <row r="20" spans="1:36" x14ac:dyDescent="0.2">
      <c r="A20" s="96">
        <f t="shared" si="0"/>
        <v>86</v>
      </c>
      <c r="B20" s="114">
        <v>45239</v>
      </c>
      <c r="C20" s="96" t="s">
        <v>338</v>
      </c>
      <c r="D20" s="95">
        <v>20</v>
      </c>
      <c r="E20" s="95" t="s">
        <v>144</v>
      </c>
      <c r="F20" s="97" t="s">
        <v>142</v>
      </c>
      <c r="G20" s="95" t="s">
        <v>131</v>
      </c>
      <c r="H20" s="95" t="s">
        <v>134</v>
      </c>
      <c r="I20" s="95" t="s">
        <v>159</v>
      </c>
      <c r="J20" s="95">
        <v>4</v>
      </c>
      <c r="K20" s="85">
        <v>40</v>
      </c>
      <c r="L20" s="1">
        <v>24</v>
      </c>
      <c r="N20" s="46">
        <f t="shared" si="3"/>
        <v>5.4285714285714288</v>
      </c>
      <c r="O20" s="1">
        <v>7</v>
      </c>
      <c r="P20" s="1">
        <f t="shared" si="4"/>
        <v>38</v>
      </c>
      <c r="Q20" s="1">
        <v>28</v>
      </c>
      <c r="R20" s="1">
        <v>4</v>
      </c>
      <c r="S20" s="1">
        <v>6</v>
      </c>
      <c r="T20" s="1">
        <v>214.49</v>
      </c>
      <c r="U20" s="1">
        <v>35</v>
      </c>
      <c r="V20" s="1">
        <v>43.67</v>
      </c>
      <c r="W20" s="1">
        <v>17.440000000000001</v>
      </c>
      <c r="X20" s="128"/>
      <c r="Y20" s="1">
        <v>170.4</v>
      </c>
      <c r="Z20" s="1">
        <f t="shared" si="5"/>
        <v>231.51</v>
      </c>
      <c r="AA20" s="1">
        <v>1166.02</v>
      </c>
      <c r="AB20" s="2"/>
      <c r="AC20" s="108" t="str">
        <f t="shared" si="1"/>
        <v>Cherry_EC6_LL_4</v>
      </c>
      <c r="AE20" s="1">
        <v>4.718</v>
      </c>
      <c r="AF20" s="1">
        <v>2.1110000000000002</v>
      </c>
      <c r="AG20" s="1">
        <v>7.1999999999999995E-2</v>
      </c>
      <c r="AH20" s="1">
        <v>12.521000000000001</v>
      </c>
      <c r="AI20" s="1">
        <f t="shared" si="6"/>
        <v>19.422000000000001</v>
      </c>
      <c r="AJ20" s="88">
        <f t="shared" si="2"/>
        <v>247.14285714285714</v>
      </c>
    </row>
    <row r="21" spans="1:36" x14ac:dyDescent="0.2">
      <c r="A21" s="96">
        <f t="shared" si="0"/>
        <v>86</v>
      </c>
      <c r="B21" s="114">
        <v>45239</v>
      </c>
      <c r="C21" s="96" t="s">
        <v>338</v>
      </c>
      <c r="D21" s="95">
        <v>20</v>
      </c>
      <c r="E21" s="95" t="s">
        <v>144</v>
      </c>
      <c r="F21" s="97" t="s">
        <v>142</v>
      </c>
      <c r="G21" s="95" t="s">
        <v>131</v>
      </c>
      <c r="H21" s="95" t="s">
        <v>134</v>
      </c>
      <c r="I21" s="95" t="s">
        <v>160</v>
      </c>
      <c r="J21" s="95">
        <v>5</v>
      </c>
      <c r="K21" s="85">
        <v>34</v>
      </c>
      <c r="L21" s="1">
        <v>9</v>
      </c>
      <c r="N21" s="46">
        <f t="shared" si="3"/>
        <v>4.5714285714285712</v>
      </c>
      <c r="O21" s="1">
        <v>7</v>
      </c>
      <c r="P21" s="1">
        <f t="shared" si="4"/>
        <v>32</v>
      </c>
      <c r="Q21" s="1">
        <v>16</v>
      </c>
      <c r="R21" s="1">
        <v>8</v>
      </c>
      <c r="S21" s="1">
        <v>8</v>
      </c>
      <c r="T21" s="1">
        <v>184.07</v>
      </c>
      <c r="U21" s="1">
        <v>27</v>
      </c>
      <c r="V21" s="1">
        <v>30.3</v>
      </c>
      <c r="W21" s="1">
        <v>11.67</v>
      </c>
      <c r="X21" s="128"/>
      <c r="Y21" s="1">
        <v>153.44999999999999</v>
      </c>
      <c r="Z21" s="1">
        <f t="shared" si="5"/>
        <v>195.42</v>
      </c>
      <c r="AA21" s="1">
        <v>858.66</v>
      </c>
      <c r="AB21" s="2"/>
      <c r="AC21" s="108" t="str">
        <f t="shared" si="1"/>
        <v>Cherry_EC6_LL_5</v>
      </c>
      <c r="AE21" s="1">
        <v>3.1230000000000002</v>
      </c>
      <c r="AF21" s="1">
        <v>1.4339999999999999</v>
      </c>
      <c r="AG21" s="1">
        <v>1.1000000000000001E-3</v>
      </c>
      <c r="AH21" s="1">
        <v>10.827999999999999</v>
      </c>
      <c r="AI21" s="1">
        <f t="shared" si="6"/>
        <v>15.386099999999999</v>
      </c>
      <c r="AJ21" s="88">
        <f t="shared" si="2"/>
        <v>274.94716618635925</v>
      </c>
    </row>
    <row r="22" spans="1:36" ht="16" thickBot="1" x14ac:dyDescent="0.25">
      <c r="A22" s="102">
        <f t="shared" si="0"/>
        <v>86</v>
      </c>
      <c r="B22" s="115">
        <v>45239</v>
      </c>
      <c r="C22" s="102" t="s">
        <v>338</v>
      </c>
      <c r="D22" s="101">
        <v>20</v>
      </c>
      <c r="E22" s="101" t="s">
        <v>144</v>
      </c>
      <c r="F22" s="103" t="s">
        <v>142</v>
      </c>
      <c r="G22" s="101" t="s">
        <v>131</v>
      </c>
      <c r="H22" s="101" t="s">
        <v>134</v>
      </c>
      <c r="I22" s="101" t="s">
        <v>161</v>
      </c>
      <c r="J22" s="101">
        <v>6</v>
      </c>
      <c r="K22" s="87">
        <v>42</v>
      </c>
      <c r="L22" s="86">
        <v>11</v>
      </c>
      <c r="M22" s="86">
        <v>3</v>
      </c>
      <c r="N22" s="120">
        <f t="shared" si="3"/>
        <v>5.166666666666667</v>
      </c>
      <c r="O22" s="86">
        <v>12</v>
      </c>
      <c r="P22" s="86">
        <f t="shared" si="4"/>
        <v>62</v>
      </c>
      <c r="Q22" s="86">
        <v>51</v>
      </c>
      <c r="R22" s="86">
        <v>8</v>
      </c>
      <c r="S22" s="86">
        <v>3</v>
      </c>
      <c r="T22" s="86">
        <v>324.2</v>
      </c>
      <c r="U22" s="86">
        <v>68</v>
      </c>
      <c r="V22" s="86">
        <v>73.349999999999994</v>
      </c>
      <c r="W22" s="86">
        <v>25.45</v>
      </c>
      <c r="X22" s="86"/>
      <c r="Y22" s="86">
        <v>250.19</v>
      </c>
      <c r="Z22" s="86">
        <f t="shared" si="5"/>
        <v>348.99</v>
      </c>
      <c r="AA22" s="86">
        <v>1831.88</v>
      </c>
      <c r="AB22" s="2"/>
      <c r="AC22" s="110" t="str">
        <f t="shared" si="1"/>
        <v>Cherry_EC6_LL_6</v>
      </c>
      <c r="AD22" s="87"/>
      <c r="AE22" s="86">
        <v>8.2070000000000007</v>
      </c>
      <c r="AF22" s="86">
        <v>3.7149999999999999</v>
      </c>
      <c r="AG22" s="86">
        <v>4.4999999999999998E-2</v>
      </c>
      <c r="AH22" s="86">
        <v>21.56</v>
      </c>
      <c r="AI22" s="86">
        <f t="shared" si="6"/>
        <v>33.527000000000001</v>
      </c>
      <c r="AJ22" s="89">
        <f t="shared" si="2"/>
        <v>223.20945534299986</v>
      </c>
    </row>
    <row r="23" spans="1:36" x14ac:dyDescent="0.2">
      <c r="A23" s="99">
        <f t="shared" si="0"/>
        <v>86</v>
      </c>
      <c r="B23" s="114">
        <v>45239</v>
      </c>
      <c r="C23" s="99" t="s">
        <v>338</v>
      </c>
      <c r="D23" s="98">
        <v>20</v>
      </c>
      <c r="E23" s="98" t="s">
        <v>145</v>
      </c>
      <c r="F23" s="100" t="s">
        <v>142</v>
      </c>
      <c r="G23" s="98" t="s">
        <v>131</v>
      </c>
      <c r="H23" s="98" t="s">
        <v>135</v>
      </c>
      <c r="I23" s="98" t="s">
        <v>162</v>
      </c>
      <c r="J23" s="95">
        <v>1</v>
      </c>
      <c r="K23" s="90">
        <v>32</v>
      </c>
      <c r="L23" s="91"/>
      <c r="M23" s="91"/>
      <c r="N23" s="118">
        <f t="shared" si="3"/>
        <v>4.2222222222222223</v>
      </c>
      <c r="O23" s="91">
        <v>9</v>
      </c>
      <c r="P23" s="91">
        <f t="shared" si="4"/>
        <v>38</v>
      </c>
      <c r="Q23" s="91">
        <v>29</v>
      </c>
      <c r="R23" s="91">
        <v>5</v>
      </c>
      <c r="S23" s="91">
        <v>4</v>
      </c>
      <c r="T23" s="91">
        <v>181.77</v>
      </c>
      <c r="U23" s="91">
        <v>34</v>
      </c>
      <c r="V23" s="92">
        <v>32.44</v>
      </c>
      <c r="W23" s="92">
        <v>12.5</v>
      </c>
      <c r="X23" s="92"/>
      <c r="Y23" s="92">
        <v>135.15</v>
      </c>
      <c r="Z23" s="92">
        <f t="shared" si="5"/>
        <v>180.09</v>
      </c>
      <c r="AA23" s="1">
        <v>943.6</v>
      </c>
      <c r="AB23" s="2"/>
      <c r="AC23" s="108" t="str">
        <f t="shared" si="1"/>
        <v>Cherry_EC6__1</v>
      </c>
      <c r="AE23" s="1">
        <v>3.33</v>
      </c>
      <c r="AF23" s="1">
        <v>1.5549999999999999</v>
      </c>
      <c r="AH23" s="1">
        <v>11.4</v>
      </c>
      <c r="AI23" s="1">
        <f t="shared" si="6"/>
        <v>16.285</v>
      </c>
      <c r="AJ23" s="88">
        <f t="shared" si="2"/>
        <v>283.36336336336336</v>
      </c>
    </row>
    <row r="24" spans="1:36" x14ac:dyDescent="0.2">
      <c r="A24" s="96">
        <f t="shared" si="0"/>
        <v>86</v>
      </c>
      <c r="B24" s="114">
        <v>45239</v>
      </c>
      <c r="C24" s="96" t="s">
        <v>338</v>
      </c>
      <c r="D24" s="95">
        <v>20</v>
      </c>
      <c r="E24" s="95" t="s">
        <v>145</v>
      </c>
      <c r="F24" s="97" t="s">
        <v>142</v>
      </c>
      <c r="G24" s="95" t="s">
        <v>131</v>
      </c>
      <c r="H24" s="95" t="s">
        <v>135</v>
      </c>
      <c r="I24" s="95" t="s">
        <v>163</v>
      </c>
      <c r="J24" s="95">
        <v>2</v>
      </c>
      <c r="K24" s="84">
        <v>35</v>
      </c>
      <c r="L24" s="3"/>
      <c r="M24" s="3"/>
      <c r="N24" s="119">
        <f t="shared" si="3"/>
        <v>4.875</v>
      </c>
      <c r="O24" s="3">
        <v>8</v>
      </c>
      <c r="P24" s="3">
        <f t="shared" si="4"/>
        <v>39</v>
      </c>
      <c r="Q24" s="3">
        <v>27</v>
      </c>
      <c r="R24" s="3">
        <v>6</v>
      </c>
      <c r="S24" s="3">
        <v>6</v>
      </c>
      <c r="T24" s="3">
        <v>216.33</v>
      </c>
      <c r="U24" s="3">
        <v>36</v>
      </c>
      <c r="V24" s="1">
        <v>37.46</v>
      </c>
      <c r="W24" s="1">
        <v>12.43</v>
      </c>
      <c r="Y24" s="1">
        <v>178.64</v>
      </c>
      <c r="Z24" s="1">
        <f t="shared" si="5"/>
        <v>228.52999999999997</v>
      </c>
      <c r="AA24" s="1">
        <v>1006.77</v>
      </c>
      <c r="AB24" s="2"/>
      <c r="AC24" s="108" t="str">
        <f t="shared" si="1"/>
        <v>Cherry_EC6__2</v>
      </c>
      <c r="AE24" s="1">
        <v>4.1449999999999996</v>
      </c>
      <c r="AF24" s="1">
        <v>1.6990000000000001</v>
      </c>
      <c r="AH24" s="1">
        <v>14.909000000000001</v>
      </c>
      <c r="AI24" s="1">
        <f t="shared" si="6"/>
        <v>20.753</v>
      </c>
      <c r="AJ24" s="88">
        <f t="shared" si="2"/>
        <v>242.88781664656216</v>
      </c>
    </row>
    <row r="25" spans="1:36" x14ac:dyDescent="0.2">
      <c r="A25" s="96">
        <f t="shared" si="0"/>
        <v>86</v>
      </c>
      <c r="B25" s="114">
        <v>45239</v>
      </c>
      <c r="C25" s="96" t="s">
        <v>338</v>
      </c>
      <c r="D25" s="95">
        <v>20</v>
      </c>
      <c r="E25" s="95" t="s">
        <v>145</v>
      </c>
      <c r="F25" s="97" t="s">
        <v>142</v>
      </c>
      <c r="G25" s="95" t="s">
        <v>131</v>
      </c>
      <c r="H25" s="95" t="s">
        <v>135</v>
      </c>
      <c r="I25" s="95" t="s">
        <v>164</v>
      </c>
      <c r="J25" s="95">
        <v>3</v>
      </c>
      <c r="K25" s="85">
        <v>33</v>
      </c>
      <c r="N25" s="46">
        <f t="shared" si="3"/>
        <v>5.8888888888888893</v>
      </c>
      <c r="O25" s="1">
        <v>9</v>
      </c>
      <c r="P25" s="1">
        <f t="shared" si="4"/>
        <v>53</v>
      </c>
      <c r="Q25" s="1">
        <v>46</v>
      </c>
      <c r="R25" s="1">
        <v>3</v>
      </c>
      <c r="S25" s="1">
        <v>4</v>
      </c>
      <c r="T25" s="1">
        <v>244.95</v>
      </c>
      <c r="U25" s="1">
        <v>68</v>
      </c>
      <c r="V25" s="1">
        <v>57.37</v>
      </c>
      <c r="W25" s="1">
        <v>14.41</v>
      </c>
      <c r="Y25" s="1">
        <v>187.27</v>
      </c>
      <c r="Z25" s="1">
        <f t="shared" si="5"/>
        <v>259.05</v>
      </c>
      <c r="AA25" s="1">
        <v>1484.14</v>
      </c>
      <c r="AB25" s="2"/>
      <c r="AC25" s="108" t="str">
        <f t="shared" si="1"/>
        <v>Cherry_EC6__3</v>
      </c>
      <c r="AE25" s="1">
        <v>6.0650000000000004</v>
      </c>
      <c r="AF25" s="1">
        <v>2</v>
      </c>
      <c r="AH25" s="1">
        <v>16.102</v>
      </c>
      <c r="AI25" s="1">
        <f t="shared" si="6"/>
        <v>24.167000000000002</v>
      </c>
      <c r="AJ25" s="88">
        <f t="shared" si="2"/>
        <v>244.70568837592745</v>
      </c>
    </row>
    <row r="26" spans="1:36" x14ac:dyDescent="0.2">
      <c r="A26" s="96">
        <f t="shared" si="0"/>
        <v>86</v>
      </c>
      <c r="B26" s="114">
        <v>45239</v>
      </c>
      <c r="C26" s="96" t="s">
        <v>338</v>
      </c>
      <c r="D26" s="95">
        <v>20</v>
      </c>
      <c r="E26" s="95" t="s">
        <v>145</v>
      </c>
      <c r="F26" s="97" t="s">
        <v>142</v>
      </c>
      <c r="G26" s="95" t="s">
        <v>131</v>
      </c>
      <c r="H26" s="95" t="s">
        <v>135</v>
      </c>
      <c r="I26" s="95" t="s">
        <v>165</v>
      </c>
      <c r="J26" s="95">
        <v>4</v>
      </c>
      <c r="K26" s="85">
        <v>35</v>
      </c>
      <c r="N26" s="46">
        <f t="shared" si="3"/>
        <v>5.5</v>
      </c>
      <c r="O26" s="1">
        <v>10</v>
      </c>
      <c r="P26" s="1">
        <f t="shared" si="4"/>
        <v>55</v>
      </c>
      <c r="Q26" s="1">
        <v>48</v>
      </c>
      <c r="R26" s="1">
        <v>3</v>
      </c>
      <c r="S26" s="1">
        <v>4</v>
      </c>
      <c r="T26" s="1">
        <v>204</v>
      </c>
      <c r="U26" s="1">
        <v>41</v>
      </c>
      <c r="V26" s="1">
        <v>39.07</v>
      </c>
      <c r="W26" s="1">
        <v>13.29</v>
      </c>
      <c r="Y26" s="1">
        <v>164.55</v>
      </c>
      <c r="Z26" s="1">
        <f t="shared" si="5"/>
        <v>216.91000000000003</v>
      </c>
      <c r="AA26" s="1">
        <v>1059.9100000000001</v>
      </c>
      <c r="AB26" s="2"/>
      <c r="AC26" s="108" t="str">
        <f t="shared" si="1"/>
        <v>Cherry_EC6__4</v>
      </c>
      <c r="AE26" s="1">
        <v>4.226</v>
      </c>
      <c r="AF26" s="1">
        <v>1.746</v>
      </c>
      <c r="AH26" s="1">
        <v>13.287000000000001</v>
      </c>
      <c r="AI26" s="1">
        <f t="shared" si="6"/>
        <v>19.259</v>
      </c>
      <c r="AJ26" s="88">
        <f t="shared" si="2"/>
        <v>250.80690960719357</v>
      </c>
    </row>
    <row r="27" spans="1:36" x14ac:dyDescent="0.2">
      <c r="A27" s="96">
        <f t="shared" si="0"/>
        <v>86</v>
      </c>
      <c r="B27" s="114">
        <v>45239</v>
      </c>
      <c r="C27" s="96" t="s">
        <v>338</v>
      </c>
      <c r="D27" s="95">
        <v>20</v>
      </c>
      <c r="E27" s="95" t="s">
        <v>145</v>
      </c>
      <c r="F27" s="97" t="s">
        <v>142</v>
      </c>
      <c r="G27" s="95" t="s">
        <v>131</v>
      </c>
      <c r="H27" s="95" t="s">
        <v>135</v>
      </c>
      <c r="I27" s="95" t="s">
        <v>166</v>
      </c>
      <c r="J27" s="95">
        <v>5</v>
      </c>
      <c r="K27" s="85">
        <v>30</v>
      </c>
      <c r="L27" s="1">
        <v>1</v>
      </c>
      <c r="N27" s="46">
        <f t="shared" si="3"/>
        <v>3.625</v>
      </c>
      <c r="O27" s="1">
        <v>8</v>
      </c>
      <c r="P27" s="1">
        <f t="shared" si="4"/>
        <v>29</v>
      </c>
      <c r="Q27" s="1">
        <v>22</v>
      </c>
      <c r="R27" s="1">
        <v>3</v>
      </c>
      <c r="S27" s="1">
        <v>4</v>
      </c>
      <c r="T27" s="1">
        <v>137.18</v>
      </c>
      <c r="U27" s="1">
        <v>29</v>
      </c>
      <c r="V27" s="1">
        <v>27.09</v>
      </c>
      <c r="W27" s="1">
        <v>10.3</v>
      </c>
      <c r="Y27" s="1">
        <v>109.82</v>
      </c>
      <c r="Z27" s="1">
        <f t="shared" si="5"/>
        <v>147.20999999999998</v>
      </c>
      <c r="AA27" s="1">
        <v>757.03</v>
      </c>
      <c r="AB27" s="2"/>
      <c r="AC27" s="108" t="str">
        <f t="shared" si="1"/>
        <v>Cherry_EC6__5</v>
      </c>
      <c r="AE27" s="1">
        <v>2.827</v>
      </c>
      <c r="AF27" s="1">
        <v>1.218</v>
      </c>
      <c r="AH27" s="1">
        <v>7.976</v>
      </c>
      <c r="AI27" s="1">
        <f t="shared" si="6"/>
        <v>12.021000000000001</v>
      </c>
      <c r="AJ27" s="88">
        <f t="shared" si="2"/>
        <v>267.78563848602761</v>
      </c>
    </row>
    <row r="28" spans="1:36" ht="16" thickBot="1" x14ac:dyDescent="0.25">
      <c r="A28" s="102">
        <f t="shared" si="0"/>
        <v>86</v>
      </c>
      <c r="B28" s="115">
        <v>45239</v>
      </c>
      <c r="C28" s="102" t="s">
        <v>338</v>
      </c>
      <c r="D28" s="101">
        <v>20</v>
      </c>
      <c r="E28" s="101" t="s">
        <v>145</v>
      </c>
      <c r="F28" s="103" t="s">
        <v>142</v>
      </c>
      <c r="G28" s="101" t="s">
        <v>131</v>
      </c>
      <c r="H28" s="101" t="s">
        <v>135</v>
      </c>
      <c r="I28" s="101" t="s">
        <v>167</v>
      </c>
      <c r="J28" s="101">
        <v>6</v>
      </c>
      <c r="K28" s="87">
        <v>29</v>
      </c>
      <c r="L28" s="86"/>
      <c r="M28" s="86"/>
      <c r="N28" s="120">
        <f t="shared" si="3"/>
        <v>5.5714285714285712</v>
      </c>
      <c r="O28" s="86">
        <v>7</v>
      </c>
      <c r="P28" s="86">
        <f t="shared" si="4"/>
        <v>39</v>
      </c>
      <c r="Q28" s="86">
        <v>30</v>
      </c>
      <c r="R28" s="86">
        <v>1</v>
      </c>
      <c r="S28" s="86">
        <v>8</v>
      </c>
      <c r="T28" s="86">
        <v>136.96</v>
      </c>
      <c r="U28" s="86">
        <v>29</v>
      </c>
      <c r="V28" s="86">
        <v>24.08</v>
      </c>
      <c r="W28" s="86">
        <v>8.74</v>
      </c>
      <c r="X28" s="86"/>
      <c r="Y28" s="86">
        <v>109.57</v>
      </c>
      <c r="Z28" s="86">
        <f t="shared" si="5"/>
        <v>142.38999999999999</v>
      </c>
      <c r="AA28" s="86">
        <v>1110.21</v>
      </c>
      <c r="AB28" s="2"/>
      <c r="AC28" s="110" t="str">
        <f t="shared" si="1"/>
        <v>Cherry_EC6__6</v>
      </c>
      <c r="AD28" s="87"/>
      <c r="AE28" s="86">
        <v>2.4460000000000002</v>
      </c>
      <c r="AF28" s="86">
        <v>0.98199999999999998</v>
      </c>
      <c r="AG28" s="86"/>
      <c r="AH28" s="86">
        <v>8.0839999999999996</v>
      </c>
      <c r="AI28" s="86">
        <f t="shared" si="6"/>
        <v>11.512</v>
      </c>
      <c r="AJ28" s="89">
        <f t="shared" si="2"/>
        <v>453.88798037612429</v>
      </c>
    </row>
    <row r="29" spans="1:36" x14ac:dyDescent="0.2">
      <c r="A29" s="99">
        <f t="shared" si="0"/>
        <v>86</v>
      </c>
      <c r="B29" s="114">
        <v>45239</v>
      </c>
      <c r="C29" s="99" t="s">
        <v>338</v>
      </c>
      <c r="D29" s="98">
        <v>20</v>
      </c>
      <c r="E29" s="98" t="s">
        <v>146</v>
      </c>
      <c r="F29" s="100" t="s">
        <v>142</v>
      </c>
      <c r="G29" s="98" t="s">
        <v>136</v>
      </c>
      <c r="H29" s="98" t="s">
        <v>132</v>
      </c>
      <c r="I29" s="98" t="s">
        <v>168</v>
      </c>
      <c r="J29" s="95">
        <v>1</v>
      </c>
      <c r="K29" s="90">
        <v>42</v>
      </c>
      <c r="L29" s="91">
        <v>6</v>
      </c>
      <c r="M29" s="91">
        <v>10</v>
      </c>
      <c r="N29" s="118">
        <f t="shared" si="3"/>
        <v>4.0625</v>
      </c>
      <c r="O29" s="91">
        <v>16</v>
      </c>
      <c r="P29" s="91">
        <f t="shared" si="4"/>
        <v>65</v>
      </c>
      <c r="Q29" s="91">
        <f>14+25+12</f>
        <v>51</v>
      </c>
      <c r="R29" s="91">
        <v>9</v>
      </c>
      <c r="S29" s="91">
        <v>5</v>
      </c>
      <c r="T29" s="91">
        <v>362.69</v>
      </c>
      <c r="U29" s="91">
        <v>66</v>
      </c>
      <c r="V29" s="92">
        <v>83.11</v>
      </c>
      <c r="W29" s="92">
        <v>39.07</v>
      </c>
      <c r="X29" s="92">
        <v>0.82</v>
      </c>
      <c r="Y29" s="92">
        <v>239.02</v>
      </c>
      <c r="Z29" s="92">
        <f t="shared" si="5"/>
        <v>362.02</v>
      </c>
      <c r="AA29" s="1">
        <v>1955.49</v>
      </c>
      <c r="AB29" s="2"/>
      <c r="AC29" s="108" t="str">
        <f t="shared" si="1"/>
        <v>Cherry_EC3_HL_1</v>
      </c>
      <c r="AE29" s="1">
        <v>9.2390000000000008</v>
      </c>
      <c r="AF29" s="1">
        <v>5.4089999999999998</v>
      </c>
      <c r="AG29" s="1">
        <v>0.107</v>
      </c>
      <c r="AH29" s="1">
        <v>21.588999999999999</v>
      </c>
      <c r="AI29" s="1">
        <f t="shared" si="6"/>
        <v>36.343999999999994</v>
      </c>
      <c r="AJ29" s="88">
        <f t="shared" si="2"/>
        <v>211.65602337915357</v>
      </c>
    </row>
    <row r="30" spans="1:36" x14ac:dyDescent="0.2">
      <c r="A30" s="96">
        <f t="shared" si="0"/>
        <v>86</v>
      </c>
      <c r="B30" s="114">
        <v>45239</v>
      </c>
      <c r="C30" s="96" t="s">
        <v>338</v>
      </c>
      <c r="D30" s="95">
        <v>20</v>
      </c>
      <c r="E30" s="95" t="s">
        <v>146</v>
      </c>
      <c r="F30" s="97" t="s">
        <v>142</v>
      </c>
      <c r="G30" s="95" t="s">
        <v>136</v>
      </c>
      <c r="H30" s="95" t="s">
        <v>132</v>
      </c>
      <c r="I30" s="95" t="s">
        <v>169</v>
      </c>
      <c r="J30" s="95">
        <v>2</v>
      </c>
      <c r="K30" s="84">
        <v>36</v>
      </c>
      <c r="L30" s="3"/>
      <c r="M30" s="3"/>
      <c r="N30" s="119">
        <f t="shared" si="3"/>
        <v>2.25</v>
      </c>
      <c r="O30" s="1">
        <v>16</v>
      </c>
      <c r="P30" s="3">
        <f t="shared" si="4"/>
        <v>36</v>
      </c>
      <c r="Q30" s="1">
        <v>21</v>
      </c>
      <c r="R30" s="1">
        <v>12</v>
      </c>
      <c r="S30" s="1">
        <v>3</v>
      </c>
      <c r="T30" s="1">
        <v>329.3</v>
      </c>
      <c r="U30" s="1">
        <v>51</v>
      </c>
      <c r="V30" s="1">
        <v>51.36</v>
      </c>
      <c r="W30" s="1">
        <v>24.02</v>
      </c>
      <c r="Y30" s="1">
        <v>253.46</v>
      </c>
      <c r="Z30" s="1">
        <f t="shared" si="5"/>
        <v>328.84000000000003</v>
      </c>
      <c r="AA30" s="1">
        <v>1326.65</v>
      </c>
      <c r="AB30" s="2"/>
      <c r="AC30" s="108" t="str">
        <f t="shared" si="1"/>
        <v>Cherry_EC3_HL_2</v>
      </c>
      <c r="AE30" s="1">
        <v>5.5110000000000001</v>
      </c>
      <c r="AF30" s="1">
        <v>3.0710000000000002</v>
      </c>
      <c r="AH30" s="1">
        <v>20.302</v>
      </c>
      <c r="AI30" s="1">
        <f t="shared" si="6"/>
        <v>28.884</v>
      </c>
      <c r="AJ30" s="88">
        <f t="shared" si="2"/>
        <v>240.7276356378153</v>
      </c>
    </row>
    <row r="31" spans="1:36" x14ac:dyDescent="0.2">
      <c r="A31" s="96">
        <f t="shared" si="0"/>
        <v>86</v>
      </c>
      <c r="B31" s="114">
        <v>45239</v>
      </c>
      <c r="C31" s="96" t="s">
        <v>338</v>
      </c>
      <c r="D31" s="95">
        <v>20</v>
      </c>
      <c r="E31" s="95" t="s">
        <v>146</v>
      </c>
      <c r="F31" s="97" t="s">
        <v>142</v>
      </c>
      <c r="G31" s="95" t="s">
        <v>136</v>
      </c>
      <c r="H31" s="95" t="s">
        <v>132</v>
      </c>
      <c r="I31" s="95" t="s">
        <v>170</v>
      </c>
      <c r="J31" s="95">
        <v>3</v>
      </c>
      <c r="K31" s="85">
        <v>36</v>
      </c>
      <c r="L31" s="1">
        <v>7</v>
      </c>
      <c r="M31" s="1">
        <v>2</v>
      </c>
      <c r="N31" s="46">
        <f t="shared" si="3"/>
        <v>4.5714285714285712</v>
      </c>
      <c r="O31" s="1">
        <v>7</v>
      </c>
      <c r="P31" s="1">
        <f t="shared" si="4"/>
        <v>32</v>
      </c>
      <c r="Q31" s="1">
        <v>13</v>
      </c>
      <c r="R31" s="1">
        <v>10</v>
      </c>
      <c r="S31" s="1">
        <v>9</v>
      </c>
      <c r="T31" s="1">
        <v>280.18</v>
      </c>
      <c r="U31" s="1">
        <v>43</v>
      </c>
      <c r="V31" s="1">
        <v>50.58</v>
      </c>
      <c r="W31" s="1">
        <v>22.63</v>
      </c>
      <c r="X31" s="1">
        <v>1.1299999999999999</v>
      </c>
      <c r="Y31" s="1">
        <v>205.32</v>
      </c>
      <c r="Z31" s="1">
        <f t="shared" si="5"/>
        <v>279.65999999999997</v>
      </c>
      <c r="AA31" s="1">
        <v>1309.52</v>
      </c>
      <c r="AB31" s="2"/>
      <c r="AC31" s="108" t="str">
        <f t="shared" si="1"/>
        <v>Cherry_EC3_HL_3</v>
      </c>
      <c r="AE31" s="1">
        <v>5.3959999999999999</v>
      </c>
      <c r="AF31" s="1">
        <v>2.67</v>
      </c>
      <c r="AG31" s="1">
        <v>0.14299999999999999</v>
      </c>
      <c r="AH31" s="1">
        <v>16.242999999999999</v>
      </c>
      <c r="AI31" s="1">
        <f t="shared" si="6"/>
        <v>24.451999999999998</v>
      </c>
      <c r="AJ31" s="88">
        <f t="shared" si="2"/>
        <v>242.68346923647147</v>
      </c>
    </row>
    <row r="32" spans="1:36" x14ac:dyDescent="0.2">
      <c r="A32" s="96">
        <f t="shared" si="0"/>
        <v>86</v>
      </c>
      <c r="B32" s="114">
        <v>45239</v>
      </c>
      <c r="C32" s="96" t="s">
        <v>338</v>
      </c>
      <c r="D32" s="95">
        <v>20</v>
      </c>
      <c r="E32" s="95" t="s">
        <v>146</v>
      </c>
      <c r="F32" s="97" t="s">
        <v>142</v>
      </c>
      <c r="G32" s="95" t="s">
        <v>136</v>
      </c>
      <c r="H32" s="95" t="s">
        <v>132</v>
      </c>
      <c r="I32" s="95" t="s">
        <v>171</v>
      </c>
      <c r="J32" s="95">
        <v>4</v>
      </c>
      <c r="K32" s="85">
        <v>27</v>
      </c>
      <c r="N32" s="46">
        <f t="shared" si="3"/>
        <v>3.5</v>
      </c>
      <c r="O32" s="1">
        <v>14</v>
      </c>
      <c r="P32" s="1">
        <f t="shared" si="4"/>
        <v>49</v>
      </c>
      <c r="Q32" s="1">
        <v>33</v>
      </c>
      <c r="R32" s="1">
        <v>2</v>
      </c>
      <c r="S32" s="1">
        <v>14</v>
      </c>
      <c r="T32" s="1">
        <v>308.38</v>
      </c>
      <c r="U32" s="1">
        <v>39</v>
      </c>
      <c r="V32" s="1">
        <v>40.840000000000003</v>
      </c>
      <c r="W32" s="1">
        <v>16.95</v>
      </c>
      <c r="Y32" s="1">
        <v>249.61</v>
      </c>
      <c r="Z32" s="1">
        <f t="shared" si="5"/>
        <v>307.40000000000003</v>
      </c>
      <c r="AA32" s="1">
        <v>1059.43</v>
      </c>
      <c r="AB32" s="2"/>
      <c r="AC32" s="108" t="str">
        <f t="shared" si="1"/>
        <v>Cherry_EC3_HL_4</v>
      </c>
      <c r="AE32" s="1">
        <v>4.4340000000000002</v>
      </c>
      <c r="AF32" s="1">
        <v>2.0859999999999999</v>
      </c>
      <c r="AH32" s="1">
        <v>19.716999999999999</v>
      </c>
      <c r="AI32" s="1">
        <f t="shared" si="6"/>
        <v>26.236999999999998</v>
      </c>
      <c r="AJ32" s="88">
        <f t="shared" si="2"/>
        <v>238.93324312133515</v>
      </c>
    </row>
    <row r="33" spans="1:36" x14ac:dyDescent="0.2">
      <c r="A33" s="96">
        <f t="shared" si="0"/>
        <v>86</v>
      </c>
      <c r="B33" s="114">
        <v>45239</v>
      </c>
      <c r="C33" s="96" t="s">
        <v>338</v>
      </c>
      <c r="D33" s="95">
        <v>20</v>
      </c>
      <c r="E33" s="95" t="s">
        <v>146</v>
      </c>
      <c r="F33" s="97" t="s">
        <v>142</v>
      </c>
      <c r="G33" s="95" t="s">
        <v>136</v>
      </c>
      <c r="H33" s="95" t="s">
        <v>132</v>
      </c>
      <c r="I33" s="95" t="s">
        <v>172</v>
      </c>
      <c r="J33" s="95">
        <v>5</v>
      </c>
      <c r="K33" s="85">
        <v>37</v>
      </c>
      <c r="N33" s="46">
        <f t="shared" si="3"/>
        <v>3.8823529411764706</v>
      </c>
      <c r="O33" s="3">
        <v>17</v>
      </c>
      <c r="P33" s="1">
        <f t="shared" si="4"/>
        <v>66</v>
      </c>
      <c r="Q33" s="3">
        <v>46</v>
      </c>
      <c r="R33" s="3">
        <v>9</v>
      </c>
      <c r="S33" s="3">
        <v>11</v>
      </c>
      <c r="T33" s="3">
        <v>441.85</v>
      </c>
      <c r="U33" s="3">
        <v>74</v>
      </c>
      <c r="V33" s="1">
        <v>73.319999999999993</v>
      </c>
      <c r="W33" s="1">
        <v>25.73</v>
      </c>
      <c r="Y33" s="1">
        <v>341.37</v>
      </c>
      <c r="Z33" s="1">
        <f t="shared" si="5"/>
        <v>440.42</v>
      </c>
      <c r="AA33" s="1">
        <v>1829.3</v>
      </c>
      <c r="AB33" s="2"/>
      <c r="AC33" s="108" t="str">
        <f t="shared" si="1"/>
        <v>Cherry_EC3_HL_5</v>
      </c>
      <c r="AE33" s="1">
        <v>8.2959999999999994</v>
      </c>
      <c r="AF33" s="1">
        <v>3.4790000000000001</v>
      </c>
      <c r="AH33" s="1">
        <v>26.713999999999999</v>
      </c>
      <c r="AI33" s="1">
        <f t="shared" si="6"/>
        <v>38.488999999999997</v>
      </c>
      <c r="AJ33" s="88">
        <f t="shared" si="2"/>
        <v>220.50385728061718</v>
      </c>
    </row>
    <row r="34" spans="1:36" ht="16" thickBot="1" x14ac:dyDescent="0.25">
      <c r="A34" s="102">
        <f t="shared" si="0"/>
        <v>86</v>
      </c>
      <c r="B34" s="115">
        <v>45239</v>
      </c>
      <c r="C34" s="102" t="s">
        <v>338</v>
      </c>
      <c r="D34" s="101">
        <v>20</v>
      </c>
      <c r="E34" s="101" t="s">
        <v>146</v>
      </c>
      <c r="F34" s="103" t="s">
        <v>142</v>
      </c>
      <c r="G34" s="101" t="s">
        <v>136</v>
      </c>
      <c r="H34" s="101" t="s">
        <v>132</v>
      </c>
      <c r="I34" s="101" t="s">
        <v>173</v>
      </c>
      <c r="J34" s="101">
        <v>6</v>
      </c>
      <c r="K34" s="87">
        <v>36</v>
      </c>
      <c r="L34" s="86">
        <v>2</v>
      </c>
      <c r="M34" s="86">
        <v>7</v>
      </c>
      <c r="N34" s="120">
        <f t="shared" si="3"/>
        <v>3.1666666666666665</v>
      </c>
      <c r="O34" s="86">
        <v>12</v>
      </c>
      <c r="P34" s="86">
        <f t="shared" si="4"/>
        <v>38</v>
      </c>
      <c r="Q34" s="86">
        <v>22</v>
      </c>
      <c r="R34" s="86">
        <v>7</v>
      </c>
      <c r="S34" s="86">
        <v>9</v>
      </c>
      <c r="T34" s="86">
        <v>335.01</v>
      </c>
      <c r="U34" s="86">
        <v>44</v>
      </c>
      <c r="V34" s="86">
        <v>57.74</v>
      </c>
      <c r="W34" s="86">
        <v>25.21</v>
      </c>
      <c r="X34" s="86">
        <v>7.0000000000000007E-2</v>
      </c>
      <c r="Y34" s="86">
        <v>251.2</v>
      </c>
      <c r="Z34" s="86">
        <f t="shared" si="5"/>
        <v>334.21999999999997</v>
      </c>
      <c r="AA34" s="86">
        <v>1479.36</v>
      </c>
      <c r="AB34" s="2"/>
      <c r="AC34" s="110" t="str">
        <f t="shared" si="1"/>
        <v>Cherry_EC3_HL_6</v>
      </c>
      <c r="AD34" s="87"/>
      <c r="AE34" s="86">
        <v>6.4619999999999997</v>
      </c>
      <c r="AF34" s="86">
        <v>3.4129999999999998</v>
      </c>
      <c r="AG34" s="86">
        <v>3.9E-2</v>
      </c>
      <c r="AH34" s="86">
        <v>21.32</v>
      </c>
      <c r="AI34" s="86">
        <f t="shared" si="6"/>
        <v>31.234000000000002</v>
      </c>
      <c r="AJ34" s="89">
        <f t="shared" si="2"/>
        <v>228.9322191272052</v>
      </c>
    </row>
    <row r="35" spans="1:36" x14ac:dyDescent="0.2">
      <c r="A35" s="99">
        <f t="shared" si="0"/>
        <v>86</v>
      </c>
      <c r="B35" s="114">
        <v>45239</v>
      </c>
      <c r="C35" s="99" t="s">
        <v>338</v>
      </c>
      <c r="D35" s="98">
        <v>20</v>
      </c>
      <c r="E35" s="98" t="s">
        <v>147</v>
      </c>
      <c r="F35" s="100" t="s">
        <v>142</v>
      </c>
      <c r="G35" s="98" t="s">
        <v>136</v>
      </c>
      <c r="H35" s="98" t="s">
        <v>133</v>
      </c>
      <c r="I35" s="98" t="s">
        <v>174</v>
      </c>
      <c r="J35" s="95">
        <v>1</v>
      </c>
      <c r="K35" s="90">
        <v>36</v>
      </c>
      <c r="L35" s="91"/>
      <c r="M35" s="91"/>
      <c r="N35" s="118">
        <f t="shared" si="3"/>
        <v>4.5294117647058822</v>
      </c>
      <c r="O35" s="91">
        <v>17</v>
      </c>
      <c r="P35" s="91">
        <f t="shared" si="4"/>
        <v>77</v>
      </c>
      <c r="Q35" s="91">
        <f>2+3+42+10+8</f>
        <v>65</v>
      </c>
      <c r="R35" s="91">
        <v>7</v>
      </c>
      <c r="S35" s="91">
        <v>5</v>
      </c>
      <c r="T35" s="91">
        <v>371.22</v>
      </c>
      <c r="U35" s="91">
        <v>64</v>
      </c>
      <c r="V35" s="92">
        <v>65.27</v>
      </c>
      <c r="W35" s="92">
        <v>26.8</v>
      </c>
      <c r="X35" s="92"/>
      <c r="Y35" s="92">
        <v>277.91000000000003</v>
      </c>
      <c r="Z35" s="92">
        <f t="shared" si="5"/>
        <v>369.98</v>
      </c>
      <c r="AA35" s="1">
        <v>1673.36</v>
      </c>
      <c r="AB35" s="2"/>
      <c r="AC35" s="108" t="str">
        <f t="shared" si="1"/>
        <v>Cherry_EC3_ML_1</v>
      </c>
      <c r="AE35" s="1">
        <v>7.1230000000000002</v>
      </c>
      <c r="AF35" s="1">
        <v>3.3959999999999999</v>
      </c>
      <c r="AH35" s="1">
        <v>23.587</v>
      </c>
      <c r="AI35" s="1">
        <f t="shared" si="6"/>
        <v>34.106000000000002</v>
      </c>
      <c r="AJ35" s="88">
        <f t="shared" si="2"/>
        <v>234.92348729467918</v>
      </c>
    </row>
    <row r="36" spans="1:36" x14ac:dyDescent="0.2">
      <c r="A36" s="96">
        <f t="shared" si="0"/>
        <v>86</v>
      </c>
      <c r="B36" s="114">
        <v>45239</v>
      </c>
      <c r="C36" s="96" t="s">
        <v>338</v>
      </c>
      <c r="D36" s="95">
        <v>20</v>
      </c>
      <c r="E36" s="95" t="s">
        <v>147</v>
      </c>
      <c r="F36" s="97" t="s">
        <v>142</v>
      </c>
      <c r="G36" s="95" t="s">
        <v>136</v>
      </c>
      <c r="H36" s="95" t="s">
        <v>133</v>
      </c>
      <c r="I36" s="95" t="s">
        <v>175</v>
      </c>
      <c r="J36" s="95">
        <v>2</v>
      </c>
      <c r="K36" s="84">
        <v>26</v>
      </c>
      <c r="L36" s="3">
        <v>1</v>
      </c>
      <c r="M36" s="3"/>
      <c r="N36" s="119">
        <f t="shared" si="3"/>
        <v>3.2222222222222223</v>
      </c>
      <c r="O36" s="3">
        <v>9</v>
      </c>
      <c r="P36" s="3">
        <f t="shared" si="4"/>
        <v>29</v>
      </c>
      <c r="Q36" s="3">
        <v>10</v>
      </c>
      <c r="R36" s="3">
        <v>11</v>
      </c>
      <c r="S36" s="3">
        <v>8</v>
      </c>
      <c r="T36" s="3">
        <v>267.23</v>
      </c>
      <c r="U36" s="3">
        <v>35</v>
      </c>
      <c r="V36" s="1">
        <v>44.85</v>
      </c>
      <c r="W36" s="1">
        <v>20.81</v>
      </c>
      <c r="X36" s="1">
        <v>0.13</v>
      </c>
      <c r="Y36" s="1">
        <v>201.12</v>
      </c>
      <c r="Z36" s="1">
        <f t="shared" si="5"/>
        <v>266.90999999999997</v>
      </c>
      <c r="AA36" s="1">
        <v>1200.08</v>
      </c>
      <c r="AB36" s="2"/>
      <c r="AC36" s="108" t="str">
        <f t="shared" si="1"/>
        <v>Cherry_EC3_ML_2</v>
      </c>
      <c r="AE36" s="1">
        <v>4.7690000000000001</v>
      </c>
      <c r="AF36" s="1">
        <v>2.97</v>
      </c>
      <c r="AG36" s="1">
        <v>1.0999999999999999E-2</v>
      </c>
      <c r="AH36" s="1">
        <v>15.618</v>
      </c>
      <c r="AI36" s="1">
        <f t="shared" si="6"/>
        <v>23.368000000000002</v>
      </c>
      <c r="AJ36" s="88">
        <f t="shared" si="2"/>
        <v>251.64185363807923</v>
      </c>
    </row>
    <row r="37" spans="1:36" x14ac:dyDescent="0.2">
      <c r="A37" s="96">
        <f t="shared" si="0"/>
        <v>86</v>
      </c>
      <c r="B37" s="114">
        <v>45239</v>
      </c>
      <c r="C37" s="96" t="s">
        <v>338</v>
      </c>
      <c r="D37" s="95">
        <v>20</v>
      </c>
      <c r="E37" s="95" t="s">
        <v>147</v>
      </c>
      <c r="F37" s="97" t="s">
        <v>142</v>
      </c>
      <c r="G37" s="95" t="s">
        <v>136</v>
      </c>
      <c r="H37" s="95" t="s">
        <v>133</v>
      </c>
      <c r="I37" s="95" t="s">
        <v>176</v>
      </c>
      <c r="J37" s="95">
        <v>3</v>
      </c>
      <c r="K37" s="85">
        <v>41</v>
      </c>
      <c r="M37" s="1">
        <v>8</v>
      </c>
      <c r="N37" s="46">
        <f t="shared" si="3"/>
        <v>4.3076923076923075</v>
      </c>
      <c r="O37" s="1">
        <v>26</v>
      </c>
      <c r="P37" s="1">
        <f t="shared" si="4"/>
        <v>112</v>
      </c>
      <c r="Q37" s="1">
        <f>37+29+6+30</f>
        <v>102</v>
      </c>
      <c r="R37" s="1">
        <v>7</v>
      </c>
      <c r="S37" s="1">
        <v>3</v>
      </c>
      <c r="T37" s="1">
        <v>402.92</v>
      </c>
      <c r="U37" s="1">
        <v>63</v>
      </c>
      <c r="V37" s="1">
        <v>94.51</v>
      </c>
      <c r="W37" s="1">
        <v>38.25</v>
      </c>
      <c r="Y37" s="1">
        <v>269.31</v>
      </c>
      <c r="Z37" s="1">
        <f t="shared" si="5"/>
        <v>402.07</v>
      </c>
      <c r="AA37" s="159">
        <v>1287.8499999999999</v>
      </c>
      <c r="AB37" s="2"/>
      <c r="AC37" s="108" t="str">
        <f t="shared" si="1"/>
        <v>Cherry_EC3_ML_3</v>
      </c>
      <c r="AE37" s="1">
        <v>10.132</v>
      </c>
      <c r="AF37" s="1">
        <v>5.0030000000000001</v>
      </c>
      <c r="AH37" s="1">
        <v>25.231000000000002</v>
      </c>
      <c r="AI37" s="1">
        <f t="shared" si="6"/>
        <v>40.366</v>
      </c>
      <c r="AJ37" s="88">
        <f t="shared" si="2"/>
        <v>127.10718515594156</v>
      </c>
    </row>
    <row r="38" spans="1:36" x14ac:dyDescent="0.2">
      <c r="A38" s="96">
        <f t="shared" si="0"/>
        <v>86</v>
      </c>
      <c r="B38" s="114">
        <v>45239</v>
      </c>
      <c r="C38" s="96" t="s">
        <v>338</v>
      </c>
      <c r="D38" s="95">
        <v>20</v>
      </c>
      <c r="E38" s="95" t="s">
        <v>147</v>
      </c>
      <c r="F38" s="97" t="s">
        <v>142</v>
      </c>
      <c r="G38" s="95" t="s">
        <v>136</v>
      </c>
      <c r="H38" s="95" t="s">
        <v>133</v>
      </c>
      <c r="I38" s="95" t="s">
        <v>177</v>
      </c>
      <c r="J38" s="95">
        <v>4</v>
      </c>
      <c r="K38" s="85">
        <v>32</v>
      </c>
      <c r="N38" s="46">
        <f t="shared" si="3"/>
        <v>5.25</v>
      </c>
      <c r="O38" s="1">
        <v>8</v>
      </c>
      <c r="P38" s="1">
        <f t="shared" si="4"/>
        <v>42</v>
      </c>
      <c r="Q38" s="1">
        <f>15+4</f>
        <v>19</v>
      </c>
      <c r="R38" s="1">
        <v>15</v>
      </c>
      <c r="S38" s="1">
        <v>8</v>
      </c>
      <c r="T38" s="1">
        <v>266.44</v>
      </c>
      <c r="U38" s="1">
        <v>41</v>
      </c>
      <c r="V38" s="1">
        <v>44.19</v>
      </c>
      <c r="W38" s="1">
        <v>18.29</v>
      </c>
      <c r="Y38" s="1">
        <v>203.56</v>
      </c>
      <c r="Z38" s="1">
        <f t="shared" si="5"/>
        <v>266.04000000000002</v>
      </c>
      <c r="AA38" s="1">
        <v>1114.1500000000001</v>
      </c>
      <c r="AB38" s="2"/>
      <c r="AC38" s="108" t="str">
        <f t="shared" si="1"/>
        <v>Cherry_EC3_ML_4</v>
      </c>
      <c r="AE38" s="1">
        <v>4.431</v>
      </c>
      <c r="AF38" s="1">
        <v>2.1709999999999998</v>
      </c>
      <c r="AH38" s="1">
        <v>15.343</v>
      </c>
      <c r="AI38" s="1">
        <f t="shared" si="6"/>
        <v>21.945</v>
      </c>
      <c r="AJ38" s="88">
        <f t="shared" si="2"/>
        <v>251.44436921688109</v>
      </c>
    </row>
    <row r="39" spans="1:36" x14ac:dyDescent="0.2">
      <c r="A39" s="96">
        <f t="shared" si="0"/>
        <v>86</v>
      </c>
      <c r="B39" s="114">
        <v>45239</v>
      </c>
      <c r="C39" s="96" t="s">
        <v>338</v>
      </c>
      <c r="D39" s="95">
        <v>20</v>
      </c>
      <c r="E39" s="95" t="s">
        <v>147</v>
      </c>
      <c r="F39" s="97" t="s">
        <v>142</v>
      </c>
      <c r="G39" s="95" t="s">
        <v>136</v>
      </c>
      <c r="H39" s="95" t="s">
        <v>133</v>
      </c>
      <c r="I39" s="95" t="s">
        <v>178</v>
      </c>
      <c r="J39" s="95">
        <v>5</v>
      </c>
      <c r="K39" s="85">
        <v>39</v>
      </c>
      <c r="L39" s="1">
        <v>4</v>
      </c>
      <c r="N39" s="46">
        <f t="shared" si="3"/>
        <v>5.2857142857142856</v>
      </c>
      <c r="O39" s="1">
        <v>14</v>
      </c>
      <c r="P39" s="1">
        <f t="shared" si="4"/>
        <v>74</v>
      </c>
      <c r="Q39" s="1">
        <f>3+25+6+15+12</f>
        <v>61</v>
      </c>
      <c r="R39" s="1">
        <v>9</v>
      </c>
      <c r="S39" s="1">
        <v>4</v>
      </c>
      <c r="T39" s="1">
        <v>368.81</v>
      </c>
      <c r="U39" s="1">
        <v>67</v>
      </c>
      <c r="V39" s="1">
        <v>89.28</v>
      </c>
      <c r="W39" s="1">
        <v>37.270000000000003</v>
      </c>
      <c r="X39" s="1">
        <v>0.25</v>
      </c>
      <c r="Y39" s="1">
        <v>242.45</v>
      </c>
      <c r="Z39" s="1">
        <f t="shared" si="5"/>
        <v>369.25</v>
      </c>
      <c r="AA39" s="1">
        <v>2195.4</v>
      </c>
      <c r="AB39" s="2"/>
      <c r="AC39" s="108" t="str">
        <f t="shared" si="1"/>
        <v>Cherry_EC3_ML_5</v>
      </c>
      <c r="AE39" s="1">
        <v>9.0879999999999992</v>
      </c>
      <c r="AF39" s="1">
        <v>4.4909999999999997</v>
      </c>
      <c r="AG39" s="1">
        <v>3.9E-2</v>
      </c>
      <c r="AH39" s="1">
        <v>21.456</v>
      </c>
      <c r="AI39" s="1">
        <f t="shared" si="6"/>
        <v>35.073999999999998</v>
      </c>
      <c r="AJ39" s="88">
        <f t="shared" si="2"/>
        <v>241.57130281690144</v>
      </c>
    </row>
    <row r="40" spans="1:36" ht="16" thickBot="1" x14ac:dyDescent="0.25">
      <c r="A40" s="102">
        <f t="shared" si="0"/>
        <v>86</v>
      </c>
      <c r="B40" s="115">
        <v>45239</v>
      </c>
      <c r="C40" s="102" t="s">
        <v>338</v>
      </c>
      <c r="D40" s="101">
        <v>20</v>
      </c>
      <c r="E40" s="101" t="s">
        <v>147</v>
      </c>
      <c r="F40" s="103" t="s">
        <v>142</v>
      </c>
      <c r="G40" s="101" t="s">
        <v>136</v>
      </c>
      <c r="H40" s="101" t="s">
        <v>133</v>
      </c>
      <c r="I40" s="101" t="s">
        <v>179</v>
      </c>
      <c r="J40" s="101">
        <v>6</v>
      </c>
      <c r="K40" s="87">
        <v>39</v>
      </c>
      <c r="L40" s="86">
        <v>2</v>
      </c>
      <c r="M40" s="86">
        <v>5</v>
      </c>
      <c r="N40" s="120">
        <f t="shared" si="3"/>
        <v>5</v>
      </c>
      <c r="O40" s="86">
        <v>11</v>
      </c>
      <c r="P40" s="86">
        <f t="shared" si="4"/>
        <v>55</v>
      </c>
      <c r="Q40" s="86">
        <f>19+16+15</f>
        <v>50</v>
      </c>
      <c r="R40" s="86">
        <v>4</v>
      </c>
      <c r="S40" s="86">
        <v>1</v>
      </c>
      <c r="T40" s="86">
        <v>197.16</v>
      </c>
      <c r="U40" s="86">
        <v>42</v>
      </c>
      <c r="V40" s="86">
        <v>45.49</v>
      </c>
      <c r="W40" s="86">
        <v>21.17</v>
      </c>
      <c r="X40" s="86">
        <v>0.31</v>
      </c>
      <c r="Y40" s="86">
        <v>129.9</v>
      </c>
      <c r="Z40" s="86">
        <f t="shared" si="5"/>
        <v>196.87</v>
      </c>
      <c r="AA40" s="86">
        <v>1212.49</v>
      </c>
      <c r="AB40" s="2"/>
      <c r="AC40" s="110" t="str">
        <f t="shared" si="1"/>
        <v>Cherry_EC3_ML_6</v>
      </c>
      <c r="AD40" s="87"/>
      <c r="AE40" s="86">
        <v>4.46</v>
      </c>
      <c r="AF40" s="86">
        <v>2.2440000000000002</v>
      </c>
      <c r="AG40" s="86">
        <v>0.04</v>
      </c>
      <c r="AH40" s="86">
        <v>10.428000000000001</v>
      </c>
      <c r="AI40" s="86">
        <f t="shared" si="6"/>
        <v>17.172000000000001</v>
      </c>
      <c r="AJ40" s="89">
        <f t="shared" si="2"/>
        <v>271.85874439461884</v>
      </c>
    </row>
    <row r="41" spans="1:36" x14ac:dyDescent="0.2">
      <c r="A41" s="99">
        <f t="shared" si="0"/>
        <v>86</v>
      </c>
      <c r="B41" s="114">
        <v>45239</v>
      </c>
      <c r="C41" s="99" t="s">
        <v>338</v>
      </c>
      <c r="D41" s="98">
        <v>20</v>
      </c>
      <c r="E41" s="98" t="s">
        <v>148</v>
      </c>
      <c r="F41" s="100" t="s">
        <v>142</v>
      </c>
      <c r="G41" s="98" t="s">
        <v>136</v>
      </c>
      <c r="H41" s="98" t="s">
        <v>134</v>
      </c>
      <c r="I41" s="98" t="s">
        <v>180</v>
      </c>
      <c r="J41" s="95">
        <v>1</v>
      </c>
      <c r="K41" s="90">
        <v>33</v>
      </c>
      <c r="L41" s="91">
        <v>2</v>
      </c>
      <c r="M41" s="91">
        <v>1</v>
      </c>
      <c r="N41" s="118">
        <f t="shared" si="3"/>
        <v>5.125</v>
      </c>
      <c r="O41" s="91">
        <v>8</v>
      </c>
      <c r="P41" s="91">
        <f t="shared" si="4"/>
        <v>41</v>
      </c>
      <c r="Q41" s="91">
        <v>30</v>
      </c>
      <c r="R41" s="91">
        <v>7</v>
      </c>
      <c r="S41" s="91">
        <v>4</v>
      </c>
      <c r="T41" s="91">
        <v>238.9</v>
      </c>
      <c r="U41" s="91">
        <v>45</v>
      </c>
      <c r="V41" s="92">
        <v>52.64</v>
      </c>
      <c r="W41" s="92">
        <v>18.059999999999999</v>
      </c>
      <c r="X41" s="92"/>
      <c r="Y41" s="92">
        <v>184.74</v>
      </c>
      <c r="Z41" s="92">
        <f t="shared" si="5"/>
        <v>255.44</v>
      </c>
      <c r="AA41" s="1">
        <v>1384.1</v>
      </c>
      <c r="AB41" s="2"/>
      <c r="AC41" s="108" t="str">
        <f t="shared" si="1"/>
        <v>Cherry_EC3_LL_1</v>
      </c>
      <c r="AE41" s="1">
        <v>5.1379999999999999</v>
      </c>
      <c r="AF41" s="1">
        <v>1.9765999999999999</v>
      </c>
      <c r="AG41" s="1">
        <v>1.2E-2</v>
      </c>
      <c r="AH41" s="1">
        <v>13.151999999999999</v>
      </c>
      <c r="AI41" s="1">
        <f t="shared" si="6"/>
        <v>20.278599999999997</v>
      </c>
      <c r="AJ41" s="88">
        <f t="shared" si="2"/>
        <v>269.38497469832618</v>
      </c>
    </row>
    <row r="42" spans="1:36" x14ac:dyDescent="0.2">
      <c r="A42" s="96">
        <f t="shared" si="0"/>
        <v>86</v>
      </c>
      <c r="B42" s="114">
        <v>45239</v>
      </c>
      <c r="C42" s="96" t="s">
        <v>338</v>
      </c>
      <c r="D42" s="95">
        <v>20</v>
      </c>
      <c r="E42" s="95" t="s">
        <v>148</v>
      </c>
      <c r="F42" s="97" t="s">
        <v>142</v>
      </c>
      <c r="G42" s="95" t="s">
        <v>136</v>
      </c>
      <c r="H42" s="95" t="s">
        <v>134</v>
      </c>
      <c r="I42" s="95" t="s">
        <v>181</v>
      </c>
      <c r="J42" s="95">
        <v>2</v>
      </c>
      <c r="K42" s="84">
        <v>33</v>
      </c>
      <c r="L42" s="3"/>
      <c r="M42" s="3"/>
      <c r="N42" s="119">
        <f t="shared" si="3"/>
        <v>6.375</v>
      </c>
      <c r="O42" s="3">
        <v>8</v>
      </c>
      <c r="P42" s="3">
        <f t="shared" si="4"/>
        <v>51</v>
      </c>
      <c r="Q42" s="3">
        <v>39</v>
      </c>
      <c r="R42" s="3">
        <v>9</v>
      </c>
      <c r="S42" s="3">
        <v>3</v>
      </c>
      <c r="T42" s="3">
        <v>283.22000000000003</v>
      </c>
      <c r="U42" s="3">
        <v>41</v>
      </c>
      <c r="V42" s="1">
        <v>51.02</v>
      </c>
      <c r="W42" s="1">
        <v>18.399999999999999</v>
      </c>
      <c r="Y42" s="1">
        <v>231.67</v>
      </c>
      <c r="Z42" s="1">
        <f t="shared" si="5"/>
        <v>301.08999999999997</v>
      </c>
      <c r="AA42" s="1">
        <v>1352.28</v>
      </c>
      <c r="AB42" s="2"/>
      <c r="AC42" s="108" t="str">
        <f t="shared" si="1"/>
        <v>Cherry_EC3_LL_2</v>
      </c>
      <c r="AE42" s="1">
        <v>5.516</v>
      </c>
      <c r="AF42" s="1">
        <v>2.2909999999999999</v>
      </c>
      <c r="AH42" s="1">
        <v>17.416</v>
      </c>
      <c r="AI42" s="1">
        <f t="shared" si="6"/>
        <v>25.222999999999999</v>
      </c>
      <c r="AJ42" s="88">
        <f t="shared" si="2"/>
        <v>245.15591007976795</v>
      </c>
    </row>
    <row r="43" spans="1:36" x14ac:dyDescent="0.2">
      <c r="A43" s="96">
        <f t="shared" si="0"/>
        <v>86</v>
      </c>
      <c r="B43" s="114">
        <v>45239</v>
      </c>
      <c r="C43" s="96" t="s">
        <v>338</v>
      </c>
      <c r="D43" s="95">
        <v>20</v>
      </c>
      <c r="E43" s="95" t="s">
        <v>148</v>
      </c>
      <c r="F43" s="97" t="s">
        <v>142</v>
      </c>
      <c r="G43" s="95" t="s">
        <v>136</v>
      </c>
      <c r="H43" s="95" t="s">
        <v>134</v>
      </c>
      <c r="I43" s="95" t="s">
        <v>182</v>
      </c>
      <c r="J43" s="95">
        <v>3</v>
      </c>
      <c r="K43" s="85">
        <v>32</v>
      </c>
      <c r="N43" s="46">
        <f t="shared" si="3"/>
        <v>4.5999999999999996</v>
      </c>
      <c r="O43" s="1">
        <v>10</v>
      </c>
      <c r="P43" s="1">
        <f t="shared" si="4"/>
        <v>46</v>
      </c>
      <c r="Q43" s="1">
        <v>37</v>
      </c>
      <c r="R43" s="1">
        <v>3</v>
      </c>
      <c r="S43" s="1">
        <v>6</v>
      </c>
      <c r="T43" s="1">
        <v>180.33</v>
      </c>
      <c r="U43" s="1">
        <v>26</v>
      </c>
      <c r="V43" s="1">
        <v>35.18</v>
      </c>
      <c r="W43" s="1">
        <v>12.77</v>
      </c>
      <c r="Y43" s="1">
        <v>144.85</v>
      </c>
      <c r="Z43" s="1">
        <f t="shared" si="5"/>
        <v>192.8</v>
      </c>
      <c r="AA43" s="1">
        <v>971.42</v>
      </c>
      <c r="AB43" s="2"/>
      <c r="AC43" s="108" t="str">
        <f t="shared" si="1"/>
        <v>Cherry_EC3_LL_3</v>
      </c>
      <c r="AE43" s="1">
        <v>3.206</v>
      </c>
      <c r="AF43" s="1">
        <v>1.3220000000000001</v>
      </c>
      <c r="AH43" s="1">
        <v>9.032</v>
      </c>
      <c r="AI43" s="1">
        <f t="shared" si="6"/>
        <v>13.56</v>
      </c>
      <c r="AJ43" s="88">
        <f t="shared" si="2"/>
        <v>303.00062383031815</v>
      </c>
    </row>
    <row r="44" spans="1:36" x14ac:dyDescent="0.2">
      <c r="A44" s="96">
        <f t="shared" si="0"/>
        <v>86</v>
      </c>
      <c r="B44" s="114">
        <v>45239</v>
      </c>
      <c r="C44" s="96" t="s">
        <v>338</v>
      </c>
      <c r="D44" s="95">
        <v>20</v>
      </c>
      <c r="E44" s="95" t="s">
        <v>148</v>
      </c>
      <c r="F44" s="97" t="s">
        <v>142</v>
      </c>
      <c r="G44" s="95" t="s">
        <v>136</v>
      </c>
      <c r="H44" s="95" t="s">
        <v>134</v>
      </c>
      <c r="I44" s="95" t="s">
        <v>183</v>
      </c>
      <c r="J44" s="95">
        <v>4</v>
      </c>
      <c r="K44" s="85">
        <v>33</v>
      </c>
      <c r="N44" s="46">
        <f t="shared" si="3"/>
        <v>4.7777777777777777</v>
      </c>
      <c r="O44" s="1">
        <v>18</v>
      </c>
      <c r="P44" s="1">
        <f t="shared" si="4"/>
        <v>86</v>
      </c>
      <c r="Q44" s="1">
        <v>74</v>
      </c>
      <c r="R44" s="1">
        <v>7</v>
      </c>
      <c r="S44" s="1">
        <v>5</v>
      </c>
      <c r="T44" s="1">
        <v>344.2</v>
      </c>
      <c r="U44" s="1">
        <v>54</v>
      </c>
      <c r="V44" s="1">
        <v>66.02</v>
      </c>
      <c r="W44" s="1">
        <v>25.15</v>
      </c>
      <c r="Y44" s="1">
        <v>275.63</v>
      </c>
      <c r="Z44" s="1">
        <f t="shared" si="5"/>
        <v>366.79999999999995</v>
      </c>
      <c r="AA44" s="1">
        <v>1799.39</v>
      </c>
      <c r="AB44" s="2"/>
      <c r="AC44" s="108" t="str">
        <f t="shared" si="1"/>
        <v>Cherry_EC3_LL_4</v>
      </c>
      <c r="AE44" s="1">
        <v>6.883</v>
      </c>
      <c r="AF44" s="1">
        <v>3.0390000000000001</v>
      </c>
      <c r="AH44" s="1">
        <v>20.841999999999999</v>
      </c>
      <c r="AI44" s="1">
        <f t="shared" si="6"/>
        <v>30.763999999999999</v>
      </c>
      <c r="AJ44" s="88">
        <f t="shared" si="2"/>
        <v>261.42525061746335</v>
      </c>
    </row>
    <row r="45" spans="1:36" x14ac:dyDescent="0.2">
      <c r="A45" s="96">
        <f t="shared" si="0"/>
        <v>86</v>
      </c>
      <c r="B45" s="114">
        <v>45239</v>
      </c>
      <c r="C45" s="96" t="s">
        <v>338</v>
      </c>
      <c r="D45" s="95">
        <v>20</v>
      </c>
      <c r="E45" s="95" t="s">
        <v>148</v>
      </c>
      <c r="F45" s="97" t="s">
        <v>142</v>
      </c>
      <c r="G45" s="95" t="s">
        <v>136</v>
      </c>
      <c r="H45" s="95" t="s">
        <v>134</v>
      </c>
      <c r="I45" s="95" t="s">
        <v>184</v>
      </c>
      <c r="J45" s="95">
        <v>5</v>
      </c>
      <c r="K45" s="85">
        <v>30.5</v>
      </c>
      <c r="N45" s="46">
        <f t="shared" si="3"/>
        <v>5.2</v>
      </c>
      <c r="O45" s="1">
        <v>5</v>
      </c>
      <c r="P45" s="1">
        <f t="shared" si="4"/>
        <v>26</v>
      </c>
      <c r="Q45" s="1">
        <v>20</v>
      </c>
      <c r="R45" s="1">
        <v>1</v>
      </c>
      <c r="S45" s="1">
        <v>5</v>
      </c>
      <c r="T45" s="1">
        <v>151.04</v>
      </c>
      <c r="U45" s="1">
        <v>13</v>
      </c>
      <c r="V45" s="1">
        <v>18</v>
      </c>
      <c r="W45" s="1">
        <v>9.4600000000000009</v>
      </c>
      <c r="Y45" s="1">
        <v>132.9</v>
      </c>
      <c r="Z45" s="1">
        <f t="shared" si="5"/>
        <v>160.36000000000001</v>
      </c>
      <c r="AA45" s="1">
        <v>496.71</v>
      </c>
      <c r="AB45" s="2"/>
      <c r="AC45" s="108" t="str">
        <f t="shared" si="1"/>
        <v>Cherry_EC3_LL_5</v>
      </c>
      <c r="AE45" s="1">
        <v>1.698</v>
      </c>
      <c r="AF45" s="1">
        <v>0.98499999999999999</v>
      </c>
      <c r="AH45" s="1">
        <v>8.17</v>
      </c>
      <c r="AI45" s="1">
        <f t="shared" si="6"/>
        <v>10.853</v>
      </c>
      <c r="AJ45" s="88">
        <f t="shared" si="2"/>
        <v>292.52650176678446</v>
      </c>
    </row>
    <row r="46" spans="1:36" ht="16" thickBot="1" x14ac:dyDescent="0.25">
      <c r="A46" s="102">
        <f t="shared" si="0"/>
        <v>86</v>
      </c>
      <c r="B46" s="115">
        <v>45239</v>
      </c>
      <c r="C46" s="102" t="s">
        <v>338</v>
      </c>
      <c r="D46" s="101">
        <v>20</v>
      </c>
      <c r="E46" s="101" t="s">
        <v>148</v>
      </c>
      <c r="F46" s="103" t="s">
        <v>142</v>
      </c>
      <c r="G46" s="101" t="s">
        <v>136</v>
      </c>
      <c r="H46" s="101" t="s">
        <v>134</v>
      </c>
      <c r="I46" s="101" t="s">
        <v>185</v>
      </c>
      <c r="J46" s="101">
        <v>6</v>
      </c>
      <c r="K46" s="87">
        <v>31</v>
      </c>
      <c r="L46" s="86">
        <v>4</v>
      </c>
      <c r="M46" s="86"/>
      <c r="N46" s="120">
        <f t="shared" si="3"/>
        <v>3.8888888888888888</v>
      </c>
      <c r="O46" s="86">
        <v>9</v>
      </c>
      <c r="P46" s="86">
        <f t="shared" si="4"/>
        <v>35</v>
      </c>
      <c r="Q46" s="86">
        <v>17</v>
      </c>
      <c r="R46" s="86">
        <v>13</v>
      </c>
      <c r="S46" s="86">
        <v>5</v>
      </c>
      <c r="T46" s="86">
        <v>222.39</v>
      </c>
      <c r="U46" s="86">
        <v>35</v>
      </c>
      <c r="V46" s="86">
        <v>32.340000000000003</v>
      </c>
      <c r="W46" s="86">
        <v>13.87</v>
      </c>
      <c r="X46" s="86"/>
      <c r="Y46" s="86">
        <v>189.61</v>
      </c>
      <c r="Z46" s="86">
        <f t="shared" si="5"/>
        <v>235.82000000000002</v>
      </c>
      <c r="AA46" s="86">
        <v>887.93</v>
      </c>
      <c r="AB46" s="2"/>
      <c r="AC46" s="110" t="str">
        <f t="shared" si="1"/>
        <v>Cherry_EC3_LL_6</v>
      </c>
      <c r="AD46" s="87"/>
      <c r="AE46" s="86">
        <v>3.4420000000000002</v>
      </c>
      <c r="AF46" s="86">
        <v>1.6120000000000001</v>
      </c>
      <c r="AG46" s="86">
        <v>6.4000000000000001E-2</v>
      </c>
      <c r="AH46" s="86">
        <v>13.227</v>
      </c>
      <c r="AI46" s="86">
        <f t="shared" si="6"/>
        <v>18.344999999999999</v>
      </c>
      <c r="AJ46" s="89">
        <f t="shared" si="2"/>
        <v>257.96920395119116</v>
      </c>
    </row>
    <row r="47" spans="1:36" x14ac:dyDescent="0.2">
      <c r="A47" s="99">
        <f t="shared" si="0"/>
        <v>86</v>
      </c>
      <c r="B47" s="114">
        <v>45239</v>
      </c>
      <c r="C47" s="99" t="s">
        <v>338</v>
      </c>
      <c r="D47" s="98">
        <v>20</v>
      </c>
      <c r="E47" s="98" t="s">
        <v>149</v>
      </c>
      <c r="F47" s="100" t="s">
        <v>142</v>
      </c>
      <c r="G47" s="98" t="s">
        <v>136</v>
      </c>
      <c r="H47" s="98" t="s">
        <v>135</v>
      </c>
      <c r="I47" s="98" t="s">
        <v>186</v>
      </c>
      <c r="J47" s="95">
        <v>1</v>
      </c>
      <c r="K47" s="90">
        <v>33</v>
      </c>
      <c r="L47" s="91">
        <v>3</v>
      </c>
      <c r="M47" s="91"/>
      <c r="N47" s="118">
        <f t="shared" si="3"/>
        <v>4.625</v>
      </c>
      <c r="O47" s="91">
        <v>8</v>
      </c>
      <c r="P47" s="91">
        <f t="shared" si="4"/>
        <v>37</v>
      </c>
      <c r="Q47" s="91">
        <v>26</v>
      </c>
      <c r="R47" s="91">
        <v>8</v>
      </c>
      <c r="S47" s="91">
        <v>3</v>
      </c>
      <c r="T47" s="91">
        <v>241.61</v>
      </c>
      <c r="U47" s="91">
        <v>42</v>
      </c>
      <c r="V47" s="92">
        <v>48.6</v>
      </c>
      <c r="W47" s="92">
        <v>14.92</v>
      </c>
      <c r="X47" s="92"/>
      <c r="Y47" s="92">
        <v>192.65</v>
      </c>
      <c r="Z47" s="92">
        <f t="shared" si="5"/>
        <v>256.17</v>
      </c>
      <c r="AA47" s="1">
        <v>1260.01</v>
      </c>
      <c r="AB47" s="2"/>
      <c r="AC47" s="108" t="str">
        <f t="shared" si="1"/>
        <v>Cherry_EC3__1</v>
      </c>
      <c r="AE47" s="1">
        <v>5.2430000000000003</v>
      </c>
      <c r="AF47" s="1">
        <v>1.9319999999999999</v>
      </c>
      <c r="AG47" s="1">
        <v>3.6999999999999998E-2</v>
      </c>
      <c r="AH47" s="1">
        <v>15.103999999999999</v>
      </c>
      <c r="AI47" s="1">
        <f t="shared" si="6"/>
        <v>22.315999999999999</v>
      </c>
      <c r="AJ47" s="88">
        <f t="shared" si="2"/>
        <v>240.32233454129315</v>
      </c>
    </row>
    <row r="48" spans="1:36" x14ac:dyDescent="0.2">
      <c r="A48" s="96">
        <f t="shared" si="0"/>
        <v>86</v>
      </c>
      <c r="B48" s="114">
        <v>45239</v>
      </c>
      <c r="C48" s="96" t="s">
        <v>338</v>
      </c>
      <c r="D48" s="95">
        <v>20</v>
      </c>
      <c r="E48" s="95" t="s">
        <v>149</v>
      </c>
      <c r="F48" s="97" t="s">
        <v>142</v>
      </c>
      <c r="G48" s="95" t="s">
        <v>136</v>
      </c>
      <c r="H48" s="95" t="s">
        <v>135</v>
      </c>
      <c r="I48" s="95" t="s">
        <v>187</v>
      </c>
      <c r="J48" s="95">
        <v>2</v>
      </c>
      <c r="K48" s="84">
        <v>40</v>
      </c>
      <c r="L48" s="3"/>
      <c r="M48" s="3"/>
      <c r="N48" s="119">
        <f t="shared" si="3"/>
        <v>6.8</v>
      </c>
      <c r="O48" s="3">
        <v>10</v>
      </c>
      <c r="P48" s="3">
        <f t="shared" si="4"/>
        <v>68</v>
      </c>
      <c r="Q48" s="3">
        <v>60</v>
      </c>
      <c r="R48" s="3">
        <v>5</v>
      </c>
      <c r="S48" s="3">
        <v>3</v>
      </c>
      <c r="T48" s="3">
        <v>268.08</v>
      </c>
      <c r="U48" s="3">
        <v>46</v>
      </c>
      <c r="V48" s="1">
        <v>55.86</v>
      </c>
      <c r="W48" s="1">
        <v>17.350000000000001</v>
      </c>
      <c r="Y48" s="1">
        <v>211.68</v>
      </c>
      <c r="Z48" s="1">
        <f t="shared" si="5"/>
        <v>284.89</v>
      </c>
      <c r="AA48" s="1">
        <v>1440.25</v>
      </c>
      <c r="AB48" s="2"/>
      <c r="AC48" s="108" t="str">
        <f t="shared" si="1"/>
        <v>Cherry_EC3__2</v>
      </c>
      <c r="AE48" s="1">
        <v>5.46</v>
      </c>
      <c r="AF48" s="1">
        <v>2.0489999999999999</v>
      </c>
      <c r="AH48" s="1">
        <v>15.273</v>
      </c>
      <c r="AI48" s="1">
        <f t="shared" si="6"/>
        <v>22.782</v>
      </c>
      <c r="AJ48" s="88">
        <f t="shared" si="2"/>
        <v>263.78205128205127</v>
      </c>
    </row>
    <row r="49" spans="1:36" x14ac:dyDescent="0.2">
      <c r="A49" s="96">
        <f t="shared" si="0"/>
        <v>86</v>
      </c>
      <c r="B49" s="114">
        <v>45239</v>
      </c>
      <c r="C49" s="96" t="s">
        <v>338</v>
      </c>
      <c r="D49" s="95">
        <v>20</v>
      </c>
      <c r="E49" s="95" t="s">
        <v>149</v>
      </c>
      <c r="F49" s="97" t="s">
        <v>142</v>
      </c>
      <c r="G49" s="95" t="s">
        <v>136</v>
      </c>
      <c r="H49" s="95" t="s">
        <v>135</v>
      </c>
      <c r="I49" s="95" t="s">
        <v>188</v>
      </c>
      <c r="J49" s="95">
        <v>3</v>
      </c>
      <c r="K49" s="85">
        <v>30</v>
      </c>
      <c r="L49" s="1">
        <v>3</v>
      </c>
      <c r="N49" s="46">
        <f t="shared" si="3"/>
        <v>4</v>
      </c>
      <c r="O49" s="1">
        <v>7</v>
      </c>
      <c r="P49" s="1">
        <f t="shared" si="4"/>
        <v>28</v>
      </c>
      <c r="Q49" s="1">
        <v>20</v>
      </c>
      <c r="R49" s="1">
        <v>5</v>
      </c>
      <c r="S49" s="1">
        <v>3</v>
      </c>
      <c r="T49" s="1">
        <v>125.83</v>
      </c>
      <c r="U49" s="1">
        <v>41</v>
      </c>
      <c r="V49" s="1">
        <v>29.54</v>
      </c>
      <c r="W49" s="1">
        <v>11.42</v>
      </c>
      <c r="Y49" s="1">
        <v>95.84</v>
      </c>
      <c r="Z49" s="1">
        <f t="shared" si="5"/>
        <v>136.80000000000001</v>
      </c>
      <c r="AA49" s="1">
        <v>920.29</v>
      </c>
      <c r="AB49" s="2"/>
      <c r="AC49" s="108" t="str">
        <f t="shared" si="1"/>
        <v>Cherry_EC3__3</v>
      </c>
      <c r="AE49" s="1">
        <v>2.8820000000000001</v>
      </c>
      <c r="AF49" s="1">
        <v>1.0980000000000001</v>
      </c>
      <c r="AG49" s="1">
        <v>7.0000000000000001E-3</v>
      </c>
      <c r="AH49" s="1">
        <v>6.3010000000000002</v>
      </c>
      <c r="AI49" s="1">
        <f t="shared" si="6"/>
        <v>10.288</v>
      </c>
      <c r="AJ49" s="88">
        <f t="shared" si="2"/>
        <v>319.32338653712696</v>
      </c>
    </row>
    <row r="50" spans="1:36" x14ac:dyDescent="0.2">
      <c r="A50" s="96">
        <f t="shared" si="0"/>
        <v>86</v>
      </c>
      <c r="B50" s="114">
        <v>45239</v>
      </c>
      <c r="C50" s="96" t="s">
        <v>338</v>
      </c>
      <c r="D50" s="95">
        <v>20</v>
      </c>
      <c r="E50" s="95" t="s">
        <v>149</v>
      </c>
      <c r="F50" s="97" t="s">
        <v>142</v>
      </c>
      <c r="G50" s="95" t="s">
        <v>136</v>
      </c>
      <c r="H50" s="95" t="s">
        <v>135</v>
      </c>
      <c r="I50" s="95" t="s">
        <v>189</v>
      </c>
      <c r="J50" s="95">
        <v>4</v>
      </c>
      <c r="K50" s="85">
        <v>38.5</v>
      </c>
      <c r="N50" s="46">
        <f t="shared" si="3"/>
        <v>6.666666666666667</v>
      </c>
      <c r="O50" s="1">
        <v>6</v>
      </c>
      <c r="P50" s="1">
        <f t="shared" si="4"/>
        <v>40</v>
      </c>
      <c r="Q50" s="1">
        <v>37</v>
      </c>
      <c r="R50" s="1">
        <v>2</v>
      </c>
      <c r="S50" s="1">
        <v>1</v>
      </c>
      <c r="T50" s="1">
        <v>219.55</v>
      </c>
      <c r="U50" s="1">
        <v>43</v>
      </c>
      <c r="V50" s="1">
        <v>52.23</v>
      </c>
      <c r="W50" s="1">
        <v>16.48</v>
      </c>
      <c r="Y50" s="1">
        <v>166.85</v>
      </c>
      <c r="Z50" s="1">
        <f t="shared" si="5"/>
        <v>235.56</v>
      </c>
      <c r="AA50" s="1">
        <v>1351.06</v>
      </c>
      <c r="AB50" s="2"/>
      <c r="AC50" s="108" t="str">
        <f t="shared" si="1"/>
        <v>Cherry_EC3__4</v>
      </c>
      <c r="AE50" s="1">
        <v>5.085</v>
      </c>
      <c r="AF50" s="1">
        <v>1.988</v>
      </c>
      <c r="AH50" s="1">
        <v>12.377000000000001</v>
      </c>
      <c r="AI50" s="1">
        <f t="shared" si="6"/>
        <v>19.450000000000003</v>
      </c>
      <c r="AJ50" s="88">
        <f t="shared" si="2"/>
        <v>265.69518190757128</v>
      </c>
    </row>
    <row r="51" spans="1:36" x14ac:dyDescent="0.2">
      <c r="A51" s="96">
        <f t="shared" si="0"/>
        <v>86</v>
      </c>
      <c r="B51" s="114">
        <v>45239</v>
      </c>
      <c r="C51" s="96" t="s">
        <v>338</v>
      </c>
      <c r="D51" s="95">
        <v>20</v>
      </c>
      <c r="E51" s="95" t="s">
        <v>149</v>
      </c>
      <c r="F51" s="97" t="s">
        <v>142</v>
      </c>
      <c r="G51" s="95" t="s">
        <v>136</v>
      </c>
      <c r="H51" s="95" t="s">
        <v>135</v>
      </c>
      <c r="I51" s="95" t="s">
        <v>190</v>
      </c>
      <c r="J51" s="95">
        <v>5</v>
      </c>
      <c r="K51" s="85">
        <v>32</v>
      </c>
      <c r="N51" s="46">
        <f t="shared" si="3"/>
        <v>4.4000000000000004</v>
      </c>
      <c r="O51" s="1">
        <v>10</v>
      </c>
      <c r="P51" s="1">
        <f t="shared" si="4"/>
        <v>44</v>
      </c>
      <c r="Q51" s="1">
        <v>39</v>
      </c>
      <c r="R51" s="1">
        <v>2</v>
      </c>
      <c r="S51" s="1">
        <v>3</v>
      </c>
      <c r="T51" s="1">
        <v>179.4</v>
      </c>
      <c r="U51" s="1">
        <v>32</v>
      </c>
      <c r="V51" s="1">
        <v>37.94</v>
      </c>
      <c r="W51" s="1">
        <v>12.6</v>
      </c>
      <c r="Y51" s="1">
        <v>140.47999999999999</v>
      </c>
      <c r="Z51" s="1">
        <f t="shared" si="5"/>
        <v>191.01999999999998</v>
      </c>
      <c r="AA51" s="1">
        <v>958.45</v>
      </c>
      <c r="AB51" s="2"/>
      <c r="AC51" s="108" t="str">
        <f t="shared" si="1"/>
        <v>Cherry_EC3__5</v>
      </c>
      <c r="AE51" s="1">
        <v>3.9</v>
      </c>
      <c r="AF51" s="1">
        <v>1.5309999999999999</v>
      </c>
      <c r="AH51" s="1">
        <v>9.8309999999999995</v>
      </c>
      <c r="AI51" s="1">
        <f t="shared" si="6"/>
        <v>15.262</v>
      </c>
      <c r="AJ51" s="88">
        <f t="shared" si="2"/>
        <v>245.75641025641028</v>
      </c>
    </row>
    <row r="52" spans="1:36" ht="16" thickBot="1" x14ac:dyDescent="0.25">
      <c r="A52" s="102">
        <f t="shared" si="0"/>
        <v>86</v>
      </c>
      <c r="B52" s="115">
        <v>45239</v>
      </c>
      <c r="C52" s="102" t="s">
        <v>338</v>
      </c>
      <c r="D52" s="101">
        <v>20</v>
      </c>
      <c r="E52" s="101" t="s">
        <v>149</v>
      </c>
      <c r="F52" s="103" t="s">
        <v>142</v>
      </c>
      <c r="G52" s="101" t="s">
        <v>136</v>
      </c>
      <c r="H52" s="101" t="s">
        <v>135</v>
      </c>
      <c r="I52" s="101" t="s">
        <v>191</v>
      </c>
      <c r="J52" s="101">
        <v>6</v>
      </c>
      <c r="K52" s="87">
        <v>35</v>
      </c>
      <c r="L52" s="86">
        <v>3</v>
      </c>
      <c r="M52" s="86"/>
      <c r="N52" s="120">
        <f t="shared" si="3"/>
        <v>4.2222222222222223</v>
      </c>
      <c r="O52" s="86">
        <v>9</v>
      </c>
      <c r="P52" s="86">
        <f t="shared" si="4"/>
        <v>38</v>
      </c>
      <c r="Q52" s="86">
        <v>26</v>
      </c>
      <c r="R52" s="86">
        <v>8</v>
      </c>
      <c r="S52" s="86">
        <v>4</v>
      </c>
      <c r="T52" s="86">
        <v>230.2</v>
      </c>
      <c r="U52" s="86">
        <v>50</v>
      </c>
      <c r="V52" s="86">
        <v>43.21</v>
      </c>
      <c r="W52" s="86">
        <v>14.04</v>
      </c>
      <c r="X52" s="86"/>
      <c r="Y52" s="86">
        <v>178.88</v>
      </c>
      <c r="Z52" s="86">
        <f t="shared" si="5"/>
        <v>236.13</v>
      </c>
      <c r="AA52" s="86">
        <v>1133.8699999999999</v>
      </c>
      <c r="AB52" s="2"/>
      <c r="AC52" s="110" t="str">
        <f t="shared" si="1"/>
        <v>Cherry_EC3__6</v>
      </c>
      <c r="AD52" s="87"/>
      <c r="AE52" s="86">
        <v>4.4960000000000004</v>
      </c>
      <c r="AF52" s="86">
        <v>1.77</v>
      </c>
      <c r="AG52" s="86">
        <v>4.7E-2</v>
      </c>
      <c r="AH52" s="86">
        <v>13.788</v>
      </c>
      <c r="AI52" s="86">
        <f t="shared" si="6"/>
        <v>20.100999999999999</v>
      </c>
      <c r="AJ52" s="89">
        <f t="shared" si="2"/>
        <v>252.19528469750884</v>
      </c>
    </row>
    <row r="53" spans="1:36" x14ac:dyDescent="0.2">
      <c r="N53" s="119"/>
      <c r="AB53" s="2"/>
      <c r="AC53" s="108"/>
    </row>
    <row r="54" spans="1:36" x14ac:dyDescent="0.2">
      <c r="A54" s="144"/>
      <c r="N54" s="119"/>
      <c r="AB54" s="2"/>
      <c r="AC54" s="108"/>
    </row>
    <row r="55" spans="1:36" x14ac:dyDescent="0.2">
      <c r="A55" s="144"/>
      <c r="N55" s="119"/>
      <c r="AB55" s="2"/>
      <c r="AC55" s="108"/>
    </row>
    <row r="56" spans="1:36" x14ac:dyDescent="0.2">
      <c r="A56" s="144"/>
      <c r="N56" s="119"/>
      <c r="AB56" s="2"/>
      <c r="AC56" s="108"/>
    </row>
    <row r="57" spans="1:36" x14ac:dyDescent="0.2">
      <c r="A57" s="144"/>
      <c r="N57" s="119"/>
      <c r="AB57" s="2"/>
      <c r="AC57" s="108"/>
    </row>
    <row r="58" spans="1:36" x14ac:dyDescent="0.2">
      <c r="A58" s="144"/>
      <c r="N58" s="119"/>
      <c r="AB58" s="2"/>
      <c r="AC58" s="108"/>
    </row>
    <row r="59" spans="1:36" x14ac:dyDescent="0.2">
      <c r="A59" s="144"/>
      <c r="N59" s="119"/>
      <c r="AB59" s="2"/>
      <c r="AC59" s="108"/>
    </row>
    <row r="60" spans="1:36" x14ac:dyDescent="0.2">
      <c r="A60" s="144"/>
      <c r="N60" s="119"/>
      <c r="AB60" s="2"/>
      <c r="AC60" s="108"/>
    </row>
    <row r="61" spans="1:36" x14ac:dyDescent="0.2">
      <c r="A61" s="144"/>
      <c r="N61" s="119"/>
      <c r="AB61" s="2"/>
      <c r="AC61" s="108"/>
    </row>
    <row r="62" spans="1:36" x14ac:dyDescent="0.2">
      <c r="A62" s="144"/>
      <c r="N62" s="119"/>
      <c r="AB62" s="2"/>
      <c r="AC62" s="108"/>
    </row>
    <row r="63" spans="1:36" x14ac:dyDescent="0.2">
      <c r="A63" s="144"/>
      <c r="N63" s="119"/>
      <c r="AB63" s="2"/>
      <c r="AC63" s="108"/>
    </row>
    <row r="64" spans="1:36" x14ac:dyDescent="0.2">
      <c r="A64" s="144"/>
      <c r="N64" s="119"/>
      <c r="AB64" s="2"/>
      <c r="AC64" s="108"/>
    </row>
    <row r="65" spans="1:29" x14ac:dyDescent="0.2">
      <c r="A65" s="144"/>
      <c r="N65" s="119"/>
      <c r="AB65" s="2"/>
      <c r="AC65" s="108"/>
    </row>
    <row r="66" spans="1:29" x14ac:dyDescent="0.2">
      <c r="A66" s="144"/>
      <c r="N66" s="119"/>
      <c r="AB66" s="2"/>
      <c r="AC66" s="108"/>
    </row>
    <row r="67" spans="1:29" x14ac:dyDescent="0.2">
      <c r="A67" s="144"/>
      <c r="N67" s="119"/>
      <c r="AB67" s="2"/>
      <c r="AC67" s="108"/>
    </row>
    <row r="68" spans="1:29" x14ac:dyDescent="0.2">
      <c r="A68" s="144"/>
      <c r="N68" s="119"/>
      <c r="AB68" s="2"/>
      <c r="AC68" s="108"/>
    </row>
    <row r="69" spans="1:29" x14ac:dyDescent="0.2">
      <c r="A69" s="144"/>
      <c r="N69" s="119"/>
      <c r="AB69" s="2"/>
      <c r="AC69" s="108"/>
    </row>
    <row r="70" spans="1:29" x14ac:dyDescent="0.2">
      <c r="A70" s="144"/>
      <c r="N70" s="119"/>
      <c r="AB70" s="2"/>
      <c r="AC70" s="108"/>
    </row>
    <row r="71" spans="1:29" x14ac:dyDescent="0.2">
      <c r="A71" s="144"/>
      <c r="N71" s="119"/>
      <c r="AC71" s="108"/>
    </row>
    <row r="72" spans="1:29" x14ac:dyDescent="0.2">
      <c r="A72" s="144"/>
      <c r="N72" s="119"/>
      <c r="AC72" s="108"/>
    </row>
    <row r="73" spans="1:29" x14ac:dyDescent="0.2">
      <c r="A73" s="144"/>
      <c r="N73" s="119"/>
      <c r="AC73" s="108"/>
    </row>
    <row r="74" spans="1:29" x14ac:dyDescent="0.2">
      <c r="A74" s="144"/>
      <c r="N74" s="119"/>
      <c r="AC74" s="108"/>
    </row>
    <row r="75" spans="1:29" x14ac:dyDescent="0.2">
      <c r="AC75" s="2"/>
    </row>
    <row r="76" spans="1:29" x14ac:dyDescent="0.2">
      <c r="AC76" s="2"/>
    </row>
    <row r="77" spans="1:29" x14ac:dyDescent="0.2">
      <c r="AC77" s="2"/>
    </row>
    <row r="78" spans="1:29" x14ac:dyDescent="0.2">
      <c r="AC78" s="2"/>
    </row>
    <row r="79" spans="1:29" x14ac:dyDescent="0.2">
      <c r="AC79" s="2"/>
    </row>
    <row r="80" spans="1:29" x14ac:dyDescent="0.2">
      <c r="AC80" s="2"/>
    </row>
    <row r="81" spans="29:29" x14ac:dyDescent="0.2">
      <c r="AC81" s="2"/>
    </row>
    <row r="82" spans="29:29" x14ac:dyDescent="0.2">
      <c r="AC82" s="2"/>
    </row>
    <row r="83" spans="29:29" x14ac:dyDescent="0.2">
      <c r="AC83" s="2"/>
    </row>
    <row r="84" spans="29:29" x14ac:dyDescent="0.2">
      <c r="AC84" s="2"/>
    </row>
    <row r="85" spans="29:29" x14ac:dyDescent="0.2">
      <c r="AC85" s="2"/>
    </row>
    <row r="86" spans="29:29" x14ac:dyDescent="0.2">
      <c r="AC86" s="2"/>
    </row>
    <row r="87" spans="29:29" x14ac:dyDescent="0.2">
      <c r="AC87" s="2"/>
    </row>
    <row r="88" spans="29:29" x14ac:dyDescent="0.2">
      <c r="AC88" s="2"/>
    </row>
    <row r="89" spans="29:29" x14ac:dyDescent="0.2">
      <c r="AC89" s="2"/>
    </row>
    <row r="90" spans="29:29" x14ac:dyDescent="0.2">
      <c r="AC90" s="2"/>
    </row>
    <row r="91" spans="29:29" x14ac:dyDescent="0.2">
      <c r="AC91" s="2"/>
    </row>
    <row r="92" spans="29:29" x14ac:dyDescent="0.2">
      <c r="AC92" s="2"/>
    </row>
    <row r="93" spans="29:29" x14ac:dyDescent="0.2">
      <c r="AC93" s="2"/>
    </row>
    <row r="94" spans="29:29" x14ac:dyDescent="0.2">
      <c r="AC94" s="2"/>
    </row>
    <row r="95" spans="29:29" x14ac:dyDescent="0.2">
      <c r="AC95" s="2"/>
    </row>
    <row r="96" spans="29:29" x14ac:dyDescent="0.2">
      <c r="AC96" s="2"/>
    </row>
    <row r="97" spans="29:29" x14ac:dyDescent="0.2">
      <c r="AC97" s="2"/>
    </row>
    <row r="98" spans="29:29" x14ac:dyDescent="0.2">
      <c r="AC98" s="2"/>
    </row>
    <row r="99" spans="29:29" x14ac:dyDescent="0.2">
      <c r="AC99" s="2"/>
    </row>
    <row r="100" spans="29:29" x14ac:dyDescent="0.2">
      <c r="AC100" s="2"/>
    </row>
    <row r="101" spans="29:29" x14ac:dyDescent="0.2">
      <c r="AC101" s="2"/>
    </row>
    <row r="102" spans="29:29" x14ac:dyDescent="0.2">
      <c r="AC102" s="2"/>
    </row>
    <row r="103" spans="29:29" x14ac:dyDescent="0.2">
      <c r="AC103" s="2"/>
    </row>
    <row r="104" spans="29:29" x14ac:dyDescent="0.2">
      <c r="AC104" s="2"/>
    </row>
    <row r="105" spans="29:29" x14ac:dyDescent="0.2">
      <c r="AC105" s="2"/>
    </row>
    <row r="106" spans="29:29" x14ac:dyDescent="0.2">
      <c r="AC106" s="2"/>
    </row>
    <row r="107" spans="29:29" x14ac:dyDescent="0.2">
      <c r="AC107" s="2"/>
    </row>
    <row r="108" spans="29:29" x14ac:dyDescent="0.2">
      <c r="AC108" s="2"/>
    </row>
    <row r="109" spans="29:29" x14ac:dyDescent="0.2">
      <c r="AC109" s="2"/>
    </row>
    <row r="110" spans="29:29" x14ac:dyDescent="0.2">
      <c r="AC110" s="2"/>
    </row>
    <row r="111" spans="29:29" x14ac:dyDescent="0.2">
      <c r="AC111" s="2"/>
    </row>
    <row r="112" spans="29:29" x14ac:dyDescent="0.2">
      <c r="AC112" s="2"/>
    </row>
    <row r="113" spans="29:29" x14ac:dyDescent="0.2">
      <c r="AC113" s="2"/>
    </row>
    <row r="114" spans="29:29" x14ac:dyDescent="0.2">
      <c r="AC114" s="2"/>
    </row>
    <row r="115" spans="29:29" x14ac:dyDescent="0.2">
      <c r="AC115" s="2"/>
    </row>
    <row r="116" spans="29:29" x14ac:dyDescent="0.2">
      <c r="AC116" s="2"/>
    </row>
    <row r="117" spans="29:29" x14ac:dyDescent="0.2">
      <c r="AC117" s="2"/>
    </row>
    <row r="118" spans="29:29" x14ac:dyDescent="0.2">
      <c r="AC118" s="2"/>
    </row>
  </sheetData>
  <mergeCells count="2">
    <mergeCell ref="AN4:AO4"/>
    <mergeCell ref="AP4:AQ4"/>
  </mergeCells>
  <pageMargins left="0.7" right="0.7" top="0.75" bottom="0.75" header="0.3" footer="0.3"/>
  <pageSetup paperSize="9" orientation="portrait" r:id="rId1"/>
  <ignoredErrors>
    <ignoredError sqref="Z5:Z52"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0F44-337B-4004-BCC7-540552CC06ED}">
  <dimension ref="A4:AP245"/>
  <sheetViews>
    <sheetView zoomScale="80" zoomScaleNormal="80" workbookViewId="0">
      <pane ySplit="5" topLeftCell="A6" activePane="bottomLeft" state="frozen"/>
      <selection pane="bottomLeft" activeCell="AL95" sqref="AL95"/>
    </sheetView>
  </sheetViews>
  <sheetFormatPr baseColWidth="10" defaultColWidth="19.33203125" defaultRowHeight="15" x14ac:dyDescent="0.2"/>
  <cols>
    <col min="1" max="1" width="11.1640625" style="1" bestFit="1" customWidth="1"/>
    <col min="2" max="2" width="7.6640625" bestFit="1" customWidth="1"/>
    <col min="3" max="3" width="16.5" bestFit="1" customWidth="1"/>
    <col min="4" max="4" width="16.33203125" bestFit="1" customWidth="1"/>
    <col min="5" max="5" width="20" bestFit="1" customWidth="1"/>
    <col min="6" max="6" width="6.6640625" bestFit="1" customWidth="1"/>
    <col min="7" max="7" width="4.1640625" bestFit="1" customWidth="1"/>
    <col min="8" max="8" width="9.1640625" bestFit="1" customWidth="1"/>
    <col min="9" max="9" width="17.6640625" bestFit="1" customWidth="1"/>
    <col min="10" max="10" width="8.33203125" bestFit="1" customWidth="1"/>
    <col min="11" max="17" width="10" customWidth="1"/>
    <col min="18" max="18" width="14" customWidth="1"/>
    <col min="19" max="19" width="18.5" customWidth="1"/>
    <col min="20" max="20" width="16.6640625" customWidth="1"/>
    <col min="21" max="21" width="14.5" customWidth="1"/>
    <col min="22" max="25" width="15.5" customWidth="1"/>
    <col min="26" max="26" width="15.6640625" customWidth="1"/>
    <col min="27" max="27" width="14.5" customWidth="1"/>
    <col min="28" max="28" width="15.6640625" customWidth="1"/>
    <col min="29" max="29" width="14.5" customWidth="1"/>
    <col min="30" max="30" width="16.33203125" customWidth="1"/>
    <col min="31" max="31" width="13.5" customWidth="1"/>
    <col min="32" max="32" width="17.6640625" customWidth="1"/>
    <col min="33" max="33" width="16.6640625" customWidth="1"/>
    <col min="34" max="34" width="19.33203125" customWidth="1"/>
    <col min="35" max="36" width="19.33203125" style="1"/>
    <col min="39" max="39" width="19.33203125" style="1"/>
  </cols>
  <sheetData>
    <row r="4" spans="1:40" x14ac:dyDescent="0.2">
      <c r="A4" s="3" t="s">
        <v>68</v>
      </c>
      <c r="B4" s="2"/>
      <c r="C4" s="47">
        <v>45153</v>
      </c>
      <c r="D4" s="3"/>
      <c r="E4" s="3"/>
      <c r="F4" s="3"/>
      <c r="G4" s="3"/>
      <c r="H4" s="3"/>
      <c r="I4" s="3"/>
      <c r="J4" s="3"/>
      <c r="K4" s="43"/>
      <c r="L4" s="43"/>
      <c r="M4" s="43"/>
      <c r="N4" s="43"/>
      <c r="O4" s="43"/>
      <c r="P4" s="43"/>
      <c r="Q4" s="43"/>
      <c r="R4" s="43"/>
      <c r="S4" s="2"/>
      <c r="T4" s="2"/>
      <c r="U4" s="2"/>
      <c r="V4" s="2"/>
      <c r="W4" s="2"/>
      <c r="X4" s="2"/>
      <c r="Y4" s="2"/>
      <c r="Z4" s="2"/>
      <c r="AA4" s="2"/>
      <c r="AB4" s="2"/>
      <c r="AC4" s="2"/>
      <c r="AD4" s="2"/>
      <c r="AE4" s="2"/>
      <c r="AF4" s="104" t="s">
        <v>138</v>
      </c>
      <c r="AG4" s="2"/>
      <c r="AM4" s="1" t="s">
        <v>138</v>
      </c>
      <c r="AN4" s="1" t="s">
        <v>138</v>
      </c>
    </row>
    <row r="5" spans="1:40" ht="39" x14ac:dyDescent="0.2">
      <c r="A5" s="147" t="s">
        <v>67</v>
      </c>
      <c r="B5" s="147" t="s">
        <v>21</v>
      </c>
      <c r="C5" s="147" t="s">
        <v>9</v>
      </c>
      <c r="D5" s="148" t="s">
        <v>124</v>
      </c>
      <c r="E5" s="148" t="s">
        <v>123</v>
      </c>
      <c r="F5" s="148" t="s">
        <v>129</v>
      </c>
      <c r="G5" s="148" t="s">
        <v>137</v>
      </c>
      <c r="H5" s="148" t="s">
        <v>130</v>
      </c>
      <c r="I5" s="148" t="s">
        <v>33</v>
      </c>
      <c r="J5" s="148" t="s">
        <v>4</v>
      </c>
      <c r="K5" s="148" t="s">
        <v>0</v>
      </c>
      <c r="L5" s="148" t="s">
        <v>357</v>
      </c>
      <c r="M5" s="148" t="s">
        <v>358</v>
      </c>
      <c r="N5" s="148" t="s">
        <v>359</v>
      </c>
      <c r="O5" s="148" t="s">
        <v>360</v>
      </c>
      <c r="P5" s="148" t="s">
        <v>361</v>
      </c>
      <c r="Q5" s="148" t="s">
        <v>362</v>
      </c>
      <c r="R5" s="148" t="s">
        <v>209</v>
      </c>
      <c r="S5" s="148" t="s">
        <v>208</v>
      </c>
      <c r="T5" s="149" t="s">
        <v>223</v>
      </c>
      <c r="U5" s="149" t="s">
        <v>224</v>
      </c>
      <c r="V5" s="149" t="s">
        <v>210</v>
      </c>
      <c r="W5" s="149" t="s">
        <v>339</v>
      </c>
      <c r="X5" s="149" t="s">
        <v>340</v>
      </c>
      <c r="Y5" s="149" t="s">
        <v>341</v>
      </c>
      <c r="Z5" s="148" t="s">
        <v>207</v>
      </c>
      <c r="AA5" s="148" t="s">
        <v>198</v>
      </c>
      <c r="AB5" s="148" t="s">
        <v>199</v>
      </c>
      <c r="AC5" s="148" t="s">
        <v>200</v>
      </c>
      <c r="AD5" s="148" t="s">
        <v>201</v>
      </c>
      <c r="AE5" s="148" t="s">
        <v>225</v>
      </c>
      <c r="AF5" s="148" t="s">
        <v>202</v>
      </c>
      <c r="AG5" s="148" t="s">
        <v>126</v>
      </c>
      <c r="AH5" s="148" t="s">
        <v>287</v>
      </c>
      <c r="AI5" s="148" t="s">
        <v>203</v>
      </c>
      <c r="AJ5" s="148" t="s">
        <v>204</v>
      </c>
      <c r="AK5" s="148" t="s">
        <v>205</v>
      </c>
      <c r="AL5" s="148" t="s">
        <v>288</v>
      </c>
      <c r="AM5" s="148" t="s">
        <v>289</v>
      </c>
      <c r="AN5" s="148" t="s">
        <v>127</v>
      </c>
    </row>
    <row r="6" spans="1:40" x14ac:dyDescent="0.2">
      <c r="A6" s="150">
        <f t="shared" ref="A6:A69" si="0">B6-$C$4</f>
        <v>20</v>
      </c>
      <c r="B6" s="151">
        <v>45173</v>
      </c>
      <c r="C6" s="150" t="s">
        <v>14</v>
      </c>
      <c r="D6" s="150">
        <v>1050</v>
      </c>
      <c r="E6" s="150" t="s">
        <v>356</v>
      </c>
      <c r="F6" s="150" t="s">
        <v>142</v>
      </c>
      <c r="G6" s="150" t="s">
        <v>131</v>
      </c>
      <c r="H6" s="150" t="s">
        <v>132</v>
      </c>
      <c r="I6" s="150" t="s">
        <v>192</v>
      </c>
      <c r="J6" s="150">
        <v>1</v>
      </c>
      <c r="K6" s="3">
        <v>11</v>
      </c>
      <c r="L6" s="3">
        <v>2</v>
      </c>
      <c r="M6" s="3" t="s">
        <v>32</v>
      </c>
      <c r="N6" s="3">
        <v>5</v>
      </c>
      <c r="O6" s="3">
        <v>7</v>
      </c>
      <c r="P6" s="3">
        <v>3</v>
      </c>
      <c r="Q6" s="3">
        <v>2</v>
      </c>
      <c r="R6" s="3" t="s">
        <v>32</v>
      </c>
      <c r="S6" s="3" t="s">
        <v>32</v>
      </c>
      <c r="T6" s="3" t="s">
        <v>32</v>
      </c>
      <c r="U6" s="3" t="s">
        <v>32</v>
      </c>
      <c r="V6" s="3" t="s">
        <v>32</v>
      </c>
      <c r="W6" s="3"/>
      <c r="X6" s="3"/>
      <c r="Y6" s="3"/>
      <c r="Z6" s="3">
        <v>1.37</v>
      </c>
      <c r="AA6" s="3">
        <f>N6</f>
        <v>5</v>
      </c>
      <c r="AB6" s="3">
        <v>0.7</v>
      </c>
      <c r="AC6" s="3">
        <v>0.65</v>
      </c>
      <c r="AD6" s="3" t="s">
        <v>32</v>
      </c>
      <c r="AE6" s="3" t="s">
        <v>32</v>
      </c>
      <c r="AF6" s="3">
        <v>1.35</v>
      </c>
      <c r="AG6" s="3">
        <v>29.43</v>
      </c>
      <c r="AH6" s="3" t="s">
        <v>32</v>
      </c>
      <c r="AI6" s="3">
        <v>7.3999999999999844E-2</v>
      </c>
      <c r="AJ6" s="3">
        <v>5.699999999999994E-2</v>
      </c>
      <c r="AK6" s="3"/>
      <c r="AL6" s="3"/>
      <c r="AM6" s="3">
        <f>SUM(AI6:AL6)</f>
        <v>0.13099999999999978</v>
      </c>
      <c r="AN6">
        <f>AG6/AI6</f>
        <v>397.70270270270356</v>
      </c>
    </row>
    <row r="7" spans="1:40" x14ac:dyDescent="0.2">
      <c r="A7" s="150">
        <f t="shared" si="0"/>
        <v>20</v>
      </c>
      <c r="B7" s="151">
        <v>45173</v>
      </c>
      <c r="C7" s="150" t="s">
        <v>14</v>
      </c>
      <c r="D7" s="150">
        <v>1050</v>
      </c>
      <c r="E7" s="150" t="s">
        <v>356</v>
      </c>
      <c r="F7" s="150" t="s">
        <v>142</v>
      </c>
      <c r="G7" s="150" t="s">
        <v>131</v>
      </c>
      <c r="H7" s="150" t="s">
        <v>132</v>
      </c>
      <c r="I7" s="150" t="s">
        <v>193</v>
      </c>
      <c r="J7" s="150">
        <v>2</v>
      </c>
      <c r="K7" s="3">
        <v>12</v>
      </c>
      <c r="L7" s="3">
        <v>2</v>
      </c>
      <c r="M7" s="3">
        <v>0.05</v>
      </c>
      <c r="N7" s="3">
        <v>5</v>
      </c>
      <c r="O7" s="3">
        <v>7</v>
      </c>
      <c r="P7" s="3">
        <v>1</v>
      </c>
      <c r="Q7" s="3">
        <v>4</v>
      </c>
      <c r="R7" s="3" t="s">
        <v>32</v>
      </c>
      <c r="S7" s="3" t="s">
        <v>32</v>
      </c>
      <c r="T7" s="3" t="s">
        <v>32</v>
      </c>
      <c r="U7" s="3" t="s">
        <v>32</v>
      </c>
      <c r="V7" s="3" t="s">
        <v>32</v>
      </c>
      <c r="W7" s="3"/>
      <c r="X7" s="3"/>
      <c r="Y7" s="3"/>
      <c r="Z7" s="3">
        <v>1.77</v>
      </c>
      <c r="AA7" s="3">
        <f t="shared" ref="AA7:AA70" si="1">N7</f>
        <v>5</v>
      </c>
      <c r="AB7" s="3">
        <v>0.92</v>
      </c>
      <c r="AC7" s="3">
        <v>0.84</v>
      </c>
      <c r="AD7" s="3" t="s">
        <v>32</v>
      </c>
      <c r="AE7" s="3" t="s">
        <v>32</v>
      </c>
      <c r="AF7" s="3">
        <v>1.76</v>
      </c>
      <c r="AG7" s="3">
        <v>38.950000000000003</v>
      </c>
      <c r="AH7" s="3" t="s">
        <v>32</v>
      </c>
      <c r="AI7" s="3">
        <v>6.4000000000000057E-2</v>
      </c>
      <c r="AJ7" s="3">
        <v>5.699999999999994E-2</v>
      </c>
      <c r="AK7" s="3"/>
      <c r="AL7" s="3"/>
      <c r="AM7" s="3">
        <f t="shared" ref="AM7:AM70" si="2">SUM(AI7:AL7)</f>
        <v>0.121</v>
      </c>
      <c r="AN7" s="129">
        <f t="shared" ref="AN7:AN70" si="3">AG7/AI7</f>
        <v>608.59374999999955</v>
      </c>
    </row>
    <row r="8" spans="1:40" x14ac:dyDescent="0.2">
      <c r="A8" s="150">
        <f t="shared" si="0"/>
        <v>20</v>
      </c>
      <c r="B8" s="151">
        <v>45173</v>
      </c>
      <c r="C8" s="150" t="s">
        <v>14</v>
      </c>
      <c r="D8" s="150">
        <v>1050</v>
      </c>
      <c r="E8" s="150" t="s">
        <v>356</v>
      </c>
      <c r="F8" s="150" t="s">
        <v>142</v>
      </c>
      <c r="G8" s="150" t="s">
        <v>131</v>
      </c>
      <c r="H8" s="150" t="s">
        <v>132</v>
      </c>
      <c r="I8" s="150" t="s">
        <v>194</v>
      </c>
      <c r="J8" s="150">
        <v>3</v>
      </c>
      <c r="K8" s="3">
        <v>11</v>
      </c>
      <c r="L8" s="3">
        <v>2</v>
      </c>
      <c r="M8" s="3">
        <v>7.0000000000000007E-2</v>
      </c>
      <c r="N8" s="3">
        <v>5</v>
      </c>
      <c r="O8" s="3">
        <v>7</v>
      </c>
      <c r="P8" s="3">
        <v>2</v>
      </c>
      <c r="Q8" s="3">
        <v>3</v>
      </c>
      <c r="R8" s="3" t="s">
        <v>32</v>
      </c>
      <c r="S8" s="3" t="s">
        <v>32</v>
      </c>
      <c r="T8" s="3" t="s">
        <v>32</v>
      </c>
      <c r="U8" s="3" t="s">
        <v>32</v>
      </c>
      <c r="V8" s="3" t="s">
        <v>32</v>
      </c>
      <c r="W8" s="3"/>
      <c r="X8" s="3"/>
      <c r="Y8" s="3"/>
      <c r="Z8" s="3">
        <v>1.75</v>
      </c>
      <c r="AA8" s="3">
        <f t="shared" si="1"/>
        <v>5</v>
      </c>
      <c r="AB8" s="3">
        <v>0.91</v>
      </c>
      <c r="AC8" s="3">
        <v>0.8</v>
      </c>
      <c r="AD8" s="3" t="s">
        <v>32</v>
      </c>
      <c r="AE8" s="3" t="s">
        <v>32</v>
      </c>
      <c r="AF8" s="3">
        <v>1.71</v>
      </c>
      <c r="AG8" s="3">
        <v>38.58</v>
      </c>
      <c r="AH8" s="3" t="s">
        <v>32</v>
      </c>
      <c r="AI8" s="3">
        <v>5.4999999999999716E-2</v>
      </c>
      <c r="AJ8" s="3">
        <v>6.800000000000006E-2</v>
      </c>
      <c r="AK8" s="3"/>
      <c r="AL8" s="3"/>
      <c r="AM8" s="3">
        <f t="shared" si="2"/>
        <v>0.12299999999999978</v>
      </c>
      <c r="AN8" s="129">
        <f t="shared" si="3"/>
        <v>701.45454545454902</v>
      </c>
    </row>
    <row r="9" spans="1:40" x14ac:dyDescent="0.2">
      <c r="A9" s="150">
        <f t="shared" si="0"/>
        <v>20</v>
      </c>
      <c r="B9" s="151">
        <v>45173</v>
      </c>
      <c r="C9" s="150" t="s">
        <v>14</v>
      </c>
      <c r="D9" s="150">
        <v>1050</v>
      </c>
      <c r="E9" s="150" t="s">
        <v>356</v>
      </c>
      <c r="F9" s="150" t="s">
        <v>142</v>
      </c>
      <c r="G9" s="150" t="s">
        <v>131</v>
      </c>
      <c r="H9" s="150" t="s">
        <v>132</v>
      </c>
      <c r="I9" s="150" t="s">
        <v>195</v>
      </c>
      <c r="J9" s="150">
        <v>4</v>
      </c>
      <c r="K9" s="3">
        <v>12.5</v>
      </c>
      <c r="L9" s="3">
        <v>2</v>
      </c>
      <c r="M9" s="3">
        <v>0.11</v>
      </c>
      <c r="N9" s="3">
        <v>5</v>
      </c>
      <c r="O9" s="3">
        <v>7</v>
      </c>
      <c r="P9" s="3">
        <v>2</v>
      </c>
      <c r="Q9" s="3">
        <v>3</v>
      </c>
      <c r="R9" s="3" t="s">
        <v>32</v>
      </c>
      <c r="S9" s="3" t="s">
        <v>32</v>
      </c>
      <c r="T9" s="3" t="s">
        <v>32</v>
      </c>
      <c r="U9" s="3" t="s">
        <v>32</v>
      </c>
      <c r="V9" s="3" t="s">
        <v>32</v>
      </c>
      <c r="W9" s="3"/>
      <c r="X9" s="3"/>
      <c r="Y9" s="3"/>
      <c r="Z9" s="3">
        <v>1.88</v>
      </c>
      <c r="AA9" s="3">
        <f t="shared" si="1"/>
        <v>5</v>
      </c>
      <c r="AB9" s="3">
        <v>1.05</v>
      </c>
      <c r="AC9" s="3">
        <v>0.79</v>
      </c>
      <c r="AD9" s="3" t="s">
        <v>32</v>
      </c>
      <c r="AE9" s="3" t="s">
        <v>32</v>
      </c>
      <c r="AF9" s="3">
        <v>1.84</v>
      </c>
      <c r="AG9" s="3">
        <v>41.88</v>
      </c>
      <c r="AH9" s="3">
        <v>2.5099999999999998</v>
      </c>
      <c r="AI9" s="3">
        <v>7.8999999999999737E-2</v>
      </c>
      <c r="AJ9" s="3">
        <v>6.9999999999996732E-3</v>
      </c>
      <c r="AK9" s="3"/>
      <c r="AL9" s="3"/>
      <c r="AM9" s="3">
        <f t="shared" si="2"/>
        <v>8.599999999999941E-2</v>
      </c>
      <c r="AN9" s="129">
        <f t="shared" si="3"/>
        <v>530.12658227848283</v>
      </c>
    </row>
    <row r="10" spans="1:40" x14ac:dyDescent="0.2">
      <c r="A10" s="150">
        <f t="shared" si="0"/>
        <v>20</v>
      </c>
      <c r="B10" s="151">
        <v>45173</v>
      </c>
      <c r="C10" s="150" t="s">
        <v>14</v>
      </c>
      <c r="D10" s="150">
        <v>1050</v>
      </c>
      <c r="E10" s="150" t="s">
        <v>356</v>
      </c>
      <c r="F10" s="150" t="s">
        <v>142</v>
      </c>
      <c r="G10" s="150" t="s">
        <v>131</v>
      </c>
      <c r="H10" s="150" t="s">
        <v>132</v>
      </c>
      <c r="I10" s="150" t="s">
        <v>196</v>
      </c>
      <c r="J10" s="150">
        <v>5</v>
      </c>
      <c r="K10" s="3">
        <v>10.5</v>
      </c>
      <c r="L10" s="3">
        <v>2</v>
      </c>
      <c r="M10" s="3">
        <v>7.0000000000000007E-2</v>
      </c>
      <c r="N10" s="3">
        <v>5</v>
      </c>
      <c r="O10" s="3">
        <v>7</v>
      </c>
      <c r="P10" s="3">
        <v>2</v>
      </c>
      <c r="Q10" s="3">
        <v>3</v>
      </c>
      <c r="R10" s="3" t="s">
        <v>32</v>
      </c>
      <c r="S10" s="3" t="s">
        <v>32</v>
      </c>
      <c r="T10" s="3" t="s">
        <v>32</v>
      </c>
      <c r="U10" s="3" t="s">
        <v>32</v>
      </c>
      <c r="V10" s="3" t="s">
        <v>32</v>
      </c>
      <c r="W10" s="3"/>
      <c r="X10" s="3"/>
      <c r="Y10" s="3"/>
      <c r="Z10" s="3">
        <v>1.77</v>
      </c>
      <c r="AA10" s="3">
        <f t="shared" si="1"/>
        <v>5</v>
      </c>
      <c r="AB10" s="3">
        <v>0.96</v>
      </c>
      <c r="AC10" s="3">
        <v>0.81</v>
      </c>
      <c r="AD10" s="3" t="s">
        <v>32</v>
      </c>
      <c r="AE10" s="3" t="s">
        <v>32</v>
      </c>
      <c r="AF10" s="3">
        <v>1.77</v>
      </c>
      <c r="AG10" s="3">
        <v>39.25</v>
      </c>
      <c r="AH10" s="3">
        <v>2.66</v>
      </c>
      <c r="AI10" s="3">
        <v>0.10199999999999987</v>
      </c>
      <c r="AJ10" s="3">
        <v>1.399999999999979E-2</v>
      </c>
      <c r="AK10" s="3"/>
      <c r="AL10" s="3"/>
      <c r="AM10" s="3">
        <f t="shared" si="2"/>
        <v>0.11599999999999966</v>
      </c>
      <c r="AN10" s="129">
        <f t="shared" si="3"/>
        <v>384.80392156862797</v>
      </c>
    </row>
    <row r="11" spans="1:40" x14ac:dyDescent="0.2">
      <c r="A11" s="150">
        <f t="shared" si="0"/>
        <v>20</v>
      </c>
      <c r="B11" s="151">
        <v>45173</v>
      </c>
      <c r="C11" s="150" t="s">
        <v>14</v>
      </c>
      <c r="D11" s="150">
        <v>1050</v>
      </c>
      <c r="E11" s="150" t="s">
        <v>356</v>
      </c>
      <c r="F11" s="150" t="s">
        <v>142</v>
      </c>
      <c r="G11" s="150" t="s">
        <v>131</v>
      </c>
      <c r="H11" s="150" t="s">
        <v>132</v>
      </c>
      <c r="I11" s="150" t="s">
        <v>197</v>
      </c>
      <c r="J11" s="150">
        <v>6</v>
      </c>
      <c r="K11" s="3">
        <v>12</v>
      </c>
      <c r="L11" s="3">
        <v>2</v>
      </c>
      <c r="M11" s="3">
        <v>0.1</v>
      </c>
      <c r="N11" s="3">
        <v>5</v>
      </c>
      <c r="O11" s="3">
        <v>7</v>
      </c>
      <c r="P11" s="3">
        <v>2</v>
      </c>
      <c r="Q11" s="3">
        <v>3</v>
      </c>
      <c r="R11" s="3" t="s">
        <v>32</v>
      </c>
      <c r="S11" s="3" t="s">
        <v>32</v>
      </c>
      <c r="T11" s="3" t="s">
        <v>32</v>
      </c>
      <c r="U11" s="3" t="s">
        <v>32</v>
      </c>
      <c r="V11" s="3" t="s">
        <v>32</v>
      </c>
      <c r="W11" s="3"/>
      <c r="X11" s="3"/>
      <c r="Y11" s="3"/>
      <c r="Z11" s="3">
        <v>1.79</v>
      </c>
      <c r="AA11" s="3">
        <f t="shared" si="1"/>
        <v>5</v>
      </c>
      <c r="AB11" s="3">
        <v>0.9</v>
      </c>
      <c r="AC11" s="3">
        <v>0.87</v>
      </c>
      <c r="AD11" s="3" t="s">
        <v>32</v>
      </c>
      <c r="AE11" s="3" t="s">
        <v>32</v>
      </c>
      <c r="AF11" s="3">
        <v>1.77</v>
      </c>
      <c r="AG11" s="3">
        <v>39.85</v>
      </c>
      <c r="AH11" s="3">
        <v>2.41</v>
      </c>
      <c r="AI11" s="3">
        <v>7.2999999999999954E-2</v>
      </c>
      <c r="AJ11" s="3">
        <v>2.2999999999999687E-2</v>
      </c>
      <c r="AK11" s="3"/>
      <c r="AL11" s="3"/>
      <c r="AM11" s="3">
        <f t="shared" si="2"/>
        <v>9.5999999999999641E-2</v>
      </c>
      <c r="AN11" s="129">
        <f t="shared" si="3"/>
        <v>545.89041095890445</v>
      </c>
    </row>
    <row r="12" spans="1:40" x14ac:dyDescent="0.2">
      <c r="A12" s="150">
        <f t="shared" si="0"/>
        <v>20</v>
      </c>
      <c r="B12" s="151">
        <v>45173</v>
      </c>
      <c r="C12" s="150" t="s">
        <v>14</v>
      </c>
      <c r="D12" s="150">
        <v>1050</v>
      </c>
      <c r="E12" s="150" t="s">
        <v>356</v>
      </c>
      <c r="F12" s="150" t="s">
        <v>142</v>
      </c>
      <c r="G12" s="150" t="s">
        <v>131</v>
      </c>
      <c r="H12" s="150" t="s">
        <v>132</v>
      </c>
      <c r="I12" s="150" t="s">
        <v>226</v>
      </c>
      <c r="J12" s="150">
        <v>7</v>
      </c>
      <c r="K12" s="3">
        <v>11</v>
      </c>
      <c r="L12" s="3">
        <v>2</v>
      </c>
      <c r="M12" s="3">
        <v>0.09</v>
      </c>
      <c r="N12" s="3">
        <v>5</v>
      </c>
      <c r="O12" s="3">
        <v>7</v>
      </c>
      <c r="P12" s="3">
        <v>3</v>
      </c>
      <c r="Q12" s="3">
        <v>2</v>
      </c>
      <c r="R12" s="3" t="s">
        <v>32</v>
      </c>
      <c r="S12" s="3" t="s">
        <v>32</v>
      </c>
      <c r="T12" s="3" t="s">
        <v>32</v>
      </c>
      <c r="U12" s="3" t="s">
        <v>32</v>
      </c>
      <c r="V12" s="3" t="s">
        <v>32</v>
      </c>
      <c r="W12" s="3"/>
      <c r="X12" s="3"/>
      <c r="Y12" s="3"/>
      <c r="Z12" s="3">
        <v>1.75</v>
      </c>
      <c r="AA12" s="3">
        <f t="shared" si="1"/>
        <v>5</v>
      </c>
      <c r="AB12" s="3">
        <v>0.84</v>
      </c>
      <c r="AC12" s="3">
        <v>0.93</v>
      </c>
      <c r="AD12" s="3" t="s">
        <v>32</v>
      </c>
      <c r="AE12" s="3" t="s">
        <v>32</v>
      </c>
      <c r="AF12" s="3">
        <v>1.77</v>
      </c>
      <c r="AG12" s="3">
        <v>30</v>
      </c>
      <c r="AH12" s="3">
        <v>2.86</v>
      </c>
      <c r="AI12" s="3">
        <v>6.6999999999999726E-2</v>
      </c>
      <c r="AJ12" s="3">
        <v>4.4999999999999929E-2</v>
      </c>
      <c r="AK12" s="3"/>
      <c r="AL12" s="3"/>
      <c r="AM12" s="3">
        <f t="shared" si="2"/>
        <v>0.11199999999999966</v>
      </c>
      <c r="AN12" s="129">
        <f t="shared" si="3"/>
        <v>447.76119402985256</v>
      </c>
    </row>
    <row r="13" spans="1:40" x14ac:dyDescent="0.2">
      <c r="A13" s="150">
        <f t="shared" si="0"/>
        <v>20</v>
      </c>
      <c r="B13" s="151">
        <v>45173</v>
      </c>
      <c r="C13" s="150" t="s">
        <v>14</v>
      </c>
      <c r="D13" s="150">
        <v>1050</v>
      </c>
      <c r="E13" s="150" t="s">
        <v>356</v>
      </c>
      <c r="F13" s="150" t="s">
        <v>142</v>
      </c>
      <c r="G13" s="150" t="s">
        <v>131</v>
      </c>
      <c r="H13" s="150" t="s">
        <v>132</v>
      </c>
      <c r="I13" s="150" t="s">
        <v>227</v>
      </c>
      <c r="J13" s="150">
        <v>8</v>
      </c>
      <c r="K13" s="3">
        <v>9.5</v>
      </c>
      <c r="L13" s="3">
        <v>2</v>
      </c>
      <c r="M13" s="3">
        <v>7.0000000000000007E-2</v>
      </c>
      <c r="N13" s="3">
        <v>5</v>
      </c>
      <c r="O13" s="3">
        <v>7</v>
      </c>
      <c r="P13" s="3">
        <v>2</v>
      </c>
      <c r="Q13" s="3">
        <v>3</v>
      </c>
      <c r="R13" s="3" t="s">
        <v>32</v>
      </c>
      <c r="S13" s="3" t="s">
        <v>32</v>
      </c>
      <c r="T13" s="3" t="s">
        <v>32</v>
      </c>
      <c r="U13" s="3" t="s">
        <v>32</v>
      </c>
      <c r="V13" s="3" t="s">
        <v>32</v>
      </c>
      <c r="W13" s="3"/>
      <c r="X13" s="3"/>
      <c r="Y13" s="3"/>
      <c r="Z13" s="3">
        <v>1.5</v>
      </c>
      <c r="AA13" s="3">
        <f t="shared" si="1"/>
        <v>5</v>
      </c>
      <c r="AB13" s="3">
        <v>0.84</v>
      </c>
      <c r="AC13" s="3">
        <v>0.64</v>
      </c>
      <c r="AD13" s="3" t="s">
        <v>32</v>
      </c>
      <c r="AE13" s="3" t="s">
        <v>32</v>
      </c>
      <c r="AF13" s="3">
        <v>1.48</v>
      </c>
      <c r="AG13" s="3">
        <v>31.2</v>
      </c>
      <c r="AH13" s="3">
        <v>3.01</v>
      </c>
      <c r="AI13" s="3">
        <v>8.1999999999999851E-2</v>
      </c>
      <c r="AJ13" s="3">
        <v>5.4999999999999716E-2</v>
      </c>
      <c r="AK13" s="3"/>
      <c r="AL13" s="3"/>
      <c r="AM13" s="3">
        <f t="shared" si="2"/>
        <v>0.13699999999999957</v>
      </c>
      <c r="AN13" s="129">
        <f t="shared" si="3"/>
        <v>380.48780487804947</v>
      </c>
    </row>
    <row r="14" spans="1:40" x14ac:dyDescent="0.2">
      <c r="A14" s="150">
        <f t="shared" si="0"/>
        <v>20</v>
      </c>
      <c r="B14" s="151">
        <v>45173</v>
      </c>
      <c r="C14" s="150" t="s">
        <v>14</v>
      </c>
      <c r="D14" s="150">
        <v>1050</v>
      </c>
      <c r="E14" s="150" t="s">
        <v>356</v>
      </c>
      <c r="F14" s="150" t="s">
        <v>142</v>
      </c>
      <c r="G14" s="150" t="s">
        <v>131</v>
      </c>
      <c r="H14" s="150" t="s">
        <v>132</v>
      </c>
      <c r="I14" s="150" t="s">
        <v>228</v>
      </c>
      <c r="J14" s="150">
        <v>9</v>
      </c>
      <c r="K14" s="3">
        <v>11.5</v>
      </c>
      <c r="L14" s="3">
        <v>2</v>
      </c>
      <c r="M14" s="3">
        <v>0.09</v>
      </c>
      <c r="N14" s="3">
        <v>5</v>
      </c>
      <c r="O14" s="3">
        <v>7</v>
      </c>
      <c r="P14" s="3">
        <v>1</v>
      </c>
      <c r="Q14" s="3">
        <v>4</v>
      </c>
      <c r="R14" s="3" t="s">
        <v>32</v>
      </c>
      <c r="S14" s="3" t="s">
        <v>32</v>
      </c>
      <c r="T14" s="3" t="s">
        <v>32</v>
      </c>
      <c r="U14" s="3" t="s">
        <v>32</v>
      </c>
      <c r="V14" s="3" t="s">
        <v>32</v>
      </c>
      <c r="W14" s="3"/>
      <c r="X14" s="3"/>
      <c r="Y14" s="3"/>
      <c r="Z14" s="3">
        <v>1.73</v>
      </c>
      <c r="AA14" s="3">
        <f t="shared" si="1"/>
        <v>5</v>
      </c>
      <c r="AB14" s="3">
        <v>0.83</v>
      </c>
      <c r="AC14" s="3">
        <v>0.86</v>
      </c>
      <c r="AD14" s="3" t="s">
        <v>32</v>
      </c>
      <c r="AE14" s="3" t="s">
        <v>32</v>
      </c>
      <c r="AF14" s="3">
        <v>1.69</v>
      </c>
      <c r="AG14" s="3">
        <v>35.57</v>
      </c>
      <c r="AH14" s="3">
        <v>2.29</v>
      </c>
      <c r="AI14" s="3">
        <v>6.1999999999999833E-2</v>
      </c>
      <c r="AJ14" s="3">
        <v>1.8999999999999684E-2</v>
      </c>
      <c r="AK14" s="3"/>
      <c r="AL14" s="3"/>
      <c r="AM14" s="3">
        <f t="shared" si="2"/>
        <v>8.0999999999999517E-2</v>
      </c>
      <c r="AN14" s="129">
        <f t="shared" si="3"/>
        <v>573.70967741935635</v>
      </c>
    </row>
    <row r="15" spans="1:40" x14ac:dyDescent="0.2">
      <c r="A15" s="150">
        <f t="shared" si="0"/>
        <v>20</v>
      </c>
      <c r="B15" s="151">
        <v>45173</v>
      </c>
      <c r="C15" s="150" t="s">
        <v>14</v>
      </c>
      <c r="D15" s="150">
        <v>1050</v>
      </c>
      <c r="E15" s="150" t="s">
        <v>356</v>
      </c>
      <c r="F15" s="150" t="s">
        <v>142</v>
      </c>
      <c r="G15" s="150" t="s">
        <v>131</v>
      </c>
      <c r="H15" s="150" t="s">
        <v>132</v>
      </c>
      <c r="I15" s="150" t="s">
        <v>229</v>
      </c>
      <c r="J15" s="150">
        <v>10</v>
      </c>
      <c r="K15" s="3">
        <v>12.5</v>
      </c>
      <c r="L15" s="3">
        <v>2</v>
      </c>
      <c r="M15" s="3">
        <v>0.1</v>
      </c>
      <c r="N15" s="3">
        <v>5</v>
      </c>
      <c r="O15" s="3">
        <v>7</v>
      </c>
      <c r="P15" s="3">
        <v>1</v>
      </c>
      <c r="Q15" s="3">
        <v>4</v>
      </c>
      <c r="R15" s="3" t="s">
        <v>32</v>
      </c>
      <c r="S15" s="3" t="s">
        <v>32</v>
      </c>
      <c r="T15" s="3" t="s">
        <v>32</v>
      </c>
      <c r="U15" s="3" t="s">
        <v>32</v>
      </c>
      <c r="V15" s="3" t="s">
        <v>32</v>
      </c>
      <c r="W15" s="3"/>
      <c r="X15" s="3"/>
      <c r="Y15" s="3"/>
      <c r="Z15" s="3">
        <v>1.65</v>
      </c>
      <c r="AA15" s="3">
        <f t="shared" si="1"/>
        <v>5</v>
      </c>
      <c r="AB15" s="3">
        <v>0.87</v>
      </c>
      <c r="AC15" s="3">
        <v>0.76</v>
      </c>
      <c r="AD15" s="3" t="s">
        <v>32</v>
      </c>
      <c r="AE15" s="3" t="s">
        <v>32</v>
      </c>
      <c r="AF15" s="3">
        <v>1.63</v>
      </c>
      <c r="AG15" s="3">
        <v>35.89</v>
      </c>
      <c r="AH15" s="3">
        <v>2.78</v>
      </c>
      <c r="AI15" s="3">
        <v>6.5999999999999837E-2</v>
      </c>
      <c r="AJ15" s="3">
        <v>3.2000000000000028E-2</v>
      </c>
      <c r="AK15" s="3"/>
      <c r="AL15" s="3"/>
      <c r="AM15" s="3">
        <f t="shared" si="2"/>
        <v>9.7999999999999865E-2</v>
      </c>
      <c r="AN15" s="129">
        <f t="shared" si="3"/>
        <v>543.78787878788012</v>
      </c>
    </row>
    <row r="16" spans="1:40" x14ac:dyDescent="0.2">
      <c r="A16" s="150">
        <f t="shared" si="0"/>
        <v>20</v>
      </c>
      <c r="B16" s="151">
        <v>45173</v>
      </c>
      <c r="C16" s="150" t="s">
        <v>14</v>
      </c>
      <c r="D16" s="150">
        <v>1050</v>
      </c>
      <c r="E16" s="150" t="s">
        <v>356</v>
      </c>
      <c r="F16" s="150" t="s">
        <v>142</v>
      </c>
      <c r="G16" s="150" t="s">
        <v>131</v>
      </c>
      <c r="H16" s="150" t="s">
        <v>132</v>
      </c>
      <c r="I16" s="150" t="s">
        <v>230</v>
      </c>
      <c r="J16" s="150">
        <v>11</v>
      </c>
      <c r="K16" s="3">
        <v>11.5</v>
      </c>
      <c r="L16" s="3">
        <v>2</v>
      </c>
      <c r="M16" s="3">
        <v>0.09</v>
      </c>
      <c r="N16" s="3">
        <v>5</v>
      </c>
      <c r="O16" s="3">
        <v>7</v>
      </c>
      <c r="P16" s="3">
        <v>2</v>
      </c>
      <c r="Q16" s="3">
        <v>3</v>
      </c>
      <c r="R16" s="3" t="s">
        <v>32</v>
      </c>
      <c r="S16" s="3" t="s">
        <v>32</v>
      </c>
      <c r="T16" s="3" t="s">
        <v>32</v>
      </c>
      <c r="U16" s="3" t="s">
        <v>32</v>
      </c>
      <c r="V16" s="3" t="s">
        <v>32</v>
      </c>
      <c r="W16" s="3"/>
      <c r="X16" s="3"/>
      <c r="Y16" s="3"/>
      <c r="Z16" s="3">
        <v>1.48</v>
      </c>
      <c r="AA16" s="3">
        <f t="shared" si="1"/>
        <v>5</v>
      </c>
      <c r="AB16" s="3">
        <v>0.75</v>
      </c>
      <c r="AC16" s="3">
        <v>0.72</v>
      </c>
      <c r="AD16" s="3" t="s">
        <v>32</v>
      </c>
      <c r="AE16" s="3" t="s">
        <v>32</v>
      </c>
      <c r="AF16" s="3">
        <v>1.47</v>
      </c>
      <c r="AG16" s="3">
        <v>29.31</v>
      </c>
      <c r="AH16" s="3">
        <v>2.99</v>
      </c>
      <c r="AI16" s="3">
        <v>4.6999999999999709E-2</v>
      </c>
      <c r="AJ16" s="3">
        <v>4.8000000000000043E-2</v>
      </c>
      <c r="AK16" s="3"/>
      <c r="AL16" s="3"/>
      <c r="AM16" s="3">
        <f t="shared" si="2"/>
        <v>9.4999999999999751E-2</v>
      </c>
      <c r="AN16" s="129">
        <f t="shared" si="3"/>
        <v>623.61702127659953</v>
      </c>
    </row>
    <row r="17" spans="1:40" x14ac:dyDescent="0.2">
      <c r="A17" s="150">
        <f t="shared" si="0"/>
        <v>20</v>
      </c>
      <c r="B17" s="151">
        <v>45173</v>
      </c>
      <c r="C17" s="150" t="s">
        <v>14</v>
      </c>
      <c r="D17" s="150">
        <v>1050</v>
      </c>
      <c r="E17" s="150" t="s">
        <v>356</v>
      </c>
      <c r="F17" s="150" t="s">
        <v>142</v>
      </c>
      <c r="G17" s="150" t="s">
        <v>131</v>
      </c>
      <c r="H17" s="150" t="s">
        <v>132</v>
      </c>
      <c r="I17" s="150" t="s">
        <v>231</v>
      </c>
      <c r="J17" s="150">
        <v>12</v>
      </c>
      <c r="K17" s="3">
        <v>12.5</v>
      </c>
      <c r="L17" s="3">
        <v>2</v>
      </c>
      <c r="M17" s="3">
        <v>7.0000000000000007E-2</v>
      </c>
      <c r="N17" s="3">
        <v>5</v>
      </c>
      <c r="O17" s="3">
        <v>7</v>
      </c>
      <c r="P17" s="3">
        <v>2</v>
      </c>
      <c r="Q17" s="3">
        <v>3</v>
      </c>
      <c r="R17" s="3" t="s">
        <v>32</v>
      </c>
      <c r="S17" s="3" t="s">
        <v>32</v>
      </c>
      <c r="T17" s="3" t="s">
        <v>32</v>
      </c>
      <c r="U17" s="3" t="s">
        <v>32</v>
      </c>
      <c r="V17" s="3" t="s">
        <v>32</v>
      </c>
      <c r="W17" s="3"/>
      <c r="X17" s="3"/>
      <c r="Y17" s="3"/>
      <c r="Z17" s="3">
        <v>1.71</v>
      </c>
      <c r="AA17" s="3">
        <f t="shared" si="1"/>
        <v>5</v>
      </c>
      <c r="AB17" s="3">
        <v>0.82</v>
      </c>
      <c r="AC17" s="3">
        <v>0.87</v>
      </c>
      <c r="AD17" s="3" t="s">
        <v>32</v>
      </c>
      <c r="AE17" s="3" t="s">
        <v>32</v>
      </c>
      <c r="AF17" s="3">
        <v>1.69</v>
      </c>
      <c r="AG17" s="3">
        <v>31.24</v>
      </c>
      <c r="AH17" s="3">
        <v>1.37</v>
      </c>
      <c r="AI17" s="3">
        <v>4.4999999999999929E-2</v>
      </c>
      <c r="AJ17" s="3">
        <v>9.4999999999999751E-2</v>
      </c>
      <c r="AK17" s="3"/>
      <c r="AL17" s="3"/>
      <c r="AM17" s="3">
        <f t="shared" si="2"/>
        <v>0.13999999999999968</v>
      </c>
      <c r="AN17" s="129">
        <f t="shared" si="3"/>
        <v>694.22222222222331</v>
      </c>
    </row>
    <row r="18" spans="1:40" x14ac:dyDescent="0.2">
      <c r="A18" s="150">
        <f t="shared" si="0"/>
        <v>20</v>
      </c>
      <c r="B18" s="151">
        <v>45173</v>
      </c>
      <c r="C18" s="150" t="s">
        <v>14</v>
      </c>
      <c r="D18" s="150">
        <v>1050</v>
      </c>
      <c r="E18" s="150" t="s">
        <v>356</v>
      </c>
      <c r="F18" s="150" t="s">
        <v>142</v>
      </c>
      <c r="G18" s="150" t="s">
        <v>131</v>
      </c>
      <c r="H18" s="150" t="s">
        <v>133</v>
      </c>
      <c r="I18" s="150" t="s">
        <v>150</v>
      </c>
      <c r="J18" s="150">
        <v>1</v>
      </c>
      <c r="K18" s="3">
        <v>11</v>
      </c>
      <c r="L18" s="3">
        <v>2</v>
      </c>
      <c r="M18" s="3" t="s">
        <v>32</v>
      </c>
      <c r="N18" s="3">
        <v>5</v>
      </c>
      <c r="O18" s="3">
        <v>7</v>
      </c>
      <c r="P18" s="3">
        <v>3</v>
      </c>
      <c r="Q18" s="3">
        <v>2</v>
      </c>
      <c r="R18" s="3" t="s">
        <v>32</v>
      </c>
      <c r="S18" s="3" t="s">
        <v>32</v>
      </c>
      <c r="T18" s="3" t="s">
        <v>32</v>
      </c>
      <c r="U18" s="3" t="s">
        <v>32</v>
      </c>
      <c r="V18" s="3" t="s">
        <v>32</v>
      </c>
      <c r="W18" s="3"/>
      <c r="X18" s="3"/>
      <c r="Y18" s="3"/>
      <c r="Z18" s="3">
        <v>1.37</v>
      </c>
      <c r="AA18" s="3">
        <f t="shared" si="1"/>
        <v>5</v>
      </c>
      <c r="AB18" s="3">
        <v>0.7</v>
      </c>
      <c r="AC18" s="3">
        <v>0.65</v>
      </c>
      <c r="AD18" s="3" t="s">
        <v>32</v>
      </c>
      <c r="AE18" s="3" t="s">
        <v>32</v>
      </c>
      <c r="AF18" s="3">
        <v>1.35</v>
      </c>
      <c r="AG18" s="3">
        <v>29.43</v>
      </c>
      <c r="AH18" s="3" t="s">
        <v>32</v>
      </c>
      <c r="AI18" s="3">
        <v>7.3999999999999844E-2</v>
      </c>
      <c r="AJ18" s="3">
        <v>5.699999999999994E-2</v>
      </c>
      <c r="AK18" s="3"/>
      <c r="AL18" s="3"/>
      <c r="AM18" s="3">
        <f t="shared" si="2"/>
        <v>0.13099999999999978</v>
      </c>
      <c r="AN18" s="129">
        <f t="shared" si="3"/>
        <v>397.70270270270356</v>
      </c>
    </row>
    <row r="19" spans="1:40" x14ac:dyDescent="0.2">
      <c r="A19" s="150">
        <f t="shared" si="0"/>
        <v>20</v>
      </c>
      <c r="B19" s="151">
        <v>45173</v>
      </c>
      <c r="C19" s="150" t="s">
        <v>14</v>
      </c>
      <c r="D19" s="150">
        <v>1050</v>
      </c>
      <c r="E19" s="150" t="s">
        <v>356</v>
      </c>
      <c r="F19" s="150" t="s">
        <v>142</v>
      </c>
      <c r="G19" s="150" t="s">
        <v>131</v>
      </c>
      <c r="H19" s="150" t="s">
        <v>133</v>
      </c>
      <c r="I19" s="150" t="s">
        <v>151</v>
      </c>
      <c r="J19" s="150">
        <v>2</v>
      </c>
      <c r="K19" s="3">
        <v>12</v>
      </c>
      <c r="L19" s="3">
        <v>2</v>
      </c>
      <c r="M19" s="3">
        <v>0.05</v>
      </c>
      <c r="N19" s="3">
        <v>5</v>
      </c>
      <c r="O19" s="3">
        <v>7</v>
      </c>
      <c r="P19" s="3">
        <v>1</v>
      </c>
      <c r="Q19" s="3">
        <v>4</v>
      </c>
      <c r="R19" s="3" t="s">
        <v>32</v>
      </c>
      <c r="S19" s="3" t="s">
        <v>32</v>
      </c>
      <c r="T19" s="3" t="s">
        <v>32</v>
      </c>
      <c r="U19" s="3" t="s">
        <v>32</v>
      </c>
      <c r="V19" s="3" t="s">
        <v>32</v>
      </c>
      <c r="W19" s="3"/>
      <c r="X19" s="3"/>
      <c r="Y19" s="3"/>
      <c r="Z19" s="3">
        <v>1.77</v>
      </c>
      <c r="AA19" s="3">
        <f t="shared" si="1"/>
        <v>5</v>
      </c>
      <c r="AB19" s="3">
        <v>0.92</v>
      </c>
      <c r="AC19" s="3">
        <v>0.84</v>
      </c>
      <c r="AD19" s="3" t="s">
        <v>32</v>
      </c>
      <c r="AE19" s="3" t="s">
        <v>32</v>
      </c>
      <c r="AF19" s="3">
        <v>1.76</v>
      </c>
      <c r="AG19" s="3">
        <v>38.950000000000003</v>
      </c>
      <c r="AH19" s="3" t="s">
        <v>32</v>
      </c>
      <c r="AI19" s="3">
        <v>6.4000000000000057E-2</v>
      </c>
      <c r="AJ19" s="3">
        <v>5.699999999999994E-2</v>
      </c>
      <c r="AK19" s="3"/>
      <c r="AL19" s="3"/>
      <c r="AM19" s="3">
        <f t="shared" si="2"/>
        <v>0.121</v>
      </c>
      <c r="AN19" s="129">
        <f t="shared" si="3"/>
        <v>608.59374999999955</v>
      </c>
    </row>
    <row r="20" spans="1:40" x14ac:dyDescent="0.2">
      <c r="A20" s="150">
        <f t="shared" si="0"/>
        <v>20</v>
      </c>
      <c r="B20" s="151">
        <v>45173</v>
      </c>
      <c r="C20" s="150" t="s">
        <v>14</v>
      </c>
      <c r="D20" s="150">
        <v>1050</v>
      </c>
      <c r="E20" s="150" t="s">
        <v>356</v>
      </c>
      <c r="F20" s="150" t="s">
        <v>142</v>
      </c>
      <c r="G20" s="150" t="s">
        <v>131</v>
      </c>
      <c r="H20" s="150" t="s">
        <v>133</v>
      </c>
      <c r="I20" s="150" t="s">
        <v>152</v>
      </c>
      <c r="J20" s="150">
        <v>3</v>
      </c>
      <c r="K20" s="3">
        <v>11</v>
      </c>
      <c r="L20" s="3">
        <v>2</v>
      </c>
      <c r="M20" s="3">
        <v>7.0000000000000007E-2</v>
      </c>
      <c r="N20" s="3">
        <v>5</v>
      </c>
      <c r="O20" s="3">
        <v>7</v>
      </c>
      <c r="P20" s="3">
        <v>2</v>
      </c>
      <c r="Q20" s="3">
        <v>3</v>
      </c>
      <c r="R20" s="3" t="s">
        <v>32</v>
      </c>
      <c r="S20" s="3" t="s">
        <v>32</v>
      </c>
      <c r="T20" s="3" t="s">
        <v>32</v>
      </c>
      <c r="U20" s="3" t="s">
        <v>32</v>
      </c>
      <c r="V20" s="3" t="s">
        <v>32</v>
      </c>
      <c r="W20" s="3"/>
      <c r="X20" s="3"/>
      <c r="Y20" s="3"/>
      <c r="Z20" s="3">
        <v>1.75</v>
      </c>
      <c r="AA20" s="3">
        <f t="shared" si="1"/>
        <v>5</v>
      </c>
      <c r="AB20" s="3">
        <v>0.91</v>
      </c>
      <c r="AC20" s="3">
        <v>0.8</v>
      </c>
      <c r="AD20" s="3" t="s">
        <v>32</v>
      </c>
      <c r="AE20" s="3" t="s">
        <v>32</v>
      </c>
      <c r="AF20" s="3">
        <v>1.71</v>
      </c>
      <c r="AG20" s="3">
        <v>38.58</v>
      </c>
      <c r="AH20" s="3" t="s">
        <v>32</v>
      </c>
      <c r="AI20" s="3">
        <v>5.4999999999999716E-2</v>
      </c>
      <c r="AJ20" s="3">
        <v>6.800000000000006E-2</v>
      </c>
      <c r="AK20" s="3"/>
      <c r="AL20" s="3"/>
      <c r="AM20" s="3">
        <f t="shared" si="2"/>
        <v>0.12299999999999978</v>
      </c>
      <c r="AN20" s="129">
        <f t="shared" si="3"/>
        <v>701.45454545454902</v>
      </c>
    </row>
    <row r="21" spans="1:40" x14ac:dyDescent="0.2">
      <c r="A21" s="150">
        <f t="shared" si="0"/>
        <v>20</v>
      </c>
      <c r="B21" s="151">
        <v>45173</v>
      </c>
      <c r="C21" s="150" t="s">
        <v>14</v>
      </c>
      <c r="D21" s="150">
        <v>1050</v>
      </c>
      <c r="E21" s="150" t="s">
        <v>356</v>
      </c>
      <c r="F21" s="150" t="s">
        <v>142</v>
      </c>
      <c r="G21" s="150" t="s">
        <v>131</v>
      </c>
      <c r="H21" s="150" t="s">
        <v>133</v>
      </c>
      <c r="I21" s="150" t="s">
        <v>153</v>
      </c>
      <c r="J21" s="150">
        <v>4</v>
      </c>
      <c r="K21" s="3">
        <v>12.5</v>
      </c>
      <c r="L21" s="3">
        <v>2</v>
      </c>
      <c r="M21" s="3">
        <v>0.11</v>
      </c>
      <c r="N21" s="3">
        <v>5</v>
      </c>
      <c r="O21" s="3">
        <v>7</v>
      </c>
      <c r="P21" s="3">
        <v>2</v>
      </c>
      <c r="Q21" s="3">
        <v>3</v>
      </c>
      <c r="R21" s="3" t="s">
        <v>32</v>
      </c>
      <c r="S21" s="3" t="s">
        <v>32</v>
      </c>
      <c r="T21" s="3" t="s">
        <v>32</v>
      </c>
      <c r="U21" s="3" t="s">
        <v>32</v>
      </c>
      <c r="V21" s="3" t="s">
        <v>32</v>
      </c>
      <c r="W21" s="3"/>
      <c r="X21" s="3"/>
      <c r="Y21" s="3"/>
      <c r="Z21" s="3">
        <v>1.88</v>
      </c>
      <c r="AA21" s="3">
        <f t="shared" si="1"/>
        <v>5</v>
      </c>
      <c r="AB21" s="3">
        <v>1.05</v>
      </c>
      <c r="AC21" s="3">
        <v>0.79</v>
      </c>
      <c r="AD21" s="3" t="s">
        <v>32</v>
      </c>
      <c r="AE21" s="3" t="s">
        <v>32</v>
      </c>
      <c r="AF21" s="3">
        <v>1.84</v>
      </c>
      <c r="AG21" s="3">
        <v>41.88</v>
      </c>
      <c r="AH21" s="3">
        <v>2.5099999999999998</v>
      </c>
      <c r="AI21" s="3">
        <v>7.8999999999999737E-2</v>
      </c>
      <c r="AJ21" s="3">
        <v>6.9999999999996732E-3</v>
      </c>
      <c r="AK21" s="3"/>
      <c r="AL21" s="3"/>
      <c r="AM21" s="3">
        <f t="shared" si="2"/>
        <v>8.599999999999941E-2</v>
      </c>
      <c r="AN21" s="129">
        <f t="shared" si="3"/>
        <v>530.12658227848283</v>
      </c>
    </row>
    <row r="22" spans="1:40" x14ac:dyDescent="0.2">
      <c r="A22" s="150">
        <f t="shared" si="0"/>
        <v>20</v>
      </c>
      <c r="B22" s="151">
        <v>45173</v>
      </c>
      <c r="C22" s="150" t="s">
        <v>14</v>
      </c>
      <c r="D22" s="150">
        <v>1050</v>
      </c>
      <c r="E22" s="150" t="s">
        <v>356</v>
      </c>
      <c r="F22" s="150" t="s">
        <v>142</v>
      </c>
      <c r="G22" s="150" t="s">
        <v>131</v>
      </c>
      <c r="H22" s="150" t="s">
        <v>133</v>
      </c>
      <c r="I22" s="150" t="s">
        <v>154</v>
      </c>
      <c r="J22" s="150">
        <v>5</v>
      </c>
      <c r="K22" s="3">
        <v>10.5</v>
      </c>
      <c r="L22" s="3">
        <v>2</v>
      </c>
      <c r="M22" s="3">
        <v>7.0000000000000007E-2</v>
      </c>
      <c r="N22" s="3">
        <v>5</v>
      </c>
      <c r="O22" s="3">
        <v>7</v>
      </c>
      <c r="P22" s="3">
        <v>2</v>
      </c>
      <c r="Q22" s="3">
        <v>3</v>
      </c>
      <c r="R22" s="3" t="s">
        <v>32</v>
      </c>
      <c r="S22" s="3" t="s">
        <v>32</v>
      </c>
      <c r="T22" s="3" t="s">
        <v>32</v>
      </c>
      <c r="U22" s="3" t="s">
        <v>32</v>
      </c>
      <c r="V22" s="3" t="s">
        <v>32</v>
      </c>
      <c r="W22" s="3"/>
      <c r="X22" s="3"/>
      <c r="Y22" s="3"/>
      <c r="Z22" s="3">
        <v>1.77</v>
      </c>
      <c r="AA22" s="3">
        <f t="shared" si="1"/>
        <v>5</v>
      </c>
      <c r="AB22" s="3">
        <v>0.96</v>
      </c>
      <c r="AC22" s="3">
        <v>0.81</v>
      </c>
      <c r="AD22" s="3" t="s">
        <v>32</v>
      </c>
      <c r="AE22" s="3" t="s">
        <v>32</v>
      </c>
      <c r="AF22" s="3">
        <v>1.77</v>
      </c>
      <c r="AG22" s="3">
        <v>39.25</v>
      </c>
      <c r="AH22" s="3">
        <v>2.66</v>
      </c>
      <c r="AI22" s="3">
        <v>0.10199999999999987</v>
      </c>
      <c r="AJ22" s="3">
        <v>1.399999999999979E-2</v>
      </c>
      <c r="AK22" s="3"/>
      <c r="AL22" s="3"/>
      <c r="AM22" s="3">
        <f t="shared" si="2"/>
        <v>0.11599999999999966</v>
      </c>
      <c r="AN22" s="129">
        <f t="shared" si="3"/>
        <v>384.80392156862797</v>
      </c>
    </row>
    <row r="23" spans="1:40" x14ac:dyDescent="0.2">
      <c r="A23" s="150">
        <f t="shared" si="0"/>
        <v>20</v>
      </c>
      <c r="B23" s="151">
        <v>45173</v>
      </c>
      <c r="C23" s="150" t="s">
        <v>14</v>
      </c>
      <c r="D23" s="150">
        <v>1050</v>
      </c>
      <c r="E23" s="150" t="s">
        <v>356</v>
      </c>
      <c r="F23" s="150" t="s">
        <v>142</v>
      </c>
      <c r="G23" s="150" t="s">
        <v>131</v>
      </c>
      <c r="H23" s="150" t="s">
        <v>133</v>
      </c>
      <c r="I23" s="150" t="s">
        <v>155</v>
      </c>
      <c r="J23" s="150">
        <v>6</v>
      </c>
      <c r="K23" s="3">
        <v>12</v>
      </c>
      <c r="L23" s="3">
        <v>2</v>
      </c>
      <c r="M23" s="3">
        <v>0.1</v>
      </c>
      <c r="N23" s="3">
        <v>5</v>
      </c>
      <c r="O23" s="3">
        <v>7</v>
      </c>
      <c r="P23" s="3">
        <v>2</v>
      </c>
      <c r="Q23" s="3">
        <v>3</v>
      </c>
      <c r="R23" s="3" t="s">
        <v>32</v>
      </c>
      <c r="S23" s="3" t="s">
        <v>32</v>
      </c>
      <c r="T23" s="3" t="s">
        <v>32</v>
      </c>
      <c r="U23" s="3" t="s">
        <v>32</v>
      </c>
      <c r="V23" s="3" t="s">
        <v>32</v>
      </c>
      <c r="W23" s="3"/>
      <c r="X23" s="3"/>
      <c r="Y23" s="3"/>
      <c r="Z23" s="3">
        <v>1.79</v>
      </c>
      <c r="AA23" s="3">
        <f t="shared" si="1"/>
        <v>5</v>
      </c>
      <c r="AB23" s="3">
        <v>0.9</v>
      </c>
      <c r="AC23" s="3">
        <v>0.87</v>
      </c>
      <c r="AD23" s="3" t="s">
        <v>32</v>
      </c>
      <c r="AE23" s="3" t="s">
        <v>32</v>
      </c>
      <c r="AF23" s="3">
        <v>1.77</v>
      </c>
      <c r="AG23" s="3">
        <v>39.85</v>
      </c>
      <c r="AH23" s="3">
        <v>2.41</v>
      </c>
      <c r="AI23" s="3">
        <v>7.2999999999999954E-2</v>
      </c>
      <c r="AJ23" s="3">
        <v>2.2999999999999687E-2</v>
      </c>
      <c r="AK23" s="3"/>
      <c r="AL23" s="3"/>
      <c r="AM23" s="3">
        <f t="shared" si="2"/>
        <v>9.5999999999999641E-2</v>
      </c>
      <c r="AN23" s="129">
        <f t="shared" si="3"/>
        <v>545.89041095890445</v>
      </c>
    </row>
    <row r="24" spans="1:40" x14ac:dyDescent="0.2">
      <c r="A24" s="150">
        <f t="shared" si="0"/>
        <v>20</v>
      </c>
      <c r="B24" s="151">
        <v>45173</v>
      </c>
      <c r="C24" s="150" t="s">
        <v>14</v>
      </c>
      <c r="D24" s="150">
        <v>1050</v>
      </c>
      <c r="E24" s="150" t="s">
        <v>356</v>
      </c>
      <c r="F24" s="150" t="s">
        <v>142</v>
      </c>
      <c r="G24" s="150" t="s">
        <v>131</v>
      </c>
      <c r="H24" s="150" t="s">
        <v>133</v>
      </c>
      <c r="I24" s="150" t="s">
        <v>232</v>
      </c>
      <c r="J24" s="150">
        <v>7</v>
      </c>
      <c r="K24" s="3">
        <v>11</v>
      </c>
      <c r="L24" s="3">
        <v>2</v>
      </c>
      <c r="M24" s="3">
        <v>0.09</v>
      </c>
      <c r="N24" s="3">
        <v>5</v>
      </c>
      <c r="O24" s="3">
        <v>7</v>
      </c>
      <c r="P24" s="3">
        <v>3</v>
      </c>
      <c r="Q24" s="3">
        <v>2</v>
      </c>
      <c r="R24" s="3" t="s">
        <v>32</v>
      </c>
      <c r="S24" s="3" t="s">
        <v>32</v>
      </c>
      <c r="T24" s="3" t="s">
        <v>32</v>
      </c>
      <c r="U24" s="3" t="s">
        <v>32</v>
      </c>
      <c r="V24" s="3" t="s">
        <v>32</v>
      </c>
      <c r="W24" s="3"/>
      <c r="X24" s="3"/>
      <c r="Y24" s="3"/>
      <c r="Z24" s="3">
        <v>1.75</v>
      </c>
      <c r="AA24" s="3">
        <f t="shared" si="1"/>
        <v>5</v>
      </c>
      <c r="AB24" s="3">
        <v>0.84</v>
      </c>
      <c r="AC24" s="3">
        <v>0.93</v>
      </c>
      <c r="AD24" s="3" t="s">
        <v>32</v>
      </c>
      <c r="AE24" s="3" t="s">
        <v>32</v>
      </c>
      <c r="AF24" s="3">
        <v>1.77</v>
      </c>
      <c r="AG24" s="3">
        <v>30</v>
      </c>
      <c r="AH24" s="3">
        <v>2.86</v>
      </c>
      <c r="AI24" s="3">
        <v>6.6999999999999726E-2</v>
      </c>
      <c r="AJ24" s="3">
        <v>4.4999999999999929E-2</v>
      </c>
      <c r="AK24" s="3"/>
      <c r="AL24" s="3"/>
      <c r="AM24" s="3">
        <f t="shared" si="2"/>
        <v>0.11199999999999966</v>
      </c>
      <c r="AN24" s="129">
        <f t="shared" si="3"/>
        <v>447.76119402985256</v>
      </c>
    </row>
    <row r="25" spans="1:40" x14ac:dyDescent="0.2">
      <c r="A25" s="150">
        <f t="shared" si="0"/>
        <v>20</v>
      </c>
      <c r="B25" s="151">
        <v>45173</v>
      </c>
      <c r="C25" s="150" t="s">
        <v>14</v>
      </c>
      <c r="D25" s="150">
        <v>1050</v>
      </c>
      <c r="E25" s="150" t="s">
        <v>356</v>
      </c>
      <c r="F25" s="150" t="s">
        <v>142</v>
      </c>
      <c r="G25" s="150" t="s">
        <v>131</v>
      </c>
      <c r="H25" s="150" t="s">
        <v>133</v>
      </c>
      <c r="I25" s="150" t="s">
        <v>233</v>
      </c>
      <c r="J25" s="150">
        <v>8</v>
      </c>
      <c r="K25" s="3">
        <v>9.5</v>
      </c>
      <c r="L25" s="3">
        <v>2</v>
      </c>
      <c r="M25" s="3">
        <v>7.0000000000000007E-2</v>
      </c>
      <c r="N25" s="3">
        <v>5</v>
      </c>
      <c r="O25" s="3">
        <v>7</v>
      </c>
      <c r="P25" s="3">
        <v>2</v>
      </c>
      <c r="Q25" s="3">
        <v>3</v>
      </c>
      <c r="R25" s="3" t="s">
        <v>32</v>
      </c>
      <c r="S25" s="3" t="s">
        <v>32</v>
      </c>
      <c r="T25" s="3" t="s">
        <v>32</v>
      </c>
      <c r="U25" s="3" t="s">
        <v>32</v>
      </c>
      <c r="V25" s="3" t="s">
        <v>32</v>
      </c>
      <c r="W25" s="3"/>
      <c r="X25" s="3"/>
      <c r="Y25" s="3"/>
      <c r="Z25" s="3">
        <v>1.5</v>
      </c>
      <c r="AA25" s="3">
        <f t="shared" si="1"/>
        <v>5</v>
      </c>
      <c r="AB25" s="3">
        <v>0.84</v>
      </c>
      <c r="AC25" s="3">
        <v>0.64</v>
      </c>
      <c r="AD25" s="3" t="s">
        <v>32</v>
      </c>
      <c r="AE25" s="3" t="s">
        <v>32</v>
      </c>
      <c r="AF25" s="3">
        <v>1.48</v>
      </c>
      <c r="AG25" s="3">
        <v>31.2</v>
      </c>
      <c r="AH25" s="3">
        <v>3.01</v>
      </c>
      <c r="AI25" s="3">
        <v>8.1999999999999851E-2</v>
      </c>
      <c r="AJ25" s="3">
        <v>5.4999999999999716E-2</v>
      </c>
      <c r="AK25" s="3"/>
      <c r="AL25" s="3"/>
      <c r="AM25" s="3">
        <f t="shared" si="2"/>
        <v>0.13699999999999957</v>
      </c>
      <c r="AN25" s="129">
        <f t="shared" si="3"/>
        <v>380.48780487804947</v>
      </c>
    </row>
    <row r="26" spans="1:40" x14ac:dyDescent="0.2">
      <c r="A26" s="150">
        <f t="shared" si="0"/>
        <v>20</v>
      </c>
      <c r="B26" s="151">
        <v>45173</v>
      </c>
      <c r="C26" s="150" t="s">
        <v>14</v>
      </c>
      <c r="D26" s="150">
        <v>1050</v>
      </c>
      <c r="E26" s="150" t="s">
        <v>356</v>
      </c>
      <c r="F26" s="150" t="s">
        <v>142</v>
      </c>
      <c r="G26" s="150" t="s">
        <v>131</v>
      </c>
      <c r="H26" s="150" t="s">
        <v>133</v>
      </c>
      <c r="I26" s="150" t="s">
        <v>234</v>
      </c>
      <c r="J26" s="150">
        <v>9</v>
      </c>
      <c r="K26" s="3">
        <v>11.5</v>
      </c>
      <c r="L26" s="3">
        <v>2</v>
      </c>
      <c r="M26" s="3">
        <v>0.09</v>
      </c>
      <c r="N26" s="3">
        <v>5</v>
      </c>
      <c r="O26" s="3">
        <v>7</v>
      </c>
      <c r="P26" s="3">
        <v>1</v>
      </c>
      <c r="Q26" s="3">
        <v>4</v>
      </c>
      <c r="R26" s="3" t="s">
        <v>32</v>
      </c>
      <c r="S26" s="3" t="s">
        <v>32</v>
      </c>
      <c r="T26" s="3" t="s">
        <v>32</v>
      </c>
      <c r="U26" s="3" t="s">
        <v>32</v>
      </c>
      <c r="V26" s="3" t="s">
        <v>32</v>
      </c>
      <c r="W26" s="3"/>
      <c r="X26" s="3"/>
      <c r="Y26" s="3"/>
      <c r="Z26" s="3">
        <v>1.73</v>
      </c>
      <c r="AA26" s="3">
        <f t="shared" si="1"/>
        <v>5</v>
      </c>
      <c r="AB26" s="3">
        <v>0.83</v>
      </c>
      <c r="AC26" s="3">
        <v>0.86</v>
      </c>
      <c r="AD26" s="3" t="s">
        <v>32</v>
      </c>
      <c r="AE26" s="3" t="s">
        <v>32</v>
      </c>
      <c r="AF26" s="3">
        <v>1.69</v>
      </c>
      <c r="AG26" s="3">
        <v>35.57</v>
      </c>
      <c r="AH26" s="3">
        <v>2.29</v>
      </c>
      <c r="AI26" s="3">
        <v>6.1999999999999833E-2</v>
      </c>
      <c r="AJ26" s="3">
        <v>1.8999999999999684E-2</v>
      </c>
      <c r="AK26" s="3"/>
      <c r="AL26" s="3"/>
      <c r="AM26" s="3">
        <f t="shared" si="2"/>
        <v>8.0999999999999517E-2</v>
      </c>
      <c r="AN26" s="129">
        <f t="shared" si="3"/>
        <v>573.70967741935635</v>
      </c>
    </row>
    <row r="27" spans="1:40" x14ac:dyDescent="0.2">
      <c r="A27" s="150">
        <f t="shared" si="0"/>
        <v>20</v>
      </c>
      <c r="B27" s="151">
        <v>45173</v>
      </c>
      <c r="C27" s="150" t="s">
        <v>14</v>
      </c>
      <c r="D27" s="150">
        <v>1050</v>
      </c>
      <c r="E27" s="150" t="s">
        <v>356</v>
      </c>
      <c r="F27" s="150" t="s">
        <v>142</v>
      </c>
      <c r="G27" s="150" t="s">
        <v>131</v>
      </c>
      <c r="H27" s="150" t="s">
        <v>133</v>
      </c>
      <c r="I27" s="150" t="s">
        <v>235</v>
      </c>
      <c r="J27" s="150">
        <v>10</v>
      </c>
      <c r="K27" s="3">
        <v>12.5</v>
      </c>
      <c r="L27" s="3">
        <v>2</v>
      </c>
      <c r="M27" s="3">
        <v>0.1</v>
      </c>
      <c r="N27" s="3">
        <v>5</v>
      </c>
      <c r="O27" s="3">
        <v>7</v>
      </c>
      <c r="P27" s="3">
        <v>1</v>
      </c>
      <c r="Q27" s="3">
        <v>4</v>
      </c>
      <c r="R27" s="3" t="s">
        <v>32</v>
      </c>
      <c r="S27" s="3" t="s">
        <v>32</v>
      </c>
      <c r="T27" s="3" t="s">
        <v>32</v>
      </c>
      <c r="U27" s="3" t="s">
        <v>32</v>
      </c>
      <c r="V27" s="3" t="s">
        <v>32</v>
      </c>
      <c r="W27" s="3"/>
      <c r="X27" s="3"/>
      <c r="Y27" s="3"/>
      <c r="Z27" s="3">
        <v>1.65</v>
      </c>
      <c r="AA27" s="3">
        <f t="shared" si="1"/>
        <v>5</v>
      </c>
      <c r="AB27" s="3">
        <v>0.87</v>
      </c>
      <c r="AC27" s="3">
        <v>0.76</v>
      </c>
      <c r="AD27" s="3" t="s">
        <v>32</v>
      </c>
      <c r="AE27" s="3" t="s">
        <v>32</v>
      </c>
      <c r="AF27" s="3">
        <v>1.63</v>
      </c>
      <c r="AG27" s="3">
        <v>35.89</v>
      </c>
      <c r="AH27" s="3">
        <v>2.78</v>
      </c>
      <c r="AI27" s="3">
        <v>6.5999999999999837E-2</v>
      </c>
      <c r="AJ27" s="3">
        <v>3.2000000000000028E-2</v>
      </c>
      <c r="AK27" s="3"/>
      <c r="AL27" s="3"/>
      <c r="AM27" s="3">
        <f t="shared" si="2"/>
        <v>9.7999999999999865E-2</v>
      </c>
      <c r="AN27" s="129">
        <f t="shared" si="3"/>
        <v>543.78787878788012</v>
      </c>
    </row>
    <row r="28" spans="1:40" x14ac:dyDescent="0.2">
      <c r="A28" s="150">
        <f t="shared" si="0"/>
        <v>20</v>
      </c>
      <c r="B28" s="151">
        <v>45173</v>
      </c>
      <c r="C28" s="150" t="s">
        <v>14</v>
      </c>
      <c r="D28" s="150">
        <v>1050</v>
      </c>
      <c r="E28" s="150" t="s">
        <v>356</v>
      </c>
      <c r="F28" s="150" t="s">
        <v>142</v>
      </c>
      <c r="G28" s="150" t="s">
        <v>131</v>
      </c>
      <c r="H28" s="150" t="s">
        <v>133</v>
      </c>
      <c r="I28" s="150" t="s">
        <v>236</v>
      </c>
      <c r="J28" s="150">
        <v>11</v>
      </c>
      <c r="K28" s="3">
        <v>11.5</v>
      </c>
      <c r="L28" s="3">
        <v>2</v>
      </c>
      <c r="M28" s="3">
        <v>0.09</v>
      </c>
      <c r="N28" s="3">
        <v>5</v>
      </c>
      <c r="O28" s="3">
        <v>7</v>
      </c>
      <c r="P28" s="3">
        <v>2</v>
      </c>
      <c r="Q28" s="3">
        <v>3</v>
      </c>
      <c r="R28" s="3" t="s">
        <v>32</v>
      </c>
      <c r="S28" s="3" t="s">
        <v>32</v>
      </c>
      <c r="T28" s="3" t="s">
        <v>32</v>
      </c>
      <c r="U28" s="3" t="s">
        <v>32</v>
      </c>
      <c r="V28" s="3" t="s">
        <v>32</v>
      </c>
      <c r="W28" s="3"/>
      <c r="X28" s="3"/>
      <c r="Y28" s="3"/>
      <c r="Z28" s="3">
        <v>1.48</v>
      </c>
      <c r="AA28" s="3">
        <f t="shared" si="1"/>
        <v>5</v>
      </c>
      <c r="AB28" s="3">
        <v>0.75</v>
      </c>
      <c r="AC28" s="3">
        <v>0.72</v>
      </c>
      <c r="AD28" s="3" t="s">
        <v>32</v>
      </c>
      <c r="AE28" s="3" t="s">
        <v>32</v>
      </c>
      <c r="AF28" s="3">
        <v>1.47</v>
      </c>
      <c r="AG28" s="3">
        <v>29.31</v>
      </c>
      <c r="AH28" s="3">
        <v>2.99</v>
      </c>
      <c r="AI28" s="3">
        <v>4.6999999999999709E-2</v>
      </c>
      <c r="AJ28" s="3">
        <v>4.8000000000000043E-2</v>
      </c>
      <c r="AK28" s="3"/>
      <c r="AL28" s="3"/>
      <c r="AM28" s="3">
        <f t="shared" si="2"/>
        <v>9.4999999999999751E-2</v>
      </c>
      <c r="AN28" s="129">
        <f t="shared" si="3"/>
        <v>623.61702127659953</v>
      </c>
    </row>
    <row r="29" spans="1:40" x14ac:dyDescent="0.2">
      <c r="A29" s="150">
        <f t="shared" si="0"/>
        <v>20</v>
      </c>
      <c r="B29" s="151">
        <v>45173</v>
      </c>
      <c r="C29" s="150" t="s">
        <v>14</v>
      </c>
      <c r="D29" s="150">
        <v>1050</v>
      </c>
      <c r="E29" s="150" t="s">
        <v>356</v>
      </c>
      <c r="F29" s="150" t="s">
        <v>142</v>
      </c>
      <c r="G29" s="150" t="s">
        <v>131</v>
      </c>
      <c r="H29" s="150" t="s">
        <v>133</v>
      </c>
      <c r="I29" s="150" t="s">
        <v>237</v>
      </c>
      <c r="J29" s="150">
        <v>12</v>
      </c>
      <c r="K29" s="3">
        <v>12.5</v>
      </c>
      <c r="L29" s="3">
        <v>2</v>
      </c>
      <c r="M29" s="3">
        <v>7.0000000000000007E-2</v>
      </c>
      <c r="N29" s="3">
        <v>5</v>
      </c>
      <c r="O29" s="3">
        <v>7</v>
      </c>
      <c r="P29" s="3">
        <v>2</v>
      </c>
      <c r="Q29" s="3">
        <v>3</v>
      </c>
      <c r="R29" s="3" t="s">
        <v>32</v>
      </c>
      <c r="S29" s="3" t="s">
        <v>32</v>
      </c>
      <c r="T29" s="3" t="s">
        <v>32</v>
      </c>
      <c r="U29" s="3" t="s">
        <v>32</v>
      </c>
      <c r="V29" s="3" t="s">
        <v>32</v>
      </c>
      <c r="W29" s="3"/>
      <c r="X29" s="3"/>
      <c r="Y29" s="3"/>
      <c r="Z29" s="3">
        <v>1.71</v>
      </c>
      <c r="AA29" s="3">
        <f t="shared" si="1"/>
        <v>5</v>
      </c>
      <c r="AB29" s="3">
        <v>0.82</v>
      </c>
      <c r="AC29" s="3">
        <v>0.87</v>
      </c>
      <c r="AD29" s="3" t="s">
        <v>32</v>
      </c>
      <c r="AE29" s="3" t="s">
        <v>32</v>
      </c>
      <c r="AF29" s="3">
        <v>1.69</v>
      </c>
      <c r="AG29" s="3">
        <v>31.24</v>
      </c>
      <c r="AH29" s="3">
        <v>1.37</v>
      </c>
      <c r="AI29" s="3">
        <v>4.4999999999999929E-2</v>
      </c>
      <c r="AJ29" s="3">
        <v>9.4999999999999751E-2</v>
      </c>
      <c r="AK29" s="3"/>
      <c r="AL29" s="3"/>
      <c r="AM29" s="3">
        <f t="shared" si="2"/>
        <v>0.13999999999999968</v>
      </c>
      <c r="AN29" s="129">
        <f t="shared" si="3"/>
        <v>694.22222222222331</v>
      </c>
    </row>
    <row r="30" spans="1:40" x14ac:dyDescent="0.2">
      <c r="A30" s="150">
        <f t="shared" si="0"/>
        <v>20</v>
      </c>
      <c r="B30" s="151">
        <v>45173</v>
      </c>
      <c r="C30" s="150" t="s">
        <v>14</v>
      </c>
      <c r="D30" s="150">
        <v>1050</v>
      </c>
      <c r="E30" s="150" t="s">
        <v>356</v>
      </c>
      <c r="F30" s="150" t="s">
        <v>142</v>
      </c>
      <c r="G30" s="150" t="s">
        <v>131</v>
      </c>
      <c r="H30" s="150" t="s">
        <v>134</v>
      </c>
      <c r="I30" s="150" t="s">
        <v>156</v>
      </c>
      <c r="J30" s="150">
        <v>1</v>
      </c>
      <c r="K30" s="3">
        <v>11</v>
      </c>
      <c r="L30" s="3">
        <v>2</v>
      </c>
      <c r="M30" s="3" t="s">
        <v>32</v>
      </c>
      <c r="N30" s="3">
        <v>5</v>
      </c>
      <c r="O30" s="3">
        <v>7</v>
      </c>
      <c r="P30" s="3">
        <v>3</v>
      </c>
      <c r="Q30" s="3">
        <v>2</v>
      </c>
      <c r="R30" s="3" t="s">
        <v>32</v>
      </c>
      <c r="S30" s="3" t="s">
        <v>32</v>
      </c>
      <c r="T30" s="3" t="s">
        <v>32</v>
      </c>
      <c r="U30" s="3" t="s">
        <v>32</v>
      </c>
      <c r="V30" s="3" t="s">
        <v>32</v>
      </c>
      <c r="W30" s="3"/>
      <c r="X30" s="3"/>
      <c r="Y30" s="3"/>
      <c r="Z30" s="3">
        <v>1.37</v>
      </c>
      <c r="AA30" s="3">
        <f t="shared" si="1"/>
        <v>5</v>
      </c>
      <c r="AB30" s="3">
        <v>0.7</v>
      </c>
      <c r="AC30" s="3">
        <v>0.65</v>
      </c>
      <c r="AD30" s="3" t="s">
        <v>32</v>
      </c>
      <c r="AE30" s="3" t="s">
        <v>32</v>
      </c>
      <c r="AF30" s="3">
        <v>1.35</v>
      </c>
      <c r="AG30" s="3">
        <v>29.43</v>
      </c>
      <c r="AH30" s="3" t="s">
        <v>32</v>
      </c>
      <c r="AI30" s="3">
        <v>7.3999999999999844E-2</v>
      </c>
      <c r="AJ30" s="3">
        <v>5.699999999999994E-2</v>
      </c>
      <c r="AK30" s="3"/>
      <c r="AL30" s="3"/>
      <c r="AM30" s="3">
        <f t="shared" si="2"/>
        <v>0.13099999999999978</v>
      </c>
      <c r="AN30" s="129">
        <f t="shared" si="3"/>
        <v>397.70270270270356</v>
      </c>
    </row>
    <row r="31" spans="1:40" x14ac:dyDescent="0.2">
      <c r="A31" s="150">
        <f t="shared" si="0"/>
        <v>20</v>
      </c>
      <c r="B31" s="151">
        <v>45173</v>
      </c>
      <c r="C31" s="150" t="s">
        <v>14</v>
      </c>
      <c r="D31" s="150">
        <v>1050</v>
      </c>
      <c r="E31" s="150" t="s">
        <v>356</v>
      </c>
      <c r="F31" s="150" t="s">
        <v>142</v>
      </c>
      <c r="G31" s="150" t="s">
        <v>131</v>
      </c>
      <c r="H31" s="150" t="s">
        <v>134</v>
      </c>
      <c r="I31" s="150" t="s">
        <v>157</v>
      </c>
      <c r="J31" s="150">
        <v>2</v>
      </c>
      <c r="K31" s="3">
        <v>12</v>
      </c>
      <c r="L31" s="3">
        <v>2</v>
      </c>
      <c r="M31" s="3">
        <v>0.05</v>
      </c>
      <c r="N31" s="3">
        <v>5</v>
      </c>
      <c r="O31" s="3">
        <v>7</v>
      </c>
      <c r="P31" s="3">
        <v>1</v>
      </c>
      <c r="Q31" s="3">
        <v>4</v>
      </c>
      <c r="R31" s="3" t="s">
        <v>32</v>
      </c>
      <c r="S31" s="3" t="s">
        <v>32</v>
      </c>
      <c r="T31" s="3" t="s">
        <v>32</v>
      </c>
      <c r="U31" s="3" t="s">
        <v>32</v>
      </c>
      <c r="V31" s="3" t="s">
        <v>32</v>
      </c>
      <c r="W31" s="3"/>
      <c r="X31" s="3"/>
      <c r="Y31" s="3"/>
      <c r="Z31" s="3">
        <v>1.77</v>
      </c>
      <c r="AA31" s="3">
        <f t="shared" si="1"/>
        <v>5</v>
      </c>
      <c r="AB31" s="3">
        <v>0.92</v>
      </c>
      <c r="AC31" s="3">
        <v>0.84</v>
      </c>
      <c r="AD31" s="3" t="s">
        <v>32</v>
      </c>
      <c r="AE31" s="3" t="s">
        <v>32</v>
      </c>
      <c r="AF31" s="3">
        <v>1.76</v>
      </c>
      <c r="AG31" s="3">
        <v>38.950000000000003</v>
      </c>
      <c r="AH31" s="3" t="s">
        <v>32</v>
      </c>
      <c r="AI31" s="3">
        <v>6.4000000000000057E-2</v>
      </c>
      <c r="AJ31" s="3">
        <v>5.699999999999994E-2</v>
      </c>
      <c r="AK31" s="3"/>
      <c r="AL31" s="3"/>
      <c r="AM31" s="3">
        <f t="shared" si="2"/>
        <v>0.121</v>
      </c>
      <c r="AN31" s="129">
        <f t="shared" si="3"/>
        <v>608.59374999999955</v>
      </c>
    </row>
    <row r="32" spans="1:40" x14ac:dyDescent="0.2">
      <c r="A32" s="150">
        <f t="shared" si="0"/>
        <v>20</v>
      </c>
      <c r="B32" s="151">
        <v>45173</v>
      </c>
      <c r="C32" s="150" t="s">
        <v>14</v>
      </c>
      <c r="D32" s="150">
        <v>1050</v>
      </c>
      <c r="E32" s="150" t="s">
        <v>356</v>
      </c>
      <c r="F32" s="150" t="s">
        <v>142</v>
      </c>
      <c r="G32" s="150" t="s">
        <v>131</v>
      </c>
      <c r="H32" s="150" t="s">
        <v>134</v>
      </c>
      <c r="I32" s="150" t="s">
        <v>158</v>
      </c>
      <c r="J32" s="150">
        <v>3</v>
      </c>
      <c r="K32" s="3">
        <v>11</v>
      </c>
      <c r="L32" s="3">
        <v>2</v>
      </c>
      <c r="M32" s="3">
        <v>7.0000000000000007E-2</v>
      </c>
      <c r="N32" s="3">
        <v>5</v>
      </c>
      <c r="O32" s="3">
        <v>7</v>
      </c>
      <c r="P32" s="3">
        <v>2</v>
      </c>
      <c r="Q32" s="3">
        <v>3</v>
      </c>
      <c r="R32" s="3" t="s">
        <v>32</v>
      </c>
      <c r="S32" s="3" t="s">
        <v>32</v>
      </c>
      <c r="T32" s="3" t="s">
        <v>32</v>
      </c>
      <c r="U32" s="3" t="s">
        <v>32</v>
      </c>
      <c r="V32" s="3" t="s">
        <v>32</v>
      </c>
      <c r="W32" s="3"/>
      <c r="X32" s="3"/>
      <c r="Y32" s="3"/>
      <c r="Z32" s="3">
        <v>1.75</v>
      </c>
      <c r="AA32" s="3">
        <f t="shared" si="1"/>
        <v>5</v>
      </c>
      <c r="AB32" s="3">
        <v>0.91</v>
      </c>
      <c r="AC32" s="3">
        <v>0.8</v>
      </c>
      <c r="AD32" s="3" t="s">
        <v>32</v>
      </c>
      <c r="AE32" s="3" t="s">
        <v>32</v>
      </c>
      <c r="AF32" s="3">
        <v>1.71</v>
      </c>
      <c r="AG32" s="3">
        <v>38.58</v>
      </c>
      <c r="AH32" s="3" t="s">
        <v>32</v>
      </c>
      <c r="AI32" s="3">
        <v>5.4999999999999716E-2</v>
      </c>
      <c r="AJ32" s="3">
        <v>6.800000000000006E-2</v>
      </c>
      <c r="AK32" s="3"/>
      <c r="AL32" s="3"/>
      <c r="AM32" s="3">
        <f t="shared" si="2"/>
        <v>0.12299999999999978</v>
      </c>
      <c r="AN32" s="129">
        <f t="shared" si="3"/>
        <v>701.45454545454902</v>
      </c>
    </row>
    <row r="33" spans="1:40" x14ac:dyDescent="0.2">
      <c r="A33" s="150">
        <f t="shared" si="0"/>
        <v>20</v>
      </c>
      <c r="B33" s="151">
        <v>45173</v>
      </c>
      <c r="C33" s="150" t="s">
        <v>14</v>
      </c>
      <c r="D33" s="150">
        <v>1050</v>
      </c>
      <c r="E33" s="150" t="s">
        <v>356</v>
      </c>
      <c r="F33" s="150" t="s">
        <v>142</v>
      </c>
      <c r="G33" s="150" t="s">
        <v>131</v>
      </c>
      <c r="H33" s="150" t="s">
        <v>134</v>
      </c>
      <c r="I33" s="150" t="s">
        <v>159</v>
      </c>
      <c r="J33" s="150">
        <v>4</v>
      </c>
      <c r="K33" s="3">
        <v>12.5</v>
      </c>
      <c r="L33" s="3">
        <v>2</v>
      </c>
      <c r="M33" s="3">
        <v>0.11</v>
      </c>
      <c r="N33" s="3">
        <v>5</v>
      </c>
      <c r="O33" s="3">
        <v>7</v>
      </c>
      <c r="P33" s="3">
        <v>2</v>
      </c>
      <c r="Q33" s="3">
        <v>3</v>
      </c>
      <c r="R33" s="3" t="s">
        <v>32</v>
      </c>
      <c r="S33" s="3" t="s">
        <v>32</v>
      </c>
      <c r="T33" s="3" t="s">
        <v>32</v>
      </c>
      <c r="U33" s="3" t="s">
        <v>32</v>
      </c>
      <c r="V33" s="3" t="s">
        <v>32</v>
      </c>
      <c r="W33" s="3"/>
      <c r="X33" s="3"/>
      <c r="Y33" s="3"/>
      <c r="Z33" s="3">
        <v>1.88</v>
      </c>
      <c r="AA33" s="3">
        <f t="shared" si="1"/>
        <v>5</v>
      </c>
      <c r="AB33" s="3">
        <v>1.05</v>
      </c>
      <c r="AC33" s="3">
        <v>0.79</v>
      </c>
      <c r="AD33" s="3" t="s">
        <v>32</v>
      </c>
      <c r="AE33" s="3" t="s">
        <v>32</v>
      </c>
      <c r="AF33" s="3">
        <v>1.84</v>
      </c>
      <c r="AG33" s="3">
        <v>41.88</v>
      </c>
      <c r="AH33" s="3">
        <v>2.5099999999999998</v>
      </c>
      <c r="AI33" s="3">
        <v>7.8999999999999737E-2</v>
      </c>
      <c r="AJ33" s="3">
        <v>6.9999999999996732E-3</v>
      </c>
      <c r="AK33" s="3"/>
      <c r="AL33" s="3"/>
      <c r="AM33" s="3">
        <f t="shared" si="2"/>
        <v>8.599999999999941E-2</v>
      </c>
      <c r="AN33" s="129">
        <f t="shared" si="3"/>
        <v>530.12658227848283</v>
      </c>
    </row>
    <row r="34" spans="1:40" x14ac:dyDescent="0.2">
      <c r="A34" s="150">
        <f t="shared" si="0"/>
        <v>20</v>
      </c>
      <c r="B34" s="151">
        <v>45173</v>
      </c>
      <c r="C34" s="150" t="s">
        <v>14</v>
      </c>
      <c r="D34" s="150">
        <v>1050</v>
      </c>
      <c r="E34" s="150" t="s">
        <v>356</v>
      </c>
      <c r="F34" s="150" t="s">
        <v>142</v>
      </c>
      <c r="G34" s="150" t="s">
        <v>131</v>
      </c>
      <c r="H34" s="150" t="s">
        <v>134</v>
      </c>
      <c r="I34" s="150" t="s">
        <v>160</v>
      </c>
      <c r="J34" s="150">
        <v>5</v>
      </c>
      <c r="K34" s="3">
        <v>10.5</v>
      </c>
      <c r="L34" s="3">
        <v>2</v>
      </c>
      <c r="M34" s="3">
        <v>7.0000000000000007E-2</v>
      </c>
      <c r="N34" s="3">
        <v>5</v>
      </c>
      <c r="O34" s="3">
        <v>7</v>
      </c>
      <c r="P34" s="3">
        <v>2</v>
      </c>
      <c r="Q34" s="3">
        <v>3</v>
      </c>
      <c r="R34" s="3" t="s">
        <v>32</v>
      </c>
      <c r="S34" s="3" t="s">
        <v>32</v>
      </c>
      <c r="T34" s="3" t="s">
        <v>32</v>
      </c>
      <c r="U34" s="3" t="s">
        <v>32</v>
      </c>
      <c r="V34" s="3" t="s">
        <v>32</v>
      </c>
      <c r="W34" s="3"/>
      <c r="X34" s="3"/>
      <c r="Y34" s="3"/>
      <c r="Z34" s="3">
        <v>1.77</v>
      </c>
      <c r="AA34" s="3">
        <f t="shared" si="1"/>
        <v>5</v>
      </c>
      <c r="AB34" s="3">
        <v>0.96</v>
      </c>
      <c r="AC34" s="3">
        <v>0.81</v>
      </c>
      <c r="AD34" s="3" t="s">
        <v>32</v>
      </c>
      <c r="AE34" s="3" t="s">
        <v>32</v>
      </c>
      <c r="AF34" s="3">
        <v>1.77</v>
      </c>
      <c r="AG34" s="3">
        <v>39.25</v>
      </c>
      <c r="AH34" s="3">
        <v>2.66</v>
      </c>
      <c r="AI34" s="3">
        <v>0.10199999999999987</v>
      </c>
      <c r="AJ34" s="3">
        <v>1.399999999999979E-2</v>
      </c>
      <c r="AK34" s="3"/>
      <c r="AL34" s="3"/>
      <c r="AM34" s="3">
        <f t="shared" si="2"/>
        <v>0.11599999999999966</v>
      </c>
      <c r="AN34" s="129">
        <f t="shared" si="3"/>
        <v>384.80392156862797</v>
      </c>
    </row>
    <row r="35" spans="1:40" x14ac:dyDescent="0.2">
      <c r="A35" s="150">
        <f t="shared" si="0"/>
        <v>20</v>
      </c>
      <c r="B35" s="151">
        <v>45173</v>
      </c>
      <c r="C35" s="150" t="s">
        <v>14</v>
      </c>
      <c r="D35" s="150">
        <v>1050</v>
      </c>
      <c r="E35" s="150" t="s">
        <v>356</v>
      </c>
      <c r="F35" s="150" t="s">
        <v>142</v>
      </c>
      <c r="G35" s="150" t="s">
        <v>131</v>
      </c>
      <c r="H35" s="150" t="s">
        <v>134</v>
      </c>
      <c r="I35" s="150" t="s">
        <v>161</v>
      </c>
      <c r="J35" s="150">
        <v>6</v>
      </c>
      <c r="K35" s="3">
        <v>12</v>
      </c>
      <c r="L35" s="3">
        <v>2</v>
      </c>
      <c r="M35" s="3">
        <v>0.1</v>
      </c>
      <c r="N35" s="3">
        <v>5</v>
      </c>
      <c r="O35" s="3">
        <v>7</v>
      </c>
      <c r="P35" s="3">
        <v>2</v>
      </c>
      <c r="Q35" s="3">
        <v>3</v>
      </c>
      <c r="R35" s="3" t="s">
        <v>32</v>
      </c>
      <c r="S35" s="3" t="s">
        <v>32</v>
      </c>
      <c r="T35" s="3" t="s">
        <v>32</v>
      </c>
      <c r="U35" s="3" t="s">
        <v>32</v>
      </c>
      <c r="V35" s="3" t="s">
        <v>32</v>
      </c>
      <c r="W35" s="3"/>
      <c r="X35" s="3"/>
      <c r="Y35" s="3"/>
      <c r="Z35" s="3">
        <v>1.79</v>
      </c>
      <c r="AA35" s="3">
        <f t="shared" si="1"/>
        <v>5</v>
      </c>
      <c r="AB35" s="3">
        <v>0.9</v>
      </c>
      <c r="AC35" s="3">
        <v>0.87</v>
      </c>
      <c r="AD35" s="3" t="s">
        <v>32</v>
      </c>
      <c r="AE35" s="3" t="s">
        <v>32</v>
      </c>
      <c r="AF35" s="3">
        <v>1.77</v>
      </c>
      <c r="AG35" s="3">
        <v>39.85</v>
      </c>
      <c r="AH35" s="3">
        <v>2.41</v>
      </c>
      <c r="AI35" s="3">
        <v>7.2999999999999954E-2</v>
      </c>
      <c r="AJ35" s="3">
        <v>2.2999999999999687E-2</v>
      </c>
      <c r="AK35" s="3"/>
      <c r="AL35" s="3"/>
      <c r="AM35" s="3">
        <f t="shared" si="2"/>
        <v>9.5999999999999641E-2</v>
      </c>
      <c r="AN35" s="129">
        <f t="shared" si="3"/>
        <v>545.89041095890445</v>
      </c>
    </row>
    <row r="36" spans="1:40" x14ac:dyDescent="0.2">
      <c r="A36" s="150">
        <f t="shared" si="0"/>
        <v>20</v>
      </c>
      <c r="B36" s="151">
        <v>45173</v>
      </c>
      <c r="C36" s="150" t="s">
        <v>14</v>
      </c>
      <c r="D36" s="150">
        <v>1050</v>
      </c>
      <c r="E36" s="150" t="s">
        <v>356</v>
      </c>
      <c r="F36" s="150" t="s">
        <v>142</v>
      </c>
      <c r="G36" s="150" t="s">
        <v>131</v>
      </c>
      <c r="H36" s="150" t="s">
        <v>134</v>
      </c>
      <c r="I36" s="150" t="s">
        <v>238</v>
      </c>
      <c r="J36" s="150">
        <v>7</v>
      </c>
      <c r="K36" s="3">
        <v>11</v>
      </c>
      <c r="L36" s="3">
        <v>2</v>
      </c>
      <c r="M36" s="3">
        <v>0.09</v>
      </c>
      <c r="N36" s="3">
        <v>5</v>
      </c>
      <c r="O36" s="3">
        <v>7</v>
      </c>
      <c r="P36" s="3">
        <v>3</v>
      </c>
      <c r="Q36" s="3">
        <v>2</v>
      </c>
      <c r="R36" s="3" t="s">
        <v>32</v>
      </c>
      <c r="S36" s="3" t="s">
        <v>32</v>
      </c>
      <c r="T36" s="3" t="s">
        <v>32</v>
      </c>
      <c r="U36" s="3" t="s">
        <v>32</v>
      </c>
      <c r="V36" s="3" t="s">
        <v>32</v>
      </c>
      <c r="W36" s="3"/>
      <c r="X36" s="3"/>
      <c r="Y36" s="3"/>
      <c r="Z36" s="3">
        <v>1.75</v>
      </c>
      <c r="AA36" s="3">
        <f t="shared" si="1"/>
        <v>5</v>
      </c>
      <c r="AB36" s="3">
        <v>0.84</v>
      </c>
      <c r="AC36" s="3">
        <v>0.93</v>
      </c>
      <c r="AD36" s="3" t="s">
        <v>32</v>
      </c>
      <c r="AE36" s="3" t="s">
        <v>32</v>
      </c>
      <c r="AF36" s="3">
        <v>1.77</v>
      </c>
      <c r="AG36" s="3">
        <v>30</v>
      </c>
      <c r="AH36" s="3">
        <v>2.86</v>
      </c>
      <c r="AI36" s="3">
        <v>6.6999999999999726E-2</v>
      </c>
      <c r="AJ36" s="3">
        <v>4.4999999999999929E-2</v>
      </c>
      <c r="AK36" s="3"/>
      <c r="AL36" s="3"/>
      <c r="AM36" s="3">
        <f t="shared" si="2"/>
        <v>0.11199999999999966</v>
      </c>
      <c r="AN36" s="129">
        <f t="shared" si="3"/>
        <v>447.76119402985256</v>
      </c>
    </row>
    <row r="37" spans="1:40" x14ac:dyDescent="0.2">
      <c r="A37" s="150">
        <f t="shared" si="0"/>
        <v>20</v>
      </c>
      <c r="B37" s="151">
        <v>45173</v>
      </c>
      <c r="C37" s="150" t="s">
        <v>14</v>
      </c>
      <c r="D37" s="150">
        <v>1050</v>
      </c>
      <c r="E37" s="150" t="s">
        <v>356</v>
      </c>
      <c r="F37" s="150" t="s">
        <v>142</v>
      </c>
      <c r="G37" s="150" t="s">
        <v>131</v>
      </c>
      <c r="H37" s="150" t="s">
        <v>134</v>
      </c>
      <c r="I37" s="150" t="s">
        <v>239</v>
      </c>
      <c r="J37" s="150">
        <v>8</v>
      </c>
      <c r="K37" s="3">
        <v>9.5</v>
      </c>
      <c r="L37" s="3">
        <v>2</v>
      </c>
      <c r="M37" s="3">
        <v>7.0000000000000007E-2</v>
      </c>
      <c r="N37" s="3">
        <v>5</v>
      </c>
      <c r="O37" s="3">
        <v>7</v>
      </c>
      <c r="P37" s="3">
        <v>2</v>
      </c>
      <c r="Q37" s="3">
        <v>3</v>
      </c>
      <c r="R37" s="3" t="s">
        <v>32</v>
      </c>
      <c r="S37" s="3" t="s">
        <v>32</v>
      </c>
      <c r="T37" s="3" t="s">
        <v>32</v>
      </c>
      <c r="U37" s="3" t="s">
        <v>32</v>
      </c>
      <c r="V37" s="3" t="s">
        <v>32</v>
      </c>
      <c r="W37" s="3"/>
      <c r="X37" s="3"/>
      <c r="Y37" s="3"/>
      <c r="Z37" s="3">
        <v>1.5</v>
      </c>
      <c r="AA37" s="3">
        <f t="shared" si="1"/>
        <v>5</v>
      </c>
      <c r="AB37" s="3">
        <v>0.84</v>
      </c>
      <c r="AC37" s="3">
        <v>0.64</v>
      </c>
      <c r="AD37" s="3" t="s">
        <v>32</v>
      </c>
      <c r="AE37" s="3" t="s">
        <v>32</v>
      </c>
      <c r="AF37" s="3">
        <v>1.48</v>
      </c>
      <c r="AG37" s="3">
        <v>31.2</v>
      </c>
      <c r="AH37" s="3">
        <v>3.01</v>
      </c>
      <c r="AI37" s="3">
        <v>8.1999999999999851E-2</v>
      </c>
      <c r="AJ37" s="3">
        <v>5.4999999999999716E-2</v>
      </c>
      <c r="AK37" s="3"/>
      <c r="AL37" s="3"/>
      <c r="AM37" s="3">
        <f t="shared" si="2"/>
        <v>0.13699999999999957</v>
      </c>
      <c r="AN37" s="129">
        <f t="shared" si="3"/>
        <v>380.48780487804947</v>
      </c>
    </row>
    <row r="38" spans="1:40" x14ac:dyDescent="0.2">
      <c r="A38" s="150">
        <f t="shared" si="0"/>
        <v>20</v>
      </c>
      <c r="B38" s="151">
        <v>45173</v>
      </c>
      <c r="C38" s="150" t="s">
        <v>14</v>
      </c>
      <c r="D38" s="150">
        <v>1050</v>
      </c>
      <c r="E38" s="150" t="s">
        <v>356</v>
      </c>
      <c r="F38" s="150" t="s">
        <v>142</v>
      </c>
      <c r="G38" s="150" t="s">
        <v>131</v>
      </c>
      <c r="H38" s="150" t="s">
        <v>134</v>
      </c>
      <c r="I38" s="150" t="s">
        <v>240</v>
      </c>
      <c r="J38" s="150">
        <v>9</v>
      </c>
      <c r="K38" s="3">
        <v>11.5</v>
      </c>
      <c r="L38" s="3">
        <v>2</v>
      </c>
      <c r="M38" s="3">
        <v>0.09</v>
      </c>
      <c r="N38" s="3">
        <v>5</v>
      </c>
      <c r="O38" s="3">
        <v>7</v>
      </c>
      <c r="P38" s="3">
        <v>1</v>
      </c>
      <c r="Q38" s="3">
        <v>4</v>
      </c>
      <c r="R38" s="3" t="s">
        <v>32</v>
      </c>
      <c r="S38" s="3" t="s">
        <v>32</v>
      </c>
      <c r="T38" s="3" t="s">
        <v>32</v>
      </c>
      <c r="U38" s="3" t="s">
        <v>32</v>
      </c>
      <c r="V38" s="3" t="s">
        <v>32</v>
      </c>
      <c r="W38" s="3"/>
      <c r="X38" s="3"/>
      <c r="Y38" s="3"/>
      <c r="Z38" s="3">
        <v>1.73</v>
      </c>
      <c r="AA38" s="3">
        <f t="shared" si="1"/>
        <v>5</v>
      </c>
      <c r="AB38" s="3">
        <v>0.83</v>
      </c>
      <c r="AC38" s="3">
        <v>0.86</v>
      </c>
      <c r="AD38" s="3" t="s">
        <v>32</v>
      </c>
      <c r="AE38" s="3" t="s">
        <v>32</v>
      </c>
      <c r="AF38" s="3">
        <v>1.69</v>
      </c>
      <c r="AG38" s="3">
        <v>35.57</v>
      </c>
      <c r="AH38" s="3">
        <v>2.29</v>
      </c>
      <c r="AI38" s="3">
        <v>6.1999999999999833E-2</v>
      </c>
      <c r="AJ38" s="3">
        <v>1.8999999999999684E-2</v>
      </c>
      <c r="AK38" s="3"/>
      <c r="AL38" s="3"/>
      <c r="AM38" s="3">
        <f t="shared" si="2"/>
        <v>8.0999999999999517E-2</v>
      </c>
      <c r="AN38" s="129">
        <f t="shared" si="3"/>
        <v>573.70967741935635</v>
      </c>
    </row>
    <row r="39" spans="1:40" x14ac:dyDescent="0.2">
      <c r="A39" s="150">
        <f t="shared" si="0"/>
        <v>20</v>
      </c>
      <c r="B39" s="151">
        <v>45173</v>
      </c>
      <c r="C39" s="150" t="s">
        <v>14</v>
      </c>
      <c r="D39" s="150">
        <v>1050</v>
      </c>
      <c r="E39" s="150" t="s">
        <v>356</v>
      </c>
      <c r="F39" s="150" t="s">
        <v>142</v>
      </c>
      <c r="G39" s="150" t="s">
        <v>131</v>
      </c>
      <c r="H39" s="150" t="s">
        <v>134</v>
      </c>
      <c r="I39" s="150" t="s">
        <v>241</v>
      </c>
      <c r="J39" s="150">
        <v>10</v>
      </c>
      <c r="K39" s="3">
        <v>12.5</v>
      </c>
      <c r="L39" s="3">
        <v>2</v>
      </c>
      <c r="M39" s="3">
        <v>0.1</v>
      </c>
      <c r="N39" s="3">
        <v>5</v>
      </c>
      <c r="O39" s="3">
        <v>7</v>
      </c>
      <c r="P39" s="3">
        <v>1</v>
      </c>
      <c r="Q39" s="3">
        <v>4</v>
      </c>
      <c r="R39" s="3" t="s">
        <v>32</v>
      </c>
      <c r="S39" s="3" t="s">
        <v>32</v>
      </c>
      <c r="T39" s="3" t="s">
        <v>32</v>
      </c>
      <c r="U39" s="3" t="s">
        <v>32</v>
      </c>
      <c r="V39" s="3" t="s">
        <v>32</v>
      </c>
      <c r="W39" s="3"/>
      <c r="X39" s="3"/>
      <c r="Y39" s="3"/>
      <c r="Z39" s="3">
        <v>1.65</v>
      </c>
      <c r="AA39" s="3">
        <f t="shared" si="1"/>
        <v>5</v>
      </c>
      <c r="AB39" s="3">
        <v>0.87</v>
      </c>
      <c r="AC39" s="3">
        <v>0.76</v>
      </c>
      <c r="AD39" s="3" t="s">
        <v>32</v>
      </c>
      <c r="AE39" s="3" t="s">
        <v>32</v>
      </c>
      <c r="AF39" s="3">
        <v>1.63</v>
      </c>
      <c r="AG39" s="3">
        <v>35.89</v>
      </c>
      <c r="AH39" s="3">
        <v>2.78</v>
      </c>
      <c r="AI39" s="3">
        <v>6.5999999999999837E-2</v>
      </c>
      <c r="AJ39" s="3">
        <v>3.2000000000000028E-2</v>
      </c>
      <c r="AK39" s="3"/>
      <c r="AL39" s="3"/>
      <c r="AM39" s="3">
        <f t="shared" si="2"/>
        <v>9.7999999999999865E-2</v>
      </c>
      <c r="AN39" s="129">
        <f t="shared" si="3"/>
        <v>543.78787878788012</v>
      </c>
    </row>
    <row r="40" spans="1:40" x14ac:dyDescent="0.2">
      <c r="A40" s="150">
        <f t="shared" si="0"/>
        <v>20</v>
      </c>
      <c r="B40" s="151">
        <v>45173</v>
      </c>
      <c r="C40" s="150" t="s">
        <v>14</v>
      </c>
      <c r="D40" s="150">
        <v>1050</v>
      </c>
      <c r="E40" s="150" t="s">
        <v>356</v>
      </c>
      <c r="F40" s="150" t="s">
        <v>142</v>
      </c>
      <c r="G40" s="150" t="s">
        <v>131</v>
      </c>
      <c r="H40" s="150" t="s">
        <v>134</v>
      </c>
      <c r="I40" s="150" t="s">
        <v>242</v>
      </c>
      <c r="J40" s="150">
        <v>11</v>
      </c>
      <c r="K40" s="3">
        <v>11.5</v>
      </c>
      <c r="L40" s="3">
        <v>2</v>
      </c>
      <c r="M40" s="3">
        <v>0.09</v>
      </c>
      <c r="N40" s="3">
        <v>5</v>
      </c>
      <c r="O40" s="3">
        <v>7</v>
      </c>
      <c r="P40" s="3">
        <v>2</v>
      </c>
      <c r="Q40" s="3">
        <v>3</v>
      </c>
      <c r="R40" s="3" t="s">
        <v>32</v>
      </c>
      <c r="S40" s="3" t="s">
        <v>32</v>
      </c>
      <c r="T40" s="3" t="s">
        <v>32</v>
      </c>
      <c r="U40" s="3" t="s">
        <v>32</v>
      </c>
      <c r="V40" s="3" t="s">
        <v>32</v>
      </c>
      <c r="W40" s="3"/>
      <c r="X40" s="3"/>
      <c r="Y40" s="3"/>
      <c r="Z40" s="3">
        <v>1.48</v>
      </c>
      <c r="AA40" s="3">
        <f t="shared" si="1"/>
        <v>5</v>
      </c>
      <c r="AB40" s="3">
        <v>0.75</v>
      </c>
      <c r="AC40" s="3">
        <v>0.72</v>
      </c>
      <c r="AD40" s="3" t="s">
        <v>32</v>
      </c>
      <c r="AE40" s="3" t="s">
        <v>32</v>
      </c>
      <c r="AF40" s="3">
        <v>1.47</v>
      </c>
      <c r="AG40" s="3">
        <v>29.31</v>
      </c>
      <c r="AH40" s="3">
        <v>2.99</v>
      </c>
      <c r="AI40" s="3">
        <v>4.6999999999999709E-2</v>
      </c>
      <c r="AJ40" s="3">
        <v>4.8000000000000043E-2</v>
      </c>
      <c r="AK40" s="3"/>
      <c r="AL40" s="3"/>
      <c r="AM40" s="3">
        <f t="shared" si="2"/>
        <v>9.4999999999999751E-2</v>
      </c>
      <c r="AN40" s="129">
        <f t="shared" si="3"/>
        <v>623.61702127659953</v>
      </c>
    </row>
    <row r="41" spans="1:40" x14ac:dyDescent="0.2">
      <c r="A41" s="150">
        <f t="shared" si="0"/>
        <v>20</v>
      </c>
      <c r="B41" s="151">
        <v>45173</v>
      </c>
      <c r="C41" s="150" t="s">
        <v>14</v>
      </c>
      <c r="D41" s="150">
        <v>1050</v>
      </c>
      <c r="E41" s="150" t="s">
        <v>356</v>
      </c>
      <c r="F41" s="150" t="s">
        <v>142</v>
      </c>
      <c r="G41" s="150" t="s">
        <v>131</v>
      </c>
      <c r="H41" s="150" t="s">
        <v>134</v>
      </c>
      <c r="I41" s="150" t="s">
        <v>243</v>
      </c>
      <c r="J41" s="150">
        <v>12</v>
      </c>
      <c r="K41" s="3">
        <v>12.5</v>
      </c>
      <c r="L41" s="3">
        <v>2</v>
      </c>
      <c r="M41" s="3">
        <v>7.0000000000000007E-2</v>
      </c>
      <c r="N41" s="3">
        <v>5</v>
      </c>
      <c r="O41" s="3">
        <v>7</v>
      </c>
      <c r="P41" s="3">
        <v>2</v>
      </c>
      <c r="Q41" s="3">
        <v>3</v>
      </c>
      <c r="R41" s="3" t="s">
        <v>32</v>
      </c>
      <c r="S41" s="3" t="s">
        <v>32</v>
      </c>
      <c r="T41" s="3" t="s">
        <v>32</v>
      </c>
      <c r="U41" s="3" t="s">
        <v>32</v>
      </c>
      <c r="V41" s="3" t="s">
        <v>32</v>
      </c>
      <c r="W41" s="3"/>
      <c r="X41" s="3"/>
      <c r="Y41" s="3"/>
      <c r="Z41" s="3">
        <v>1.71</v>
      </c>
      <c r="AA41" s="3">
        <f t="shared" si="1"/>
        <v>5</v>
      </c>
      <c r="AB41" s="3">
        <v>0.82</v>
      </c>
      <c r="AC41" s="3">
        <v>0.87</v>
      </c>
      <c r="AD41" s="3" t="s">
        <v>32</v>
      </c>
      <c r="AE41" s="3" t="s">
        <v>32</v>
      </c>
      <c r="AF41" s="3">
        <v>1.69</v>
      </c>
      <c r="AG41" s="3">
        <v>31.24</v>
      </c>
      <c r="AH41" s="3">
        <v>1.37</v>
      </c>
      <c r="AI41" s="3">
        <v>4.4999999999999929E-2</v>
      </c>
      <c r="AJ41" s="3">
        <v>9.4999999999999751E-2</v>
      </c>
      <c r="AK41" s="3"/>
      <c r="AL41" s="3"/>
      <c r="AM41" s="3">
        <f t="shared" si="2"/>
        <v>0.13999999999999968</v>
      </c>
      <c r="AN41" s="129">
        <f t="shared" si="3"/>
        <v>694.22222222222331</v>
      </c>
    </row>
    <row r="42" spans="1:40" x14ac:dyDescent="0.2">
      <c r="A42" s="150">
        <f t="shared" si="0"/>
        <v>20</v>
      </c>
      <c r="B42" s="151">
        <v>45173</v>
      </c>
      <c r="C42" s="150" t="s">
        <v>14</v>
      </c>
      <c r="D42" s="150">
        <v>1050</v>
      </c>
      <c r="E42" s="150" t="s">
        <v>356</v>
      </c>
      <c r="F42" s="150" t="s">
        <v>142</v>
      </c>
      <c r="G42" s="150" t="s">
        <v>131</v>
      </c>
      <c r="H42" s="150" t="s">
        <v>135</v>
      </c>
      <c r="I42" s="150" t="s">
        <v>244</v>
      </c>
      <c r="J42" s="150">
        <v>1</v>
      </c>
      <c r="K42" s="3">
        <v>11</v>
      </c>
      <c r="L42" s="3">
        <v>2</v>
      </c>
      <c r="M42" s="3" t="s">
        <v>32</v>
      </c>
      <c r="N42" s="3">
        <v>5</v>
      </c>
      <c r="O42" s="3">
        <v>7</v>
      </c>
      <c r="P42" s="3">
        <v>3</v>
      </c>
      <c r="Q42" s="3">
        <v>2</v>
      </c>
      <c r="R42" s="3" t="s">
        <v>32</v>
      </c>
      <c r="S42" s="3" t="s">
        <v>32</v>
      </c>
      <c r="T42" s="3" t="s">
        <v>32</v>
      </c>
      <c r="U42" s="3" t="s">
        <v>32</v>
      </c>
      <c r="V42" s="3" t="s">
        <v>32</v>
      </c>
      <c r="W42" s="3"/>
      <c r="X42" s="3"/>
      <c r="Y42" s="3"/>
      <c r="Z42" s="3">
        <v>1.37</v>
      </c>
      <c r="AA42" s="3">
        <f t="shared" si="1"/>
        <v>5</v>
      </c>
      <c r="AB42" s="3">
        <v>0.7</v>
      </c>
      <c r="AC42" s="3">
        <v>0.65</v>
      </c>
      <c r="AD42" s="3" t="s">
        <v>32</v>
      </c>
      <c r="AE42" s="3" t="s">
        <v>32</v>
      </c>
      <c r="AF42" s="3">
        <v>1.35</v>
      </c>
      <c r="AG42" s="3">
        <v>29.43</v>
      </c>
      <c r="AH42" s="3" t="s">
        <v>32</v>
      </c>
      <c r="AI42" s="3">
        <v>7.3999999999999844E-2</v>
      </c>
      <c r="AJ42" s="3">
        <v>5.699999999999994E-2</v>
      </c>
      <c r="AK42" s="3"/>
      <c r="AL42" s="3"/>
      <c r="AM42" s="3">
        <f t="shared" si="2"/>
        <v>0.13099999999999978</v>
      </c>
      <c r="AN42" s="129">
        <f t="shared" si="3"/>
        <v>397.70270270270356</v>
      </c>
    </row>
    <row r="43" spans="1:40" x14ac:dyDescent="0.2">
      <c r="A43" s="150">
        <f t="shared" si="0"/>
        <v>20</v>
      </c>
      <c r="B43" s="151">
        <v>45173</v>
      </c>
      <c r="C43" s="150" t="s">
        <v>14</v>
      </c>
      <c r="D43" s="150">
        <v>1050</v>
      </c>
      <c r="E43" s="150" t="s">
        <v>356</v>
      </c>
      <c r="F43" s="150" t="s">
        <v>142</v>
      </c>
      <c r="G43" s="150" t="s">
        <v>131</v>
      </c>
      <c r="H43" s="150" t="s">
        <v>135</v>
      </c>
      <c r="I43" s="150" t="s">
        <v>245</v>
      </c>
      <c r="J43" s="150">
        <v>2</v>
      </c>
      <c r="K43" s="3">
        <v>12</v>
      </c>
      <c r="L43" s="3">
        <v>2</v>
      </c>
      <c r="M43" s="3">
        <v>0.05</v>
      </c>
      <c r="N43" s="3">
        <v>5</v>
      </c>
      <c r="O43" s="3">
        <v>7</v>
      </c>
      <c r="P43" s="3">
        <v>1</v>
      </c>
      <c r="Q43" s="3">
        <v>4</v>
      </c>
      <c r="R43" s="3" t="s">
        <v>32</v>
      </c>
      <c r="S43" s="3" t="s">
        <v>32</v>
      </c>
      <c r="T43" s="3" t="s">
        <v>32</v>
      </c>
      <c r="U43" s="3" t="s">
        <v>32</v>
      </c>
      <c r="V43" s="3" t="s">
        <v>32</v>
      </c>
      <c r="W43" s="3"/>
      <c r="X43" s="3"/>
      <c r="Y43" s="3"/>
      <c r="Z43" s="3">
        <v>1.77</v>
      </c>
      <c r="AA43" s="3">
        <f t="shared" si="1"/>
        <v>5</v>
      </c>
      <c r="AB43" s="3">
        <v>0.92</v>
      </c>
      <c r="AC43" s="3">
        <v>0.84</v>
      </c>
      <c r="AD43" s="3" t="s">
        <v>32</v>
      </c>
      <c r="AE43" s="3" t="s">
        <v>32</v>
      </c>
      <c r="AF43" s="3">
        <v>1.76</v>
      </c>
      <c r="AG43" s="3">
        <v>38.950000000000003</v>
      </c>
      <c r="AH43" s="3" t="s">
        <v>32</v>
      </c>
      <c r="AI43" s="3">
        <v>6.4000000000000057E-2</v>
      </c>
      <c r="AJ43" s="3">
        <v>5.699999999999994E-2</v>
      </c>
      <c r="AK43" s="3"/>
      <c r="AL43" s="3"/>
      <c r="AM43" s="3">
        <f t="shared" si="2"/>
        <v>0.121</v>
      </c>
      <c r="AN43" s="129">
        <f t="shared" si="3"/>
        <v>608.59374999999955</v>
      </c>
    </row>
    <row r="44" spans="1:40" x14ac:dyDescent="0.2">
      <c r="A44" s="150">
        <f t="shared" si="0"/>
        <v>20</v>
      </c>
      <c r="B44" s="151">
        <v>45173</v>
      </c>
      <c r="C44" s="150" t="s">
        <v>14</v>
      </c>
      <c r="D44" s="150">
        <v>1050</v>
      </c>
      <c r="E44" s="150" t="s">
        <v>356</v>
      </c>
      <c r="F44" s="150" t="s">
        <v>142</v>
      </c>
      <c r="G44" s="150" t="s">
        <v>131</v>
      </c>
      <c r="H44" s="150" t="s">
        <v>135</v>
      </c>
      <c r="I44" s="150" t="s">
        <v>246</v>
      </c>
      <c r="J44" s="150">
        <v>3</v>
      </c>
      <c r="K44" s="3">
        <v>11</v>
      </c>
      <c r="L44" s="3">
        <v>2</v>
      </c>
      <c r="M44" s="3">
        <v>7.0000000000000007E-2</v>
      </c>
      <c r="N44" s="3">
        <v>5</v>
      </c>
      <c r="O44" s="3">
        <v>7</v>
      </c>
      <c r="P44" s="3">
        <v>2</v>
      </c>
      <c r="Q44" s="3">
        <v>3</v>
      </c>
      <c r="R44" s="3" t="s">
        <v>32</v>
      </c>
      <c r="S44" s="3" t="s">
        <v>32</v>
      </c>
      <c r="T44" s="3" t="s">
        <v>32</v>
      </c>
      <c r="U44" s="3" t="s">
        <v>32</v>
      </c>
      <c r="V44" s="3" t="s">
        <v>32</v>
      </c>
      <c r="W44" s="3"/>
      <c r="X44" s="3"/>
      <c r="Y44" s="3"/>
      <c r="Z44" s="3">
        <v>1.75</v>
      </c>
      <c r="AA44" s="3">
        <f t="shared" si="1"/>
        <v>5</v>
      </c>
      <c r="AB44" s="3">
        <v>0.91</v>
      </c>
      <c r="AC44" s="3">
        <v>0.8</v>
      </c>
      <c r="AD44" s="3" t="s">
        <v>32</v>
      </c>
      <c r="AE44" s="3" t="s">
        <v>32</v>
      </c>
      <c r="AF44" s="3">
        <v>1.71</v>
      </c>
      <c r="AG44" s="3">
        <v>38.58</v>
      </c>
      <c r="AH44" s="3" t="s">
        <v>32</v>
      </c>
      <c r="AI44" s="3">
        <v>5.4999999999999716E-2</v>
      </c>
      <c r="AJ44" s="3">
        <v>6.800000000000006E-2</v>
      </c>
      <c r="AK44" s="3"/>
      <c r="AL44" s="3"/>
      <c r="AM44" s="3">
        <f t="shared" si="2"/>
        <v>0.12299999999999978</v>
      </c>
      <c r="AN44" s="129">
        <f t="shared" si="3"/>
        <v>701.45454545454902</v>
      </c>
    </row>
    <row r="45" spans="1:40" x14ac:dyDescent="0.2">
      <c r="A45" s="150">
        <f t="shared" si="0"/>
        <v>20</v>
      </c>
      <c r="B45" s="151">
        <v>45173</v>
      </c>
      <c r="C45" s="150" t="s">
        <v>14</v>
      </c>
      <c r="D45" s="150">
        <v>1050</v>
      </c>
      <c r="E45" s="150" t="s">
        <v>356</v>
      </c>
      <c r="F45" s="150" t="s">
        <v>142</v>
      </c>
      <c r="G45" s="150" t="s">
        <v>131</v>
      </c>
      <c r="H45" s="150" t="s">
        <v>135</v>
      </c>
      <c r="I45" s="150" t="s">
        <v>247</v>
      </c>
      <c r="J45" s="150">
        <v>4</v>
      </c>
      <c r="K45" s="3">
        <v>12.5</v>
      </c>
      <c r="L45" s="3">
        <v>2</v>
      </c>
      <c r="M45" s="3">
        <v>0.11</v>
      </c>
      <c r="N45" s="3">
        <v>5</v>
      </c>
      <c r="O45" s="3">
        <v>7</v>
      </c>
      <c r="P45" s="3">
        <v>2</v>
      </c>
      <c r="Q45" s="3">
        <v>3</v>
      </c>
      <c r="R45" s="3" t="s">
        <v>32</v>
      </c>
      <c r="S45" s="3" t="s">
        <v>32</v>
      </c>
      <c r="T45" s="3" t="s">
        <v>32</v>
      </c>
      <c r="U45" s="3" t="s">
        <v>32</v>
      </c>
      <c r="V45" s="3" t="s">
        <v>32</v>
      </c>
      <c r="W45" s="3"/>
      <c r="X45" s="3"/>
      <c r="Y45" s="3"/>
      <c r="Z45" s="3">
        <v>1.88</v>
      </c>
      <c r="AA45" s="3">
        <f t="shared" si="1"/>
        <v>5</v>
      </c>
      <c r="AB45" s="3">
        <v>1.05</v>
      </c>
      <c r="AC45" s="3">
        <v>0.79</v>
      </c>
      <c r="AD45" s="3" t="s">
        <v>32</v>
      </c>
      <c r="AE45" s="3" t="s">
        <v>32</v>
      </c>
      <c r="AF45" s="3">
        <v>1.84</v>
      </c>
      <c r="AG45" s="3">
        <v>41.88</v>
      </c>
      <c r="AH45" s="3">
        <v>2.5099999999999998</v>
      </c>
      <c r="AI45" s="3">
        <v>7.8999999999999737E-2</v>
      </c>
      <c r="AJ45" s="3">
        <v>6.9999999999996732E-3</v>
      </c>
      <c r="AK45" s="3"/>
      <c r="AL45" s="3"/>
      <c r="AM45" s="3">
        <f t="shared" si="2"/>
        <v>8.599999999999941E-2</v>
      </c>
      <c r="AN45" s="129">
        <f t="shared" si="3"/>
        <v>530.12658227848283</v>
      </c>
    </row>
    <row r="46" spans="1:40" x14ac:dyDescent="0.2">
      <c r="A46" s="150">
        <f t="shared" si="0"/>
        <v>20</v>
      </c>
      <c r="B46" s="151">
        <v>45173</v>
      </c>
      <c r="C46" s="150" t="s">
        <v>14</v>
      </c>
      <c r="D46" s="150">
        <v>1050</v>
      </c>
      <c r="E46" s="150" t="s">
        <v>356</v>
      </c>
      <c r="F46" s="150" t="s">
        <v>142</v>
      </c>
      <c r="G46" s="150" t="s">
        <v>131</v>
      </c>
      <c r="H46" s="150" t="s">
        <v>135</v>
      </c>
      <c r="I46" s="150" t="s">
        <v>248</v>
      </c>
      <c r="J46" s="150">
        <v>5</v>
      </c>
      <c r="K46" s="3">
        <v>10.5</v>
      </c>
      <c r="L46" s="3">
        <v>2</v>
      </c>
      <c r="M46" s="3">
        <v>7.0000000000000007E-2</v>
      </c>
      <c r="N46" s="3">
        <v>5</v>
      </c>
      <c r="O46" s="3">
        <v>7</v>
      </c>
      <c r="P46" s="3">
        <v>2</v>
      </c>
      <c r="Q46" s="3">
        <v>3</v>
      </c>
      <c r="R46" s="3" t="s">
        <v>32</v>
      </c>
      <c r="S46" s="3" t="s">
        <v>32</v>
      </c>
      <c r="T46" s="3" t="s">
        <v>32</v>
      </c>
      <c r="U46" s="3" t="s">
        <v>32</v>
      </c>
      <c r="V46" s="3" t="s">
        <v>32</v>
      </c>
      <c r="W46" s="3"/>
      <c r="X46" s="3"/>
      <c r="Y46" s="3"/>
      <c r="Z46" s="3">
        <v>1.77</v>
      </c>
      <c r="AA46" s="3">
        <f t="shared" si="1"/>
        <v>5</v>
      </c>
      <c r="AB46" s="3">
        <v>0.96</v>
      </c>
      <c r="AC46" s="3">
        <v>0.81</v>
      </c>
      <c r="AD46" s="3" t="s">
        <v>32</v>
      </c>
      <c r="AE46" s="3" t="s">
        <v>32</v>
      </c>
      <c r="AF46" s="3">
        <v>1.77</v>
      </c>
      <c r="AG46" s="3">
        <v>39.25</v>
      </c>
      <c r="AH46" s="3">
        <v>2.66</v>
      </c>
      <c r="AI46" s="3">
        <v>0.10199999999999987</v>
      </c>
      <c r="AJ46" s="3">
        <v>1.399999999999979E-2</v>
      </c>
      <c r="AK46" s="3"/>
      <c r="AL46" s="3"/>
      <c r="AM46" s="3">
        <f t="shared" si="2"/>
        <v>0.11599999999999966</v>
      </c>
      <c r="AN46" s="129">
        <f t="shared" si="3"/>
        <v>384.80392156862797</v>
      </c>
    </row>
    <row r="47" spans="1:40" x14ac:dyDescent="0.2">
      <c r="A47" s="150">
        <f t="shared" si="0"/>
        <v>20</v>
      </c>
      <c r="B47" s="151">
        <v>45173</v>
      </c>
      <c r="C47" s="150" t="s">
        <v>14</v>
      </c>
      <c r="D47" s="150">
        <v>1050</v>
      </c>
      <c r="E47" s="150" t="s">
        <v>356</v>
      </c>
      <c r="F47" s="150" t="s">
        <v>142</v>
      </c>
      <c r="G47" s="150" t="s">
        <v>131</v>
      </c>
      <c r="H47" s="150" t="s">
        <v>135</v>
      </c>
      <c r="I47" s="150" t="s">
        <v>249</v>
      </c>
      <c r="J47" s="150">
        <v>6</v>
      </c>
      <c r="K47" s="3">
        <v>12</v>
      </c>
      <c r="L47" s="3">
        <v>2</v>
      </c>
      <c r="M47" s="3">
        <v>0.1</v>
      </c>
      <c r="N47" s="3">
        <v>5</v>
      </c>
      <c r="O47" s="3">
        <v>7</v>
      </c>
      <c r="P47" s="3">
        <v>2</v>
      </c>
      <c r="Q47" s="3">
        <v>3</v>
      </c>
      <c r="R47" s="3" t="s">
        <v>32</v>
      </c>
      <c r="S47" s="3" t="s">
        <v>32</v>
      </c>
      <c r="T47" s="3" t="s">
        <v>32</v>
      </c>
      <c r="U47" s="3" t="s">
        <v>32</v>
      </c>
      <c r="V47" s="3" t="s">
        <v>32</v>
      </c>
      <c r="W47" s="3"/>
      <c r="X47" s="3"/>
      <c r="Y47" s="3"/>
      <c r="Z47" s="3">
        <v>1.79</v>
      </c>
      <c r="AA47" s="3">
        <f t="shared" si="1"/>
        <v>5</v>
      </c>
      <c r="AB47" s="3">
        <v>0.9</v>
      </c>
      <c r="AC47" s="3">
        <v>0.87</v>
      </c>
      <c r="AD47" s="3" t="s">
        <v>32</v>
      </c>
      <c r="AE47" s="3" t="s">
        <v>32</v>
      </c>
      <c r="AF47" s="3">
        <v>1.77</v>
      </c>
      <c r="AG47" s="3">
        <v>39.85</v>
      </c>
      <c r="AH47" s="3">
        <v>2.41</v>
      </c>
      <c r="AI47" s="3">
        <v>7.2999999999999954E-2</v>
      </c>
      <c r="AJ47" s="3">
        <v>2.2999999999999687E-2</v>
      </c>
      <c r="AK47" s="3"/>
      <c r="AL47" s="3"/>
      <c r="AM47" s="3">
        <f t="shared" si="2"/>
        <v>9.5999999999999641E-2</v>
      </c>
      <c r="AN47" s="129">
        <f t="shared" si="3"/>
        <v>545.89041095890445</v>
      </c>
    </row>
    <row r="48" spans="1:40" x14ac:dyDescent="0.2">
      <c r="A48" s="150">
        <f t="shared" si="0"/>
        <v>20</v>
      </c>
      <c r="B48" s="151">
        <v>45173</v>
      </c>
      <c r="C48" s="150" t="s">
        <v>14</v>
      </c>
      <c r="D48" s="150">
        <v>1050</v>
      </c>
      <c r="E48" s="150" t="s">
        <v>356</v>
      </c>
      <c r="F48" s="150" t="s">
        <v>142</v>
      </c>
      <c r="G48" s="150" t="s">
        <v>131</v>
      </c>
      <c r="H48" s="150" t="s">
        <v>135</v>
      </c>
      <c r="I48" s="150" t="s">
        <v>250</v>
      </c>
      <c r="J48" s="150">
        <v>7</v>
      </c>
      <c r="K48" s="3">
        <v>11</v>
      </c>
      <c r="L48" s="3">
        <v>2</v>
      </c>
      <c r="M48" s="3">
        <v>0.09</v>
      </c>
      <c r="N48" s="3">
        <v>5</v>
      </c>
      <c r="O48" s="3">
        <v>7</v>
      </c>
      <c r="P48" s="3">
        <v>3</v>
      </c>
      <c r="Q48" s="3">
        <v>2</v>
      </c>
      <c r="R48" s="3" t="s">
        <v>32</v>
      </c>
      <c r="S48" s="3" t="s">
        <v>32</v>
      </c>
      <c r="T48" s="3" t="s">
        <v>32</v>
      </c>
      <c r="U48" s="3" t="s">
        <v>32</v>
      </c>
      <c r="V48" s="3" t="s">
        <v>32</v>
      </c>
      <c r="W48" s="3"/>
      <c r="X48" s="3"/>
      <c r="Y48" s="3"/>
      <c r="Z48" s="3">
        <v>1.75</v>
      </c>
      <c r="AA48" s="3">
        <f t="shared" si="1"/>
        <v>5</v>
      </c>
      <c r="AB48" s="3">
        <v>0.84</v>
      </c>
      <c r="AC48" s="3">
        <v>0.93</v>
      </c>
      <c r="AD48" s="3" t="s">
        <v>32</v>
      </c>
      <c r="AE48" s="3" t="s">
        <v>32</v>
      </c>
      <c r="AF48" s="3">
        <v>1.77</v>
      </c>
      <c r="AG48" s="3">
        <v>30</v>
      </c>
      <c r="AH48" s="3">
        <v>2.86</v>
      </c>
      <c r="AI48" s="3">
        <v>6.6999999999999726E-2</v>
      </c>
      <c r="AJ48" s="3">
        <v>4.4999999999999929E-2</v>
      </c>
      <c r="AK48" s="3"/>
      <c r="AL48" s="3"/>
      <c r="AM48" s="3">
        <f t="shared" si="2"/>
        <v>0.11199999999999966</v>
      </c>
      <c r="AN48" s="129">
        <f t="shared" si="3"/>
        <v>447.76119402985256</v>
      </c>
    </row>
    <row r="49" spans="1:40" x14ac:dyDescent="0.2">
      <c r="A49" s="150">
        <f t="shared" si="0"/>
        <v>20</v>
      </c>
      <c r="B49" s="151">
        <v>45173</v>
      </c>
      <c r="C49" s="150" t="s">
        <v>14</v>
      </c>
      <c r="D49" s="150">
        <v>1050</v>
      </c>
      <c r="E49" s="150" t="s">
        <v>356</v>
      </c>
      <c r="F49" s="150" t="s">
        <v>142</v>
      </c>
      <c r="G49" s="150" t="s">
        <v>131</v>
      </c>
      <c r="H49" s="150" t="s">
        <v>135</v>
      </c>
      <c r="I49" s="150" t="s">
        <v>251</v>
      </c>
      <c r="J49" s="150">
        <v>8</v>
      </c>
      <c r="K49" s="3">
        <v>9.5</v>
      </c>
      <c r="L49" s="3">
        <v>2</v>
      </c>
      <c r="M49" s="3">
        <v>7.0000000000000007E-2</v>
      </c>
      <c r="N49" s="3">
        <v>5</v>
      </c>
      <c r="O49" s="3">
        <v>7</v>
      </c>
      <c r="P49" s="3">
        <v>2</v>
      </c>
      <c r="Q49" s="3">
        <v>3</v>
      </c>
      <c r="R49" s="3" t="s">
        <v>32</v>
      </c>
      <c r="S49" s="3" t="s">
        <v>32</v>
      </c>
      <c r="T49" s="3" t="s">
        <v>32</v>
      </c>
      <c r="U49" s="3" t="s">
        <v>32</v>
      </c>
      <c r="V49" s="3" t="s">
        <v>32</v>
      </c>
      <c r="W49" s="3"/>
      <c r="X49" s="3"/>
      <c r="Y49" s="3"/>
      <c r="Z49" s="3">
        <v>1.5</v>
      </c>
      <c r="AA49" s="3">
        <f t="shared" si="1"/>
        <v>5</v>
      </c>
      <c r="AB49" s="3">
        <v>0.84</v>
      </c>
      <c r="AC49" s="3">
        <v>0.64</v>
      </c>
      <c r="AD49" s="3" t="s">
        <v>32</v>
      </c>
      <c r="AE49" s="3" t="s">
        <v>32</v>
      </c>
      <c r="AF49" s="3">
        <v>1.48</v>
      </c>
      <c r="AG49" s="3">
        <v>31.2</v>
      </c>
      <c r="AH49" s="3">
        <v>3.01</v>
      </c>
      <c r="AI49" s="3">
        <v>8.1999999999999851E-2</v>
      </c>
      <c r="AJ49" s="3">
        <v>5.4999999999999716E-2</v>
      </c>
      <c r="AK49" s="3"/>
      <c r="AL49" s="3"/>
      <c r="AM49" s="3">
        <f t="shared" si="2"/>
        <v>0.13699999999999957</v>
      </c>
      <c r="AN49" s="129">
        <f t="shared" si="3"/>
        <v>380.48780487804947</v>
      </c>
    </row>
    <row r="50" spans="1:40" x14ac:dyDescent="0.2">
      <c r="A50" s="150">
        <f t="shared" si="0"/>
        <v>20</v>
      </c>
      <c r="B50" s="151">
        <v>45173</v>
      </c>
      <c r="C50" s="150" t="s">
        <v>14</v>
      </c>
      <c r="D50" s="150">
        <v>1050</v>
      </c>
      <c r="E50" s="150" t="s">
        <v>356</v>
      </c>
      <c r="F50" s="150" t="s">
        <v>142</v>
      </c>
      <c r="G50" s="150" t="s">
        <v>131</v>
      </c>
      <c r="H50" s="150" t="s">
        <v>135</v>
      </c>
      <c r="I50" s="150" t="s">
        <v>252</v>
      </c>
      <c r="J50" s="150">
        <v>9</v>
      </c>
      <c r="K50" s="3">
        <v>11.5</v>
      </c>
      <c r="L50" s="3">
        <v>2</v>
      </c>
      <c r="M50" s="3">
        <v>0.09</v>
      </c>
      <c r="N50" s="3">
        <v>5</v>
      </c>
      <c r="O50" s="3">
        <v>7</v>
      </c>
      <c r="P50" s="3">
        <v>1</v>
      </c>
      <c r="Q50" s="3">
        <v>4</v>
      </c>
      <c r="R50" s="3" t="s">
        <v>32</v>
      </c>
      <c r="S50" s="3" t="s">
        <v>32</v>
      </c>
      <c r="T50" s="3" t="s">
        <v>32</v>
      </c>
      <c r="U50" s="3" t="s">
        <v>32</v>
      </c>
      <c r="V50" s="3" t="s">
        <v>32</v>
      </c>
      <c r="W50" s="3"/>
      <c r="X50" s="3"/>
      <c r="Y50" s="3"/>
      <c r="Z50" s="3">
        <v>1.73</v>
      </c>
      <c r="AA50" s="3">
        <f t="shared" si="1"/>
        <v>5</v>
      </c>
      <c r="AB50" s="3">
        <v>0.83</v>
      </c>
      <c r="AC50" s="3">
        <v>0.86</v>
      </c>
      <c r="AD50" s="3" t="s">
        <v>32</v>
      </c>
      <c r="AE50" s="3" t="s">
        <v>32</v>
      </c>
      <c r="AF50" s="3">
        <v>1.69</v>
      </c>
      <c r="AG50" s="3">
        <v>35.57</v>
      </c>
      <c r="AH50" s="3">
        <v>2.29</v>
      </c>
      <c r="AI50" s="3">
        <v>6.1999999999999833E-2</v>
      </c>
      <c r="AJ50" s="3">
        <v>1.8999999999999684E-2</v>
      </c>
      <c r="AK50" s="3"/>
      <c r="AL50" s="3"/>
      <c r="AM50" s="3">
        <f t="shared" si="2"/>
        <v>8.0999999999999517E-2</v>
      </c>
      <c r="AN50" s="129">
        <f t="shared" si="3"/>
        <v>573.70967741935635</v>
      </c>
    </row>
    <row r="51" spans="1:40" x14ac:dyDescent="0.2">
      <c r="A51" s="150">
        <f t="shared" si="0"/>
        <v>20</v>
      </c>
      <c r="B51" s="151">
        <v>45173</v>
      </c>
      <c r="C51" s="150" t="s">
        <v>14</v>
      </c>
      <c r="D51" s="150">
        <v>1050</v>
      </c>
      <c r="E51" s="150" t="s">
        <v>356</v>
      </c>
      <c r="F51" s="150" t="s">
        <v>142</v>
      </c>
      <c r="G51" s="150" t="s">
        <v>131</v>
      </c>
      <c r="H51" s="150" t="s">
        <v>135</v>
      </c>
      <c r="I51" s="150" t="s">
        <v>253</v>
      </c>
      <c r="J51" s="150">
        <v>10</v>
      </c>
      <c r="K51" s="3">
        <v>12.5</v>
      </c>
      <c r="L51" s="3">
        <v>2</v>
      </c>
      <c r="M51" s="3">
        <v>0.1</v>
      </c>
      <c r="N51" s="3">
        <v>5</v>
      </c>
      <c r="O51" s="3">
        <v>7</v>
      </c>
      <c r="P51" s="3">
        <v>1</v>
      </c>
      <c r="Q51" s="3">
        <v>4</v>
      </c>
      <c r="R51" s="3" t="s">
        <v>32</v>
      </c>
      <c r="S51" s="3" t="s">
        <v>32</v>
      </c>
      <c r="T51" s="3" t="s">
        <v>32</v>
      </c>
      <c r="U51" s="3" t="s">
        <v>32</v>
      </c>
      <c r="V51" s="3" t="s">
        <v>32</v>
      </c>
      <c r="W51" s="3"/>
      <c r="X51" s="3"/>
      <c r="Y51" s="3"/>
      <c r="Z51" s="3">
        <v>1.65</v>
      </c>
      <c r="AA51" s="3">
        <f t="shared" si="1"/>
        <v>5</v>
      </c>
      <c r="AB51" s="3">
        <v>0.87</v>
      </c>
      <c r="AC51" s="3">
        <v>0.76</v>
      </c>
      <c r="AD51" s="3" t="s">
        <v>32</v>
      </c>
      <c r="AE51" s="3" t="s">
        <v>32</v>
      </c>
      <c r="AF51" s="3">
        <v>1.63</v>
      </c>
      <c r="AG51" s="3">
        <v>35.89</v>
      </c>
      <c r="AH51" s="3">
        <v>2.78</v>
      </c>
      <c r="AI51" s="3">
        <v>6.5999999999999837E-2</v>
      </c>
      <c r="AJ51" s="3">
        <v>3.2000000000000028E-2</v>
      </c>
      <c r="AK51" s="3"/>
      <c r="AL51" s="3"/>
      <c r="AM51" s="3">
        <f t="shared" si="2"/>
        <v>9.7999999999999865E-2</v>
      </c>
      <c r="AN51" s="129">
        <f t="shared" si="3"/>
        <v>543.78787878788012</v>
      </c>
    </row>
    <row r="52" spans="1:40" x14ac:dyDescent="0.2">
      <c r="A52" s="150">
        <f t="shared" si="0"/>
        <v>20</v>
      </c>
      <c r="B52" s="151">
        <v>45173</v>
      </c>
      <c r="C52" s="150" t="s">
        <v>14</v>
      </c>
      <c r="D52" s="150">
        <v>1050</v>
      </c>
      <c r="E52" s="150" t="s">
        <v>356</v>
      </c>
      <c r="F52" s="150" t="s">
        <v>142</v>
      </c>
      <c r="G52" s="150" t="s">
        <v>131</v>
      </c>
      <c r="H52" s="150" t="s">
        <v>135</v>
      </c>
      <c r="I52" s="150" t="s">
        <v>254</v>
      </c>
      <c r="J52" s="150">
        <v>11</v>
      </c>
      <c r="K52" s="3">
        <v>11.5</v>
      </c>
      <c r="L52" s="3">
        <v>2</v>
      </c>
      <c r="M52" s="3">
        <v>0.09</v>
      </c>
      <c r="N52" s="3">
        <v>5</v>
      </c>
      <c r="O52" s="3">
        <v>7</v>
      </c>
      <c r="P52" s="3">
        <v>2</v>
      </c>
      <c r="Q52" s="3">
        <v>3</v>
      </c>
      <c r="R52" s="3" t="s">
        <v>32</v>
      </c>
      <c r="S52" s="3" t="s">
        <v>32</v>
      </c>
      <c r="T52" s="3" t="s">
        <v>32</v>
      </c>
      <c r="U52" s="3" t="s">
        <v>32</v>
      </c>
      <c r="V52" s="3" t="s">
        <v>32</v>
      </c>
      <c r="W52" s="3"/>
      <c r="X52" s="3"/>
      <c r="Y52" s="3"/>
      <c r="Z52" s="3">
        <v>1.48</v>
      </c>
      <c r="AA52" s="3">
        <f t="shared" si="1"/>
        <v>5</v>
      </c>
      <c r="AB52" s="3">
        <v>0.75</v>
      </c>
      <c r="AC52" s="3">
        <v>0.72</v>
      </c>
      <c r="AD52" s="3" t="s">
        <v>32</v>
      </c>
      <c r="AE52" s="3" t="s">
        <v>32</v>
      </c>
      <c r="AF52" s="3">
        <v>1.47</v>
      </c>
      <c r="AG52" s="3">
        <v>29.31</v>
      </c>
      <c r="AH52" s="3">
        <v>2.99</v>
      </c>
      <c r="AI52" s="3">
        <v>4.6999999999999709E-2</v>
      </c>
      <c r="AJ52" s="3">
        <v>4.8000000000000043E-2</v>
      </c>
      <c r="AK52" s="3"/>
      <c r="AL52" s="3"/>
      <c r="AM52" s="3">
        <f t="shared" si="2"/>
        <v>9.4999999999999751E-2</v>
      </c>
      <c r="AN52" s="129">
        <f t="shared" si="3"/>
        <v>623.61702127659953</v>
      </c>
    </row>
    <row r="53" spans="1:40" x14ac:dyDescent="0.2">
      <c r="A53" s="150">
        <f t="shared" si="0"/>
        <v>20</v>
      </c>
      <c r="B53" s="151">
        <v>45173</v>
      </c>
      <c r="C53" s="150" t="s">
        <v>14</v>
      </c>
      <c r="D53" s="150">
        <v>1050</v>
      </c>
      <c r="E53" s="150" t="s">
        <v>356</v>
      </c>
      <c r="F53" s="150" t="s">
        <v>142</v>
      </c>
      <c r="G53" s="150" t="s">
        <v>131</v>
      </c>
      <c r="H53" s="150" t="s">
        <v>135</v>
      </c>
      <c r="I53" s="150" t="s">
        <v>255</v>
      </c>
      <c r="J53" s="150">
        <v>12</v>
      </c>
      <c r="K53" s="3">
        <v>12.5</v>
      </c>
      <c r="L53" s="3">
        <v>2</v>
      </c>
      <c r="M53" s="3">
        <v>7.0000000000000007E-2</v>
      </c>
      <c r="N53" s="3">
        <v>5</v>
      </c>
      <c r="O53" s="3">
        <v>7</v>
      </c>
      <c r="P53" s="3">
        <v>2</v>
      </c>
      <c r="Q53" s="3">
        <v>3</v>
      </c>
      <c r="R53" s="3" t="s">
        <v>32</v>
      </c>
      <c r="S53" s="3" t="s">
        <v>32</v>
      </c>
      <c r="T53" s="3" t="s">
        <v>32</v>
      </c>
      <c r="U53" s="3" t="s">
        <v>32</v>
      </c>
      <c r="V53" s="3" t="s">
        <v>32</v>
      </c>
      <c r="W53" s="3"/>
      <c r="X53" s="3"/>
      <c r="Y53" s="3"/>
      <c r="Z53" s="3">
        <v>1.71</v>
      </c>
      <c r="AA53" s="3">
        <f t="shared" si="1"/>
        <v>5</v>
      </c>
      <c r="AB53" s="3">
        <v>0.82</v>
      </c>
      <c r="AC53" s="3">
        <v>0.87</v>
      </c>
      <c r="AD53" s="3" t="s">
        <v>32</v>
      </c>
      <c r="AE53" s="3" t="s">
        <v>32</v>
      </c>
      <c r="AF53" s="3">
        <v>1.69</v>
      </c>
      <c r="AG53" s="3">
        <v>31.24</v>
      </c>
      <c r="AH53" s="3">
        <v>1.37</v>
      </c>
      <c r="AI53" s="3">
        <v>4.4999999999999929E-2</v>
      </c>
      <c r="AJ53" s="3">
        <v>9.4999999999999751E-2</v>
      </c>
      <c r="AK53" s="3"/>
      <c r="AL53" s="3"/>
      <c r="AM53" s="3">
        <f t="shared" si="2"/>
        <v>0.13999999999999968</v>
      </c>
      <c r="AN53" s="129">
        <f t="shared" si="3"/>
        <v>694.22222222222331</v>
      </c>
    </row>
    <row r="54" spans="1:40" x14ac:dyDescent="0.2">
      <c r="A54" s="150">
        <f t="shared" si="0"/>
        <v>20</v>
      </c>
      <c r="B54" s="151">
        <v>45173</v>
      </c>
      <c r="C54" s="150" t="s">
        <v>14</v>
      </c>
      <c r="D54" s="150">
        <v>1050</v>
      </c>
      <c r="E54" s="150" t="s">
        <v>356</v>
      </c>
      <c r="F54" s="150" t="s">
        <v>142</v>
      </c>
      <c r="G54" s="150" t="s">
        <v>136</v>
      </c>
      <c r="H54" s="150" t="s">
        <v>132</v>
      </c>
      <c r="I54" s="150" t="s">
        <v>168</v>
      </c>
      <c r="J54" s="150">
        <v>1</v>
      </c>
      <c r="K54" s="3">
        <v>11</v>
      </c>
      <c r="L54" s="3">
        <v>2</v>
      </c>
      <c r="M54" s="3" t="s">
        <v>32</v>
      </c>
      <c r="N54" s="3">
        <v>5</v>
      </c>
      <c r="O54" s="3">
        <v>7</v>
      </c>
      <c r="P54" s="3">
        <v>3</v>
      </c>
      <c r="Q54" s="3">
        <v>2</v>
      </c>
      <c r="R54" s="3" t="s">
        <v>32</v>
      </c>
      <c r="S54" s="3" t="s">
        <v>32</v>
      </c>
      <c r="T54" s="3" t="s">
        <v>32</v>
      </c>
      <c r="U54" s="3" t="s">
        <v>32</v>
      </c>
      <c r="V54" s="3" t="s">
        <v>32</v>
      </c>
      <c r="W54" s="3"/>
      <c r="X54" s="3"/>
      <c r="Y54" s="3"/>
      <c r="Z54" s="3">
        <v>1.37</v>
      </c>
      <c r="AA54" s="3">
        <f t="shared" si="1"/>
        <v>5</v>
      </c>
      <c r="AB54" s="3">
        <v>0.7</v>
      </c>
      <c r="AC54" s="3">
        <v>0.65</v>
      </c>
      <c r="AD54" s="3" t="s">
        <v>32</v>
      </c>
      <c r="AE54" s="3" t="s">
        <v>32</v>
      </c>
      <c r="AF54" s="3">
        <v>1.35</v>
      </c>
      <c r="AG54" s="3">
        <v>29.43</v>
      </c>
      <c r="AH54" s="3" t="s">
        <v>32</v>
      </c>
      <c r="AI54" s="3">
        <v>7.3999999999999844E-2</v>
      </c>
      <c r="AJ54" s="3">
        <v>5.699999999999994E-2</v>
      </c>
      <c r="AK54" s="3"/>
      <c r="AL54" s="3"/>
      <c r="AM54" s="3">
        <f t="shared" si="2"/>
        <v>0.13099999999999978</v>
      </c>
      <c r="AN54" s="129">
        <f t="shared" si="3"/>
        <v>397.70270270270356</v>
      </c>
    </row>
    <row r="55" spans="1:40" x14ac:dyDescent="0.2">
      <c r="A55" s="150">
        <f t="shared" si="0"/>
        <v>20</v>
      </c>
      <c r="B55" s="151">
        <v>45173</v>
      </c>
      <c r="C55" s="150" t="s">
        <v>14</v>
      </c>
      <c r="D55" s="150">
        <v>1050</v>
      </c>
      <c r="E55" s="150" t="s">
        <v>356</v>
      </c>
      <c r="F55" s="150" t="s">
        <v>142</v>
      </c>
      <c r="G55" s="150" t="s">
        <v>136</v>
      </c>
      <c r="H55" s="150" t="s">
        <v>132</v>
      </c>
      <c r="I55" s="150" t="s">
        <v>169</v>
      </c>
      <c r="J55" s="150">
        <v>2</v>
      </c>
      <c r="K55" s="3">
        <v>12</v>
      </c>
      <c r="L55" s="3">
        <v>2</v>
      </c>
      <c r="M55" s="3">
        <v>0.05</v>
      </c>
      <c r="N55" s="3">
        <v>5</v>
      </c>
      <c r="O55" s="3">
        <v>7</v>
      </c>
      <c r="P55" s="3">
        <v>1</v>
      </c>
      <c r="Q55" s="3">
        <v>4</v>
      </c>
      <c r="R55" s="3" t="s">
        <v>32</v>
      </c>
      <c r="S55" s="3" t="s">
        <v>32</v>
      </c>
      <c r="T55" s="3" t="s">
        <v>32</v>
      </c>
      <c r="U55" s="3" t="s">
        <v>32</v>
      </c>
      <c r="V55" s="3" t="s">
        <v>32</v>
      </c>
      <c r="W55" s="3"/>
      <c r="X55" s="3"/>
      <c r="Y55" s="3"/>
      <c r="Z55" s="3">
        <v>1.77</v>
      </c>
      <c r="AA55" s="3">
        <f t="shared" si="1"/>
        <v>5</v>
      </c>
      <c r="AB55" s="3">
        <v>0.92</v>
      </c>
      <c r="AC55" s="3">
        <v>0.84</v>
      </c>
      <c r="AD55" s="3" t="s">
        <v>32</v>
      </c>
      <c r="AE55" s="3" t="s">
        <v>32</v>
      </c>
      <c r="AF55" s="3">
        <v>1.76</v>
      </c>
      <c r="AG55" s="3">
        <v>38.950000000000003</v>
      </c>
      <c r="AH55" s="3" t="s">
        <v>32</v>
      </c>
      <c r="AI55" s="3">
        <v>6.4000000000000057E-2</v>
      </c>
      <c r="AJ55" s="3">
        <v>5.699999999999994E-2</v>
      </c>
      <c r="AK55" s="3"/>
      <c r="AL55" s="3"/>
      <c r="AM55" s="3">
        <f t="shared" si="2"/>
        <v>0.121</v>
      </c>
      <c r="AN55" s="129">
        <f t="shared" si="3"/>
        <v>608.59374999999955</v>
      </c>
    </row>
    <row r="56" spans="1:40" x14ac:dyDescent="0.2">
      <c r="A56" s="150">
        <f t="shared" si="0"/>
        <v>20</v>
      </c>
      <c r="B56" s="151">
        <v>45173</v>
      </c>
      <c r="C56" s="150" t="s">
        <v>14</v>
      </c>
      <c r="D56" s="150">
        <v>1050</v>
      </c>
      <c r="E56" s="150" t="s">
        <v>356</v>
      </c>
      <c r="F56" s="150" t="s">
        <v>142</v>
      </c>
      <c r="G56" s="150" t="s">
        <v>136</v>
      </c>
      <c r="H56" s="150" t="s">
        <v>132</v>
      </c>
      <c r="I56" s="150" t="s">
        <v>170</v>
      </c>
      <c r="J56" s="150">
        <v>3</v>
      </c>
      <c r="K56" s="3">
        <v>11</v>
      </c>
      <c r="L56" s="3">
        <v>2</v>
      </c>
      <c r="M56" s="3">
        <v>7.0000000000000007E-2</v>
      </c>
      <c r="N56" s="3">
        <v>5</v>
      </c>
      <c r="O56" s="3">
        <v>7</v>
      </c>
      <c r="P56" s="3">
        <v>2</v>
      </c>
      <c r="Q56" s="3">
        <v>3</v>
      </c>
      <c r="R56" s="3" t="s">
        <v>32</v>
      </c>
      <c r="S56" s="3" t="s">
        <v>32</v>
      </c>
      <c r="T56" s="3" t="s">
        <v>32</v>
      </c>
      <c r="U56" s="3" t="s">
        <v>32</v>
      </c>
      <c r="V56" s="3" t="s">
        <v>32</v>
      </c>
      <c r="W56" s="3"/>
      <c r="X56" s="3"/>
      <c r="Y56" s="3"/>
      <c r="Z56" s="3">
        <v>1.75</v>
      </c>
      <c r="AA56" s="3">
        <f t="shared" si="1"/>
        <v>5</v>
      </c>
      <c r="AB56" s="3">
        <v>0.91</v>
      </c>
      <c r="AC56" s="3">
        <v>0.8</v>
      </c>
      <c r="AD56" s="3" t="s">
        <v>32</v>
      </c>
      <c r="AE56" s="3" t="s">
        <v>32</v>
      </c>
      <c r="AF56" s="3">
        <v>1.71</v>
      </c>
      <c r="AG56" s="3">
        <v>38.58</v>
      </c>
      <c r="AH56" s="3" t="s">
        <v>32</v>
      </c>
      <c r="AI56" s="3">
        <v>5.4999999999999716E-2</v>
      </c>
      <c r="AJ56" s="3">
        <v>6.800000000000006E-2</v>
      </c>
      <c r="AK56" s="3"/>
      <c r="AL56" s="3"/>
      <c r="AM56" s="3">
        <f t="shared" si="2"/>
        <v>0.12299999999999978</v>
      </c>
      <c r="AN56" s="129">
        <f t="shared" si="3"/>
        <v>701.45454545454902</v>
      </c>
    </row>
    <row r="57" spans="1:40" x14ac:dyDescent="0.2">
      <c r="A57" s="150">
        <f t="shared" si="0"/>
        <v>20</v>
      </c>
      <c r="B57" s="151">
        <v>45173</v>
      </c>
      <c r="C57" s="150" t="s">
        <v>14</v>
      </c>
      <c r="D57" s="150">
        <v>1050</v>
      </c>
      <c r="E57" s="150" t="s">
        <v>356</v>
      </c>
      <c r="F57" s="150" t="s">
        <v>142</v>
      </c>
      <c r="G57" s="150" t="s">
        <v>136</v>
      </c>
      <c r="H57" s="150" t="s">
        <v>132</v>
      </c>
      <c r="I57" s="150" t="s">
        <v>171</v>
      </c>
      <c r="J57" s="150">
        <v>4</v>
      </c>
      <c r="K57" s="3">
        <v>12.5</v>
      </c>
      <c r="L57" s="3">
        <v>2</v>
      </c>
      <c r="M57" s="3">
        <v>0.11</v>
      </c>
      <c r="N57" s="3">
        <v>5</v>
      </c>
      <c r="O57" s="3">
        <v>7</v>
      </c>
      <c r="P57" s="3">
        <v>2</v>
      </c>
      <c r="Q57" s="3">
        <v>3</v>
      </c>
      <c r="R57" s="3" t="s">
        <v>32</v>
      </c>
      <c r="S57" s="3" t="s">
        <v>32</v>
      </c>
      <c r="T57" s="3" t="s">
        <v>32</v>
      </c>
      <c r="U57" s="3" t="s">
        <v>32</v>
      </c>
      <c r="V57" s="3" t="s">
        <v>32</v>
      </c>
      <c r="W57" s="3"/>
      <c r="X57" s="3"/>
      <c r="Y57" s="3"/>
      <c r="Z57" s="3">
        <v>1.88</v>
      </c>
      <c r="AA57" s="3">
        <f t="shared" si="1"/>
        <v>5</v>
      </c>
      <c r="AB57" s="3">
        <v>1.05</v>
      </c>
      <c r="AC57" s="3">
        <v>0.79</v>
      </c>
      <c r="AD57" s="3" t="s">
        <v>32</v>
      </c>
      <c r="AE57" s="3" t="s">
        <v>32</v>
      </c>
      <c r="AF57" s="3">
        <v>1.84</v>
      </c>
      <c r="AG57" s="3">
        <v>41.88</v>
      </c>
      <c r="AH57" s="3">
        <v>2.5099999999999998</v>
      </c>
      <c r="AI57" s="3">
        <v>7.8999999999999737E-2</v>
      </c>
      <c r="AJ57" s="3">
        <v>6.9999999999996732E-3</v>
      </c>
      <c r="AK57" s="3"/>
      <c r="AL57" s="3"/>
      <c r="AM57" s="3">
        <f t="shared" si="2"/>
        <v>8.599999999999941E-2</v>
      </c>
      <c r="AN57" s="129">
        <f t="shared" si="3"/>
        <v>530.12658227848283</v>
      </c>
    </row>
    <row r="58" spans="1:40" x14ac:dyDescent="0.2">
      <c r="A58" s="150">
        <f t="shared" si="0"/>
        <v>20</v>
      </c>
      <c r="B58" s="151">
        <v>45173</v>
      </c>
      <c r="C58" s="150" t="s">
        <v>14</v>
      </c>
      <c r="D58" s="150">
        <v>1050</v>
      </c>
      <c r="E58" s="150" t="s">
        <v>356</v>
      </c>
      <c r="F58" s="150" t="s">
        <v>142</v>
      </c>
      <c r="G58" s="150" t="s">
        <v>136</v>
      </c>
      <c r="H58" s="150" t="s">
        <v>132</v>
      </c>
      <c r="I58" s="150" t="s">
        <v>172</v>
      </c>
      <c r="J58" s="150">
        <v>5</v>
      </c>
      <c r="K58" s="3">
        <v>10.5</v>
      </c>
      <c r="L58" s="3">
        <v>2</v>
      </c>
      <c r="M58" s="3">
        <v>7.0000000000000007E-2</v>
      </c>
      <c r="N58" s="3">
        <v>5</v>
      </c>
      <c r="O58" s="3">
        <v>7</v>
      </c>
      <c r="P58" s="3">
        <v>2</v>
      </c>
      <c r="Q58" s="3">
        <v>3</v>
      </c>
      <c r="R58" s="3" t="s">
        <v>32</v>
      </c>
      <c r="S58" s="3" t="s">
        <v>32</v>
      </c>
      <c r="T58" s="3" t="s">
        <v>32</v>
      </c>
      <c r="U58" s="3" t="s">
        <v>32</v>
      </c>
      <c r="V58" s="3" t="s">
        <v>32</v>
      </c>
      <c r="W58" s="3"/>
      <c r="X58" s="3"/>
      <c r="Y58" s="3"/>
      <c r="Z58" s="3">
        <v>1.77</v>
      </c>
      <c r="AA58" s="3">
        <f t="shared" si="1"/>
        <v>5</v>
      </c>
      <c r="AB58" s="3">
        <v>0.96</v>
      </c>
      <c r="AC58" s="3">
        <v>0.81</v>
      </c>
      <c r="AD58" s="3" t="s">
        <v>32</v>
      </c>
      <c r="AE58" s="3" t="s">
        <v>32</v>
      </c>
      <c r="AF58" s="3">
        <v>1.77</v>
      </c>
      <c r="AG58" s="3">
        <v>39.25</v>
      </c>
      <c r="AH58" s="3">
        <v>2.66</v>
      </c>
      <c r="AI58" s="3">
        <v>0.10199999999999987</v>
      </c>
      <c r="AJ58" s="3">
        <v>1.399999999999979E-2</v>
      </c>
      <c r="AK58" s="3"/>
      <c r="AL58" s="3"/>
      <c r="AM58" s="3">
        <f t="shared" si="2"/>
        <v>0.11599999999999966</v>
      </c>
      <c r="AN58" s="129">
        <f t="shared" si="3"/>
        <v>384.80392156862797</v>
      </c>
    </row>
    <row r="59" spans="1:40" x14ac:dyDescent="0.2">
      <c r="A59" s="150">
        <f t="shared" si="0"/>
        <v>20</v>
      </c>
      <c r="B59" s="151">
        <v>45173</v>
      </c>
      <c r="C59" s="150" t="s">
        <v>14</v>
      </c>
      <c r="D59" s="150">
        <v>1050</v>
      </c>
      <c r="E59" s="150" t="s">
        <v>356</v>
      </c>
      <c r="F59" s="150" t="s">
        <v>142</v>
      </c>
      <c r="G59" s="150" t="s">
        <v>136</v>
      </c>
      <c r="H59" s="150" t="s">
        <v>132</v>
      </c>
      <c r="I59" s="150" t="s">
        <v>173</v>
      </c>
      <c r="J59" s="150">
        <v>6</v>
      </c>
      <c r="K59" s="3">
        <v>12</v>
      </c>
      <c r="L59" s="3">
        <v>2</v>
      </c>
      <c r="M59" s="3">
        <v>0.1</v>
      </c>
      <c r="N59" s="3">
        <v>5</v>
      </c>
      <c r="O59" s="3">
        <v>7</v>
      </c>
      <c r="P59" s="3">
        <v>2</v>
      </c>
      <c r="Q59" s="3">
        <v>3</v>
      </c>
      <c r="R59" s="3" t="s">
        <v>32</v>
      </c>
      <c r="S59" s="3" t="s">
        <v>32</v>
      </c>
      <c r="T59" s="3" t="s">
        <v>32</v>
      </c>
      <c r="U59" s="3" t="s">
        <v>32</v>
      </c>
      <c r="V59" s="3" t="s">
        <v>32</v>
      </c>
      <c r="W59" s="3"/>
      <c r="X59" s="3"/>
      <c r="Y59" s="3"/>
      <c r="Z59" s="3">
        <v>1.79</v>
      </c>
      <c r="AA59" s="3">
        <f t="shared" si="1"/>
        <v>5</v>
      </c>
      <c r="AB59" s="3">
        <v>0.9</v>
      </c>
      <c r="AC59" s="3">
        <v>0.87</v>
      </c>
      <c r="AD59" s="3" t="s">
        <v>32</v>
      </c>
      <c r="AE59" s="3" t="s">
        <v>32</v>
      </c>
      <c r="AF59" s="3">
        <v>1.77</v>
      </c>
      <c r="AG59" s="3">
        <v>39.85</v>
      </c>
      <c r="AH59" s="3">
        <v>2.41</v>
      </c>
      <c r="AI59" s="3">
        <v>7.2999999999999954E-2</v>
      </c>
      <c r="AJ59" s="3">
        <v>2.2999999999999687E-2</v>
      </c>
      <c r="AK59" s="3"/>
      <c r="AL59" s="3"/>
      <c r="AM59" s="3">
        <f t="shared" si="2"/>
        <v>9.5999999999999641E-2</v>
      </c>
      <c r="AN59" s="129">
        <f t="shared" si="3"/>
        <v>545.89041095890445</v>
      </c>
    </row>
    <row r="60" spans="1:40" x14ac:dyDescent="0.2">
      <c r="A60" s="150">
        <f t="shared" si="0"/>
        <v>20</v>
      </c>
      <c r="B60" s="151">
        <v>45173</v>
      </c>
      <c r="C60" s="150" t="s">
        <v>14</v>
      </c>
      <c r="D60" s="150">
        <v>1050</v>
      </c>
      <c r="E60" s="150" t="s">
        <v>356</v>
      </c>
      <c r="F60" s="150" t="s">
        <v>142</v>
      </c>
      <c r="G60" s="150" t="s">
        <v>136</v>
      </c>
      <c r="H60" s="150" t="s">
        <v>132</v>
      </c>
      <c r="I60" s="150" t="s">
        <v>256</v>
      </c>
      <c r="J60" s="150">
        <v>7</v>
      </c>
      <c r="K60" s="3">
        <v>11</v>
      </c>
      <c r="L60" s="3">
        <v>2</v>
      </c>
      <c r="M60" s="3">
        <v>0.09</v>
      </c>
      <c r="N60" s="3">
        <v>5</v>
      </c>
      <c r="O60" s="3">
        <v>7</v>
      </c>
      <c r="P60" s="3">
        <v>3</v>
      </c>
      <c r="Q60" s="3">
        <v>2</v>
      </c>
      <c r="R60" s="3" t="s">
        <v>32</v>
      </c>
      <c r="S60" s="3" t="s">
        <v>32</v>
      </c>
      <c r="T60" s="3" t="s">
        <v>32</v>
      </c>
      <c r="U60" s="3" t="s">
        <v>32</v>
      </c>
      <c r="V60" s="3" t="s">
        <v>32</v>
      </c>
      <c r="W60" s="3"/>
      <c r="X60" s="3"/>
      <c r="Y60" s="3"/>
      <c r="Z60" s="3">
        <v>1.75</v>
      </c>
      <c r="AA60" s="3">
        <f t="shared" si="1"/>
        <v>5</v>
      </c>
      <c r="AB60" s="3">
        <v>0.84</v>
      </c>
      <c r="AC60" s="3">
        <v>0.93</v>
      </c>
      <c r="AD60" s="3" t="s">
        <v>32</v>
      </c>
      <c r="AE60" s="3" t="s">
        <v>32</v>
      </c>
      <c r="AF60" s="3">
        <v>1.77</v>
      </c>
      <c r="AG60" s="3">
        <v>30</v>
      </c>
      <c r="AH60" s="3">
        <v>2.86</v>
      </c>
      <c r="AI60" s="3">
        <v>6.6999999999999726E-2</v>
      </c>
      <c r="AJ60" s="3">
        <v>4.4999999999999929E-2</v>
      </c>
      <c r="AK60" s="3"/>
      <c r="AL60" s="3"/>
      <c r="AM60" s="3">
        <f t="shared" si="2"/>
        <v>0.11199999999999966</v>
      </c>
      <c r="AN60" s="129">
        <f t="shared" si="3"/>
        <v>447.76119402985256</v>
      </c>
    </row>
    <row r="61" spans="1:40" x14ac:dyDescent="0.2">
      <c r="A61" s="150">
        <f t="shared" si="0"/>
        <v>20</v>
      </c>
      <c r="B61" s="151">
        <v>45173</v>
      </c>
      <c r="C61" s="150" t="s">
        <v>14</v>
      </c>
      <c r="D61" s="150">
        <v>1050</v>
      </c>
      <c r="E61" s="150" t="s">
        <v>356</v>
      </c>
      <c r="F61" s="150" t="s">
        <v>142</v>
      </c>
      <c r="G61" s="150" t="s">
        <v>136</v>
      </c>
      <c r="H61" s="150" t="s">
        <v>132</v>
      </c>
      <c r="I61" s="150" t="s">
        <v>257</v>
      </c>
      <c r="J61" s="150">
        <v>8</v>
      </c>
      <c r="K61" s="3">
        <v>9.5</v>
      </c>
      <c r="L61" s="3">
        <v>2</v>
      </c>
      <c r="M61" s="3">
        <v>7.0000000000000007E-2</v>
      </c>
      <c r="N61" s="3">
        <v>5</v>
      </c>
      <c r="O61" s="3">
        <v>7</v>
      </c>
      <c r="P61" s="3">
        <v>2</v>
      </c>
      <c r="Q61" s="3">
        <v>3</v>
      </c>
      <c r="R61" s="3" t="s">
        <v>32</v>
      </c>
      <c r="S61" s="3" t="s">
        <v>32</v>
      </c>
      <c r="T61" s="3" t="s">
        <v>32</v>
      </c>
      <c r="U61" s="3" t="s">
        <v>32</v>
      </c>
      <c r="V61" s="3" t="s">
        <v>32</v>
      </c>
      <c r="W61" s="3"/>
      <c r="X61" s="3"/>
      <c r="Y61" s="3"/>
      <c r="Z61" s="3">
        <v>1.5</v>
      </c>
      <c r="AA61" s="3">
        <f t="shared" si="1"/>
        <v>5</v>
      </c>
      <c r="AB61" s="3">
        <v>0.84</v>
      </c>
      <c r="AC61" s="3">
        <v>0.64</v>
      </c>
      <c r="AD61" s="3" t="s">
        <v>32</v>
      </c>
      <c r="AE61" s="3" t="s">
        <v>32</v>
      </c>
      <c r="AF61" s="3">
        <v>1.48</v>
      </c>
      <c r="AG61" s="3">
        <v>31.2</v>
      </c>
      <c r="AH61" s="3">
        <v>3.01</v>
      </c>
      <c r="AI61" s="3">
        <v>8.1999999999999851E-2</v>
      </c>
      <c r="AJ61" s="3">
        <v>5.4999999999999716E-2</v>
      </c>
      <c r="AK61" s="3"/>
      <c r="AL61" s="3"/>
      <c r="AM61" s="3">
        <f t="shared" si="2"/>
        <v>0.13699999999999957</v>
      </c>
      <c r="AN61" s="129">
        <f t="shared" si="3"/>
        <v>380.48780487804947</v>
      </c>
    </row>
    <row r="62" spans="1:40" x14ac:dyDescent="0.2">
      <c r="A62" s="150">
        <f t="shared" si="0"/>
        <v>20</v>
      </c>
      <c r="B62" s="151">
        <v>45173</v>
      </c>
      <c r="C62" s="150" t="s">
        <v>14</v>
      </c>
      <c r="D62" s="150">
        <v>1050</v>
      </c>
      <c r="E62" s="150" t="s">
        <v>356</v>
      </c>
      <c r="F62" s="150" t="s">
        <v>142</v>
      </c>
      <c r="G62" s="150" t="s">
        <v>136</v>
      </c>
      <c r="H62" s="150" t="s">
        <v>132</v>
      </c>
      <c r="I62" s="150" t="s">
        <v>258</v>
      </c>
      <c r="J62" s="150">
        <v>9</v>
      </c>
      <c r="K62" s="3">
        <v>11.5</v>
      </c>
      <c r="L62" s="3">
        <v>2</v>
      </c>
      <c r="M62" s="3">
        <v>0.09</v>
      </c>
      <c r="N62" s="3">
        <v>5</v>
      </c>
      <c r="O62" s="3">
        <v>7</v>
      </c>
      <c r="P62" s="3">
        <v>1</v>
      </c>
      <c r="Q62" s="3">
        <v>4</v>
      </c>
      <c r="R62" s="3" t="s">
        <v>32</v>
      </c>
      <c r="S62" s="3" t="s">
        <v>32</v>
      </c>
      <c r="T62" s="3" t="s">
        <v>32</v>
      </c>
      <c r="U62" s="3" t="s">
        <v>32</v>
      </c>
      <c r="V62" s="3" t="s">
        <v>32</v>
      </c>
      <c r="W62" s="3"/>
      <c r="X62" s="3"/>
      <c r="Y62" s="3"/>
      <c r="Z62" s="3">
        <v>1.73</v>
      </c>
      <c r="AA62" s="3">
        <f t="shared" si="1"/>
        <v>5</v>
      </c>
      <c r="AB62" s="3">
        <v>0.83</v>
      </c>
      <c r="AC62" s="3">
        <v>0.86</v>
      </c>
      <c r="AD62" s="3" t="s">
        <v>32</v>
      </c>
      <c r="AE62" s="3" t="s">
        <v>32</v>
      </c>
      <c r="AF62" s="3">
        <v>1.69</v>
      </c>
      <c r="AG62" s="3">
        <v>35.57</v>
      </c>
      <c r="AH62" s="3">
        <v>2.29</v>
      </c>
      <c r="AI62" s="3">
        <v>6.1999999999999833E-2</v>
      </c>
      <c r="AJ62" s="3">
        <v>1.8999999999999684E-2</v>
      </c>
      <c r="AK62" s="3"/>
      <c r="AL62" s="3"/>
      <c r="AM62" s="3">
        <f t="shared" si="2"/>
        <v>8.0999999999999517E-2</v>
      </c>
      <c r="AN62" s="129">
        <f t="shared" si="3"/>
        <v>573.70967741935635</v>
      </c>
    </row>
    <row r="63" spans="1:40" x14ac:dyDescent="0.2">
      <c r="A63" s="150">
        <f t="shared" si="0"/>
        <v>20</v>
      </c>
      <c r="B63" s="151">
        <v>45173</v>
      </c>
      <c r="C63" s="150" t="s">
        <v>14</v>
      </c>
      <c r="D63" s="150">
        <v>1050</v>
      </c>
      <c r="E63" s="150" t="s">
        <v>356</v>
      </c>
      <c r="F63" s="150" t="s">
        <v>142</v>
      </c>
      <c r="G63" s="150" t="s">
        <v>136</v>
      </c>
      <c r="H63" s="150" t="s">
        <v>132</v>
      </c>
      <c r="I63" s="150" t="s">
        <v>259</v>
      </c>
      <c r="J63" s="150">
        <v>10</v>
      </c>
      <c r="K63" s="3">
        <v>12.5</v>
      </c>
      <c r="L63" s="3">
        <v>2</v>
      </c>
      <c r="M63" s="3">
        <v>0.1</v>
      </c>
      <c r="N63" s="3">
        <v>5</v>
      </c>
      <c r="O63" s="3">
        <v>7</v>
      </c>
      <c r="P63" s="3">
        <v>1</v>
      </c>
      <c r="Q63" s="3">
        <v>4</v>
      </c>
      <c r="R63" s="3" t="s">
        <v>32</v>
      </c>
      <c r="S63" s="3" t="s">
        <v>32</v>
      </c>
      <c r="T63" s="3" t="s">
        <v>32</v>
      </c>
      <c r="U63" s="3" t="s">
        <v>32</v>
      </c>
      <c r="V63" s="3" t="s">
        <v>32</v>
      </c>
      <c r="W63" s="3"/>
      <c r="X63" s="3"/>
      <c r="Y63" s="3"/>
      <c r="Z63" s="3">
        <v>1.65</v>
      </c>
      <c r="AA63" s="3">
        <f t="shared" si="1"/>
        <v>5</v>
      </c>
      <c r="AB63" s="3">
        <v>0.87</v>
      </c>
      <c r="AC63" s="3">
        <v>0.76</v>
      </c>
      <c r="AD63" s="3" t="s">
        <v>32</v>
      </c>
      <c r="AE63" s="3" t="s">
        <v>32</v>
      </c>
      <c r="AF63" s="3">
        <v>1.63</v>
      </c>
      <c r="AG63" s="3">
        <v>35.89</v>
      </c>
      <c r="AH63" s="3">
        <v>2.78</v>
      </c>
      <c r="AI63" s="3">
        <v>6.5999999999999837E-2</v>
      </c>
      <c r="AJ63" s="3">
        <v>3.2000000000000028E-2</v>
      </c>
      <c r="AK63" s="3"/>
      <c r="AL63" s="3"/>
      <c r="AM63" s="3">
        <f t="shared" si="2"/>
        <v>9.7999999999999865E-2</v>
      </c>
      <c r="AN63" s="129">
        <f t="shared" si="3"/>
        <v>543.78787878788012</v>
      </c>
    </row>
    <row r="64" spans="1:40" x14ac:dyDescent="0.2">
      <c r="A64" s="150">
        <f t="shared" si="0"/>
        <v>20</v>
      </c>
      <c r="B64" s="151">
        <v>45173</v>
      </c>
      <c r="C64" s="150" t="s">
        <v>14</v>
      </c>
      <c r="D64" s="150">
        <v>1050</v>
      </c>
      <c r="E64" s="150" t="s">
        <v>356</v>
      </c>
      <c r="F64" s="150" t="s">
        <v>142</v>
      </c>
      <c r="G64" s="150" t="s">
        <v>136</v>
      </c>
      <c r="H64" s="150" t="s">
        <v>132</v>
      </c>
      <c r="I64" s="150" t="s">
        <v>260</v>
      </c>
      <c r="J64" s="150">
        <v>11</v>
      </c>
      <c r="K64" s="3">
        <v>11.5</v>
      </c>
      <c r="L64" s="3">
        <v>2</v>
      </c>
      <c r="M64" s="3">
        <v>0.09</v>
      </c>
      <c r="N64" s="3">
        <v>5</v>
      </c>
      <c r="O64" s="3">
        <v>7</v>
      </c>
      <c r="P64" s="3">
        <v>2</v>
      </c>
      <c r="Q64" s="3">
        <v>3</v>
      </c>
      <c r="R64" s="3" t="s">
        <v>32</v>
      </c>
      <c r="S64" s="3" t="s">
        <v>32</v>
      </c>
      <c r="T64" s="3" t="s">
        <v>32</v>
      </c>
      <c r="U64" s="3" t="s">
        <v>32</v>
      </c>
      <c r="V64" s="3" t="s">
        <v>32</v>
      </c>
      <c r="W64" s="3"/>
      <c r="X64" s="3"/>
      <c r="Y64" s="3"/>
      <c r="Z64" s="3">
        <v>1.48</v>
      </c>
      <c r="AA64" s="3">
        <f t="shared" si="1"/>
        <v>5</v>
      </c>
      <c r="AB64" s="3">
        <v>0.75</v>
      </c>
      <c r="AC64" s="3">
        <v>0.72</v>
      </c>
      <c r="AD64" s="3" t="s">
        <v>32</v>
      </c>
      <c r="AE64" s="3" t="s">
        <v>32</v>
      </c>
      <c r="AF64" s="3">
        <v>1.47</v>
      </c>
      <c r="AG64" s="3">
        <v>29.31</v>
      </c>
      <c r="AH64" s="3">
        <v>2.99</v>
      </c>
      <c r="AI64" s="3">
        <v>4.6999999999999709E-2</v>
      </c>
      <c r="AJ64" s="3">
        <v>4.8000000000000043E-2</v>
      </c>
      <c r="AK64" s="3"/>
      <c r="AL64" s="3"/>
      <c r="AM64" s="3">
        <f t="shared" si="2"/>
        <v>9.4999999999999751E-2</v>
      </c>
      <c r="AN64" s="129">
        <f t="shared" si="3"/>
        <v>623.61702127659953</v>
      </c>
    </row>
    <row r="65" spans="1:40" x14ac:dyDescent="0.2">
      <c r="A65" s="150">
        <f t="shared" si="0"/>
        <v>20</v>
      </c>
      <c r="B65" s="151">
        <v>45173</v>
      </c>
      <c r="C65" s="150" t="s">
        <v>14</v>
      </c>
      <c r="D65" s="150">
        <v>1050</v>
      </c>
      <c r="E65" s="150" t="s">
        <v>356</v>
      </c>
      <c r="F65" s="150" t="s">
        <v>142</v>
      </c>
      <c r="G65" s="150" t="s">
        <v>136</v>
      </c>
      <c r="H65" s="150" t="s">
        <v>132</v>
      </c>
      <c r="I65" s="150" t="s">
        <v>261</v>
      </c>
      <c r="J65" s="150">
        <v>12</v>
      </c>
      <c r="K65" s="3">
        <v>12.5</v>
      </c>
      <c r="L65" s="3">
        <v>2</v>
      </c>
      <c r="M65" s="3">
        <v>7.0000000000000007E-2</v>
      </c>
      <c r="N65" s="3">
        <v>5</v>
      </c>
      <c r="O65" s="3">
        <v>7</v>
      </c>
      <c r="P65" s="3">
        <v>2</v>
      </c>
      <c r="Q65" s="3">
        <v>3</v>
      </c>
      <c r="R65" s="3" t="s">
        <v>32</v>
      </c>
      <c r="S65" s="3" t="s">
        <v>32</v>
      </c>
      <c r="T65" s="3" t="s">
        <v>32</v>
      </c>
      <c r="U65" s="3" t="s">
        <v>32</v>
      </c>
      <c r="V65" s="3" t="s">
        <v>32</v>
      </c>
      <c r="W65" s="3"/>
      <c r="X65" s="3"/>
      <c r="Y65" s="3"/>
      <c r="Z65" s="3">
        <v>1.71</v>
      </c>
      <c r="AA65" s="3">
        <f t="shared" si="1"/>
        <v>5</v>
      </c>
      <c r="AB65" s="3">
        <v>0.82</v>
      </c>
      <c r="AC65" s="3">
        <v>0.87</v>
      </c>
      <c r="AD65" s="3" t="s">
        <v>32</v>
      </c>
      <c r="AE65" s="3" t="s">
        <v>32</v>
      </c>
      <c r="AF65" s="3">
        <v>1.69</v>
      </c>
      <c r="AG65" s="3">
        <v>31.24</v>
      </c>
      <c r="AH65" s="3">
        <v>1.37</v>
      </c>
      <c r="AI65" s="3">
        <v>4.4999999999999929E-2</v>
      </c>
      <c r="AJ65" s="3">
        <v>9.4999999999999751E-2</v>
      </c>
      <c r="AK65" s="3"/>
      <c r="AL65" s="3"/>
      <c r="AM65" s="3">
        <f t="shared" si="2"/>
        <v>0.13999999999999968</v>
      </c>
      <c r="AN65" s="129">
        <f t="shared" si="3"/>
        <v>694.22222222222331</v>
      </c>
    </row>
    <row r="66" spans="1:40" x14ac:dyDescent="0.2">
      <c r="A66" s="150">
        <f t="shared" si="0"/>
        <v>20</v>
      </c>
      <c r="B66" s="151">
        <v>45173</v>
      </c>
      <c r="C66" s="150" t="s">
        <v>14</v>
      </c>
      <c r="D66" s="150">
        <v>1050</v>
      </c>
      <c r="E66" s="150" t="s">
        <v>356</v>
      </c>
      <c r="F66" s="150" t="s">
        <v>142</v>
      </c>
      <c r="G66" s="150" t="s">
        <v>136</v>
      </c>
      <c r="H66" s="150" t="s">
        <v>133</v>
      </c>
      <c r="I66" s="150" t="s">
        <v>174</v>
      </c>
      <c r="J66" s="150">
        <v>1</v>
      </c>
      <c r="K66" s="3">
        <v>11</v>
      </c>
      <c r="L66" s="3">
        <v>2</v>
      </c>
      <c r="M66" s="3" t="s">
        <v>32</v>
      </c>
      <c r="N66" s="3">
        <v>5</v>
      </c>
      <c r="O66" s="3">
        <v>7</v>
      </c>
      <c r="P66" s="3">
        <v>3</v>
      </c>
      <c r="Q66" s="3">
        <v>2</v>
      </c>
      <c r="R66" s="3" t="s">
        <v>32</v>
      </c>
      <c r="S66" s="3" t="s">
        <v>32</v>
      </c>
      <c r="T66" s="3" t="s">
        <v>32</v>
      </c>
      <c r="U66" s="3" t="s">
        <v>32</v>
      </c>
      <c r="V66" s="3" t="s">
        <v>32</v>
      </c>
      <c r="W66" s="3"/>
      <c r="X66" s="3"/>
      <c r="Y66" s="3"/>
      <c r="Z66" s="3">
        <v>1.37</v>
      </c>
      <c r="AA66" s="3">
        <f t="shared" si="1"/>
        <v>5</v>
      </c>
      <c r="AB66" s="3">
        <v>0.7</v>
      </c>
      <c r="AC66" s="3">
        <v>0.65</v>
      </c>
      <c r="AD66" s="3" t="s">
        <v>32</v>
      </c>
      <c r="AE66" s="3" t="s">
        <v>32</v>
      </c>
      <c r="AF66" s="3">
        <v>1.35</v>
      </c>
      <c r="AG66" s="3">
        <v>29.43</v>
      </c>
      <c r="AH66" s="3" t="s">
        <v>32</v>
      </c>
      <c r="AI66" s="3">
        <v>7.3999999999999844E-2</v>
      </c>
      <c r="AJ66" s="3">
        <v>5.699999999999994E-2</v>
      </c>
      <c r="AK66" s="3"/>
      <c r="AL66" s="3"/>
      <c r="AM66" s="3">
        <f t="shared" si="2"/>
        <v>0.13099999999999978</v>
      </c>
      <c r="AN66" s="129">
        <f t="shared" si="3"/>
        <v>397.70270270270356</v>
      </c>
    </row>
    <row r="67" spans="1:40" x14ac:dyDescent="0.2">
      <c r="A67" s="150">
        <f t="shared" si="0"/>
        <v>20</v>
      </c>
      <c r="B67" s="151">
        <v>45173</v>
      </c>
      <c r="C67" s="150" t="s">
        <v>14</v>
      </c>
      <c r="D67" s="150">
        <v>1050</v>
      </c>
      <c r="E67" s="150" t="s">
        <v>356</v>
      </c>
      <c r="F67" s="150" t="s">
        <v>142</v>
      </c>
      <c r="G67" s="150" t="s">
        <v>136</v>
      </c>
      <c r="H67" s="150" t="s">
        <v>133</v>
      </c>
      <c r="I67" s="150" t="s">
        <v>175</v>
      </c>
      <c r="J67" s="150">
        <v>2</v>
      </c>
      <c r="K67" s="3">
        <v>12</v>
      </c>
      <c r="L67" s="3">
        <v>2</v>
      </c>
      <c r="M67" s="3">
        <v>0.05</v>
      </c>
      <c r="N67" s="3">
        <v>5</v>
      </c>
      <c r="O67" s="3">
        <v>7</v>
      </c>
      <c r="P67" s="3">
        <v>1</v>
      </c>
      <c r="Q67" s="3">
        <v>4</v>
      </c>
      <c r="R67" s="3" t="s">
        <v>32</v>
      </c>
      <c r="S67" s="3" t="s">
        <v>32</v>
      </c>
      <c r="T67" s="3" t="s">
        <v>32</v>
      </c>
      <c r="U67" s="3" t="s">
        <v>32</v>
      </c>
      <c r="V67" s="3" t="s">
        <v>32</v>
      </c>
      <c r="W67" s="3"/>
      <c r="X67" s="3"/>
      <c r="Y67" s="3"/>
      <c r="Z67" s="3">
        <v>1.77</v>
      </c>
      <c r="AA67" s="3">
        <f t="shared" si="1"/>
        <v>5</v>
      </c>
      <c r="AB67" s="3">
        <v>0.92</v>
      </c>
      <c r="AC67" s="3">
        <v>0.84</v>
      </c>
      <c r="AD67" s="3" t="s">
        <v>32</v>
      </c>
      <c r="AE67" s="3" t="s">
        <v>32</v>
      </c>
      <c r="AF67" s="3">
        <v>1.76</v>
      </c>
      <c r="AG67" s="3">
        <v>38.950000000000003</v>
      </c>
      <c r="AH67" s="3" t="s">
        <v>32</v>
      </c>
      <c r="AI67" s="3">
        <v>6.4000000000000057E-2</v>
      </c>
      <c r="AJ67" s="3">
        <v>5.699999999999994E-2</v>
      </c>
      <c r="AK67" s="3"/>
      <c r="AL67" s="3"/>
      <c r="AM67" s="3">
        <f t="shared" si="2"/>
        <v>0.121</v>
      </c>
      <c r="AN67" s="129">
        <f t="shared" si="3"/>
        <v>608.59374999999955</v>
      </c>
    </row>
    <row r="68" spans="1:40" x14ac:dyDescent="0.2">
      <c r="A68" s="150">
        <f t="shared" si="0"/>
        <v>20</v>
      </c>
      <c r="B68" s="151">
        <v>45173</v>
      </c>
      <c r="C68" s="150" t="s">
        <v>14</v>
      </c>
      <c r="D68" s="150">
        <v>1050</v>
      </c>
      <c r="E68" s="150" t="s">
        <v>356</v>
      </c>
      <c r="F68" s="150" t="s">
        <v>142</v>
      </c>
      <c r="G68" s="150" t="s">
        <v>136</v>
      </c>
      <c r="H68" s="150" t="s">
        <v>133</v>
      </c>
      <c r="I68" s="150" t="s">
        <v>176</v>
      </c>
      <c r="J68" s="150">
        <v>3</v>
      </c>
      <c r="K68" s="3">
        <v>11</v>
      </c>
      <c r="L68" s="3">
        <v>2</v>
      </c>
      <c r="M68" s="3">
        <v>7.0000000000000007E-2</v>
      </c>
      <c r="N68" s="3">
        <v>5</v>
      </c>
      <c r="O68" s="3">
        <v>7</v>
      </c>
      <c r="P68" s="3">
        <v>2</v>
      </c>
      <c r="Q68" s="3">
        <v>3</v>
      </c>
      <c r="R68" s="3" t="s">
        <v>32</v>
      </c>
      <c r="S68" s="3" t="s">
        <v>32</v>
      </c>
      <c r="T68" s="3" t="s">
        <v>32</v>
      </c>
      <c r="U68" s="3" t="s">
        <v>32</v>
      </c>
      <c r="V68" s="3" t="s">
        <v>32</v>
      </c>
      <c r="W68" s="3"/>
      <c r="X68" s="3"/>
      <c r="Y68" s="3"/>
      <c r="Z68" s="3">
        <v>1.75</v>
      </c>
      <c r="AA68" s="3">
        <f t="shared" si="1"/>
        <v>5</v>
      </c>
      <c r="AB68" s="3">
        <v>0.91</v>
      </c>
      <c r="AC68" s="3">
        <v>0.8</v>
      </c>
      <c r="AD68" s="3" t="s">
        <v>32</v>
      </c>
      <c r="AE68" s="3" t="s">
        <v>32</v>
      </c>
      <c r="AF68" s="3">
        <v>1.71</v>
      </c>
      <c r="AG68" s="3">
        <v>38.58</v>
      </c>
      <c r="AH68" s="3" t="s">
        <v>32</v>
      </c>
      <c r="AI68" s="3">
        <v>5.4999999999999716E-2</v>
      </c>
      <c r="AJ68" s="3">
        <v>6.800000000000006E-2</v>
      </c>
      <c r="AK68" s="3"/>
      <c r="AL68" s="3"/>
      <c r="AM68" s="3">
        <f t="shared" si="2"/>
        <v>0.12299999999999978</v>
      </c>
      <c r="AN68" s="129">
        <f t="shared" si="3"/>
        <v>701.45454545454902</v>
      </c>
    </row>
    <row r="69" spans="1:40" x14ac:dyDescent="0.2">
      <c r="A69" s="150">
        <f t="shared" si="0"/>
        <v>20</v>
      </c>
      <c r="B69" s="151">
        <v>45173</v>
      </c>
      <c r="C69" s="150" t="s">
        <v>14</v>
      </c>
      <c r="D69" s="150">
        <v>1050</v>
      </c>
      <c r="E69" s="150" t="s">
        <v>356</v>
      </c>
      <c r="F69" s="150" t="s">
        <v>142</v>
      </c>
      <c r="G69" s="150" t="s">
        <v>136</v>
      </c>
      <c r="H69" s="150" t="s">
        <v>133</v>
      </c>
      <c r="I69" s="150" t="s">
        <v>177</v>
      </c>
      <c r="J69" s="150">
        <v>4</v>
      </c>
      <c r="K69" s="3">
        <v>12.5</v>
      </c>
      <c r="L69" s="3">
        <v>2</v>
      </c>
      <c r="M69" s="3">
        <v>0.11</v>
      </c>
      <c r="N69" s="3">
        <v>5</v>
      </c>
      <c r="O69" s="3">
        <v>7</v>
      </c>
      <c r="P69" s="3">
        <v>2</v>
      </c>
      <c r="Q69" s="3">
        <v>3</v>
      </c>
      <c r="R69" s="3" t="s">
        <v>32</v>
      </c>
      <c r="S69" s="3" t="s">
        <v>32</v>
      </c>
      <c r="T69" s="3" t="s">
        <v>32</v>
      </c>
      <c r="U69" s="3" t="s">
        <v>32</v>
      </c>
      <c r="V69" s="3" t="s">
        <v>32</v>
      </c>
      <c r="W69" s="3"/>
      <c r="X69" s="3"/>
      <c r="Y69" s="3"/>
      <c r="Z69" s="3">
        <v>1.88</v>
      </c>
      <c r="AA69" s="3">
        <f t="shared" si="1"/>
        <v>5</v>
      </c>
      <c r="AB69" s="3">
        <v>1.05</v>
      </c>
      <c r="AC69" s="3">
        <v>0.79</v>
      </c>
      <c r="AD69" s="3" t="s">
        <v>32</v>
      </c>
      <c r="AE69" s="3" t="s">
        <v>32</v>
      </c>
      <c r="AF69" s="3">
        <v>1.84</v>
      </c>
      <c r="AG69" s="3">
        <v>41.88</v>
      </c>
      <c r="AH69" s="3">
        <v>2.5099999999999998</v>
      </c>
      <c r="AI69" s="3">
        <v>7.8999999999999737E-2</v>
      </c>
      <c r="AJ69" s="3">
        <v>6.9999999999996732E-3</v>
      </c>
      <c r="AK69" s="3"/>
      <c r="AL69" s="3"/>
      <c r="AM69" s="3">
        <f t="shared" si="2"/>
        <v>8.599999999999941E-2</v>
      </c>
      <c r="AN69" s="129">
        <f t="shared" si="3"/>
        <v>530.12658227848283</v>
      </c>
    </row>
    <row r="70" spans="1:40" x14ac:dyDescent="0.2">
      <c r="A70" s="150">
        <f t="shared" ref="A70:A133" si="4">B70-$C$4</f>
        <v>20</v>
      </c>
      <c r="B70" s="151">
        <v>45173</v>
      </c>
      <c r="C70" s="150" t="s">
        <v>14</v>
      </c>
      <c r="D70" s="150">
        <v>1050</v>
      </c>
      <c r="E70" s="150" t="s">
        <v>356</v>
      </c>
      <c r="F70" s="150" t="s">
        <v>142</v>
      </c>
      <c r="G70" s="150" t="s">
        <v>136</v>
      </c>
      <c r="H70" s="150" t="s">
        <v>133</v>
      </c>
      <c r="I70" s="150" t="s">
        <v>178</v>
      </c>
      <c r="J70" s="150">
        <v>5</v>
      </c>
      <c r="K70" s="3">
        <v>10.5</v>
      </c>
      <c r="L70" s="3">
        <v>2</v>
      </c>
      <c r="M70" s="3">
        <v>7.0000000000000007E-2</v>
      </c>
      <c r="N70" s="3">
        <v>5</v>
      </c>
      <c r="O70" s="3">
        <v>7</v>
      </c>
      <c r="P70" s="3">
        <v>2</v>
      </c>
      <c r="Q70" s="3">
        <v>3</v>
      </c>
      <c r="R70" s="3" t="s">
        <v>32</v>
      </c>
      <c r="S70" s="3" t="s">
        <v>32</v>
      </c>
      <c r="T70" s="3" t="s">
        <v>32</v>
      </c>
      <c r="U70" s="3" t="s">
        <v>32</v>
      </c>
      <c r="V70" s="3" t="s">
        <v>32</v>
      </c>
      <c r="W70" s="3"/>
      <c r="X70" s="3"/>
      <c r="Y70" s="3"/>
      <c r="Z70" s="3">
        <v>1.77</v>
      </c>
      <c r="AA70" s="3">
        <f t="shared" si="1"/>
        <v>5</v>
      </c>
      <c r="AB70" s="3">
        <v>0.96</v>
      </c>
      <c r="AC70" s="3">
        <v>0.81</v>
      </c>
      <c r="AD70" s="3" t="s">
        <v>32</v>
      </c>
      <c r="AE70" s="3" t="s">
        <v>32</v>
      </c>
      <c r="AF70" s="3">
        <v>1.77</v>
      </c>
      <c r="AG70" s="3">
        <v>39.25</v>
      </c>
      <c r="AH70" s="3">
        <v>2.66</v>
      </c>
      <c r="AI70" s="3">
        <v>0.10199999999999987</v>
      </c>
      <c r="AJ70" s="3">
        <v>1.399999999999979E-2</v>
      </c>
      <c r="AK70" s="3"/>
      <c r="AL70" s="3"/>
      <c r="AM70" s="3">
        <f t="shared" si="2"/>
        <v>0.11599999999999966</v>
      </c>
      <c r="AN70" s="129">
        <f t="shared" si="3"/>
        <v>384.80392156862797</v>
      </c>
    </row>
    <row r="71" spans="1:40" x14ac:dyDescent="0.2">
      <c r="A71" s="150">
        <f t="shared" si="4"/>
        <v>20</v>
      </c>
      <c r="B71" s="151">
        <v>45173</v>
      </c>
      <c r="C71" s="150" t="s">
        <v>14</v>
      </c>
      <c r="D71" s="150">
        <v>1050</v>
      </c>
      <c r="E71" s="150" t="s">
        <v>356</v>
      </c>
      <c r="F71" s="150" t="s">
        <v>142</v>
      </c>
      <c r="G71" s="150" t="s">
        <v>136</v>
      </c>
      <c r="H71" s="150" t="s">
        <v>133</v>
      </c>
      <c r="I71" s="150" t="s">
        <v>179</v>
      </c>
      <c r="J71" s="150">
        <v>6</v>
      </c>
      <c r="K71" s="3">
        <v>12</v>
      </c>
      <c r="L71" s="3">
        <v>2</v>
      </c>
      <c r="M71" s="3">
        <v>0.1</v>
      </c>
      <c r="N71" s="3">
        <v>5</v>
      </c>
      <c r="O71" s="3">
        <v>7</v>
      </c>
      <c r="P71" s="3">
        <v>2</v>
      </c>
      <c r="Q71" s="3">
        <v>3</v>
      </c>
      <c r="R71" s="3" t="s">
        <v>32</v>
      </c>
      <c r="S71" s="3" t="s">
        <v>32</v>
      </c>
      <c r="T71" s="3" t="s">
        <v>32</v>
      </c>
      <c r="U71" s="3" t="s">
        <v>32</v>
      </c>
      <c r="V71" s="3" t="s">
        <v>32</v>
      </c>
      <c r="W71" s="3"/>
      <c r="X71" s="3"/>
      <c r="Y71" s="3"/>
      <c r="Z71" s="3">
        <v>1.79</v>
      </c>
      <c r="AA71" s="3">
        <f t="shared" ref="AA71:AA101" si="5">N71</f>
        <v>5</v>
      </c>
      <c r="AB71" s="3">
        <v>0.9</v>
      </c>
      <c r="AC71" s="3">
        <v>0.87</v>
      </c>
      <c r="AD71" s="3" t="s">
        <v>32</v>
      </c>
      <c r="AE71" s="3" t="s">
        <v>32</v>
      </c>
      <c r="AF71" s="3">
        <v>1.77</v>
      </c>
      <c r="AG71" s="3">
        <v>39.85</v>
      </c>
      <c r="AH71" s="3">
        <v>2.41</v>
      </c>
      <c r="AI71" s="3">
        <v>7.2999999999999954E-2</v>
      </c>
      <c r="AJ71" s="3">
        <v>2.2999999999999687E-2</v>
      </c>
      <c r="AK71" s="3"/>
      <c r="AL71" s="3"/>
      <c r="AM71" s="3">
        <f t="shared" ref="AM71:AM101" si="6">SUM(AI71:AL71)</f>
        <v>9.5999999999999641E-2</v>
      </c>
      <c r="AN71" s="129">
        <f t="shared" ref="AN71:AN101" si="7">AG71/AI71</f>
        <v>545.89041095890445</v>
      </c>
    </row>
    <row r="72" spans="1:40" x14ac:dyDescent="0.2">
      <c r="A72" s="150">
        <f t="shared" si="4"/>
        <v>20</v>
      </c>
      <c r="B72" s="151">
        <v>45173</v>
      </c>
      <c r="C72" s="150" t="s">
        <v>14</v>
      </c>
      <c r="D72" s="150">
        <v>1050</v>
      </c>
      <c r="E72" s="150" t="s">
        <v>356</v>
      </c>
      <c r="F72" s="150" t="s">
        <v>142</v>
      </c>
      <c r="G72" s="150" t="s">
        <v>136</v>
      </c>
      <c r="H72" s="150" t="s">
        <v>133</v>
      </c>
      <c r="I72" s="150" t="s">
        <v>262</v>
      </c>
      <c r="J72" s="150">
        <v>7</v>
      </c>
      <c r="K72" s="3">
        <v>11</v>
      </c>
      <c r="L72" s="3">
        <v>2</v>
      </c>
      <c r="M72" s="3">
        <v>0.09</v>
      </c>
      <c r="N72" s="3">
        <v>5</v>
      </c>
      <c r="O72" s="3">
        <v>7</v>
      </c>
      <c r="P72" s="3">
        <v>3</v>
      </c>
      <c r="Q72" s="3">
        <v>2</v>
      </c>
      <c r="R72" s="3" t="s">
        <v>32</v>
      </c>
      <c r="S72" s="3" t="s">
        <v>32</v>
      </c>
      <c r="T72" s="3" t="s">
        <v>32</v>
      </c>
      <c r="U72" s="3" t="s">
        <v>32</v>
      </c>
      <c r="V72" s="3" t="s">
        <v>32</v>
      </c>
      <c r="W72" s="3"/>
      <c r="X72" s="3"/>
      <c r="Y72" s="3"/>
      <c r="Z72" s="3">
        <v>1.75</v>
      </c>
      <c r="AA72" s="3">
        <f t="shared" si="5"/>
        <v>5</v>
      </c>
      <c r="AB72" s="3">
        <v>0.84</v>
      </c>
      <c r="AC72" s="3">
        <v>0.93</v>
      </c>
      <c r="AD72" s="3" t="s">
        <v>32</v>
      </c>
      <c r="AE72" s="3" t="s">
        <v>32</v>
      </c>
      <c r="AF72" s="3">
        <v>1.77</v>
      </c>
      <c r="AG72" s="3">
        <v>30</v>
      </c>
      <c r="AH72" s="3">
        <v>2.86</v>
      </c>
      <c r="AI72" s="3">
        <v>6.6999999999999726E-2</v>
      </c>
      <c r="AJ72" s="3">
        <v>4.4999999999999929E-2</v>
      </c>
      <c r="AK72" s="3"/>
      <c r="AL72" s="3"/>
      <c r="AM72" s="3">
        <f t="shared" si="6"/>
        <v>0.11199999999999966</v>
      </c>
      <c r="AN72" s="129">
        <f t="shared" si="7"/>
        <v>447.76119402985256</v>
      </c>
    </row>
    <row r="73" spans="1:40" x14ac:dyDescent="0.2">
      <c r="A73" s="150">
        <f t="shared" si="4"/>
        <v>20</v>
      </c>
      <c r="B73" s="151">
        <v>45173</v>
      </c>
      <c r="C73" s="150" t="s">
        <v>14</v>
      </c>
      <c r="D73" s="150">
        <v>1050</v>
      </c>
      <c r="E73" s="150" t="s">
        <v>356</v>
      </c>
      <c r="F73" s="150" t="s">
        <v>142</v>
      </c>
      <c r="G73" s="150" t="s">
        <v>136</v>
      </c>
      <c r="H73" s="150" t="s">
        <v>133</v>
      </c>
      <c r="I73" s="150" t="s">
        <v>263</v>
      </c>
      <c r="J73" s="150">
        <v>8</v>
      </c>
      <c r="K73" s="3">
        <v>9.5</v>
      </c>
      <c r="L73" s="3">
        <v>2</v>
      </c>
      <c r="M73" s="3">
        <v>7.0000000000000007E-2</v>
      </c>
      <c r="N73" s="3">
        <v>5</v>
      </c>
      <c r="O73" s="3">
        <v>7</v>
      </c>
      <c r="P73" s="3">
        <v>2</v>
      </c>
      <c r="Q73" s="3">
        <v>3</v>
      </c>
      <c r="R73" s="3" t="s">
        <v>32</v>
      </c>
      <c r="S73" s="3" t="s">
        <v>32</v>
      </c>
      <c r="T73" s="3" t="s">
        <v>32</v>
      </c>
      <c r="U73" s="3" t="s">
        <v>32</v>
      </c>
      <c r="V73" s="3" t="s">
        <v>32</v>
      </c>
      <c r="W73" s="3"/>
      <c r="X73" s="3"/>
      <c r="Y73" s="3"/>
      <c r="Z73" s="3">
        <v>1.5</v>
      </c>
      <c r="AA73" s="3">
        <f t="shared" si="5"/>
        <v>5</v>
      </c>
      <c r="AB73" s="3">
        <v>0.84</v>
      </c>
      <c r="AC73" s="3">
        <v>0.64</v>
      </c>
      <c r="AD73" s="3" t="s">
        <v>32</v>
      </c>
      <c r="AE73" s="3" t="s">
        <v>32</v>
      </c>
      <c r="AF73" s="3">
        <v>1.48</v>
      </c>
      <c r="AG73" s="3">
        <v>31.2</v>
      </c>
      <c r="AH73" s="3">
        <v>3.01</v>
      </c>
      <c r="AI73" s="3">
        <v>8.1999999999999851E-2</v>
      </c>
      <c r="AJ73" s="3">
        <v>5.4999999999999716E-2</v>
      </c>
      <c r="AK73" s="3"/>
      <c r="AL73" s="3"/>
      <c r="AM73" s="3">
        <f t="shared" si="6"/>
        <v>0.13699999999999957</v>
      </c>
      <c r="AN73" s="129">
        <f t="shared" si="7"/>
        <v>380.48780487804947</v>
      </c>
    </row>
    <row r="74" spans="1:40" x14ac:dyDescent="0.2">
      <c r="A74" s="150">
        <f t="shared" si="4"/>
        <v>20</v>
      </c>
      <c r="B74" s="151">
        <v>45173</v>
      </c>
      <c r="C74" s="150" t="s">
        <v>14</v>
      </c>
      <c r="D74" s="150">
        <v>1050</v>
      </c>
      <c r="E74" s="150" t="s">
        <v>356</v>
      </c>
      <c r="F74" s="150" t="s">
        <v>142</v>
      </c>
      <c r="G74" s="150" t="s">
        <v>136</v>
      </c>
      <c r="H74" s="150" t="s">
        <v>133</v>
      </c>
      <c r="I74" s="150" t="s">
        <v>264</v>
      </c>
      <c r="J74" s="150">
        <v>9</v>
      </c>
      <c r="K74" s="3">
        <v>11.5</v>
      </c>
      <c r="L74" s="3">
        <v>2</v>
      </c>
      <c r="M74" s="3">
        <v>0.09</v>
      </c>
      <c r="N74" s="3">
        <v>5</v>
      </c>
      <c r="O74" s="3">
        <v>7</v>
      </c>
      <c r="P74" s="3">
        <v>1</v>
      </c>
      <c r="Q74" s="3">
        <v>4</v>
      </c>
      <c r="R74" s="3" t="s">
        <v>32</v>
      </c>
      <c r="S74" s="3" t="s">
        <v>32</v>
      </c>
      <c r="T74" s="3" t="s">
        <v>32</v>
      </c>
      <c r="U74" s="3" t="s">
        <v>32</v>
      </c>
      <c r="V74" s="3" t="s">
        <v>32</v>
      </c>
      <c r="W74" s="3"/>
      <c r="X74" s="3"/>
      <c r="Y74" s="3"/>
      <c r="Z74" s="3">
        <v>1.73</v>
      </c>
      <c r="AA74" s="3">
        <f t="shared" si="5"/>
        <v>5</v>
      </c>
      <c r="AB74" s="3">
        <v>0.83</v>
      </c>
      <c r="AC74" s="3">
        <v>0.86</v>
      </c>
      <c r="AD74" s="3" t="s">
        <v>32</v>
      </c>
      <c r="AE74" s="3" t="s">
        <v>32</v>
      </c>
      <c r="AF74" s="3">
        <v>1.69</v>
      </c>
      <c r="AG74" s="3">
        <v>35.57</v>
      </c>
      <c r="AH74" s="3">
        <v>2.29</v>
      </c>
      <c r="AI74" s="3">
        <v>6.1999999999999833E-2</v>
      </c>
      <c r="AJ74" s="3">
        <v>1.8999999999999684E-2</v>
      </c>
      <c r="AK74" s="3"/>
      <c r="AL74" s="3"/>
      <c r="AM74" s="3">
        <f t="shared" si="6"/>
        <v>8.0999999999999517E-2</v>
      </c>
      <c r="AN74" s="129">
        <f t="shared" si="7"/>
        <v>573.70967741935635</v>
      </c>
    </row>
    <row r="75" spans="1:40" x14ac:dyDescent="0.2">
      <c r="A75" s="150">
        <f t="shared" si="4"/>
        <v>20</v>
      </c>
      <c r="B75" s="151">
        <v>45173</v>
      </c>
      <c r="C75" s="150" t="s">
        <v>14</v>
      </c>
      <c r="D75" s="150">
        <v>1050</v>
      </c>
      <c r="E75" s="150" t="s">
        <v>356</v>
      </c>
      <c r="F75" s="150" t="s">
        <v>142</v>
      </c>
      <c r="G75" s="150" t="s">
        <v>136</v>
      </c>
      <c r="H75" s="150" t="s">
        <v>133</v>
      </c>
      <c r="I75" s="150" t="s">
        <v>265</v>
      </c>
      <c r="J75" s="150">
        <v>10</v>
      </c>
      <c r="K75" s="3">
        <v>12.5</v>
      </c>
      <c r="L75" s="3">
        <v>2</v>
      </c>
      <c r="M75" s="3">
        <v>0.1</v>
      </c>
      <c r="N75" s="3">
        <v>5</v>
      </c>
      <c r="O75" s="3">
        <v>7</v>
      </c>
      <c r="P75" s="3">
        <v>1</v>
      </c>
      <c r="Q75" s="3">
        <v>4</v>
      </c>
      <c r="R75" s="3" t="s">
        <v>32</v>
      </c>
      <c r="S75" s="3" t="s">
        <v>32</v>
      </c>
      <c r="T75" s="3" t="s">
        <v>32</v>
      </c>
      <c r="U75" s="3" t="s">
        <v>32</v>
      </c>
      <c r="V75" s="3" t="s">
        <v>32</v>
      </c>
      <c r="W75" s="3"/>
      <c r="X75" s="3"/>
      <c r="Y75" s="3"/>
      <c r="Z75" s="3">
        <v>1.65</v>
      </c>
      <c r="AA75" s="3">
        <f t="shared" si="5"/>
        <v>5</v>
      </c>
      <c r="AB75" s="3">
        <v>0.87</v>
      </c>
      <c r="AC75" s="3">
        <v>0.76</v>
      </c>
      <c r="AD75" s="3" t="s">
        <v>32</v>
      </c>
      <c r="AE75" s="3" t="s">
        <v>32</v>
      </c>
      <c r="AF75" s="3">
        <v>1.63</v>
      </c>
      <c r="AG75" s="3">
        <v>35.89</v>
      </c>
      <c r="AH75" s="3">
        <v>2.78</v>
      </c>
      <c r="AI75" s="3">
        <v>6.5999999999999837E-2</v>
      </c>
      <c r="AJ75" s="3">
        <v>3.2000000000000028E-2</v>
      </c>
      <c r="AK75" s="3"/>
      <c r="AL75" s="3"/>
      <c r="AM75" s="3">
        <f t="shared" si="6"/>
        <v>9.7999999999999865E-2</v>
      </c>
      <c r="AN75" s="129">
        <f t="shared" si="7"/>
        <v>543.78787878788012</v>
      </c>
    </row>
    <row r="76" spans="1:40" x14ac:dyDescent="0.2">
      <c r="A76" s="150">
        <f t="shared" si="4"/>
        <v>20</v>
      </c>
      <c r="B76" s="151">
        <v>45173</v>
      </c>
      <c r="C76" s="150" t="s">
        <v>14</v>
      </c>
      <c r="D76" s="150">
        <v>1050</v>
      </c>
      <c r="E76" s="150" t="s">
        <v>356</v>
      </c>
      <c r="F76" s="150" t="s">
        <v>142</v>
      </c>
      <c r="G76" s="150" t="s">
        <v>136</v>
      </c>
      <c r="H76" s="150" t="s">
        <v>133</v>
      </c>
      <c r="I76" s="150" t="s">
        <v>266</v>
      </c>
      <c r="J76" s="150">
        <v>11</v>
      </c>
      <c r="K76" s="3">
        <v>11.5</v>
      </c>
      <c r="L76" s="3">
        <v>2</v>
      </c>
      <c r="M76" s="3">
        <v>0.09</v>
      </c>
      <c r="N76" s="3">
        <v>5</v>
      </c>
      <c r="O76" s="3">
        <v>7</v>
      </c>
      <c r="P76" s="3">
        <v>2</v>
      </c>
      <c r="Q76" s="3">
        <v>3</v>
      </c>
      <c r="R76" s="3" t="s">
        <v>32</v>
      </c>
      <c r="S76" s="3" t="s">
        <v>32</v>
      </c>
      <c r="T76" s="3" t="s">
        <v>32</v>
      </c>
      <c r="U76" s="3" t="s">
        <v>32</v>
      </c>
      <c r="V76" s="3" t="s">
        <v>32</v>
      </c>
      <c r="W76" s="3"/>
      <c r="X76" s="3"/>
      <c r="Y76" s="3"/>
      <c r="Z76" s="3">
        <v>1.48</v>
      </c>
      <c r="AA76" s="3">
        <f t="shared" si="5"/>
        <v>5</v>
      </c>
      <c r="AB76" s="3">
        <v>0.75</v>
      </c>
      <c r="AC76" s="3">
        <v>0.72</v>
      </c>
      <c r="AD76" s="3" t="s">
        <v>32</v>
      </c>
      <c r="AE76" s="3" t="s">
        <v>32</v>
      </c>
      <c r="AF76" s="3">
        <v>1.47</v>
      </c>
      <c r="AG76" s="3">
        <v>29.31</v>
      </c>
      <c r="AH76" s="3">
        <v>2.99</v>
      </c>
      <c r="AI76" s="3">
        <v>4.6999999999999709E-2</v>
      </c>
      <c r="AJ76" s="3">
        <v>4.8000000000000043E-2</v>
      </c>
      <c r="AK76" s="3"/>
      <c r="AL76" s="3"/>
      <c r="AM76" s="3">
        <f t="shared" si="6"/>
        <v>9.4999999999999751E-2</v>
      </c>
      <c r="AN76" s="129">
        <f t="shared" si="7"/>
        <v>623.61702127659953</v>
      </c>
    </row>
    <row r="77" spans="1:40" x14ac:dyDescent="0.2">
      <c r="A77" s="150">
        <f t="shared" si="4"/>
        <v>20</v>
      </c>
      <c r="B77" s="151">
        <v>45173</v>
      </c>
      <c r="C77" s="150" t="s">
        <v>14</v>
      </c>
      <c r="D77" s="150">
        <v>1050</v>
      </c>
      <c r="E77" s="150" t="s">
        <v>356</v>
      </c>
      <c r="F77" s="150" t="s">
        <v>142</v>
      </c>
      <c r="G77" s="150" t="s">
        <v>136</v>
      </c>
      <c r="H77" s="150" t="s">
        <v>133</v>
      </c>
      <c r="I77" s="150" t="s">
        <v>267</v>
      </c>
      <c r="J77" s="150">
        <v>12</v>
      </c>
      <c r="K77" s="3">
        <v>12.5</v>
      </c>
      <c r="L77" s="3">
        <v>2</v>
      </c>
      <c r="M77" s="3">
        <v>7.0000000000000007E-2</v>
      </c>
      <c r="N77" s="3">
        <v>5</v>
      </c>
      <c r="O77" s="3">
        <v>7</v>
      </c>
      <c r="P77" s="3">
        <v>2</v>
      </c>
      <c r="Q77" s="3">
        <v>3</v>
      </c>
      <c r="R77" s="3" t="s">
        <v>32</v>
      </c>
      <c r="S77" s="3" t="s">
        <v>32</v>
      </c>
      <c r="T77" s="3" t="s">
        <v>32</v>
      </c>
      <c r="U77" s="3" t="s">
        <v>32</v>
      </c>
      <c r="V77" s="3" t="s">
        <v>32</v>
      </c>
      <c r="W77" s="3"/>
      <c r="X77" s="3"/>
      <c r="Y77" s="3"/>
      <c r="Z77" s="3">
        <v>1.71</v>
      </c>
      <c r="AA77" s="3">
        <f t="shared" si="5"/>
        <v>5</v>
      </c>
      <c r="AB77" s="3">
        <v>0.82</v>
      </c>
      <c r="AC77" s="3">
        <v>0.87</v>
      </c>
      <c r="AD77" s="3" t="s">
        <v>32</v>
      </c>
      <c r="AE77" s="3" t="s">
        <v>32</v>
      </c>
      <c r="AF77" s="3">
        <v>1.69</v>
      </c>
      <c r="AG77" s="3">
        <v>31.24</v>
      </c>
      <c r="AH77" s="3">
        <v>1.37</v>
      </c>
      <c r="AI77" s="3">
        <v>4.4999999999999929E-2</v>
      </c>
      <c r="AJ77" s="3">
        <v>9.4999999999999751E-2</v>
      </c>
      <c r="AK77" s="3"/>
      <c r="AL77" s="3"/>
      <c r="AM77" s="3">
        <f t="shared" si="6"/>
        <v>0.13999999999999968</v>
      </c>
      <c r="AN77" s="129">
        <f t="shared" si="7"/>
        <v>694.22222222222331</v>
      </c>
    </row>
    <row r="78" spans="1:40" x14ac:dyDescent="0.2">
      <c r="A78" s="150">
        <f t="shared" si="4"/>
        <v>20</v>
      </c>
      <c r="B78" s="151">
        <v>45173</v>
      </c>
      <c r="C78" s="150" t="s">
        <v>14</v>
      </c>
      <c r="D78" s="150">
        <v>1050</v>
      </c>
      <c r="E78" s="150" t="s">
        <v>356</v>
      </c>
      <c r="F78" s="150" t="s">
        <v>142</v>
      </c>
      <c r="G78" s="150" t="s">
        <v>136</v>
      </c>
      <c r="H78" s="150" t="s">
        <v>134</v>
      </c>
      <c r="I78" s="150" t="s">
        <v>180</v>
      </c>
      <c r="J78" s="150">
        <v>1</v>
      </c>
      <c r="K78" s="3">
        <v>11</v>
      </c>
      <c r="L78" s="3">
        <v>2</v>
      </c>
      <c r="M78" s="3" t="s">
        <v>32</v>
      </c>
      <c r="N78" s="3">
        <v>5</v>
      </c>
      <c r="O78" s="3">
        <v>7</v>
      </c>
      <c r="P78" s="3">
        <v>3</v>
      </c>
      <c r="Q78" s="3">
        <v>2</v>
      </c>
      <c r="R78" s="3" t="s">
        <v>32</v>
      </c>
      <c r="S78" s="3" t="s">
        <v>32</v>
      </c>
      <c r="T78" s="3" t="s">
        <v>32</v>
      </c>
      <c r="U78" s="3" t="s">
        <v>32</v>
      </c>
      <c r="V78" s="3" t="s">
        <v>32</v>
      </c>
      <c r="W78" s="3"/>
      <c r="X78" s="3"/>
      <c r="Y78" s="3"/>
      <c r="Z78" s="3">
        <v>1.37</v>
      </c>
      <c r="AA78" s="3">
        <f t="shared" si="5"/>
        <v>5</v>
      </c>
      <c r="AB78" s="3">
        <v>0.7</v>
      </c>
      <c r="AC78" s="3">
        <v>0.65</v>
      </c>
      <c r="AD78" s="3" t="s">
        <v>32</v>
      </c>
      <c r="AE78" s="3" t="s">
        <v>32</v>
      </c>
      <c r="AF78" s="3">
        <v>1.35</v>
      </c>
      <c r="AG78" s="3">
        <v>29.43</v>
      </c>
      <c r="AH78" s="3" t="s">
        <v>32</v>
      </c>
      <c r="AI78" s="3">
        <v>7.3999999999999844E-2</v>
      </c>
      <c r="AJ78" s="3">
        <v>5.699999999999994E-2</v>
      </c>
      <c r="AK78" s="3"/>
      <c r="AL78" s="3"/>
      <c r="AM78" s="3">
        <f t="shared" si="6"/>
        <v>0.13099999999999978</v>
      </c>
      <c r="AN78" s="129">
        <f t="shared" si="7"/>
        <v>397.70270270270356</v>
      </c>
    </row>
    <row r="79" spans="1:40" x14ac:dyDescent="0.2">
      <c r="A79" s="150">
        <f t="shared" si="4"/>
        <v>20</v>
      </c>
      <c r="B79" s="151">
        <v>45173</v>
      </c>
      <c r="C79" s="150" t="s">
        <v>14</v>
      </c>
      <c r="D79" s="150">
        <v>1050</v>
      </c>
      <c r="E79" s="150" t="s">
        <v>356</v>
      </c>
      <c r="F79" s="150" t="s">
        <v>142</v>
      </c>
      <c r="G79" s="150" t="s">
        <v>136</v>
      </c>
      <c r="H79" s="150" t="s">
        <v>134</v>
      </c>
      <c r="I79" s="150" t="s">
        <v>181</v>
      </c>
      <c r="J79" s="150">
        <v>2</v>
      </c>
      <c r="K79" s="3">
        <v>12</v>
      </c>
      <c r="L79" s="3">
        <v>2</v>
      </c>
      <c r="M79" s="3">
        <v>0.05</v>
      </c>
      <c r="N79" s="3">
        <v>5</v>
      </c>
      <c r="O79" s="3">
        <v>7</v>
      </c>
      <c r="P79" s="3">
        <v>1</v>
      </c>
      <c r="Q79" s="3">
        <v>4</v>
      </c>
      <c r="R79" s="3" t="s">
        <v>32</v>
      </c>
      <c r="S79" s="3" t="s">
        <v>32</v>
      </c>
      <c r="T79" s="3" t="s">
        <v>32</v>
      </c>
      <c r="U79" s="3" t="s">
        <v>32</v>
      </c>
      <c r="V79" s="3" t="s">
        <v>32</v>
      </c>
      <c r="W79" s="3"/>
      <c r="X79" s="3"/>
      <c r="Y79" s="3"/>
      <c r="Z79" s="3">
        <v>1.77</v>
      </c>
      <c r="AA79" s="3">
        <f t="shared" si="5"/>
        <v>5</v>
      </c>
      <c r="AB79" s="3">
        <v>0.92</v>
      </c>
      <c r="AC79" s="3">
        <v>0.84</v>
      </c>
      <c r="AD79" s="3" t="s">
        <v>32</v>
      </c>
      <c r="AE79" s="3" t="s">
        <v>32</v>
      </c>
      <c r="AF79" s="3">
        <v>1.76</v>
      </c>
      <c r="AG79" s="3">
        <v>38.950000000000003</v>
      </c>
      <c r="AH79" s="3" t="s">
        <v>32</v>
      </c>
      <c r="AI79" s="3">
        <v>6.4000000000000057E-2</v>
      </c>
      <c r="AJ79" s="3">
        <v>5.699999999999994E-2</v>
      </c>
      <c r="AK79" s="3"/>
      <c r="AL79" s="3"/>
      <c r="AM79" s="3">
        <f t="shared" si="6"/>
        <v>0.121</v>
      </c>
      <c r="AN79" s="129">
        <f t="shared" si="7"/>
        <v>608.59374999999955</v>
      </c>
    </row>
    <row r="80" spans="1:40" x14ac:dyDescent="0.2">
      <c r="A80" s="150">
        <f t="shared" si="4"/>
        <v>20</v>
      </c>
      <c r="B80" s="151">
        <v>45173</v>
      </c>
      <c r="C80" s="150" t="s">
        <v>14</v>
      </c>
      <c r="D80" s="150">
        <v>1050</v>
      </c>
      <c r="E80" s="150" t="s">
        <v>356</v>
      </c>
      <c r="F80" s="150" t="s">
        <v>142</v>
      </c>
      <c r="G80" s="150" t="s">
        <v>136</v>
      </c>
      <c r="H80" s="150" t="s">
        <v>134</v>
      </c>
      <c r="I80" s="150" t="s">
        <v>182</v>
      </c>
      <c r="J80" s="150">
        <v>3</v>
      </c>
      <c r="K80" s="3">
        <v>11</v>
      </c>
      <c r="L80" s="3">
        <v>2</v>
      </c>
      <c r="M80" s="3">
        <v>7.0000000000000007E-2</v>
      </c>
      <c r="N80" s="3">
        <v>5</v>
      </c>
      <c r="O80" s="3">
        <v>7</v>
      </c>
      <c r="P80" s="3">
        <v>2</v>
      </c>
      <c r="Q80" s="3">
        <v>3</v>
      </c>
      <c r="R80" s="3" t="s">
        <v>32</v>
      </c>
      <c r="S80" s="3" t="s">
        <v>32</v>
      </c>
      <c r="T80" s="3" t="s">
        <v>32</v>
      </c>
      <c r="U80" s="3" t="s">
        <v>32</v>
      </c>
      <c r="V80" s="3" t="s">
        <v>32</v>
      </c>
      <c r="W80" s="3"/>
      <c r="X80" s="3"/>
      <c r="Y80" s="3"/>
      <c r="Z80" s="3">
        <v>1.75</v>
      </c>
      <c r="AA80" s="3">
        <f t="shared" si="5"/>
        <v>5</v>
      </c>
      <c r="AB80" s="3">
        <v>0.91</v>
      </c>
      <c r="AC80" s="3">
        <v>0.8</v>
      </c>
      <c r="AD80" s="3" t="s">
        <v>32</v>
      </c>
      <c r="AE80" s="3" t="s">
        <v>32</v>
      </c>
      <c r="AF80" s="3">
        <v>1.71</v>
      </c>
      <c r="AG80" s="3">
        <v>38.58</v>
      </c>
      <c r="AH80" s="3" t="s">
        <v>32</v>
      </c>
      <c r="AI80" s="3">
        <v>5.4999999999999716E-2</v>
      </c>
      <c r="AJ80" s="3">
        <v>6.800000000000006E-2</v>
      </c>
      <c r="AK80" s="3"/>
      <c r="AL80" s="3"/>
      <c r="AM80" s="3">
        <f t="shared" si="6"/>
        <v>0.12299999999999978</v>
      </c>
      <c r="AN80" s="129">
        <f t="shared" si="7"/>
        <v>701.45454545454902</v>
      </c>
    </row>
    <row r="81" spans="1:40" x14ac:dyDescent="0.2">
      <c r="A81" s="150">
        <f t="shared" si="4"/>
        <v>20</v>
      </c>
      <c r="B81" s="151">
        <v>45173</v>
      </c>
      <c r="C81" s="150" t="s">
        <v>14</v>
      </c>
      <c r="D81" s="150">
        <v>1050</v>
      </c>
      <c r="E81" s="150" t="s">
        <v>356</v>
      </c>
      <c r="F81" s="150" t="s">
        <v>142</v>
      </c>
      <c r="G81" s="150" t="s">
        <v>136</v>
      </c>
      <c r="H81" s="150" t="s">
        <v>134</v>
      </c>
      <c r="I81" s="150" t="s">
        <v>183</v>
      </c>
      <c r="J81" s="150">
        <v>4</v>
      </c>
      <c r="K81" s="3">
        <v>12.5</v>
      </c>
      <c r="L81" s="3">
        <v>2</v>
      </c>
      <c r="M81" s="3">
        <v>0.11</v>
      </c>
      <c r="N81" s="3">
        <v>5</v>
      </c>
      <c r="O81" s="3">
        <v>7</v>
      </c>
      <c r="P81" s="3">
        <v>2</v>
      </c>
      <c r="Q81" s="3">
        <v>3</v>
      </c>
      <c r="R81" s="3" t="s">
        <v>32</v>
      </c>
      <c r="S81" s="3" t="s">
        <v>32</v>
      </c>
      <c r="T81" s="3" t="s">
        <v>32</v>
      </c>
      <c r="U81" s="3" t="s">
        <v>32</v>
      </c>
      <c r="V81" s="3" t="s">
        <v>32</v>
      </c>
      <c r="W81" s="3"/>
      <c r="X81" s="3"/>
      <c r="Y81" s="3"/>
      <c r="Z81" s="3">
        <v>1.88</v>
      </c>
      <c r="AA81" s="3">
        <f t="shared" si="5"/>
        <v>5</v>
      </c>
      <c r="AB81" s="3">
        <v>1.05</v>
      </c>
      <c r="AC81" s="3">
        <v>0.79</v>
      </c>
      <c r="AD81" s="3" t="s">
        <v>32</v>
      </c>
      <c r="AE81" s="3" t="s">
        <v>32</v>
      </c>
      <c r="AF81" s="3">
        <v>1.84</v>
      </c>
      <c r="AG81" s="3">
        <v>41.88</v>
      </c>
      <c r="AH81" s="3">
        <v>2.5099999999999998</v>
      </c>
      <c r="AI81" s="3">
        <v>7.8999999999999737E-2</v>
      </c>
      <c r="AJ81" s="3">
        <v>6.9999999999996732E-3</v>
      </c>
      <c r="AK81" s="3"/>
      <c r="AL81" s="3"/>
      <c r="AM81" s="3">
        <f t="shared" si="6"/>
        <v>8.599999999999941E-2</v>
      </c>
      <c r="AN81" s="129">
        <f t="shared" si="7"/>
        <v>530.12658227848283</v>
      </c>
    </row>
    <row r="82" spans="1:40" x14ac:dyDescent="0.2">
      <c r="A82" s="150">
        <f t="shared" si="4"/>
        <v>20</v>
      </c>
      <c r="B82" s="151">
        <v>45173</v>
      </c>
      <c r="C82" s="150" t="s">
        <v>14</v>
      </c>
      <c r="D82" s="150">
        <v>1050</v>
      </c>
      <c r="E82" s="150" t="s">
        <v>356</v>
      </c>
      <c r="F82" s="150" t="s">
        <v>142</v>
      </c>
      <c r="G82" s="150" t="s">
        <v>136</v>
      </c>
      <c r="H82" s="150" t="s">
        <v>134</v>
      </c>
      <c r="I82" s="150" t="s">
        <v>184</v>
      </c>
      <c r="J82" s="150">
        <v>5</v>
      </c>
      <c r="K82" s="3">
        <v>10.5</v>
      </c>
      <c r="L82" s="3">
        <v>2</v>
      </c>
      <c r="M82" s="3">
        <v>7.0000000000000007E-2</v>
      </c>
      <c r="N82" s="3">
        <v>5</v>
      </c>
      <c r="O82" s="3">
        <v>7</v>
      </c>
      <c r="P82" s="3">
        <v>2</v>
      </c>
      <c r="Q82" s="3">
        <v>3</v>
      </c>
      <c r="R82" s="3" t="s">
        <v>32</v>
      </c>
      <c r="S82" s="3" t="s">
        <v>32</v>
      </c>
      <c r="T82" s="3" t="s">
        <v>32</v>
      </c>
      <c r="U82" s="3" t="s">
        <v>32</v>
      </c>
      <c r="V82" s="3" t="s">
        <v>32</v>
      </c>
      <c r="W82" s="3"/>
      <c r="X82" s="3"/>
      <c r="Y82" s="3"/>
      <c r="Z82" s="3">
        <v>1.77</v>
      </c>
      <c r="AA82" s="3">
        <f t="shared" si="5"/>
        <v>5</v>
      </c>
      <c r="AB82" s="3">
        <v>0.96</v>
      </c>
      <c r="AC82" s="3">
        <v>0.81</v>
      </c>
      <c r="AD82" s="3" t="s">
        <v>32</v>
      </c>
      <c r="AE82" s="3" t="s">
        <v>32</v>
      </c>
      <c r="AF82" s="3">
        <v>1.77</v>
      </c>
      <c r="AG82" s="3">
        <v>39.25</v>
      </c>
      <c r="AH82" s="3">
        <v>2.66</v>
      </c>
      <c r="AI82" s="3">
        <v>0.10199999999999987</v>
      </c>
      <c r="AJ82" s="3">
        <v>1.399999999999979E-2</v>
      </c>
      <c r="AK82" s="3"/>
      <c r="AL82" s="3"/>
      <c r="AM82" s="3">
        <f t="shared" si="6"/>
        <v>0.11599999999999966</v>
      </c>
      <c r="AN82" s="129">
        <f t="shared" si="7"/>
        <v>384.80392156862797</v>
      </c>
    </row>
    <row r="83" spans="1:40" x14ac:dyDescent="0.2">
      <c r="A83" s="150">
        <f t="shared" si="4"/>
        <v>20</v>
      </c>
      <c r="B83" s="151">
        <v>45173</v>
      </c>
      <c r="C83" s="150" t="s">
        <v>14</v>
      </c>
      <c r="D83" s="150">
        <v>1050</v>
      </c>
      <c r="E83" s="150" t="s">
        <v>356</v>
      </c>
      <c r="F83" s="150" t="s">
        <v>142</v>
      </c>
      <c r="G83" s="150" t="s">
        <v>136</v>
      </c>
      <c r="H83" s="150" t="s">
        <v>134</v>
      </c>
      <c r="I83" s="150" t="s">
        <v>185</v>
      </c>
      <c r="J83" s="150">
        <v>6</v>
      </c>
      <c r="K83" s="3">
        <v>12</v>
      </c>
      <c r="L83" s="3">
        <v>2</v>
      </c>
      <c r="M83" s="3">
        <v>0.1</v>
      </c>
      <c r="N83" s="3">
        <v>5</v>
      </c>
      <c r="O83" s="3">
        <v>7</v>
      </c>
      <c r="P83" s="3">
        <v>2</v>
      </c>
      <c r="Q83" s="3">
        <v>3</v>
      </c>
      <c r="R83" s="3" t="s">
        <v>32</v>
      </c>
      <c r="S83" s="3" t="s">
        <v>32</v>
      </c>
      <c r="T83" s="3" t="s">
        <v>32</v>
      </c>
      <c r="U83" s="3" t="s">
        <v>32</v>
      </c>
      <c r="V83" s="3" t="s">
        <v>32</v>
      </c>
      <c r="W83" s="3"/>
      <c r="X83" s="3"/>
      <c r="Y83" s="3"/>
      <c r="Z83" s="3">
        <v>1.79</v>
      </c>
      <c r="AA83" s="3">
        <f t="shared" si="5"/>
        <v>5</v>
      </c>
      <c r="AB83" s="3">
        <v>0.9</v>
      </c>
      <c r="AC83" s="3">
        <v>0.87</v>
      </c>
      <c r="AD83" s="3" t="s">
        <v>32</v>
      </c>
      <c r="AE83" s="3" t="s">
        <v>32</v>
      </c>
      <c r="AF83" s="3">
        <v>1.77</v>
      </c>
      <c r="AG83" s="3">
        <v>39.85</v>
      </c>
      <c r="AH83" s="3">
        <v>2.41</v>
      </c>
      <c r="AI83" s="3">
        <v>7.2999999999999954E-2</v>
      </c>
      <c r="AJ83" s="3">
        <v>2.2999999999999687E-2</v>
      </c>
      <c r="AK83" s="3"/>
      <c r="AL83" s="3"/>
      <c r="AM83" s="3">
        <f t="shared" si="6"/>
        <v>9.5999999999999641E-2</v>
      </c>
      <c r="AN83" s="129">
        <f t="shared" si="7"/>
        <v>545.89041095890445</v>
      </c>
    </row>
    <row r="84" spans="1:40" x14ac:dyDescent="0.2">
      <c r="A84" s="150">
        <f t="shared" si="4"/>
        <v>20</v>
      </c>
      <c r="B84" s="151">
        <v>45173</v>
      </c>
      <c r="C84" s="150" t="s">
        <v>14</v>
      </c>
      <c r="D84" s="150">
        <v>1050</v>
      </c>
      <c r="E84" s="150" t="s">
        <v>356</v>
      </c>
      <c r="F84" s="150" t="s">
        <v>142</v>
      </c>
      <c r="G84" s="150" t="s">
        <v>136</v>
      </c>
      <c r="H84" s="150" t="s">
        <v>134</v>
      </c>
      <c r="I84" s="150" t="s">
        <v>268</v>
      </c>
      <c r="J84" s="150">
        <v>7</v>
      </c>
      <c r="K84" s="3">
        <v>11</v>
      </c>
      <c r="L84" s="3">
        <v>2</v>
      </c>
      <c r="M84" s="3">
        <v>0.09</v>
      </c>
      <c r="N84" s="3">
        <v>5</v>
      </c>
      <c r="O84" s="3">
        <v>7</v>
      </c>
      <c r="P84" s="3">
        <v>3</v>
      </c>
      <c r="Q84" s="3">
        <v>2</v>
      </c>
      <c r="R84" s="3" t="s">
        <v>32</v>
      </c>
      <c r="S84" s="3" t="s">
        <v>32</v>
      </c>
      <c r="T84" s="3" t="s">
        <v>32</v>
      </c>
      <c r="U84" s="3" t="s">
        <v>32</v>
      </c>
      <c r="V84" s="3" t="s">
        <v>32</v>
      </c>
      <c r="W84" s="3"/>
      <c r="X84" s="3"/>
      <c r="Y84" s="3"/>
      <c r="Z84" s="3">
        <v>1.75</v>
      </c>
      <c r="AA84" s="3">
        <f t="shared" si="5"/>
        <v>5</v>
      </c>
      <c r="AB84" s="3">
        <v>0.84</v>
      </c>
      <c r="AC84" s="3">
        <v>0.93</v>
      </c>
      <c r="AD84" s="3" t="s">
        <v>32</v>
      </c>
      <c r="AE84" s="3" t="s">
        <v>32</v>
      </c>
      <c r="AF84" s="3">
        <v>1.77</v>
      </c>
      <c r="AG84" s="3">
        <v>30</v>
      </c>
      <c r="AH84" s="3">
        <v>2.86</v>
      </c>
      <c r="AI84" s="3">
        <v>6.6999999999999726E-2</v>
      </c>
      <c r="AJ84" s="3">
        <v>4.4999999999999929E-2</v>
      </c>
      <c r="AK84" s="3"/>
      <c r="AL84" s="3"/>
      <c r="AM84" s="3">
        <f t="shared" si="6"/>
        <v>0.11199999999999966</v>
      </c>
      <c r="AN84" s="129">
        <f t="shared" si="7"/>
        <v>447.76119402985256</v>
      </c>
    </row>
    <row r="85" spans="1:40" x14ac:dyDescent="0.2">
      <c r="A85" s="150">
        <f t="shared" si="4"/>
        <v>20</v>
      </c>
      <c r="B85" s="151">
        <v>45173</v>
      </c>
      <c r="C85" s="150" t="s">
        <v>14</v>
      </c>
      <c r="D85" s="150">
        <v>1050</v>
      </c>
      <c r="E85" s="150" t="s">
        <v>356</v>
      </c>
      <c r="F85" s="150" t="s">
        <v>142</v>
      </c>
      <c r="G85" s="150" t="s">
        <v>136</v>
      </c>
      <c r="H85" s="150" t="s">
        <v>134</v>
      </c>
      <c r="I85" s="150" t="s">
        <v>269</v>
      </c>
      <c r="J85" s="150">
        <v>8</v>
      </c>
      <c r="K85" s="3">
        <v>9.5</v>
      </c>
      <c r="L85" s="3">
        <v>2</v>
      </c>
      <c r="M85" s="3">
        <v>7.0000000000000007E-2</v>
      </c>
      <c r="N85" s="3">
        <v>5</v>
      </c>
      <c r="O85" s="3">
        <v>7</v>
      </c>
      <c r="P85" s="3">
        <v>2</v>
      </c>
      <c r="Q85" s="3">
        <v>3</v>
      </c>
      <c r="R85" s="3" t="s">
        <v>32</v>
      </c>
      <c r="S85" s="3" t="s">
        <v>32</v>
      </c>
      <c r="T85" s="3" t="s">
        <v>32</v>
      </c>
      <c r="U85" s="3" t="s">
        <v>32</v>
      </c>
      <c r="V85" s="3" t="s">
        <v>32</v>
      </c>
      <c r="W85" s="3"/>
      <c r="X85" s="3"/>
      <c r="Y85" s="3"/>
      <c r="Z85" s="3">
        <v>1.5</v>
      </c>
      <c r="AA85" s="3">
        <f t="shared" si="5"/>
        <v>5</v>
      </c>
      <c r="AB85" s="3">
        <v>0.84</v>
      </c>
      <c r="AC85" s="3">
        <v>0.64</v>
      </c>
      <c r="AD85" s="3" t="s">
        <v>32</v>
      </c>
      <c r="AE85" s="3" t="s">
        <v>32</v>
      </c>
      <c r="AF85" s="3">
        <v>1.48</v>
      </c>
      <c r="AG85" s="3">
        <v>31.2</v>
      </c>
      <c r="AH85" s="3">
        <v>3.01</v>
      </c>
      <c r="AI85" s="3">
        <v>8.1999999999999851E-2</v>
      </c>
      <c r="AJ85" s="3">
        <v>5.4999999999999716E-2</v>
      </c>
      <c r="AK85" s="3"/>
      <c r="AL85" s="3"/>
      <c r="AM85" s="3">
        <f t="shared" si="6"/>
        <v>0.13699999999999957</v>
      </c>
      <c r="AN85" s="129">
        <f t="shared" si="7"/>
        <v>380.48780487804947</v>
      </c>
    </row>
    <row r="86" spans="1:40" x14ac:dyDescent="0.2">
      <c r="A86" s="150">
        <f t="shared" si="4"/>
        <v>20</v>
      </c>
      <c r="B86" s="151">
        <v>45173</v>
      </c>
      <c r="C86" s="150" t="s">
        <v>14</v>
      </c>
      <c r="D86" s="150">
        <v>1050</v>
      </c>
      <c r="E86" s="150" t="s">
        <v>356</v>
      </c>
      <c r="F86" s="150" t="s">
        <v>142</v>
      </c>
      <c r="G86" s="150" t="s">
        <v>136</v>
      </c>
      <c r="H86" s="150" t="s">
        <v>134</v>
      </c>
      <c r="I86" s="150" t="s">
        <v>270</v>
      </c>
      <c r="J86" s="150">
        <v>9</v>
      </c>
      <c r="K86" s="3">
        <v>11.5</v>
      </c>
      <c r="L86" s="3">
        <v>2</v>
      </c>
      <c r="M86" s="3">
        <v>0.09</v>
      </c>
      <c r="N86" s="3">
        <v>5</v>
      </c>
      <c r="O86" s="3">
        <v>7</v>
      </c>
      <c r="P86" s="3">
        <v>1</v>
      </c>
      <c r="Q86" s="3">
        <v>4</v>
      </c>
      <c r="R86" s="3" t="s">
        <v>32</v>
      </c>
      <c r="S86" s="3" t="s">
        <v>32</v>
      </c>
      <c r="T86" s="3" t="s">
        <v>32</v>
      </c>
      <c r="U86" s="3" t="s">
        <v>32</v>
      </c>
      <c r="V86" s="3" t="s">
        <v>32</v>
      </c>
      <c r="W86" s="3"/>
      <c r="X86" s="3"/>
      <c r="Y86" s="3"/>
      <c r="Z86" s="3">
        <v>1.73</v>
      </c>
      <c r="AA86" s="3">
        <f t="shared" si="5"/>
        <v>5</v>
      </c>
      <c r="AB86" s="3">
        <v>0.83</v>
      </c>
      <c r="AC86" s="3">
        <v>0.86</v>
      </c>
      <c r="AD86" s="3" t="s">
        <v>32</v>
      </c>
      <c r="AE86" s="3" t="s">
        <v>32</v>
      </c>
      <c r="AF86" s="3">
        <v>1.69</v>
      </c>
      <c r="AG86" s="3">
        <v>35.57</v>
      </c>
      <c r="AH86" s="3">
        <v>2.29</v>
      </c>
      <c r="AI86" s="3">
        <v>6.1999999999999833E-2</v>
      </c>
      <c r="AJ86" s="3">
        <v>1.8999999999999684E-2</v>
      </c>
      <c r="AK86" s="3"/>
      <c r="AL86" s="3"/>
      <c r="AM86" s="3">
        <f t="shared" si="6"/>
        <v>8.0999999999999517E-2</v>
      </c>
      <c r="AN86" s="129">
        <f t="shared" si="7"/>
        <v>573.70967741935635</v>
      </c>
    </row>
    <row r="87" spans="1:40" x14ac:dyDescent="0.2">
      <c r="A87" s="150">
        <f t="shared" si="4"/>
        <v>20</v>
      </c>
      <c r="B87" s="151">
        <v>45173</v>
      </c>
      <c r="C87" s="150" t="s">
        <v>14</v>
      </c>
      <c r="D87" s="150">
        <v>1050</v>
      </c>
      <c r="E87" s="150" t="s">
        <v>356</v>
      </c>
      <c r="F87" s="150" t="s">
        <v>142</v>
      </c>
      <c r="G87" s="150" t="s">
        <v>136</v>
      </c>
      <c r="H87" s="150" t="s">
        <v>134</v>
      </c>
      <c r="I87" s="150" t="s">
        <v>271</v>
      </c>
      <c r="J87" s="150">
        <v>10</v>
      </c>
      <c r="K87" s="3">
        <v>12.5</v>
      </c>
      <c r="L87" s="3">
        <v>2</v>
      </c>
      <c r="M87" s="3">
        <v>0.1</v>
      </c>
      <c r="N87" s="3">
        <v>5</v>
      </c>
      <c r="O87" s="3">
        <v>7</v>
      </c>
      <c r="P87" s="3">
        <v>1</v>
      </c>
      <c r="Q87" s="3">
        <v>4</v>
      </c>
      <c r="R87" s="3" t="s">
        <v>32</v>
      </c>
      <c r="S87" s="3" t="s">
        <v>32</v>
      </c>
      <c r="T87" s="3" t="s">
        <v>32</v>
      </c>
      <c r="U87" s="3" t="s">
        <v>32</v>
      </c>
      <c r="V87" s="3" t="s">
        <v>32</v>
      </c>
      <c r="W87" s="3"/>
      <c r="X87" s="3"/>
      <c r="Y87" s="3"/>
      <c r="Z87" s="3">
        <v>1.65</v>
      </c>
      <c r="AA87" s="3">
        <f t="shared" si="5"/>
        <v>5</v>
      </c>
      <c r="AB87" s="3">
        <v>0.87</v>
      </c>
      <c r="AC87" s="3">
        <v>0.76</v>
      </c>
      <c r="AD87" s="3" t="s">
        <v>32</v>
      </c>
      <c r="AE87" s="3" t="s">
        <v>32</v>
      </c>
      <c r="AF87" s="3">
        <v>1.63</v>
      </c>
      <c r="AG87" s="3">
        <v>35.89</v>
      </c>
      <c r="AH87" s="3">
        <v>2.78</v>
      </c>
      <c r="AI87" s="3">
        <v>6.5999999999999837E-2</v>
      </c>
      <c r="AJ87" s="3">
        <v>3.2000000000000028E-2</v>
      </c>
      <c r="AK87" s="3"/>
      <c r="AL87" s="3"/>
      <c r="AM87" s="3">
        <f t="shared" si="6"/>
        <v>9.7999999999999865E-2</v>
      </c>
      <c r="AN87" s="129">
        <f t="shared" si="7"/>
        <v>543.78787878788012</v>
      </c>
    </row>
    <row r="88" spans="1:40" x14ac:dyDescent="0.2">
      <c r="A88" s="150">
        <f t="shared" si="4"/>
        <v>20</v>
      </c>
      <c r="B88" s="151">
        <v>45173</v>
      </c>
      <c r="C88" s="150" t="s">
        <v>14</v>
      </c>
      <c r="D88" s="150">
        <v>1050</v>
      </c>
      <c r="E88" s="150" t="s">
        <v>356</v>
      </c>
      <c r="F88" s="150" t="s">
        <v>142</v>
      </c>
      <c r="G88" s="150" t="s">
        <v>136</v>
      </c>
      <c r="H88" s="150" t="s">
        <v>134</v>
      </c>
      <c r="I88" s="150" t="s">
        <v>272</v>
      </c>
      <c r="J88" s="150">
        <v>11</v>
      </c>
      <c r="K88" s="3">
        <v>11.5</v>
      </c>
      <c r="L88" s="3">
        <v>2</v>
      </c>
      <c r="M88" s="3">
        <v>0.09</v>
      </c>
      <c r="N88" s="3">
        <v>5</v>
      </c>
      <c r="O88" s="3">
        <v>7</v>
      </c>
      <c r="P88" s="3">
        <v>2</v>
      </c>
      <c r="Q88" s="3">
        <v>3</v>
      </c>
      <c r="R88" s="3" t="s">
        <v>32</v>
      </c>
      <c r="S88" s="3" t="s">
        <v>32</v>
      </c>
      <c r="T88" s="3" t="s">
        <v>32</v>
      </c>
      <c r="U88" s="3" t="s">
        <v>32</v>
      </c>
      <c r="V88" s="3" t="s">
        <v>32</v>
      </c>
      <c r="W88" s="3"/>
      <c r="X88" s="3"/>
      <c r="Y88" s="3"/>
      <c r="Z88" s="3">
        <v>1.48</v>
      </c>
      <c r="AA88" s="3">
        <f t="shared" si="5"/>
        <v>5</v>
      </c>
      <c r="AB88" s="3">
        <v>0.75</v>
      </c>
      <c r="AC88" s="3">
        <v>0.72</v>
      </c>
      <c r="AD88" s="3" t="s">
        <v>32</v>
      </c>
      <c r="AE88" s="3" t="s">
        <v>32</v>
      </c>
      <c r="AF88" s="3">
        <v>1.47</v>
      </c>
      <c r="AG88" s="3">
        <v>29.31</v>
      </c>
      <c r="AH88" s="3">
        <v>2.99</v>
      </c>
      <c r="AI88" s="3">
        <v>4.6999999999999709E-2</v>
      </c>
      <c r="AJ88" s="3">
        <v>4.8000000000000043E-2</v>
      </c>
      <c r="AK88" s="3"/>
      <c r="AL88" s="3"/>
      <c r="AM88" s="3">
        <f t="shared" si="6"/>
        <v>9.4999999999999751E-2</v>
      </c>
      <c r="AN88" s="129">
        <f t="shared" si="7"/>
        <v>623.61702127659953</v>
      </c>
    </row>
    <row r="89" spans="1:40" x14ac:dyDescent="0.2">
      <c r="A89" s="150">
        <f t="shared" si="4"/>
        <v>20</v>
      </c>
      <c r="B89" s="151">
        <v>45173</v>
      </c>
      <c r="C89" s="150" t="s">
        <v>14</v>
      </c>
      <c r="D89" s="150">
        <v>1050</v>
      </c>
      <c r="E89" s="150" t="s">
        <v>356</v>
      </c>
      <c r="F89" s="150" t="s">
        <v>142</v>
      </c>
      <c r="G89" s="150" t="s">
        <v>136</v>
      </c>
      <c r="H89" s="150" t="s">
        <v>134</v>
      </c>
      <c r="I89" s="150" t="s">
        <v>273</v>
      </c>
      <c r="J89" s="150">
        <v>12</v>
      </c>
      <c r="K89" s="3">
        <v>12.5</v>
      </c>
      <c r="L89" s="3">
        <v>2</v>
      </c>
      <c r="M89" s="3">
        <v>7.0000000000000007E-2</v>
      </c>
      <c r="N89" s="3">
        <v>5</v>
      </c>
      <c r="O89" s="3">
        <v>7</v>
      </c>
      <c r="P89" s="3">
        <v>2</v>
      </c>
      <c r="Q89" s="3">
        <v>3</v>
      </c>
      <c r="R89" s="3" t="s">
        <v>32</v>
      </c>
      <c r="S89" s="3" t="s">
        <v>32</v>
      </c>
      <c r="T89" s="3" t="s">
        <v>32</v>
      </c>
      <c r="U89" s="3" t="s">
        <v>32</v>
      </c>
      <c r="V89" s="3" t="s">
        <v>32</v>
      </c>
      <c r="W89" s="3"/>
      <c r="X89" s="3"/>
      <c r="Y89" s="3"/>
      <c r="Z89" s="3">
        <v>1.71</v>
      </c>
      <c r="AA89" s="3">
        <f t="shared" si="5"/>
        <v>5</v>
      </c>
      <c r="AB89" s="3">
        <v>0.82</v>
      </c>
      <c r="AC89" s="3">
        <v>0.87</v>
      </c>
      <c r="AD89" s="3" t="s">
        <v>32</v>
      </c>
      <c r="AE89" s="3" t="s">
        <v>32</v>
      </c>
      <c r="AF89" s="3">
        <v>1.69</v>
      </c>
      <c r="AG89" s="3">
        <v>31.24</v>
      </c>
      <c r="AH89" s="3">
        <v>1.37</v>
      </c>
      <c r="AI89" s="3">
        <v>4.4999999999999929E-2</v>
      </c>
      <c r="AJ89" s="3">
        <v>9.4999999999999751E-2</v>
      </c>
      <c r="AK89" s="3"/>
      <c r="AL89" s="3"/>
      <c r="AM89" s="3">
        <f t="shared" si="6"/>
        <v>0.13999999999999968</v>
      </c>
      <c r="AN89" s="129">
        <f t="shared" si="7"/>
        <v>694.22222222222331</v>
      </c>
    </row>
    <row r="90" spans="1:40" x14ac:dyDescent="0.2">
      <c r="A90" s="150">
        <f t="shared" si="4"/>
        <v>20</v>
      </c>
      <c r="B90" s="151">
        <v>45173</v>
      </c>
      <c r="C90" s="150" t="s">
        <v>14</v>
      </c>
      <c r="D90" s="150">
        <v>1050</v>
      </c>
      <c r="E90" s="150" t="s">
        <v>356</v>
      </c>
      <c r="F90" s="150" t="s">
        <v>142</v>
      </c>
      <c r="G90" s="150" t="s">
        <v>136</v>
      </c>
      <c r="H90" s="150" t="s">
        <v>135</v>
      </c>
      <c r="I90" s="150" t="s">
        <v>274</v>
      </c>
      <c r="J90" s="150">
        <v>1</v>
      </c>
      <c r="K90" s="3">
        <v>11</v>
      </c>
      <c r="L90" s="3">
        <v>2</v>
      </c>
      <c r="M90" s="3" t="s">
        <v>32</v>
      </c>
      <c r="N90" s="3">
        <v>5</v>
      </c>
      <c r="O90" s="3">
        <v>7</v>
      </c>
      <c r="P90" s="3">
        <v>3</v>
      </c>
      <c r="Q90" s="3">
        <v>2</v>
      </c>
      <c r="R90" s="3" t="s">
        <v>32</v>
      </c>
      <c r="S90" s="3" t="s">
        <v>32</v>
      </c>
      <c r="T90" s="3" t="s">
        <v>32</v>
      </c>
      <c r="U90" s="3" t="s">
        <v>32</v>
      </c>
      <c r="V90" s="3" t="s">
        <v>32</v>
      </c>
      <c r="W90" s="3"/>
      <c r="X90" s="3"/>
      <c r="Y90" s="3"/>
      <c r="Z90" s="3">
        <v>1.37</v>
      </c>
      <c r="AA90" s="3">
        <f t="shared" si="5"/>
        <v>5</v>
      </c>
      <c r="AB90" s="3">
        <v>0.7</v>
      </c>
      <c r="AC90" s="3">
        <v>0.65</v>
      </c>
      <c r="AD90" s="3" t="s">
        <v>32</v>
      </c>
      <c r="AE90" s="3" t="s">
        <v>32</v>
      </c>
      <c r="AF90" s="3">
        <v>1.35</v>
      </c>
      <c r="AG90" s="3">
        <v>29.43</v>
      </c>
      <c r="AH90" s="3" t="s">
        <v>32</v>
      </c>
      <c r="AI90" s="3">
        <v>7.3999999999999844E-2</v>
      </c>
      <c r="AJ90" s="3">
        <v>5.699999999999994E-2</v>
      </c>
      <c r="AK90" s="3"/>
      <c r="AL90" s="3"/>
      <c r="AM90" s="3">
        <f t="shared" si="6"/>
        <v>0.13099999999999978</v>
      </c>
      <c r="AN90" s="129">
        <f t="shared" si="7"/>
        <v>397.70270270270356</v>
      </c>
    </row>
    <row r="91" spans="1:40" x14ac:dyDescent="0.2">
      <c r="A91" s="150">
        <f t="shared" si="4"/>
        <v>20</v>
      </c>
      <c r="B91" s="151">
        <v>45173</v>
      </c>
      <c r="C91" s="150" t="s">
        <v>14</v>
      </c>
      <c r="D91" s="150">
        <v>1050</v>
      </c>
      <c r="E91" s="150" t="s">
        <v>356</v>
      </c>
      <c r="F91" s="150" t="s">
        <v>142</v>
      </c>
      <c r="G91" s="150" t="s">
        <v>136</v>
      </c>
      <c r="H91" s="150" t="s">
        <v>135</v>
      </c>
      <c r="I91" s="150" t="s">
        <v>275</v>
      </c>
      <c r="J91" s="150">
        <v>2</v>
      </c>
      <c r="K91" s="3">
        <v>12</v>
      </c>
      <c r="L91" s="3">
        <v>2</v>
      </c>
      <c r="M91" s="3">
        <v>0.05</v>
      </c>
      <c r="N91" s="3">
        <v>5</v>
      </c>
      <c r="O91" s="3">
        <v>7</v>
      </c>
      <c r="P91" s="3">
        <v>1</v>
      </c>
      <c r="Q91" s="3">
        <v>4</v>
      </c>
      <c r="R91" s="3" t="s">
        <v>32</v>
      </c>
      <c r="S91" s="3" t="s">
        <v>32</v>
      </c>
      <c r="T91" s="3" t="s">
        <v>32</v>
      </c>
      <c r="U91" s="3" t="s">
        <v>32</v>
      </c>
      <c r="V91" s="3" t="s">
        <v>32</v>
      </c>
      <c r="W91" s="3"/>
      <c r="X91" s="3"/>
      <c r="Y91" s="3"/>
      <c r="Z91" s="3">
        <v>1.77</v>
      </c>
      <c r="AA91" s="3">
        <f t="shared" si="5"/>
        <v>5</v>
      </c>
      <c r="AB91" s="3">
        <v>0.92</v>
      </c>
      <c r="AC91" s="3">
        <v>0.84</v>
      </c>
      <c r="AD91" s="3" t="s">
        <v>32</v>
      </c>
      <c r="AE91" s="3" t="s">
        <v>32</v>
      </c>
      <c r="AF91" s="3">
        <v>1.76</v>
      </c>
      <c r="AG91" s="3">
        <v>38.950000000000003</v>
      </c>
      <c r="AH91" s="3" t="s">
        <v>32</v>
      </c>
      <c r="AI91" s="3">
        <v>6.4000000000000057E-2</v>
      </c>
      <c r="AJ91" s="3">
        <v>5.699999999999994E-2</v>
      </c>
      <c r="AK91" s="3"/>
      <c r="AL91" s="3"/>
      <c r="AM91" s="3">
        <f t="shared" si="6"/>
        <v>0.121</v>
      </c>
      <c r="AN91" s="129">
        <f t="shared" si="7"/>
        <v>608.59374999999955</v>
      </c>
    </row>
    <row r="92" spans="1:40" x14ac:dyDescent="0.2">
      <c r="A92" s="150">
        <f t="shared" si="4"/>
        <v>20</v>
      </c>
      <c r="B92" s="151">
        <v>45173</v>
      </c>
      <c r="C92" s="150" t="s">
        <v>14</v>
      </c>
      <c r="D92" s="150">
        <v>1050</v>
      </c>
      <c r="E92" s="150" t="s">
        <v>356</v>
      </c>
      <c r="F92" s="150" t="s">
        <v>142</v>
      </c>
      <c r="G92" s="150" t="s">
        <v>136</v>
      </c>
      <c r="H92" s="150" t="s">
        <v>135</v>
      </c>
      <c r="I92" s="150" t="s">
        <v>276</v>
      </c>
      <c r="J92" s="150">
        <v>3</v>
      </c>
      <c r="K92" s="3">
        <v>11</v>
      </c>
      <c r="L92" s="3">
        <v>2</v>
      </c>
      <c r="M92" s="3">
        <v>7.0000000000000007E-2</v>
      </c>
      <c r="N92" s="3">
        <v>5</v>
      </c>
      <c r="O92" s="3">
        <v>7</v>
      </c>
      <c r="P92" s="3">
        <v>2</v>
      </c>
      <c r="Q92" s="3">
        <v>3</v>
      </c>
      <c r="R92" s="3" t="s">
        <v>32</v>
      </c>
      <c r="S92" s="3" t="s">
        <v>32</v>
      </c>
      <c r="T92" s="3" t="s">
        <v>32</v>
      </c>
      <c r="U92" s="3" t="s">
        <v>32</v>
      </c>
      <c r="V92" s="3" t="s">
        <v>32</v>
      </c>
      <c r="W92" s="3"/>
      <c r="X92" s="3"/>
      <c r="Y92" s="3"/>
      <c r="Z92" s="3">
        <v>1.75</v>
      </c>
      <c r="AA92" s="3">
        <f t="shared" si="5"/>
        <v>5</v>
      </c>
      <c r="AB92" s="3">
        <v>0.91</v>
      </c>
      <c r="AC92" s="3">
        <v>0.8</v>
      </c>
      <c r="AD92" s="3" t="s">
        <v>32</v>
      </c>
      <c r="AE92" s="3" t="s">
        <v>32</v>
      </c>
      <c r="AF92" s="3">
        <v>1.71</v>
      </c>
      <c r="AG92" s="3">
        <v>38.58</v>
      </c>
      <c r="AH92" s="3" t="s">
        <v>32</v>
      </c>
      <c r="AI92" s="3">
        <v>5.4999999999999716E-2</v>
      </c>
      <c r="AJ92" s="3">
        <v>6.800000000000006E-2</v>
      </c>
      <c r="AK92" s="3"/>
      <c r="AL92" s="3"/>
      <c r="AM92" s="3">
        <f t="shared" si="6"/>
        <v>0.12299999999999978</v>
      </c>
      <c r="AN92" s="129">
        <f t="shared" si="7"/>
        <v>701.45454545454902</v>
      </c>
    </row>
    <row r="93" spans="1:40" x14ac:dyDescent="0.2">
      <c r="A93" s="150">
        <f t="shared" si="4"/>
        <v>20</v>
      </c>
      <c r="B93" s="151">
        <v>45173</v>
      </c>
      <c r="C93" s="150" t="s">
        <v>14</v>
      </c>
      <c r="D93" s="150">
        <v>1050</v>
      </c>
      <c r="E93" s="150" t="s">
        <v>356</v>
      </c>
      <c r="F93" s="150" t="s">
        <v>142</v>
      </c>
      <c r="G93" s="150" t="s">
        <v>136</v>
      </c>
      <c r="H93" s="150" t="s">
        <v>135</v>
      </c>
      <c r="I93" s="150" t="s">
        <v>277</v>
      </c>
      <c r="J93" s="150">
        <v>4</v>
      </c>
      <c r="K93" s="3">
        <v>12.5</v>
      </c>
      <c r="L93" s="3">
        <v>2</v>
      </c>
      <c r="M93" s="3">
        <v>0.11</v>
      </c>
      <c r="N93" s="3">
        <v>5</v>
      </c>
      <c r="O93" s="3">
        <v>7</v>
      </c>
      <c r="P93" s="3">
        <v>2</v>
      </c>
      <c r="Q93" s="3">
        <v>3</v>
      </c>
      <c r="R93" s="3" t="s">
        <v>32</v>
      </c>
      <c r="S93" s="3" t="s">
        <v>32</v>
      </c>
      <c r="T93" s="3" t="s">
        <v>32</v>
      </c>
      <c r="U93" s="3" t="s">
        <v>32</v>
      </c>
      <c r="V93" s="3" t="s">
        <v>32</v>
      </c>
      <c r="W93" s="3"/>
      <c r="X93" s="3"/>
      <c r="Y93" s="3"/>
      <c r="Z93" s="3">
        <v>1.88</v>
      </c>
      <c r="AA93" s="3">
        <f t="shared" si="5"/>
        <v>5</v>
      </c>
      <c r="AB93" s="3">
        <v>1.05</v>
      </c>
      <c r="AC93" s="3">
        <v>0.79</v>
      </c>
      <c r="AD93" s="3" t="s">
        <v>32</v>
      </c>
      <c r="AE93" s="3" t="s">
        <v>32</v>
      </c>
      <c r="AF93" s="3">
        <v>1.84</v>
      </c>
      <c r="AG93" s="3">
        <v>41.88</v>
      </c>
      <c r="AH93" s="3">
        <v>2.5099999999999998</v>
      </c>
      <c r="AI93" s="3">
        <v>7.8999999999999737E-2</v>
      </c>
      <c r="AJ93" s="3">
        <v>6.9999999999996732E-3</v>
      </c>
      <c r="AK93" s="3"/>
      <c r="AL93" s="3"/>
      <c r="AM93" s="3">
        <f t="shared" si="6"/>
        <v>8.599999999999941E-2</v>
      </c>
      <c r="AN93" s="129">
        <f t="shared" si="7"/>
        <v>530.12658227848283</v>
      </c>
    </row>
    <row r="94" spans="1:40" x14ac:dyDescent="0.2">
      <c r="A94" s="150">
        <f t="shared" si="4"/>
        <v>20</v>
      </c>
      <c r="B94" s="151">
        <v>45173</v>
      </c>
      <c r="C94" s="150" t="s">
        <v>14</v>
      </c>
      <c r="D94" s="150">
        <v>1050</v>
      </c>
      <c r="E94" s="150" t="s">
        <v>356</v>
      </c>
      <c r="F94" s="150" t="s">
        <v>142</v>
      </c>
      <c r="G94" s="150" t="s">
        <v>136</v>
      </c>
      <c r="H94" s="150" t="s">
        <v>135</v>
      </c>
      <c r="I94" s="150" t="s">
        <v>278</v>
      </c>
      <c r="J94" s="150">
        <v>5</v>
      </c>
      <c r="K94" s="3">
        <v>10.5</v>
      </c>
      <c r="L94" s="3">
        <v>2</v>
      </c>
      <c r="M94" s="3">
        <v>7.0000000000000007E-2</v>
      </c>
      <c r="N94" s="3">
        <v>5</v>
      </c>
      <c r="O94" s="3">
        <v>7</v>
      </c>
      <c r="P94" s="3">
        <v>2</v>
      </c>
      <c r="Q94" s="3">
        <v>3</v>
      </c>
      <c r="R94" s="3" t="s">
        <v>32</v>
      </c>
      <c r="S94" s="3" t="s">
        <v>32</v>
      </c>
      <c r="T94" s="3" t="s">
        <v>32</v>
      </c>
      <c r="U94" s="3" t="s">
        <v>32</v>
      </c>
      <c r="V94" s="3" t="s">
        <v>32</v>
      </c>
      <c r="W94" s="3"/>
      <c r="X94" s="3"/>
      <c r="Y94" s="3"/>
      <c r="Z94" s="3">
        <v>1.77</v>
      </c>
      <c r="AA94" s="3">
        <f t="shared" si="5"/>
        <v>5</v>
      </c>
      <c r="AB94" s="3">
        <v>0.96</v>
      </c>
      <c r="AC94" s="3">
        <v>0.81</v>
      </c>
      <c r="AD94" s="3" t="s">
        <v>32</v>
      </c>
      <c r="AE94" s="3" t="s">
        <v>32</v>
      </c>
      <c r="AF94" s="3">
        <v>1.77</v>
      </c>
      <c r="AG94" s="3">
        <v>39.25</v>
      </c>
      <c r="AH94" s="3">
        <v>2.66</v>
      </c>
      <c r="AI94" s="3">
        <v>0.10199999999999987</v>
      </c>
      <c r="AJ94" s="3">
        <v>1.399999999999979E-2</v>
      </c>
      <c r="AK94" s="3"/>
      <c r="AL94" s="3"/>
      <c r="AM94" s="3">
        <f t="shared" si="6"/>
        <v>0.11599999999999966</v>
      </c>
      <c r="AN94" s="129">
        <f t="shared" si="7"/>
        <v>384.80392156862797</v>
      </c>
    </row>
    <row r="95" spans="1:40" x14ac:dyDescent="0.2">
      <c r="A95" s="150">
        <f t="shared" si="4"/>
        <v>20</v>
      </c>
      <c r="B95" s="151">
        <v>45173</v>
      </c>
      <c r="C95" s="150" t="s">
        <v>14</v>
      </c>
      <c r="D95" s="150">
        <v>1050</v>
      </c>
      <c r="E95" s="150" t="s">
        <v>356</v>
      </c>
      <c r="F95" s="150" t="s">
        <v>142</v>
      </c>
      <c r="G95" s="150" t="s">
        <v>136</v>
      </c>
      <c r="H95" s="150" t="s">
        <v>135</v>
      </c>
      <c r="I95" s="150" t="s">
        <v>279</v>
      </c>
      <c r="J95" s="150">
        <v>6</v>
      </c>
      <c r="K95" s="3">
        <v>12</v>
      </c>
      <c r="L95" s="3">
        <v>2</v>
      </c>
      <c r="M95" s="3">
        <v>0.1</v>
      </c>
      <c r="N95" s="3">
        <v>5</v>
      </c>
      <c r="O95" s="3">
        <v>7</v>
      </c>
      <c r="P95" s="3">
        <v>2</v>
      </c>
      <c r="Q95" s="3">
        <v>3</v>
      </c>
      <c r="R95" s="3" t="s">
        <v>32</v>
      </c>
      <c r="S95" s="3" t="s">
        <v>32</v>
      </c>
      <c r="T95" s="3" t="s">
        <v>32</v>
      </c>
      <c r="U95" s="3" t="s">
        <v>32</v>
      </c>
      <c r="V95" s="3" t="s">
        <v>32</v>
      </c>
      <c r="W95" s="3"/>
      <c r="X95" s="3"/>
      <c r="Y95" s="3"/>
      <c r="Z95" s="3">
        <v>1.79</v>
      </c>
      <c r="AA95" s="3">
        <f t="shared" si="5"/>
        <v>5</v>
      </c>
      <c r="AB95" s="3">
        <v>0.9</v>
      </c>
      <c r="AC95" s="3">
        <v>0.87</v>
      </c>
      <c r="AD95" s="3" t="s">
        <v>32</v>
      </c>
      <c r="AE95" s="3" t="s">
        <v>32</v>
      </c>
      <c r="AF95" s="3">
        <v>1.77</v>
      </c>
      <c r="AG95" s="3">
        <v>39.85</v>
      </c>
      <c r="AH95" s="3">
        <v>2.41</v>
      </c>
      <c r="AI95" s="3">
        <v>7.2999999999999954E-2</v>
      </c>
      <c r="AJ95" s="3">
        <v>2.2999999999999687E-2</v>
      </c>
      <c r="AK95" s="3"/>
      <c r="AL95" s="3"/>
      <c r="AM95" s="3">
        <f t="shared" si="6"/>
        <v>9.5999999999999641E-2</v>
      </c>
      <c r="AN95" s="129">
        <f t="shared" si="7"/>
        <v>545.89041095890445</v>
      </c>
    </row>
    <row r="96" spans="1:40" x14ac:dyDescent="0.2">
      <c r="A96" s="150">
        <f t="shared" si="4"/>
        <v>20</v>
      </c>
      <c r="B96" s="151">
        <v>45173</v>
      </c>
      <c r="C96" s="150" t="s">
        <v>14</v>
      </c>
      <c r="D96" s="150">
        <v>1050</v>
      </c>
      <c r="E96" s="150" t="s">
        <v>356</v>
      </c>
      <c r="F96" s="150" t="s">
        <v>142</v>
      </c>
      <c r="G96" s="150" t="s">
        <v>136</v>
      </c>
      <c r="H96" s="150" t="s">
        <v>135</v>
      </c>
      <c r="I96" s="150" t="s">
        <v>280</v>
      </c>
      <c r="J96" s="150">
        <v>7</v>
      </c>
      <c r="K96" s="3">
        <v>11</v>
      </c>
      <c r="L96" s="3">
        <v>2</v>
      </c>
      <c r="M96" s="3">
        <v>0.09</v>
      </c>
      <c r="N96" s="3">
        <v>5</v>
      </c>
      <c r="O96" s="3">
        <v>7</v>
      </c>
      <c r="P96" s="3">
        <v>3</v>
      </c>
      <c r="Q96" s="3">
        <v>2</v>
      </c>
      <c r="R96" s="3" t="s">
        <v>32</v>
      </c>
      <c r="S96" s="3" t="s">
        <v>32</v>
      </c>
      <c r="T96" s="3" t="s">
        <v>32</v>
      </c>
      <c r="U96" s="3" t="s">
        <v>32</v>
      </c>
      <c r="V96" s="3" t="s">
        <v>32</v>
      </c>
      <c r="W96" s="3"/>
      <c r="X96" s="3"/>
      <c r="Y96" s="3"/>
      <c r="Z96" s="3">
        <v>1.75</v>
      </c>
      <c r="AA96" s="3">
        <f t="shared" si="5"/>
        <v>5</v>
      </c>
      <c r="AB96" s="3">
        <v>0.84</v>
      </c>
      <c r="AC96" s="3">
        <v>0.93</v>
      </c>
      <c r="AD96" s="3" t="s">
        <v>32</v>
      </c>
      <c r="AE96" s="3" t="s">
        <v>32</v>
      </c>
      <c r="AF96" s="3">
        <v>1.77</v>
      </c>
      <c r="AG96" s="3">
        <v>30</v>
      </c>
      <c r="AH96" s="3">
        <v>2.86</v>
      </c>
      <c r="AI96" s="3">
        <v>6.6999999999999726E-2</v>
      </c>
      <c r="AJ96" s="3">
        <v>4.4999999999999929E-2</v>
      </c>
      <c r="AK96" s="3"/>
      <c r="AL96" s="3"/>
      <c r="AM96" s="3">
        <f t="shared" si="6"/>
        <v>0.11199999999999966</v>
      </c>
      <c r="AN96" s="129">
        <f t="shared" si="7"/>
        <v>447.76119402985256</v>
      </c>
    </row>
    <row r="97" spans="1:40" x14ac:dyDescent="0.2">
      <c r="A97" s="150">
        <f t="shared" si="4"/>
        <v>20</v>
      </c>
      <c r="B97" s="151">
        <v>45173</v>
      </c>
      <c r="C97" s="150" t="s">
        <v>14</v>
      </c>
      <c r="D97" s="150">
        <v>1050</v>
      </c>
      <c r="E97" s="150" t="s">
        <v>356</v>
      </c>
      <c r="F97" s="150" t="s">
        <v>142</v>
      </c>
      <c r="G97" s="150" t="s">
        <v>136</v>
      </c>
      <c r="H97" s="150" t="s">
        <v>135</v>
      </c>
      <c r="I97" s="150" t="s">
        <v>281</v>
      </c>
      <c r="J97" s="150">
        <v>8</v>
      </c>
      <c r="K97" s="3">
        <v>9.5</v>
      </c>
      <c r="L97" s="3">
        <v>2</v>
      </c>
      <c r="M97" s="3">
        <v>7.0000000000000007E-2</v>
      </c>
      <c r="N97" s="3">
        <v>5</v>
      </c>
      <c r="O97" s="3">
        <v>7</v>
      </c>
      <c r="P97" s="3">
        <v>2</v>
      </c>
      <c r="Q97" s="3">
        <v>3</v>
      </c>
      <c r="R97" s="3" t="s">
        <v>32</v>
      </c>
      <c r="S97" s="3" t="s">
        <v>32</v>
      </c>
      <c r="T97" s="3" t="s">
        <v>32</v>
      </c>
      <c r="U97" s="3" t="s">
        <v>32</v>
      </c>
      <c r="V97" s="3" t="s">
        <v>32</v>
      </c>
      <c r="W97" s="3"/>
      <c r="X97" s="3"/>
      <c r="Y97" s="3"/>
      <c r="Z97" s="3">
        <v>1.5</v>
      </c>
      <c r="AA97" s="3">
        <f t="shared" si="5"/>
        <v>5</v>
      </c>
      <c r="AB97" s="3">
        <v>0.84</v>
      </c>
      <c r="AC97" s="3">
        <v>0.64</v>
      </c>
      <c r="AD97" s="3" t="s">
        <v>32</v>
      </c>
      <c r="AE97" s="3" t="s">
        <v>32</v>
      </c>
      <c r="AF97" s="3">
        <v>1.48</v>
      </c>
      <c r="AG97" s="3">
        <v>31.2</v>
      </c>
      <c r="AH97" s="3">
        <v>3.01</v>
      </c>
      <c r="AI97" s="3">
        <v>8.1999999999999851E-2</v>
      </c>
      <c r="AJ97" s="3">
        <v>5.4999999999999716E-2</v>
      </c>
      <c r="AK97" s="3"/>
      <c r="AL97" s="3"/>
      <c r="AM97" s="3">
        <f t="shared" si="6"/>
        <v>0.13699999999999957</v>
      </c>
      <c r="AN97" s="129">
        <f t="shared" si="7"/>
        <v>380.48780487804947</v>
      </c>
    </row>
    <row r="98" spans="1:40" x14ac:dyDescent="0.2">
      <c r="A98" s="150">
        <f t="shared" si="4"/>
        <v>20</v>
      </c>
      <c r="B98" s="151">
        <v>45173</v>
      </c>
      <c r="C98" s="150" t="s">
        <v>14</v>
      </c>
      <c r="D98" s="150">
        <v>1050</v>
      </c>
      <c r="E98" s="150" t="s">
        <v>356</v>
      </c>
      <c r="F98" s="150" t="s">
        <v>142</v>
      </c>
      <c r="G98" s="150" t="s">
        <v>136</v>
      </c>
      <c r="H98" s="150" t="s">
        <v>135</v>
      </c>
      <c r="I98" s="150" t="s">
        <v>282</v>
      </c>
      <c r="J98" s="150">
        <v>9</v>
      </c>
      <c r="K98" s="3">
        <v>11.5</v>
      </c>
      <c r="L98" s="3">
        <v>2</v>
      </c>
      <c r="M98" s="3">
        <v>0.09</v>
      </c>
      <c r="N98" s="3">
        <v>5</v>
      </c>
      <c r="O98" s="3">
        <v>7</v>
      </c>
      <c r="P98" s="3">
        <v>1</v>
      </c>
      <c r="Q98" s="3">
        <v>4</v>
      </c>
      <c r="R98" s="3" t="s">
        <v>32</v>
      </c>
      <c r="S98" s="3" t="s">
        <v>32</v>
      </c>
      <c r="T98" s="3" t="s">
        <v>32</v>
      </c>
      <c r="U98" s="3" t="s">
        <v>32</v>
      </c>
      <c r="V98" s="3" t="s">
        <v>32</v>
      </c>
      <c r="W98" s="3"/>
      <c r="X98" s="3"/>
      <c r="Y98" s="3"/>
      <c r="Z98" s="3">
        <v>1.73</v>
      </c>
      <c r="AA98" s="3">
        <f t="shared" si="5"/>
        <v>5</v>
      </c>
      <c r="AB98" s="3">
        <v>0.83</v>
      </c>
      <c r="AC98" s="3">
        <v>0.86</v>
      </c>
      <c r="AD98" s="3" t="s">
        <v>32</v>
      </c>
      <c r="AE98" s="3" t="s">
        <v>32</v>
      </c>
      <c r="AF98" s="3">
        <v>1.69</v>
      </c>
      <c r="AG98" s="3">
        <v>35.57</v>
      </c>
      <c r="AH98" s="3">
        <v>2.29</v>
      </c>
      <c r="AI98" s="3">
        <v>6.1999999999999833E-2</v>
      </c>
      <c r="AJ98" s="3">
        <v>1.8999999999999684E-2</v>
      </c>
      <c r="AK98" s="3"/>
      <c r="AL98" s="3"/>
      <c r="AM98" s="3">
        <f t="shared" si="6"/>
        <v>8.0999999999999517E-2</v>
      </c>
      <c r="AN98" s="129">
        <f t="shared" si="7"/>
        <v>573.70967741935635</v>
      </c>
    </row>
    <row r="99" spans="1:40" x14ac:dyDescent="0.2">
      <c r="A99" s="150">
        <f t="shared" si="4"/>
        <v>20</v>
      </c>
      <c r="B99" s="151">
        <v>45173</v>
      </c>
      <c r="C99" s="150" t="s">
        <v>14</v>
      </c>
      <c r="D99" s="150">
        <v>1050</v>
      </c>
      <c r="E99" s="150" t="s">
        <v>356</v>
      </c>
      <c r="F99" s="150" t="s">
        <v>142</v>
      </c>
      <c r="G99" s="150" t="s">
        <v>136</v>
      </c>
      <c r="H99" s="150" t="s">
        <v>135</v>
      </c>
      <c r="I99" s="150" t="s">
        <v>283</v>
      </c>
      <c r="J99" s="150">
        <v>10</v>
      </c>
      <c r="K99" s="3">
        <v>12.5</v>
      </c>
      <c r="L99" s="3">
        <v>2</v>
      </c>
      <c r="M99" s="3">
        <v>0.1</v>
      </c>
      <c r="N99" s="3">
        <v>5</v>
      </c>
      <c r="O99" s="3">
        <v>7</v>
      </c>
      <c r="P99" s="3">
        <v>1</v>
      </c>
      <c r="Q99" s="3">
        <v>4</v>
      </c>
      <c r="R99" s="3" t="s">
        <v>32</v>
      </c>
      <c r="S99" s="3" t="s">
        <v>32</v>
      </c>
      <c r="T99" s="3" t="s">
        <v>32</v>
      </c>
      <c r="U99" s="3" t="s">
        <v>32</v>
      </c>
      <c r="V99" s="3" t="s">
        <v>32</v>
      </c>
      <c r="W99" s="3"/>
      <c r="X99" s="3"/>
      <c r="Y99" s="3"/>
      <c r="Z99" s="3">
        <v>1.65</v>
      </c>
      <c r="AA99" s="3">
        <f t="shared" si="5"/>
        <v>5</v>
      </c>
      <c r="AB99" s="3">
        <v>0.87</v>
      </c>
      <c r="AC99" s="3">
        <v>0.76</v>
      </c>
      <c r="AD99" s="3" t="s">
        <v>32</v>
      </c>
      <c r="AE99" s="3" t="s">
        <v>32</v>
      </c>
      <c r="AF99" s="3">
        <v>1.63</v>
      </c>
      <c r="AG99" s="3">
        <v>35.89</v>
      </c>
      <c r="AH99" s="3">
        <v>2.78</v>
      </c>
      <c r="AI99" s="3">
        <v>6.5999999999999837E-2</v>
      </c>
      <c r="AJ99" s="3">
        <v>3.2000000000000028E-2</v>
      </c>
      <c r="AK99" s="3"/>
      <c r="AL99" s="3"/>
      <c r="AM99" s="3">
        <f t="shared" si="6"/>
        <v>9.7999999999999865E-2</v>
      </c>
      <c r="AN99" s="129">
        <f t="shared" si="7"/>
        <v>543.78787878788012</v>
      </c>
    </row>
    <row r="100" spans="1:40" x14ac:dyDescent="0.2">
      <c r="A100" s="150">
        <f t="shared" si="4"/>
        <v>20</v>
      </c>
      <c r="B100" s="151">
        <v>45173</v>
      </c>
      <c r="C100" s="150" t="s">
        <v>14</v>
      </c>
      <c r="D100" s="150">
        <v>1050</v>
      </c>
      <c r="E100" s="150" t="s">
        <v>356</v>
      </c>
      <c r="F100" s="150" t="s">
        <v>142</v>
      </c>
      <c r="G100" s="150" t="s">
        <v>136</v>
      </c>
      <c r="H100" s="150" t="s">
        <v>135</v>
      </c>
      <c r="I100" s="150" t="s">
        <v>284</v>
      </c>
      <c r="J100" s="150">
        <v>11</v>
      </c>
      <c r="K100" s="3">
        <v>11.5</v>
      </c>
      <c r="L100" s="3">
        <v>2</v>
      </c>
      <c r="M100" s="3">
        <v>0.09</v>
      </c>
      <c r="N100" s="3">
        <v>5</v>
      </c>
      <c r="O100" s="3">
        <v>7</v>
      </c>
      <c r="P100" s="3">
        <v>2</v>
      </c>
      <c r="Q100" s="3">
        <v>3</v>
      </c>
      <c r="R100" s="3" t="s">
        <v>32</v>
      </c>
      <c r="S100" s="3" t="s">
        <v>32</v>
      </c>
      <c r="T100" s="3" t="s">
        <v>32</v>
      </c>
      <c r="U100" s="3" t="s">
        <v>32</v>
      </c>
      <c r="V100" s="3" t="s">
        <v>32</v>
      </c>
      <c r="W100" s="3"/>
      <c r="X100" s="3"/>
      <c r="Y100" s="3"/>
      <c r="Z100" s="3">
        <v>1.48</v>
      </c>
      <c r="AA100" s="3">
        <f t="shared" si="5"/>
        <v>5</v>
      </c>
      <c r="AB100" s="3">
        <v>0.75</v>
      </c>
      <c r="AC100" s="3">
        <v>0.72</v>
      </c>
      <c r="AD100" s="3" t="s">
        <v>32</v>
      </c>
      <c r="AE100" s="3" t="s">
        <v>32</v>
      </c>
      <c r="AF100" s="3">
        <v>1.47</v>
      </c>
      <c r="AG100" s="3">
        <v>29.31</v>
      </c>
      <c r="AH100" s="3">
        <v>2.99</v>
      </c>
      <c r="AI100" s="3">
        <v>4.6999999999999709E-2</v>
      </c>
      <c r="AJ100" s="3">
        <v>4.8000000000000043E-2</v>
      </c>
      <c r="AK100" s="3"/>
      <c r="AL100" s="3"/>
      <c r="AM100" s="3">
        <f t="shared" si="6"/>
        <v>9.4999999999999751E-2</v>
      </c>
      <c r="AN100" s="129">
        <f t="shared" si="7"/>
        <v>623.61702127659953</v>
      </c>
    </row>
    <row r="101" spans="1:40" s="170" customFormat="1" x14ac:dyDescent="0.2">
      <c r="A101" s="171">
        <f t="shared" si="4"/>
        <v>20</v>
      </c>
      <c r="B101" s="175">
        <v>45173</v>
      </c>
      <c r="C101" s="171" t="s">
        <v>14</v>
      </c>
      <c r="D101" s="171">
        <v>1050</v>
      </c>
      <c r="E101" s="171" t="s">
        <v>356</v>
      </c>
      <c r="F101" s="171" t="s">
        <v>142</v>
      </c>
      <c r="G101" s="171" t="s">
        <v>136</v>
      </c>
      <c r="H101" s="171" t="s">
        <v>135</v>
      </c>
      <c r="I101" s="171" t="s">
        <v>285</v>
      </c>
      <c r="J101" s="171">
        <v>12</v>
      </c>
      <c r="K101" s="176">
        <v>12.5</v>
      </c>
      <c r="L101" s="176">
        <v>2</v>
      </c>
      <c r="M101" s="176">
        <v>7.0000000000000007E-2</v>
      </c>
      <c r="N101" s="176">
        <v>5</v>
      </c>
      <c r="O101" s="176">
        <v>7</v>
      </c>
      <c r="P101" s="176">
        <v>2</v>
      </c>
      <c r="Q101" s="176">
        <v>3</v>
      </c>
      <c r="R101" s="176" t="s">
        <v>32</v>
      </c>
      <c r="S101" s="176" t="s">
        <v>32</v>
      </c>
      <c r="T101" s="176" t="s">
        <v>32</v>
      </c>
      <c r="U101" s="176" t="s">
        <v>32</v>
      </c>
      <c r="V101" s="176" t="s">
        <v>32</v>
      </c>
      <c r="W101" s="176"/>
      <c r="X101" s="176"/>
      <c r="Y101" s="176"/>
      <c r="Z101" s="176">
        <v>1.71</v>
      </c>
      <c r="AA101" s="176">
        <f t="shared" si="5"/>
        <v>5</v>
      </c>
      <c r="AB101" s="176">
        <v>0.82</v>
      </c>
      <c r="AC101" s="176">
        <v>0.87</v>
      </c>
      <c r="AD101" s="176" t="s">
        <v>32</v>
      </c>
      <c r="AE101" s="176" t="s">
        <v>32</v>
      </c>
      <c r="AF101" s="176">
        <v>1.69</v>
      </c>
      <c r="AG101" s="176">
        <v>31.24</v>
      </c>
      <c r="AH101" s="176">
        <v>1.37</v>
      </c>
      <c r="AI101" s="176">
        <v>4.4999999999999929E-2</v>
      </c>
      <c r="AJ101" s="176">
        <v>9.4999999999999751E-2</v>
      </c>
      <c r="AK101" s="176"/>
      <c r="AL101" s="176"/>
      <c r="AM101" s="176">
        <f t="shared" si="6"/>
        <v>0.13999999999999968</v>
      </c>
      <c r="AN101" s="168">
        <f t="shared" si="7"/>
        <v>694.22222222222331</v>
      </c>
    </row>
    <row r="102" spans="1:40" x14ac:dyDescent="0.2">
      <c r="A102" s="150">
        <f t="shared" si="4"/>
        <v>34</v>
      </c>
      <c r="B102" s="152">
        <v>45187</v>
      </c>
      <c r="C102" s="153" t="s">
        <v>140</v>
      </c>
      <c r="D102" s="150">
        <v>48</v>
      </c>
      <c r="E102" s="150" t="s">
        <v>141</v>
      </c>
      <c r="F102" s="154" t="s">
        <v>142</v>
      </c>
      <c r="G102" s="150" t="s">
        <v>131</v>
      </c>
      <c r="H102" s="150" t="s">
        <v>132</v>
      </c>
      <c r="I102" s="150" t="s">
        <v>192</v>
      </c>
      <c r="J102" s="150">
        <v>1</v>
      </c>
      <c r="K102" s="1">
        <f>'Data_2nd DH'!K5</f>
        <v>22</v>
      </c>
      <c r="L102" s="1"/>
      <c r="M102" s="1"/>
      <c r="N102" s="1"/>
      <c r="O102" s="1"/>
      <c r="P102" s="1"/>
      <c r="Q102" s="1"/>
      <c r="R102" s="1">
        <f>'Data_2nd DH'!L5</f>
        <v>3</v>
      </c>
      <c r="S102" s="1">
        <f>'Data_2nd DH'!M5</f>
        <v>0</v>
      </c>
      <c r="T102" s="1"/>
      <c r="U102" s="1"/>
      <c r="V102" s="1">
        <f>'Data_2nd DH'!N5</f>
        <v>0</v>
      </c>
      <c r="W102" s="1"/>
      <c r="X102" s="1"/>
      <c r="Y102" s="1"/>
      <c r="Z102" s="1">
        <f>'Data_2nd DH'!O5</f>
        <v>18.079999999999998</v>
      </c>
      <c r="AA102" s="1">
        <f>'Data_2nd DH'!P5</f>
        <v>11</v>
      </c>
      <c r="AB102" s="1">
        <f>'Data_2nd DH'!Q5</f>
        <v>10.32</v>
      </c>
      <c r="AC102" s="1">
        <f>'Data_2nd DH'!R5</f>
        <v>6.78</v>
      </c>
      <c r="AD102" s="1">
        <f>'Data_2nd DH'!S5</f>
        <v>0.97</v>
      </c>
      <c r="AE102" s="1">
        <v>0</v>
      </c>
      <c r="AF102" s="1">
        <f>'Data_2nd DH'!T5</f>
        <v>18.07</v>
      </c>
      <c r="AG102" s="1">
        <f>'Data_2nd DH'!U5</f>
        <v>292.26</v>
      </c>
      <c r="AH102" s="1"/>
      <c r="AI102" s="1">
        <f>'Data_2nd DH'!Y5</f>
        <v>0.89200000000000002</v>
      </c>
      <c r="AJ102" s="1">
        <f>'Data_2nd DH'!Z5</f>
        <v>0.503</v>
      </c>
      <c r="AK102" s="1">
        <f>'Data_2nd DH'!AA5</f>
        <v>8.8999999999999996E-2</v>
      </c>
      <c r="AL102" s="1"/>
      <c r="AM102" s="1">
        <f>SUM(AI102:AL102)</f>
        <v>1.484</v>
      </c>
      <c r="AN102" s="129">
        <f t="shared" ref="AN102" si="8">AG102/AI102</f>
        <v>327.64573991031386</v>
      </c>
    </row>
    <row r="103" spans="1:40" x14ac:dyDescent="0.2">
      <c r="A103" s="150">
        <f t="shared" si="4"/>
        <v>34</v>
      </c>
      <c r="B103" s="152">
        <v>45187</v>
      </c>
      <c r="C103" s="153" t="s">
        <v>140</v>
      </c>
      <c r="D103" s="150">
        <v>48</v>
      </c>
      <c r="E103" s="150" t="s">
        <v>141</v>
      </c>
      <c r="F103" s="154" t="s">
        <v>142</v>
      </c>
      <c r="G103" s="150" t="s">
        <v>131</v>
      </c>
      <c r="H103" s="150" t="s">
        <v>132</v>
      </c>
      <c r="I103" s="150" t="s">
        <v>193</v>
      </c>
      <c r="J103" s="150">
        <v>2</v>
      </c>
      <c r="K103" s="1">
        <f>'Data_2nd DH'!K6</f>
        <v>19</v>
      </c>
      <c r="L103" s="1"/>
      <c r="M103" s="1"/>
      <c r="N103" s="1"/>
      <c r="O103" s="1"/>
      <c r="P103" s="1"/>
      <c r="Q103" s="1"/>
      <c r="R103" s="1">
        <f>'Data_2nd DH'!L6</f>
        <v>4</v>
      </c>
      <c r="S103" s="1">
        <f>'Data_2nd DH'!M6</f>
        <v>1</v>
      </c>
      <c r="T103" s="1"/>
      <c r="U103" s="1"/>
      <c r="V103" s="1">
        <f>'Data_2nd DH'!N6</f>
        <v>0</v>
      </c>
      <c r="W103" s="1"/>
      <c r="X103" s="1"/>
      <c r="Y103" s="1"/>
      <c r="Z103" s="1">
        <f>'Data_2nd DH'!O6</f>
        <v>18.59</v>
      </c>
      <c r="AA103" s="1">
        <f>'Data_2nd DH'!P6</f>
        <v>12</v>
      </c>
      <c r="AB103" s="1">
        <f>'Data_2nd DH'!Q6</f>
        <v>10.73</v>
      </c>
      <c r="AC103" s="1">
        <f>'Data_2nd DH'!R6</f>
        <v>6.33</v>
      </c>
      <c r="AD103" s="1">
        <f>'Data_2nd DH'!S6</f>
        <v>1.53</v>
      </c>
      <c r="AE103" s="1">
        <v>0</v>
      </c>
      <c r="AF103" s="1">
        <f>'Data_2nd DH'!T6</f>
        <v>18.590000000000003</v>
      </c>
      <c r="AG103" s="1">
        <f>'Data_2nd DH'!U6</f>
        <v>315.97000000000003</v>
      </c>
      <c r="AH103" s="1"/>
      <c r="AI103" s="1">
        <f>'Data_2nd DH'!Y6</f>
        <v>0.91400000000000003</v>
      </c>
      <c r="AJ103" s="1">
        <f>'Data_2nd DH'!Z6</f>
        <v>0.44900000000000001</v>
      </c>
      <c r="AK103" s="1">
        <f>'Data_2nd DH'!AA6</f>
        <v>0.123</v>
      </c>
      <c r="AL103" s="1"/>
      <c r="AM103" s="1">
        <f t="shared" ref="AM103:AM149" si="9">SUM(AI103:AL103)</f>
        <v>1.486</v>
      </c>
      <c r="AN103" s="129">
        <f t="shared" ref="AN103:AN149" si="10">AG103/AI103</f>
        <v>345.70021881838073</v>
      </c>
    </row>
    <row r="104" spans="1:40" x14ac:dyDescent="0.2">
      <c r="A104" s="150">
        <f t="shared" si="4"/>
        <v>34</v>
      </c>
      <c r="B104" s="152">
        <v>45187</v>
      </c>
      <c r="C104" s="153" t="s">
        <v>140</v>
      </c>
      <c r="D104" s="150">
        <v>48</v>
      </c>
      <c r="E104" s="150" t="s">
        <v>141</v>
      </c>
      <c r="F104" s="154" t="s">
        <v>142</v>
      </c>
      <c r="G104" s="150" t="s">
        <v>131</v>
      </c>
      <c r="H104" s="150" t="s">
        <v>132</v>
      </c>
      <c r="I104" s="150" t="s">
        <v>194</v>
      </c>
      <c r="J104" s="150">
        <v>3</v>
      </c>
      <c r="K104" s="1">
        <f>'Data_2nd DH'!K7</f>
        <v>24.5</v>
      </c>
      <c r="L104" s="1"/>
      <c r="M104" s="1"/>
      <c r="N104" s="1"/>
      <c r="O104" s="1"/>
      <c r="P104" s="1"/>
      <c r="Q104" s="1"/>
      <c r="R104" s="1">
        <f>'Data_2nd DH'!L7</f>
        <v>4</v>
      </c>
      <c r="S104" s="1">
        <f>'Data_2nd DH'!M7</f>
        <v>2</v>
      </c>
      <c r="T104" s="1"/>
      <c r="U104" s="1"/>
      <c r="V104" s="1">
        <f>'Data_2nd DH'!N7</f>
        <v>0</v>
      </c>
      <c r="W104" s="1"/>
      <c r="X104" s="1"/>
      <c r="Y104" s="1"/>
      <c r="Z104" s="1">
        <f>'Data_2nd DH'!O7</f>
        <v>18.600000000000001</v>
      </c>
      <c r="AA104" s="1">
        <f>'Data_2nd DH'!P7</f>
        <v>13</v>
      </c>
      <c r="AB104" s="1">
        <f>'Data_2nd DH'!Q7</f>
        <v>9.93</v>
      </c>
      <c r="AC104" s="1">
        <f>'Data_2nd DH'!R7</f>
        <v>6.36</v>
      </c>
      <c r="AD104" s="1">
        <f>'Data_2nd DH'!S7</f>
        <v>2.23</v>
      </c>
      <c r="AE104" s="1">
        <v>0</v>
      </c>
      <c r="AF104" s="1">
        <f>'Data_2nd DH'!T7</f>
        <v>18.52</v>
      </c>
      <c r="AG104" s="1">
        <f>'Data_2nd DH'!U7</f>
        <v>292.97000000000003</v>
      </c>
      <c r="AH104" s="1"/>
      <c r="AI104" s="1">
        <f>'Data_2nd DH'!Y7</f>
        <v>0.88400000000000001</v>
      </c>
      <c r="AJ104" s="1">
        <f>'Data_2nd DH'!Z7</f>
        <v>0.52</v>
      </c>
      <c r="AK104" s="1">
        <f>'Data_2nd DH'!AA7</f>
        <v>0.17799999999999999</v>
      </c>
      <c r="AL104" s="1"/>
      <c r="AM104" s="1">
        <f t="shared" si="9"/>
        <v>1.5819999999999999</v>
      </c>
      <c r="AN104" s="129">
        <f t="shared" si="10"/>
        <v>331.41402714932127</v>
      </c>
    </row>
    <row r="105" spans="1:40" x14ac:dyDescent="0.2">
      <c r="A105" s="150">
        <f t="shared" si="4"/>
        <v>34</v>
      </c>
      <c r="B105" s="152">
        <v>45187</v>
      </c>
      <c r="C105" s="153" t="s">
        <v>140</v>
      </c>
      <c r="D105" s="150">
        <v>48</v>
      </c>
      <c r="E105" s="150" t="s">
        <v>141</v>
      </c>
      <c r="F105" s="154" t="s">
        <v>142</v>
      </c>
      <c r="G105" s="150" t="s">
        <v>131</v>
      </c>
      <c r="H105" s="150" t="s">
        <v>132</v>
      </c>
      <c r="I105" s="150" t="s">
        <v>195</v>
      </c>
      <c r="J105" s="150">
        <v>4</v>
      </c>
      <c r="K105" s="1">
        <f>'Data_2nd DH'!K8</f>
        <v>22.5</v>
      </c>
      <c r="L105" s="1"/>
      <c r="M105" s="1"/>
      <c r="N105" s="1"/>
      <c r="O105" s="1"/>
      <c r="P105" s="1"/>
      <c r="Q105" s="1"/>
      <c r="R105" s="1">
        <f>'Data_2nd DH'!L8</f>
        <v>4</v>
      </c>
      <c r="S105" s="1">
        <f>'Data_2nd DH'!M8</f>
        <v>2</v>
      </c>
      <c r="T105" s="1"/>
      <c r="U105" s="1"/>
      <c r="V105" s="1">
        <f>'Data_2nd DH'!N8</f>
        <v>0</v>
      </c>
      <c r="W105" s="1"/>
      <c r="X105" s="1"/>
      <c r="Y105" s="1"/>
      <c r="Z105" s="1">
        <f>'Data_2nd DH'!O8</f>
        <v>22.14</v>
      </c>
      <c r="AA105" s="1">
        <f>'Data_2nd DH'!P8</f>
        <v>13</v>
      </c>
      <c r="AB105" s="1">
        <f>'Data_2nd DH'!Q8</f>
        <v>12.18</v>
      </c>
      <c r="AC105" s="1">
        <f>'Data_2nd DH'!R8</f>
        <v>8.3800000000000008</v>
      </c>
      <c r="AD105" s="1">
        <f>'Data_2nd DH'!S8</f>
        <v>1.55</v>
      </c>
      <c r="AE105" s="1">
        <v>0</v>
      </c>
      <c r="AF105" s="1">
        <f>'Data_2nd DH'!T8</f>
        <v>22.110000000000003</v>
      </c>
      <c r="AG105" s="1">
        <f>'Data_2nd DH'!U8</f>
        <v>356.71</v>
      </c>
      <c r="AH105" s="1"/>
      <c r="AI105" s="1">
        <f>'Data_2nd DH'!Y8</f>
        <v>1.145</v>
      </c>
      <c r="AJ105" s="1">
        <f>'Data_2nd DH'!Z8</f>
        <v>0.69099999999999995</v>
      </c>
      <c r="AK105" s="1">
        <f>'Data_2nd DH'!AA8</f>
        <v>0.154</v>
      </c>
      <c r="AL105" s="1"/>
      <c r="AM105" s="1">
        <f t="shared" si="9"/>
        <v>1.9899999999999998</v>
      </c>
      <c r="AN105" s="129">
        <f t="shared" si="10"/>
        <v>311.5371179039301</v>
      </c>
    </row>
    <row r="106" spans="1:40" x14ac:dyDescent="0.2">
      <c r="A106" s="150">
        <f t="shared" si="4"/>
        <v>34</v>
      </c>
      <c r="B106" s="152">
        <v>45187</v>
      </c>
      <c r="C106" s="153" t="s">
        <v>140</v>
      </c>
      <c r="D106" s="150">
        <v>48</v>
      </c>
      <c r="E106" s="150" t="s">
        <v>141</v>
      </c>
      <c r="F106" s="154" t="s">
        <v>142</v>
      </c>
      <c r="G106" s="150" t="s">
        <v>131</v>
      </c>
      <c r="H106" s="150" t="s">
        <v>132</v>
      </c>
      <c r="I106" s="150" t="s">
        <v>196</v>
      </c>
      <c r="J106" s="150">
        <v>5</v>
      </c>
      <c r="K106" s="1">
        <f>'Data_2nd DH'!K9</f>
        <v>23.4</v>
      </c>
      <c r="L106" s="1"/>
      <c r="M106" s="1"/>
      <c r="N106" s="1"/>
      <c r="O106" s="1"/>
      <c r="P106" s="1"/>
      <c r="Q106" s="1"/>
      <c r="R106" s="1">
        <f>'Data_2nd DH'!L9</f>
        <v>4</v>
      </c>
      <c r="S106" s="1">
        <f>'Data_2nd DH'!M9</f>
        <v>2</v>
      </c>
      <c r="T106" s="1"/>
      <c r="U106" s="1"/>
      <c r="V106" s="1">
        <f>'Data_2nd DH'!N9</f>
        <v>0</v>
      </c>
      <c r="W106" s="1"/>
      <c r="X106" s="1"/>
      <c r="Y106" s="1"/>
      <c r="Z106" s="1">
        <f>'Data_2nd DH'!O9</f>
        <v>18.38</v>
      </c>
      <c r="AA106" s="1">
        <f>'Data_2nd DH'!P9</f>
        <v>12</v>
      </c>
      <c r="AB106" s="1">
        <f>'Data_2nd DH'!Q9</f>
        <v>9.94</v>
      </c>
      <c r="AC106" s="1">
        <f>'Data_2nd DH'!R9</f>
        <v>7.33</v>
      </c>
      <c r="AD106" s="1">
        <f>'Data_2nd DH'!S9</f>
        <v>1.01</v>
      </c>
      <c r="AE106" s="1">
        <v>0</v>
      </c>
      <c r="AF106" s="1">
        <f>'Data_2nd DH'!T9</f>
        <v>18.28</v>
      </c>
      <c r="AG106" s="1">
        <f>'Data_2nd DH'!U9</f>
        <v>307.82</v>
      </c>
      <c r="AH106" s="1"/>
      <c r="AI106" s="1">
        <f>'Data_2nd DH'!Y9</f>
        <v>0.92</v>
      </c>
      <c r="AJ106" s="1">
        <f>'Data_2nd DH'!Z9</f>
        <v>0.57599999999999996</v>
      </c>
      <c r="AK106" s="1">
        <f>'Data_2nd DH'!AA9</f>
        <v>0.106</v>
      </c>
      <c r="AL106" s="1"/>
      <c r="AM106" s="1">
        <f t="shared" si="9"/>
        <v>1.6020000000000001</v>
      </c>
      <c r="AN106" s="129">
        <f t="shared" si="10"/>
        <v>334.58695652173913</v>
      </c>
    </row>
    <row r="107" spans="1:40" x14ac:dyDescent="0.2">
      <c r="A107" s="150">
        <f t="shared" si="4"/>
        <v>34</v>
      </c>
      <c r="B107" s="152">
        <v>45187</v>
      </c>
      <c r="C107" s="153" t="s">
        <v>140</v>
      </c>
      <c r="D107" s="150">
        <v>48</v>
      </c>
      <c r="E107" s="150" t="s">
        <v>141</v>
      </c>
      <c r="F107" s="154" t="s">
        <v>142</v>
      </c>
      <c r="G107" s="150" t="s">
        <v>131</v>
      </c>
      <c r="H107" s="150" t="s">
        <v>132</v>
      </c>
      <c r="I107" s="150" t="s">
        <v>197</v>
      </c>
      <c r="J107" s="150">
        <v>6</v>
      </c>
      <c r="K107" s="1">
        <f>'Data_2nd DH'!K10</f>
        <v>24</v>
      </c>
      <c r="L107" s="1"/>
      <c r="M107" s="1"/>
      <c r="N107" s="1"/>
      <c r="O107" s="1"/>
      <c r="P107" s="1"/>
      <c r="Q107" s="1"/>
      <c r="R107" s="1">
        <f>'Data_2nd DH'!L10</f>
        <v>5</v>
      </c>
      <c r="S107" s="1">
        <f>'Data_2nd DH'!M10</f>
        <v>1</v>
      </c>
      <c r="T107" s="1"/>
      <c r="U107" s="1"/>
      <c r="V107" s="1">
        <f>'Data_2nd DH'!N10</f>
        <v>0</v>
      </c>
      <c r="W107" s="1"/>
      <c r="X107" s="1"/>
      <c r="Y107" s="1"/>
      <c r="Z107" s="1">
        <f>'Data_2nd DH'!O10</f>
        <v>18.82</v>
      </c>
      <c r="AA107" s="1">
        <f>'Data_2nd DH'!P10</f>
        <v>14</v>
      </c>
      <c r="AB107" s="1">
        <f>'Data_2nd DH'!Q10</f>
        <v>10.52</v>
      </c>
      <c r="AC107" s="1">
        <f>'Data_2nd DH'!R10</f>
        <v>7.51</v>
      </c>
      <c r="AD107" s="1">
        <f>'Data_2nd DH'!S10</f>
        <v>0.77</v>
      </c>
      <c r="AE107" s="1">
        <v>0</v>
      </c>
      <c r="AF107" s="1">
        <f>'Data_2nd DH'!T10</f>
        <v>18.8</v>
      </c>
      <c r="AG107" s="1">
        <f>'Data_2nd DH'!U10</f>
        <v>319.14</v>
      </c>
      <c r="AH107" s="1"/>
      <c r="AI107" s="1">
        <f>'Data_2nd DH'!Y10</f>
        <v>0.95099999999999996</v>
      </c>
      <c r="AJ107" s="1">
        <f>'Data_2nd DH'!Z10</f>
        <v>0.54700000000000004</v>
      </c>
      <c r="AK107" s="1">
        <f>'Data_2nd DH'!AA10</f>
        <v>0.08</v>
      </c>
      <c r="AL107" s="1"/>
      <c r="AM107" s="1">
        <f t="shared" si="9"/>
        <v>1.5780000000000001</v>
      </c>
      <c r="AN107" s="129">
        <f t="shared" si="10"/>
        <v>335.58359621451103</v>
      </c>
    </row>
    <row r="108" spans="1:40" x14ac:dyDescent="0.2">
      <c r="A108" s="150">
        <f t="shared" si="4"/>
        <v>34</v>
      </c>
      <c r="B108" s="152">
        <v>45187</v>
      </c>
      <c r="C108" s="153" t="s">
        <v>140</v>
      </c>
      <c r="D108" s="150">
        <v>48</v>
      </c>
      <c r="E108" s="150" t="s">
        <v>143</v>
      </c>
      <c r="F108" s="154" t="s">
        <v>142</v>
      </c>
      <c r="G108" s="150" t="s">
        <v>131</v>
      </c>
      <c r="H108" s="150" t="s">
        <v>133</v>
      </c>
      <c r="I108" s="150" t="s">
        <v>150</v>
      </c>
      <c r="J108" s="150">
        <v>1</v>
      </c>
      <c r="K108" s="1">
        <f>'Data_2nd DH'!K11</f>
        <v>21</v>
      </c>
      <c r="L108" s="1"/>
      <c r="M108" s="1"/>
      <c r="N108" s="1"/>
      <c r="O108" s="1"/>
      <c r="P108" s="1"/>
      <c r="Q108" s="1"/>
      <c r="R108" s="1">
        <f>'Data_2nd DH'!L11</f>
        <v>2</v>
      </c>
      <c r="S108" s="1">
        <f>'Data_2nd DH'!M11</f>
        <v>0</v>
      </c>
      <c r="T108" s="1"/>
      <c r="U108" s="1"/>
      <c r="V108" s="1">
        <f>'Data_2nd DH'!N11</f>
        <v>0</v>
      </c>
      <c r="W108" s="1"/>
      <c r="X108" s="1"/>
      <c r="Y108" s="1"/>
      <c r="Z108" s="1">
        <f>'Data_2nd DH'!O11</f>
        <v>9.6300000000000008</v>
      </c>
      <c r="AA108" s="1">
        <f>'Data_2nd DH'!P11</f>
        <v>11</v>
      </c>
      <c r="AB108" s="1">
        <f>'Data_2nd DH'!Q11</f>
        <v>5.36</v>
      </c>
      <c r="AC108" s="1">
        <f>'Data_2nd DH'!R11</f>
        <v>0.26</v>
      </c>
      <c r="AD108" s="1">
        <f>'Data_2nd DH'!S11</f>
        <v>3.97</v>
      </c>
      <c r="AE108" s="1">
        <v>0</v>
      </c>
      <c r="AF108" s="1">
        <f>'Data_2nd DH'!T11</f>
        <v>9.59</v>
      </c>
      <c r="AG108" s="1">
        <f>'Data_2nd DH'!U11</f>
        <v>194.67</v>
      </c>
      <c r="AH108" s="1"/>
      <c r="AI108" s="1">
        <f>'Data_2nd DH'!Y11</f>
        <v>0.51400000000000001</v>
      </c>
      <c r="AJ108" s="1">
        <f>'Data_2nd DH'!Z11</f>
        <v>0.314</v>
      </c>
      <c r="AK108" s="1">
        <f>'Data_2nd DH'!AA11</f>
        <v>2.8000000000000001E-2</v>
      </c>
      <c r="AL108" s="1"/>
      <c r="AM108" s="1">
        <f t="shared" si="9"/>
        <v>0.85600000000000009</v>
      </c>
      <c r="AN108" s="129">
        <f t="shared" si="10"/>
        <v>378.73540856031127</v>
      </c>
    </row>
    <row r="109" spans="1:40" x14ac:dyDescent="0.2">
      <c r="A109" s="150">
        <f t="shared" si="4"/>
        <v>34</v>
      </c>
      <c r="B109" s="152">
        <v>45187</v>
      </c>
      <c r="C109" s="153" t="s">
        <v>140</v>
      </c>
      <c r="D109" s="150">
        <v>48</v>
      </c>
      <c r="E109" s="150" t="s">
        <v>143</v>
      </c>
      <c r="F109" s="154" t="s">
        <v>142</v>
      </c>
      <c r="G109" s="150" t="s">
        <v>131</v>
      </c>
      <c r="H109" s="150" t="s">
        <v>133</v>
      </c>
      <c r="I109" s="150" t="s">
        <v>151</v>
      </c>
      <c r="J109" s="150">
        <v>2</v>
      </c>
      <c r="K109" s="1">
        <f>'Data_2nd DH'!K12</f>
        <v>20</v>
      </c>
      <c r="L109" s="1"/>
      <c r="M109" s="1"/>
      <c r="N109" s="1"/>
      <c r="O109" s="1"/>
      <c r="P109" s="1"/>
      <c r="Q109" s="1"/>
      <c r="R109" s="1">
        <f>'Data_2nd DH'!L12</f>
        <v>5</v>
      </c>
      <c r="S109" s="1">
        <f>'Data_2nd DH'!M12</f>
        <v>4</v>
      </c>
      <c r="T109" s="1"/>
      <c r="U109" s="1"/>
      <c r="V109" s="1">
        <f>'Data_2nd DH'!N12</f>
        <v>0</v>
      </c>
      <c r="W109" s="1"/>
      <c r="X109" s="1"/>
      <c r="Y109" s="1"/>
      <c r="Z109" s="1">
        <f>'Data_2nd DH'!O12</f>
        <v>20.83</v>
      </c>
      <c r="AA109" s="1">
        <f>'Data_2nd DH'!P12</f>
        <v>11</v>
      </c>
      <c r="AB109" s="1">
        <f>'Data_2nd DH'!Q12</f>
        <v>11.35</v>
      </c>
      <c r="AC109" s="1">
        <f>'Data_2nd DH'!R12</f>
        <v>1.58</v>
      </c>
      <c r="AD109" s="1">
        <f>'Data_2nd DH'!S12</f>
        <v>7.91</v>
      </c>
      <c r="AE109" s="1">
        <v>0</v>
      </c>
      <c r="AF109" s="1">
        <f>'Data_2nd DH'!T12</f>
        <v>20.84</v>
      </c>
      <c r="AG109" s="1">
        <f>'Data_2nd DH'!U12</f>
        <v>324.07</v>
      </c>
      <c r="AH109" s="1"/>
      <c r="AI109" s="1">
        <f>'Data_2nd DH'!Y12</f>
        <v>0.94699999999999995</v>
      </c>
      <c r="AJ109" s="1">
        <f>'Data_2nd DH'!Z12</f>
        <v>0.54700000000000004</v>
      </c>
      <c r="AK109" s="1">
        <f>'Data_2nd DH'!AA12</f>
        <v>0.155</v>
      </c>
      <c r="AL109" s="1"/>
      <c r="AM109" s="1">
        <f t="shared" si="9"/>
        <v>1.649</v>
      </c>
      <c r="AN109" s="129">
        <f t="shared" si="10"/>
        <v>342.20696937697994</v>
      </c>
    </row>
    <row r="110" spans="1:40" x14ac:dyDescent="0.2">
      <c r="A110" s="150">
        <f t="shared" si="4"/>
        <v>34</v>
      </c>
      <c r="B110" s="152">
        <v>45187</v>
      </c>
      <c r="C110" s="153" t="s">
        <v>140</v>
      </c>
      <c r="D110" s="150">
        <v>48</v>
      </c>
      <c r="E110" s="150" t="s">
        <v>143</v>
      </c>
      <c r="F110" s="154" t="s">
        <v>142</v>
      </c>
      <c r="G110" s="150" t="s">
        <v>131</v>
      </c>
      <c r="H110" s="150" t="s">
        <v>133</v>
      </c>
      <c r="I110" s="150" t="s">
        <v>152</v>
      </c>
      <c r="J110" s="150">
        <v>3</v>
      </c>
      <c r="K110" s="1">
        <f>'Data_2nd DH'!K13</f>
        <v>21.5</v>
      </c>
      <c r="L110" s="1"/>
      <c r="M110" s="1"/>
      <c r="N110" s="1"/>
      <c r="O110" s="1"/>
      <c r="P110" s="1"/>
      <c r="Q110" s="1"/>
      <c r="R110" s="1">
        <f>'Data_2nd DH'!L13</f>
        <v>4</v>
      </c>
      <c r="S110" s="1">
        <f>'Data_2nd DH'!M13</f>
        <v>1</v>
      </c>
      <c r="T110" s="1"/>
      <c r="U110" s="1"/>
      <c r="V110" s="1">
        <f>'Data_2nd DH'!N13</f>
        <v>0</v>
      </c>
      <c r="W110" s="1"/>
      <c r="X110" s="1"/>
      <c r="Y110" s="1"/>
      <c r="Z110" s="1">
        <f>'Data_2nd DH'!O13</f>
        <v>15.05</v>
      </c>
      <c r="AA110" s="1">
        <f>'Data_2nd DH'!P13</f>
        <v>11</v>
      </c>
      <c r="AB110" s="1">
        <f>'Data_2nd DH'!Q13</f>
        <v>8.11</v>
      </c>
      <c r="AC110" s="1">
        <f>'Data_2nd DH'!R13</f>
        <v>1.05</v>
      </c>
      <c r="AD110" s="1">
        <f>'Data_2nd DH'!S13</f>
        <v>5.81</v>
      </c>
      <c r="AE110" s="1">
        <v>0</v>
      </c>
      <c r="AF110" s="1">
        <f>'Data_2nd DH'!T13</f>
        <v>14.969999999999999</v>
      </c>
      <c r="AG110" s="1">
        <f>'Data_2nd DH'!U13</f>
        <v>242.03</v>
      </c>
      <c r="AH110" s="1"/>
      <c r="AI110" s="1">
        <f>'Data_2nd DH'!Y13</f>
        <v>0.75800000000000001</v>
      </c>
      <c r="AJ110" s="1">
        <f>'Data_2nd DH'!Z13</f>
        <v>0.47799999999999998</v>
      </c>
      <c r="AK110" s="1">
        <f>'Data_2nd DH'!AA13</f>
        <v>0.1</v>
      </c>
      <c r="AL110" s="1"/>
      <c r="AM110" s="1">
        <f t="shared" si="9"/>
        <v>1.3360000000000001</v>
      </c>
      <c r="AN110" s="129">
        <f t="shared" si="10"/>
        <v>319.30079155672826</v>
      </c>
    </row>
    <row r="111" spans="1:40" x14ac:dyDescent="0.2">
      <c r="A111" s="150">
        <f t="shared" si="4"/>
        <v>34</v>
      </c>
      <c r="B111" s="152">
        <v>45187</v>
      </c>
      <c r="C111" s="153" t="s">
        <v>140</v>
      </c>
      <c r="D111" s="150">
        <v>48</v>
      </c>
      <c r="E111" s="150" t="s">
        <v>143</v>
      </c>
      <c r="F111" s="154" t="s">
        <v>142</v>
      </c>
      <c r="G111" s="150" t="s">
        <v>131</v>
      </c>
      <c r="H111" s="150" t="s">
        <v>133</v>
      </c>
      <c r="I111" s="150" t="s">
        <v>153</v>
      </c>
      <c r="J111" s="150">
        <v>4</v>
      </c>
      <c r="K111" s="1">
        <f>'Data_2nd DH'!K14</f>
        <v>22</v>
      </c>
      <c r="L111" s="1"/>
      <c r="M111" s="1"/>
      <c r="N111" s="1"/>
      <c r="O111" s="1"/>
      <c r="P111" s="1"/>
      <c r="Q111" s="1"/>
      <c r="R111" s="1">
        <f>'Data_2nd DH'!L14</f>
        <v>4</v>
      </c>
      <c r="S111" s="1">
        <f>'Data_2nd DH'!M14</f>
        <v>2</v>
      </c>
      <c r="T111" s="1"/>
      <c r="U111" s="1"/>
      <c r="V111" s="1">
        <f>'Data_2nd DH'!N14</f>
        <v>0</v>
      </c>
      <c r="W111" s="1"/>
      <c r="X111" s="1"/>
      <c r="Y111" s="1"/>
      <c r="Z111" s="1">
        <f>'Data_2nd DH'!O14</f>
        <v>16.43</v>
      </c>
      <c r="AA111" s="1">
        <f>'Data_2nd DH'!P14</f>
        <v>11</v>
      </c>
      <c r="AB111" s="1">
        <f>'Data_2nd DH'!Q14</f>
        <v>8.65</v>
      </c>
      <c r="AC111" s="1">
        <f>'Data_2nd DH'!R14</f>
        <v>1.04</v>
      </c>
      <c r="AD111" s="1">
        <f>'Data_2nd DH'!S14</f>
        <v>6.73</v>
      </c>
      <c r="AE111" s="1">
        <v>0</v>
      </c>
      <c r="AF111" s="1">
        <f>'Data_2nd DH'!T14</f>
        <v>16.420000000000002</v>
      </c>
      <c r="AG111" s="1">
        <f>'Data_2nd DH'!U14</f>
        <v>273.45999999999998</v>
      </c>
      <c r="AH111" s="1"/>
      <c r="AI111" s="1">
        <f>'Data_2nd DH'!Y14</f>
        <v>0.79600000000000004</v>
      </c>
      <c r="AJ111" s="1">
        <f>'Data_2nd DH'!Z14</f>
        <v>0.52300000000000002</v>
      </c>
      <c r="AK111" s="1">
        <f>'Data_2nd DH'!AA14</f>
        <v>0.113</v>
      </c>
      <c r="AL111" s="1"/>
      <c r="AM111" s="1">
        <f t="shared" si="9"/>
        <v>1.4319999999999999</v>
      </c>
      <c r="AN111" s="129">
        <f t="shared" si="10"/>
        <v>343.54271356783914</v>
      </c>
    </row>
    <row r="112" spans="1:40" x14ac:dyDescent="0.2">
      <c r="A112" s="150">
        <f t="shared" si="4"/>
        <v>34</v>
      </c>
      <c r="B112" s="152">
        <v>45187</v>
      </c>
      <c r="C112" s="153" t="s">
        <v>140</v>
      </c>
      <c r="D112" s="150">
        <v>48</v>
      </c>
      <c r="E112" s="150" t="s">
        <v>143</v>
      </c>
      <c r="F112" s="154" t="s">
        <v>142</v>
      </c>
      <c r="G112" s="150" t="s">
        <v>131</v>
      </c>
      <c r="H112" s="150" t="s">
        <v>133</v>
      </c>
      <c r="I112" s="150" t="s">
        <v>154</v>
      </c>
      <c r="J112" s="150">
        <v>5</v>
      </c>
      <c r="K112" s="1">
        <f>'Data_2nd DH'!K15</f>
        <v>20</v>
      </c>
      <c r="L112" s="1"/>
      <c r="M112" s="1"/>
      <c r="N112" s="1"/>
      <c r="O112" s="1"/>
      <c r="P112" s="1"/>
      <c r="Q112" s="1"/>
      <c r="R112" s="1">
        <f>'Data_2nd DH'!L15</f>
        <v>2</v>
      </c>
      <c r="S112" s="1">
        <f>'Data_2nd DH'!M15</f>
        <v>0</v>
      </c>
      <c r="T112" s="1"/>
      <c r="U112" s="1"/>
      <c r="V112" s="1">
        <f>'Data_2nd DH'!N15</f>
        <v>0</v>
      </c>
      <c r="W112" s="1"/>
      <c r="X112" s="1"/>
      <c r="Y112" s="1"/>
      <c r="Z112" s="1">
        <f>'Data_2nd DH'!O15</f>
        <v>14.4</v>
      </c>
      <c r="AA112" s="1">
        <f>'Data_2nd DH'!P15</f>
        <v>10</v>
      </c>
      <c r="AB112" s="1">
        <f>'Data_2nd DH'!Q15</f>
        <v>8.11</v>
      </c>
      <c r="AC112" s="1">
        <f>'Data_2nd DH'!R15</f>
        <v>0.28999999999999998</v>
      </c>
      <c r="AD112" s="1">
        <f>'Data_2nd DH'!S15</f>
        <v>5.83</v>
      </c>
      <c r="AE112" s="1">
        <v>0</v>
      </c>
      <c r="AF112" s="1">
        <f>'Data_2nd DH'!T15</f>
        <v>14.229999999999999</v>
      </c>
      <c r="AG112" s="1">
        <f>'Data_2nd DH'!U15</f>
        <v>249</v>
      </c>
      <c r="AH112" s="1"/>
      <c r="AI112" s="1">
        <f>'Data_2nd DH'!Y15</f>
        <v>0.63700000000000001</v>
      </c>
      <c r="AJ112" s="1">
        <f>'Data_2nd DH'!Z15</f>
        <v>0.377</v>
      </c>
      <c r="AK112" s="1">
        <f>'Data_2nd DH'!AA15</f>
        <v>3.3000000000000002E-2</v>
      </c>
      <c r="AL112" s="1"/>
      <c r="AM112" s="1">
        <f t="shared" si="9"/>
        <v>1.0469999999999999</v>
      </c>
      <c r="AN112" s="129">
        <f t="shared" si="10"/>
        <v>390.89481946624801</v>
      </c>
    </row>
    <row r="113" spans="1:40" x14ac:dyDescent="0.2">
      <c r="A113" s="150">
        <f t="shared" si="4"/>
        <v>34</v>
      </c>
      <c r="B113" s="152">
        <v>45187</v>
      </c>
      <c r="C113" s="153" t="s">
        <v>140</v>
      </c>
      <c r="D113" s="150">
        <v>48</v>
      </c>
      <c r="E113" s="150" t="s">
        <v>143</v>
      </c>
      <c r="F113" s="154" t="s">
        <v>142</v>
      </c>
      <c r="G113" s="150" t="s">
        <v>131</v>
      </c>
      <c r="H113" s="150" t="s">
        <v>133</v>
      </c>
      <c r="I113" s="150" t="s">
        <v>155</v>
      </c>
      <c r="J113" s="150">
        <v>6</v>
      </c>
      <c r="K113" s="1">
        <f>'Data_2nd DH'!K16</f>
        <v>24.5</v>
      </c>
      <c r="L113" s="1"/>
      <c r="M113" s="1"/>
      <c r="N113" s="1"/>
      <c r="O113" s="1"/>
      <c r="P113" s="1"/>
      <c r="Q113" s="1"/>
      <c r="R113" s="1">
        <f>'Data_2nd DH'!L16</f>
        <v>5</v>
      </c>
      <c r="S113" s="1">
        <f>'Data_2nd DH'!M16</f>
        <v>5</v>
      </c>
      <c r="T113" s="1"/>
      <c r="U113" s="1"/>
      <c r="V113" s="1">
        <f>'Data_2nd DH'!N16</f>
        <v>0</v>
      </c>
      <c r="W113" s="1"/>
      <c r="X113" s="1"/>
      <c r="Y113" s="1"/>
      <c r="Z113" s="1">
        <f>'Data_2nd DH'!O16</f>
        <v>18.649999999999999</v>
      </c>
      <c r="AA113" s="1">
        <f>'Data_2nd DH'!P16</f>
        <v>12</v>
      </c>
      <c r="AB113" s="1">
        <f>'Data_2nd DH'!Q16</f>
        <v>9.2799999999999994</v>
      </c>
      <c r="AC113" s="1">
        <f>'Data_2nd DH'!R16</f>
        <v>1.61</v>
      </c>
      <c r="AD113" s="1">
        <f>'Data_2nd DH'!S16</f>
        <v>7.69</v>
      </c>
      <c r="AE113" s="1">
        <v>0</v>
      </c>
      <c r="AF113" s="1">
        <f>'Data_2nd DH'!T16</f>
        <v>18.579999999999998</v>
      </c>
      <c r="AG113" s="1">
        <f>'Data_2nd DH'!U16</f>
        <v>294.2</v>
      </c>
      <c r="AH113" s="1"/>
      <c r="AI113" s="1">
        <f>'Data_2nd DH'!Y16</f>
        <v>0.80900000000000005</v>
      </c>
      <c r="AJ113" s="1">
        <f>'Data_2nd DH'!Z16</f>
        <v>0.60499999999999998</v>
      </c>
      <c r="AK113" s="1">
        <f>'Data_2nd DH'!AA16</f>
        <v>0.156</v>
      </c>
      <c r="AL113" s="1"/>
      <c r="AM113" s="1">
        <f t="shared" si="9"/>
        <v>1.57</v>
      </c>
      <c r="AN113" s="129">
        <f t="shared" si="10"/>
        <v>363.65883807169342</v>
      </c>
    </row>
    <row r="114" spans="1:40" x14ac:dyDescent="0.2">
      <c r="A114" s="150">
        <f t="shared" si="4"/>
        <v>34</v>
      </c>
      <c r="B114" s="152">
        <v>45187</v>
      </c>
      <c r="C114" s="153" t="s">
        <v>140</v>
      </c>
      <c r="D114" s="150">
        <v>48</v>
      </c>
      <c r="E114" s="150" t="s">
        <v>144</v>
      </c>
      <c r="F114" s="154" t="s">
        <v>142</v>
      </c>
      <c r="G114" s="150" t="s">
        <v>131</v>
      </c>
      <c r="H114" s="150" t="s">
        <v>134</v>
      </c>
      <c r="I114" s="150" t="s">
        <v>156</v>
      </c>
      <c r="J114" s="150">
        <v>1</v>
      </c>
      <c r="K114" s="1">
        <f>'Data_2nd DH'!K17</f>
        <v>21.5</v>
      </c>
      <c r="L114" s="1"/>
      <c r="M114" s="1"/>
      <c r="N114" s="1"/>
      <c r="O114" s="1"/>
      <c r="P114" s="1"/>
      <c r="Q114" s="1"/>
      <c r="R114" s="1">
        <f>'Data_2nd DH'!L17</f>
        <v>3</v>
      </c>
      <c r="S114" s="1">
        <f>'Data_2nd DH'!M17</f>
        <v>0</v>
      </c>
      <c r="T114" s="1"/>
      <c r="U114" s="1"/>
      <c r="V114" s="1">
        <f>'Data_2nd DH'!N17</f>
        <v>0</v>
      </c>
      <c r="W114" s="1"/>
      <c r="X114" s="1"/>
      <c r="Y114" s="1"/>
      <c r="Z114" s="1">
        <f>'Data_2nd DH'!O17</f>
        <v>15.85</v>
      </c>
      <c r="AA114" s="1">
        <f>'Data_2nd DH'!P17</f>
        <v>13</v>
      </c>
      <c r="AB114" s="1">
        <f>'Data_2nd DH'!Q17</f>
        <v>9.16</v>
      </c>
      <c r="AC114" s="1">
        <f>'Data_2nd DH'!R17</f>
        <v>5.8</v>
      </c>
      <c r="AD114" s="1">
        <f>'Data_2nd DH'!S17</f>
        <v>0.9</v>
      </c>
      <c r="AE114" s="1">
        <v>0</v>
      </c>
      <c r="AF114" s="1">
        <f>'Data_2nd DH'!T17</f>
        <v>15.860000000000001</v>
      </c>
      <c r="AG114" s="1">
        <f>'Data_2nd DH'!U17</f>
        <v>282.76</v>
      </c>
      <c r="AH114" s="1"/>
      <c r="AI114" s="1">
        <f>'Data_2nd DH'!Y17</f>
        <v>0.81599999999999995</v>
      </c>
      <c r="AJ114" s="1">
        <f>'Data_2nd DH'!Z17</f>
        <v>0.40300000000000002</v>
      </c>
      <c r="AK114" s="1">
        <f>'Data_2nd DH'!AA17</f>
        <v>7.4999999999999997E-2</v>
      </c>
      <c r="AL114" s="1"/>
      <c r="AM114" s="1">
        <f t="shared" si="9"/>
        <v>1.2939999999999998</v>
      </c>
      <c r="AN114" s="129">
        <f t="shared" si="10"/>
        <v>346.51960784313729</v>
      </c>
    </row>
    <row r="115" spans="1:40" x14ac:dyDescent="0.2">
      <c r="A115" s="150">
        <f t="shared" si="4"/>
        <v>34</v>
      </c>
      <c r="B115" s="152">
        <v>45187</v>
      </c>
      <c r="C115" s="153" t="s">
        <v>140</v>
      </c>
      <c r="D115" s="150">
        <v>48</v>
      </c>
      <c r="E115" s="150" t="s">
        <v>144</v>
      </c>
      <c r="F115" s="154" t="s">
        <v>142</v>
      </c>
      <c r="G115" s="150" t="s">
        <v>131</v>
      </c>
      <c r="H115" s="150" t="s">
        <v>134</v>
      </c>
      <c r="I115" s="150" t="s">
        <v>157</v>
      </c>
      <c r="J115" s="150">
        <v>2</v>
      </c>
      <c r="K115" s="1">
        <f>'Data_2nd DH'!K18</f>
        <v>19</v>
      </c>
      <c r="L115" s="1"/>
      <c r="M115" s="1"/>
      <c r="N115" s="1"/>
      <c r="O115" s="1"/>
      <c r="P115" s="1"/>
      <c r="Q115" s="1"/>
      <c r="R115" s="1">
        <f>'Data_2nd DH'!L18</f>
        <v>4</v>
      </c>
      <c r="S115" s="1">
        <f>'Data_2nd DH'!M18</f>
        <v>3</v>
      </c>
      <c r="T115" s="1"/>
      <c r="U115" s="1"/>
      <c r="V115" s="1">
        <f>'Data_2nd DH'!N18</f>
        <v>0</v>
      </c>
      <c r="W115" s="1"/>
      <c r="X115" s="1"/>
      <c r="Y115" s="1"/>
      <c r="Z115" s="1">
        <f>'Data_2nd DH'!O18</f>
        <v>13.83</v>
      </c>
      <c r="AA115" s="1">
        <f>'Data_2nd DH'!P18</f>
        <v>12</v>
      </c>
      <c r="AB115" s="1">
        <f>'Data_2nd DH'!Q18</f>
        <v>7.71</v>
      </c>
      <c r="AC115" s="1">
        <f>'Data_2nd DH'!R18</f>
        <v>4.99</v>
      </c>
      <c r="AD115" s="1">
        <f>'Data_2nd DH'!S18</f>
        <v>1.04</v>
      </c>
      <c r="AE115" s="1">
        <v>0</v>
      </c>
      <c r="AF115" s="1">
        <f>'Data_2nd DH'!T18</f>
        <v>13.739999999999998</v>
      </c>
      <c r="AG115" s="1">
        <f>'Data_2nd DH'!U18</f>
        <v>238.06</v>
      </c>
      <c r="AH115" s="1"/>
      <c r="AI115" s="1">
        <f>'Data_2nd DH'!Y18</f>
        <v>0.66300000000000003</v>
      </c>
      <c r="AJ115" s="1">
        <f>'Data_2nd DH'!Z18</f>
        <v>0.379</v>
      </c>
      <c r="AK115" s="1">
        <f>'Data_2nd DH'!AA18</f>
        <v>9.7000000000000003E-2</v>
      </c>
      <c r="AL115" s="1"/>
      <c r="AM115" s="1">
        <f t="shared" si="9"/>
        <v>1.139</v>
      </c>
      <c r="AN115" s="129">
        <f t="shared" si="10"/>
        <v>359.06485671191552</v>
      </c>
    </row>
    <row r="116" spans="1:40" x14ac:dyDescent="0.2">
      <c r="A116" s="150">
        <f t="shared" si="4"/>
        <v>34</v>
      </c>
      <c r="B116" s="152">
        <v>45187</v>
      </c>
      <c r="C116" s="153" t="s">
        <v>140</v>
      </c>
      <c r="D116" s="150">
        <v>48</v>
      </c>
      <c r="E116" s="150" t="s">
        <v>144</v>
      </c>
      <c r="F116" s="154" t="s">
        <v>142</v>
      </c>
      <c r="G116" s="150" t="s">
        <v>131</v>
      </c>
      <c r="H116" s="150" t="s">
        <v>134</v>
      </c>
      <c r="I116" s="150" t="s">
        <v>158</v>
      </c>
      <c r="J116" s="150">
        <v>3</v>
      </c>
      <c r="K116" s="1">
        <f>'Data_2nd DH'!K19</f>
        <v>18.5</v>
      </c>
      <c r="L116" s="1"/>
      <c r="M116" s="1"/>
      <c r="N116" s="1"/>
      <c r="O116" s="1"/>
      <c r="P116" s="1"/>
      <c r="Q116" s="1"/>
      <c r="R116" s="1">
        <f>'Data_2nd DH'!L19</f>
        <v>3</v>
      </c>
      <c r="S116" s="1">
        <f>'Data_2nd DH'!M19</f>
        <v>4</v>
      </c>
      <c r="T116" s="1"/>
      <c r="U116" s="1"/>
      <c r="V116" s="1">
        <f>'Data_2nd DH'!N19</f>
        <v>0</v>
      </c>
      <c r="W116" s="1"/>
      <c r="X116" s="1"/>
      <c r="Y116" s="1"/>
      <c r="Z116" s="1">
        <f>'Data_2nd DH'!O19</f>
        <v>13.68</v>
      </c>
      <c r="AA116" s="1">
        <f>'Data_2nd DH'!P19</f>
        <v>10</v>
      </c>
      <c r="AB116" s="1">
        <f>'Data_2nd DH'!Q19</f>
        <v>7.54</v>
      </c>
      <c r="AC116" s="1">
        <f>'Data_2nd DH'!R19</f>
        <v>5.03</v>
      </c>
      <c r="AD116" s="1">
        <f>'Data_2nd DH'!S19</f>
        <v>1.08</v>
      </c>
      <c r="AE116" s="1">
        <v>0</v>
      </c>
      <c r="AF116" s="1">
        <f>'Data_2nd DH'!T19</f>
        <v>13.65</v>
      </c>
      <c r="AG116" s="1">
        <f>'Data_2nd DH'!U19</f>
        <v>233.44</v>
      </c>
      <c r="AH116" s="1"/>
      <c r="AI116" s="1">
        <f>'Data_2nd DH'!Y19</f>
        <v>0.65600000000000003</v>
      </c>
      <c r="AJ116" s="1">
        <f>'Data_2nd DH'!Z19</f>
        <v>0.40200000000000002</v>
      </c>
      <c r="AK116" s="1">
        <f>'Data_2nd DH'!AA19</f>
        <v>0.10299999999999999</v>
      </c>
      <c r="AL116" s="1"/>
      <c r="AM116" s="1">
        <f t="shared" si="9"/>
        <v>1.161</v>
      </c>
      <c r="AN116" s="129">
        <f t="shared" si="10"/>
        <v>355.85365853658533</v>
      </c>
    </row>
    <row r="117" spans="1:40" x14ac:dyDescent="0.2">
      <c r="A117" s="150">
        <f t="shared" si="4"/>
        <v>34</v>
      </c>
      <c r="B117" s="152">
        <v>45187</v>
      </c>
      <c r="C117" s="153" t="s">
        <v>140</v>
      </c>
      <c r="D117" s="150">
        <v>48</v>
      </c>
      <c r="E117" s="150" t="s">
        <v>144</v>
      </c>
      <c r="F117" s="154" t="s">
        <v>142</v>
      </c>
      <c r="G117" s="150" t="s">
        <v>131</v>
      </c>
      <c r="H117" s="150" t="s">
        <v>134</v>
      </c>
      <c r="I117" s="150" t="s">
        <v>159</v>
      </c>
      <c r="J117" s="150">
        <v>4</v>
      </c>
      <c r="K117" s="1">
        <f>'Data_2nd DH'!K20</f>
        <v>20</v>
      </c>
      <c r="L117" s="1"/>
      <c r="M117" s="1"/>
      <c r="N117" s="1"/>
      <c r="O117" s="1"/>
      <c r="P117" s="1"/>
      <c r="Q117" s="1"/>
      <c r="R117" s="1">
        <f>'Data_2nd DH'!L20</f>
        <v>2</v>
      </c>
      <c r="S117" s="1">
        <f>'Data_2nd DH'!M20</f>
        <v>0</v>
      </c>
      <c r="T117" s="1"/>
      <c r="U117" s="1"/>
      <c r="V117" s="1">
        <f>'Data_2nd DH'!N20</f>
        <v>0</v>
      </c>
      <c r="W117" s="1"/>
      <c r="X117" s="1"/>
      <c r="Y117" s="1"/>
      <c r="Z117" s="1">
        <f>'Data_2nd DH'!O20</f>
        <v>10.24</v>
      </c>
      <c r="AA117" s="1">
        <f>'Data_2nd DH'!P20</f>
        <v>10</v>
      </c>
      <c r="AB117" s="1">
        <f>'Data_2nd DH'!Q20</f>
        <v>5.84</v>
      </c>
      <c r="AC117" s="1">
        <f>'Data_2nd DH'!R20</f>
        <v>4.07</v>
      </c>
      <c r="AD117" s="1">
        <f>'Data_2nd DH'!S20</f>
        <v>0.35</v>
      </c>
      <c r="AE117" s="1">
        <v>0</v>
      </c>
      <c r="AF117" s="1">
        <f>'Data_2nd DH'!T20</f>
        <v>10.26</v>
      </c>
      <c r="AG117" s="1">
        <f>'Data_2nd DH'!U20</f>
        <v>189.68</v>
      </c>
      <c r="AH117" s="1"/>
      <c r="AI117" s="1">
        <f>'Data_2nd DH'!Y20</f>
        <v>0.48</v>
      </c>
      <c r="AJ117" s="1">
        <f>'Data_2nd DH'!Z20</f>
        <v>0.26200000000000001</v>
      </c>
      <c r="AK117" s="1">
        <f>'Data_2nd DH'!AA20</f>
        <v>3.1E-2</v>
      </c>
      <c r="AL117" s="1"/>
      <c r="AM117" s="1">
        <f t="shared" si="9"/>
        <v>0.77300000000000002</v>
      </c>
      <c r="AN117" s="129">
        <f t="shared" si="10"/>
        <v>395.16666666666669</v>
      </c>
    </row>
    <row r="118" spans="1:40" x14ac:dyDescent="0.2">
      <c r="A118" s="150">
        <f t="shared" si="4"/>
        <v>34</v>
      </c>
      <c r="B118" s="152">
        <v>45187</v>
      </c>
      <c r="C118" s="153" t="s">
        <v>140</v>
      </c>
      <c r="D118" s="150">
        <v>48</v>
      </c>
      <c r="E118" s="150" t="s">
        <v>144</v>
      </c>
      <c r="F118" s="154" t="s">
        <v>142</v>
      </c>
      <c r="G118" s="150" t="s">
        <v>131</v>
      </c>
      <c r="H118" s="150" t="s">
        <v>134</v>
      </c>
      <c r="I118" s="150" t="s">
        <v>160</v>
      </c>
      <c r="J118" s="150">
        <v>5</v>
      </c>
      <c r="K118" s="1">
        <f>'Data_2nd DH'!K21</f>
        <v>20</v>
      </c>
      <c r="L118" s="1"/>
      <c r="M118" s="1"/>
      <c r="N118" s="1"/>
      <c r="O118" s="1"/>
      <c r="P118" s="1"/>
      <c r="Q118" s="1"/>
      <c r="R118" s="1">
        <f>'Data_2nd DH'!L21</f>
        <v>3</v>
      </c>
      <c r="S118" s="1">
        <f>'Data_2nd DH'!M21</f>
        <v>0</v>
      </c>
      <c r="T118" s="1"/>
      <c r="U118" s="1"/>
      <c r="V118" s="1">
        <f>'Data_2nd DH'!N21</f>
        <v>0</v>
      </c>
      <c r="W118" s="1"/>
      <c r="X118" s="1"/>
      <c r="Y118" s="1"/>
      <c r="Z118" s="1">
        <f>'Data_2nd DH'!O21</f>
        <v>15.98</v>
      </c>
      <c r="AA118" s="1">
        <f>'Data_2nd DH'!P21</f>
        <v>13</v>
      </c>
      <c r="AB118" s="1">
        <f>'Data_2nd DH'!Q21</f>
        <v>9.33</v>
      </c>
      <c r="AC118" s="1">
        <f>'Data_2nd DH'!R21</f>
        <v>5.9</v>
      </c>
      <c r="AD118" s="1">
        <f>'Data_2nd DH'!S21</f>
        <v>0.75</v>
      </c>
      <c r="AE118" s="1">
        <v>0</v>
      </c>
      <c r="AF118" s="1">
        <f>'Data_2nd DH'!T21</f>
        <v>15.98</v>
      </c>
      <c r="AG118" s="1">
        <f>'Data_2nd DH'!U21</f>
        <v>270.39999999999998</v>
      </c>
      <c r="AH118" s="1"/>
      <c r="AI118" s="1">
        <f>'Data_2nd DH'!Y21</f>
        <v>0.78</v>
      </c>
      <c r="AJ118" s="1">
        <f>'Data_2nd DH'!Z21</f>
        <v>0.44</v>
      </c>
      <c r="AK118" s="1">
        <f>'Data_2nd DH'!AA21</f>
        <v>6.0999999999999999E-2</v>
      </c>
      <c r="AL118" s="1"/>
      <c r="AM118" s="1">
        <f t="shared" si="9"/>
        <v>1.2809999999999999</v>
      </c>
      <c r="AN118" s="129">
        <f t="shared" si="10"/>
        <v>346.66666666666663</v>
      </c>
    </row>
    <row r="119" spans="1:40" x14ac:dyDescent="0.2">
      <c r="A119" s="150">
        <f t="shared" si="4"/>
        <v>34</v>
      </c>
      <c r="B119" s="152">
        <v>45187</v>
      </c>
      <c r="C119" s="153" t="s">
        <v>140</v>
      </c>
      <c r="D119" s="150">
        <v>48</v>
      </c>
      <c r="E119" s="150" t="s">
        <v>144</v>
      </c>
      <c r="F119" s="154" t="s">
        <v>142</v>
      </c>
      <c r="G119" s="150" t="s">
        <v>131</v>
      </c>
      <c r="H119" s="150" t="s">
        <v>134</v>
      </c>
      <c r="I119" s="150" t="s">
        <v>161</v>
      </c>
      <c r="J119" s="150">
        <v>6</v>
      </c>
      <c r="K119" s="1">
        <f>'Data_2nd DH'!K22</f>
        <v>25</v>
      </c>
      <c r="L119" s="1"/>
      <c r="M119" s="1"/>
      <c r="N119" s="1"/>
      <c r="O119" s="1"/>
      <c r="P119" s="1"/>
      <c r="Q119" s="1"/>
      <c r="R119" s="1">
        <f>'Data_2nd DH'!L22</f>
        <v>4</v>
      </c>
      <c r="S119" s="1">
        <f>'Data_2nd DH'!M22</f>
        <v>2</v>
      </c>
      <c r="T119" s="1"/>
      <c r="U119" s="1"/>
      <c r="V119" s="1">
        <f>'Data_2nd DH'!N22</f>
        <v>0</v>
      </c>
      <c r="W119" s="1"/>
      <c r="X119" s="1"/>
      <c r="Y119" s="1"/>
      <c r="Z119" s="1">
        <f>'Data_2nd DH'!O22</f>
        <v>16.989999999999998</v>
      </c>
      <c r="AA119" s="1">
        <f>'Data_2nd DH'!P22</f>
        <v>13</v>
      </c>
      <c r="AB119" s="1">
        <f>'Data_2nd DH'!Q22</f>
        <v>8.84</v>
      </c>
      <c r="AC119" s="1">
        <f>'Data_2nd DH'!R22</f>
        <v>6.96</v>
      </c>
      <c r="AD119" s="1">
        <f>'Data_2nd DH'!S22</f>
        <v>1.04</v>
      </c>
      <c r="AE119" s="1">
        <v>0</v>
      </c>
      <c r="AF119" s="1">
        <f>'Data_2nd DH'!T22</f>
        <v>16.84</v>
      </c>
      <c r="AG119" s="1">
        <f>'Data_2nd DH'!U22</f>
        <v>293.36</v>
      </c>
      <c r="AH119" s="1"/>
      <c r="AI119" s="1">
        <f>'Data_2nd DH'!Y22</f>
        <v>0.84599999999999997</v>
      </c>
      <c r="AJ119" s="1">
        <f>'Data_2nd DH'!Z22</f>
        <v>0.56399999999999995</v>
      </c>
      <c r="AK119" s="1">
        <f>'Data_2nd DH'!AA22</f>
        <v>8.2000000000000003E-2</v>
      </c>
      <c r="AL119" s="1"/>
      <c r="AM119" s="1">
        <f t="shared" si="9"/>
        <v>1.492</v>
      </c>
      <c r="AN119" s="129">
        <f t="shared" si="10"/>
        <v>346.7612293144208</v>
      </c>
    </row>
    <row r="120" spans="1:40" x14ac:dyDescent="0.2">
      <c r="A120" s="150">
        <f t="shared" si="4"/>
        <v>34</v>
      </c>
      <c r="B120" s="152">
        <v>45187</v>
      </c>
      <c r="C120" s="153" t="s">
        <v>140</v>
      </c>
      <c r="D120" s="150">
        <v>48</v>
      </c>
      <c r="E120" s="150" t="s">
        <v>145</v>
      </c>
      <c r="F120" s="154" t="s">
        <v>142</v>
      </c>
      <c r="G120" s="150" t="s">
        <v>131</v>
      </c>
      <c r="H120" s="150" t="s">
        <v>135</v>
      </c>
      <c r="I120" s="150" t="s">
        <v>162</v>
      </c>
      <c r="J120" s="150">
        <v>1</v>
      </c>
      <c r="K120" s="1">
        <f>'Data_2nd DH'!K23</f>
        <v>19.5</v>
      </c>
      <c r="L120" s="1"/>
      <c r="M120" s="1"/>
      <c r="N120" s="1"/>
      <c r="O120" s="1"/>
      <c r="P120" s="1"/>
      <c r="Q120" s="1"/>
      <c r="R120" s="1">
        <f>'Data_2nd DH'!L23</f>
        <v>4</v>
      </c>
      <c r="S120" s="1">
        <f>'Data_2nd DH'!M23</f>
        <v>4</v>
      </c>
      <c r="T120" s="1"/>
      <c r="U120" s="1"/>
      <c r="V120" s="1">
        <f>'Data_2nd DH'!N23</f>
        <v>0</v>
      </c>
      <c r="W120" s="1"/>
      <c r="X120" s="1"/>
      <c r="Y120" s="1"/>
      <c r="Z120" s="1">
        <f>'Data_2nd DH'!O23</f>
        <v>14.7</v>
      </c>
      <c r="AA120" s="1">
        <f>'Data_2nd DH'!P23</f>
        <v>11</v>
      </c>
      <c r="AB120" s="1">
        <f>'Data_2nd DH'!Q23</f>
        <v>7.9</v>
      </c>
      <c r="AC120" s="1">
        <f>'Data_2nd DH'!R23</f>
        <v>0.9</v>
      </c>
      <c r="AD120" s="1">
        <f>'Data_2nd DH'!S23</f>
        <v>5.85</v>
      </c>
      <c r="AE120" s="1">
        <v>0</v>
      </c>
      <c r="AF120" s="1">
        <f>'Data_2nd DH'!T23</f>
        <v>14.65</v>
      </c>
      <c r="AG120" s="1">
        <f>'Data_2nd DH'!U23</f>
        <v>247.07</v>
      </c>
      <c r="AH120" s="1"/>
      <c r="AI120" s="1">
        <f>'Data_2nd DH'!Y23</f>
        <v>0.69</v>
      </c>
      <c r="AJ120" s="1">
        <f>'Data_2nd DH'!Z23</f>
        <v>0.438</v>
      </c>
      <c r="AK120" s="1">
        <f>'Data_2nd DH'!AA23</f>
        <v>0.10199999999999999</v>
      </c>
      <c r="AL120" s="1"/>
      <c r="AM120" s="1">
        <f t="shared" si="9"/>
        <v>1.23</v>
      </c>
      <c r="AN120" s="129">
        <f t="shared" si="10"/>
        <v>358.07246376811594</v>
      </c>
    </row>
    <row r="121" spans="1:40" x14ac:dyDescent="0.2">
      <c r="A121" s="150">
        <f t="shared" si="4"/>
        <v>34</v>
      </c>
      <c r="B121" s="152">
        <v>45187</v>
      </c>
      <c r="C121" s="153" t="s">
        <v>140</v>
      </c>
      <c r="D121" s="150">
        <v>48</v>
      </c>
      <c r="E121" s="150" t="s">
        <v>145</v>
      </c>
      <c r="F121" s="154" t="s">
        <v>142</v>
      </c>
      <c r="G121" s="150" t="s">
        <v>131</v>
      </c>
      <c r="H121" s="150" t="s">
        <v>135</v>
      </c>
      <c r="I121" s="150" t="s">
        <v>163</v>
      </c>
      <c r="J121" s="150">
        <v>2</v>
      </c>
      <c r="K121" s="1">
        <f>'Data_2nd DH'!K24</f>
        <v>23.5</v>
      </c>
      <c r="L121" s="1"/>
      <c r="M121" s="1"/>
      <c r="N121" s="1"/>
      <c r="O121" s="1"/>
      <c r="P121" s="1"/>
      <c r="Q121" s="1"/>
      <c r="R121" s="1">
        <f>'Data_2nd DH'!L24</f>
        <v>4</v>
      </c>
      <c r="S121" s="1">
        <f>'Data_2nd DH'!M24</f>
        <v>1</v>
      </c>
      <c r="T121" s="1"/>
      <c r="U121" s="1"/>
      <c r="V121" s="1">
        <f>'Data_2nd DH'!N24</f>
        <v>0</v>
      </c>
      <c r="W121" s="1"/>
      <c r="X121" s="1"/>
      <c r="Y121" s="1"/>
      <c r="Z121" s="1">
        <f>'Data_2nd DH'!O24</f>
        <v>15.47</v>
      </c>
      <c r="AA121" s="1">
        <f>'Data_2nd DH'!P24</f>
        <v>13</v>
      </c>
      <c r="AB121" s="1">
        <f>'Data_2nd DH'!Q24</f>
        <v>8.44</v>
      </c>
      <c r="AC121" s="1">
        <f>'Data_2nd DH'!R24</f>
        <v>0.61</v>
      </c>
      <c r="AD121" s="1">
        <f>'Data_2nd DH'!S24</f>
        <v>6.36</v>
      </c>
      <c r="AE121" s="1">
        <v>0</v>
      </c>
      <c r="AF121" s="1">
        <f>'Data_2nd DH'!T24</f>
        <v>15.41</v>
      </c>
      <c r="AG121" s="1">
        <f>'Data_2nd DH'!U24</f>
        <v>271.89</v>
      </c>
      <c r="AH121" s="1"/>
      <c r="AI121" s="1">
        <f>'Data_2nd DH'!Y24</f>
        <v>0.77100000000000002</v>
      </c>
      <c r="AJ121" s="1">
        <f>'Data_2nd DH'!Z24</f>
        <v>0.49399999999999999</v>
      </c>
      <c r="AK121" s="1">
        <f>'Data_2nd DH'!AA24</f>
        <v>7.3999999999999996E-2</v>
      </c>
      <c r="AL121" s="1"/>
      <c r="AM121" s="1">
        <f t="shared" si="9"/>
        <v>1.3390000000000002</v>
      </c>
      <c r="AN121" s="129">
        <f t="shared" si="10"/>
        <v>352.64591439688712</v>
      </c>
    </row>
    <row r="122" spans="1:40" x14ac:dyDescent="0.2">
      <c r="A122" s="150">
        <f t="shared" si="4"/>
        <v>34</v>
      </c>
      <c r="B122" s="152">
        <v>45187</v>
      </c>
      <c r="C122" s="153" t="s">
        <v>140</v>
      </c>
      <c r="D122" s="150">
        <v>48</v>
      </c>
      <c r="E122" s="150" t="s">
        <v>145</v>
      </c>
      <c r="F122" s="154" t="s">
        <v>142</v>
      </c>
      <c r="G122" s="150" t="s">
        <v>131</v>
      </c>
      <c r="H122" s="150" t="s">
        <v>135</v>
      </c>
      <c r="I122" s="150" t="s">
        <v>164</v>
      </c>
      <c r="J122" s="150">
        <v>3</v>
      </c>
      <c r="K122" s="1">
        <f>'Data_2nd DH'!K25</f>
        <v>21.5</v>
      </c>
      <c r="L122" s="1"/>
      <c r="M122" s="1"/>
      <c r="N122" s="1"/>
      <c r="O122" s="1"/>
      <c r="P122" s="1"/>
      <c r="Q122" s="1"/>
      <c r="R122" s="1">
        <f>'Data_2nd DH'!L25</f>
        <v>2</v>
      </c>
      <c r="S122" s="1">
        <f>'Data_2nd DH'!M25</f>
        <v>0</v>
      </c>
      <c r="T122" s="1"/>
      <c r="U122" s="1"/>
      <c r="V122" s="1">
        <f>'Data_2nd DH'!N25</f>
        <v>0</v>
      </c>
      <c r="W122" s="1"/>
      <c r="X122" s="1"/>
      <c r="Y122" s="1"/>
      <c r="Z122" s="1">
        <f>'Data_2nd DH'!O25</f>
        <v>14.15</v>
      </c>
      <c r="AA122" s="1">
        <f>'Data_2nd DH'!P25</f>
        <v>12</v>
      </c>
      <c r="AB122" s="1">
        <f>'Data_2nd DH'!Q25</f>
        <v>8.09</v>
      </c>
      <c r="AC122" s="1">
        <f>'Data_2nd DH'!R25</f>
        <v>0.47</v>
      </c>
      <c r="AD122" s="1">
        <f>'Data_2nd DH'!S25</f>
        <v>5.56</v>
      </c>
      <c r="AE122" s="1">
        <v>0</v>
      </c>
      <c r="AF122" s="1">
        <f>'Data_2nd DH'!T25</f>
        <v>14.120000000000001</v>
      </c>
      <c r="AG122" s="1">
        <f>'Data_2nd DH'!U25</f>
        <v>248.91</v>
      </c>
      <c r="AH122" s="1"/>
      <c r="AI122" s="1">
        <f>'Data_2nd DH'!Y25</f>
        <v>0.72299999999999998</v>
      </c>
      <c r="AJ122" s="1">
        <f>'Data_2nd DH'!Z25</f>
        <v>0.42399999999999999</v>
      </c>
      <c r="AK122" s="1">
        <f>'Data_2nd DH'!AA25</f>
        <v>5.7000000000000002E-2</v>
      </c>
      <c r="AL122" s="1"/>
      <c r="AM122" s="1">
        <f t="shared" si="9"/>
        <v>1.204</v>
      </c>
      <c r="AN122" s="129">
        <f t="shared" si="10"/>
        <v>344.27385892116183</v>
      </c>
    </row>
    <row r="123" spans="1:40" x14ac:dyDescent="0.2">
      <c r="A123" s="150">
        <f t="shared" si="4"/>
        <v>34</v>
      </c>
      <c r="B123" s="152">
        <v>45187</v>
      </c>
      <c r="C123" s="153" t="s">
        <v>140</v>
      </c>
      <c r="D123" s="150">
        <v>48</v>
      </c>
      <c r="E123" s="150" t="s">
        <v>145</v>
      </c>
      <c r="F123" s="154" t="s">
        <v>142</v>
      </c>
      <c r="G123" s="150" t="s">
        <v>131</v>
      </c>
      <c r="H123" s="150" t="s">
        <v>135</v>
      </c>
      <c r="I123" s="150" t="s">
        <v>165</v>
      </c>
      <c r="J123" s="150">
        <v>4</v>
      </c>
      <c r="K123" s="1">
        <f>'Data_2nd DH'!K26</f>
        <v>22</v>
      </c>
      <c r="L123" s="1"/>
      <c r="M123" s="1"/>
      <c r="N123" s="1"/>
      <c r="O123" s="1"/>
      <c r="P123" s="1"/>
      <c r="Q123" s="1"/>
      <c r="R123" s="1">
        <f>'Data_2nd DH'!L26</f>
        <v>2</v>
      </c>
      <c r="S123" s="1">
        <f>'Data_2nd DH'!M26</f>
        <v>1</v>
      </c>
      <c r="T123" s="1"/>
      <c r="U123" s="1"/>
      <c r="V123" s="1">
        <f>'Data_2nd DH'!N26</f>
        <v>0</v>
      </c>
      <c r="W123" s="1"/>
      <c r="X123" s="1"/>
      <c r="Y123" s="1"/>
      <c r="Z123" s="1">
        <f>'Data_2nd DH'!O26</f>
        <v>14.62</v>
      </c>
      <c r="AA123" s="1">
        <f>'Data_2nd DH'!P26</f>
        <v>10</v>
      </c>
      <c r="AB123" s="1">
        <f>'Data_2nd DH'!Q26</f>
        <v>8.51</v>
      </c>
      <c r="AC123" s="1">
        <f>'Data_2nd DH'!R26</f>
        <v>0.49</v>
      </c>
      <c r="AD123" s="1">
        <f>'Data_2nd DH'!S26</f>
        <v>5.66</v>
      </c>
      <c r="AE123" s="1">
        <v>0</v>
      </c>
      <c r="AF123" s="1">
        <f>'Data_2nd DH'!T26</f>
        <v>14.66</v>
      </c>
      <c r="AG123" s="1">
        <f>'Data_2nd DH'!U26</f>
        <v>272.05</v>
      </c>
      <c r="AH123" s="1"/>
      <c r="AI123" s="1">
        <f>'Data_2nd DH'!Y26</f>
        <v>0.74</v>
      </c>
      <c r="AJ123" s="1">
        <f>'Data_2nd DH'!Z26</f>
        <v>0.39200000000000002</v>
      </c>
      <c r="AK123" s="1">
        <f>'Data_2nd DH'!AA26</f>
        <v>5.3999999999999999E-2</v>
      </c>
      <c r="AL123" s="1"/>
      <c r="AM123" s="1">
        <f t="shared" si="9"/>
        <v>1.1860000000000002</v>
      </c>
      <c r="AN123" s="129">
        <f t="shared" si="10"/>
        <v>367.63513513513516</v>
      </c>
    </row>
    <row r="124" spans="1:40" x14ac:dyDescent="0.2">
      <c r="A124" s="150">
        <f t="shared" si="4"/>
        <v>34</v>
      </c>
      <c r="B124" s="152">
        <v>45187</v>
      </c>
      <c r="C124" s="153" t="s">
        <v>140</v>
      </c>
      <c r="D124" s="150">
        <v>48</v>
      </c>
      <c r="E124" s="150" t="s">
        <v>145</v>
      </c>
      <c r="F124" s="154" t="s">
        <v>142</v>
      </c>
      <c r="G124" s="150" t="s">
        <v>131</v>
      </c>
      <c r="H124" s="150" t="s">
        <v>135</v>
      </c>
      <c r="I124" s="150" t="s">
        <v>166</v>
      </c>
      <c r="J124" s="150">
        <v>5</v>
      </c>
      <c r="K124" s="1">
        <f>'Data_2nd DH'!K27</f>
        <v>20</v>
      </c>
      <c r="L124" s="1"/>
      <c r="M124" s="1"/>
      <c r="N124" s="1"/>
      <c r="O124" s="1"/>
      <c r="P124" s="1"/>
      <c r="Q124" s="1"/>
      <c r="R124" s="1">
        <f>'Data_2nd DH'!L27</f>
        <v>3</v>
      </c>
      <c r="S124" s="1">
        <f>'Data_2nd DH'!M27</f>
        <v>2</v>
      </c>
      <c r="T124" s="1"/>
      <c r="U124" s="1"/>
      <c r="V124" s="1">
        <f>'Data_2nd DH'!N27</f>
        <v>0</v>
      </c>
      <c r="W124" s="1"/>
      <c r="X124" s="1"/>
      <c r="Y124" s="1"/>
      <c r="Z124" s="1">
        <f>'Data_2nd DH'!O27</f>
        <v>13.91</v>
      </c>
      <c r="AA124" s="1">
        <f>'Data_2nd DH'!P27</f>
        <v>10</v>
      </c>
      <c r="AB124" s="1">
        <f>'Data_2nd DH'!Q27</f>
        <v>7.25</v>
      </c>
      <c r="AC124" s="1">
        <f>'Data_2nd DH'!R27</f>
        <v>0.73</v>
      </c>
      <c r="AD124" s="1">
        <f>'Data_2nd DH'!S27</f>
        <v>5.87</v>
      </c>
      <c r="AE124" s="1">
        <v>0</v>
      </c>
      <c r="AF124" s="1">
        <f>'Data_2nd DH'!T27</f>
        <v>13.850000000000001</v>
      </c>
      <c r="AG124" s="1">
        <f>'Data_2nd DH'!U27</f>
        <v>226.04</v>
      </c>
      <c r="AH124" s="1"/>
      <c r="AI124" s="1">
        <f>'Data_2nd DH'!Y27</f>
        <v>0.629</v>
      </c>
      <c r="AJ124" s="1">
        <f>'Data_2nd DH'!Z27</f>
        <v>0.41699999999999998</v>
      </c>
      <c r="AK124" s="1">
        <f>'Data_2nd DH'!AA27</f>
        <v>7.3999999999999996E-2</v>
      </c>
      <c r="AL124" s="1"/>
      <c r="AM124" s="1">
        <f t="shared" si="9"/>
        <v>1.1200000000000001</v>
      </c>
      <c r="AN124" s="129">
        <f t="shared" si="10"/>
        <v>359.36406995230521</v>
      </c>
    </row>
    <row r="125" spans="1:40" x14ac:dyDescent="0.2">
      <c r="A125" s="150">
        <f t="shared" si="4"/>
        <v>34</v>
      </c>
      <c r="B125" s="152">
        <v>45187</v>
      </c>
      <c r="C125" s="153" t="s">
        <v>140</v>
      </c>
      <c r="D125" s="150">
        <v>48</v>
      </c>
      <c r="E125" s="150" t="s">
        <v>145</v>
      </c>
      <c r="F125" s="154" t="s">
        <v>142</v>
      </c>
      <c r="G125" s="150" t="s">
        <v>131</v>
      </c>
      <c r="H125" s="150" t="s">
        <v>135</v>
      </c>
      <c r="I125" s="150" t="s">
        <v>167</v>
      </c>
      <c r="J125" s="150">
        <v>6</v>
      </c>
      <c r="K125" s="1">
        <f>'Data_2nd DH'!K28</f>
        <v>20</v>
      </c>
      <c r="L125" s="1"/>
      <c r="M125" s="1"/>
      <c r="N125" s="1"/>
      <c r="O125" s="1"/>
      <c r="P125" s="1"/>
      <c r="Q125" s="1"/>
      <c r="R125" s="1">
        <f>'Data_2nd DH'!L28</f>
        <v>2</v>
      </c>
      <c r="S125" s="1">
        <f>'Data_2nd DH'!M28</f>
        <v>0</v>
      </c>
      <c r="T125" s="1"/>
      <c r="U125" s="1"/>
      <c r="V125" s="1">
        <f>'Data_2nd DH'!N28</f>
        <v>0</v>
      </c>
      <c r="W125" s="1"/>
      <c r="X125" s="1"/>
      <c r="Y125" s="1"/>
      <c r="Z125" s="1">
        <f>'Data_2nd DH'!O28</f>
        <v>10.96</v>
      </c>
      <c r="AA125" s="1">
        <f>'Data_2nd DH'!P28</f>
        <v>10</v>
      </c>
      <c r="AB125" s="1">
        <f>'Data_2nd DH'!Q28</f>
        <v>6.39</v>
      </c>
      <c r="AC125" s="1">
        <f>'Data_2nd DH'!R28</f>
        <v>0.19</v>
      </c>
      <c r="AD125" s="1">
        <f>'Data_2nd DH'!S28</f>
        <v>4.3099999999999996</v>
      </c>
      <c r="AE125" s="1">
        <v>0</v>
      </c>
      <c r="AF125" s="1">
        <f>'Data_2nd DH'!T28</f>
        <v>10.89</v>
      </c>
      <c r="AG125" s="1">
        <f>'Data_2nd DH'!U28</f>
        <v>200.38</v>
      </c>
      <c r="AH125" s="1"/>
      <c r="AI125" s="1">
        <f>'Data_2nd DH'!Y28</f>
        <v>0.53700000000000003</v>
      </c>
      <c r="AJ125" s="1">
        <f>'Data_2nd DH'!Z28</f>
        <v>0.29099999999999998</v>
      </c>
      <c r="AK125" s="1">
        <f>'Data_2nd DH'!AA28</f>
        <v>2.5999999999999999E-2</v>
      </c>
      <c r="AL125" s="1"/>
      <c r="AM125" s="1">
        <f t="shared" si="9"/>
        <v>0.85400000000000009</v>
      </c>
      <c r="AN125" s="129">
        <f t="shared" si="10"/>
        <v>373.14711359404095</v>
      </c>
    </row>
    <row r="126" spans="1:40" x14ac:dyDescent="0.2">
      <c r="A126" s="150">
        <f t="shared" si="4"/>
        <v>34</v>
      </c>
      <c r="B126" s="152">
        <v>45187</v>
      </c>
      <c r="C126" s="153" t="s">
        <v>140</v>
      </c>
      <c r="D126" s="150">
        <v>48</v>
      </c>
      <c r="E126" s="150" t="s">
        <v>146</v>
      </c>
      <c r="F126" s="154" t="s">
        <v>142</v>
      </c>
      <c r="G126" s="150" t="s">
        <v>136</v>
      </c>
      <c r="H126" s="150" t="s">
        <v>132</v>
      </c>
      <c r="I126" s="150" t="s">
        <v>168</v>
      </c>
      <c r="J126" s="150">
        <v>1</v>
      </c>
      <c r="K126" s="1">
        <f>'Data_2nd DH'!K29</f>
        <v>22</v>
      </c>
      <c r="L126" s="1"/>
      <c r="M126" s="1"/>
      <c r="N126" s="1"/>
      <c r="O126" s="1"/>
      <c r="P126" s="1"/>
      <c r="Q126" s="1"/>
      <c r="R126" s="1">
        <f>'Data_2nd DH'!L29</f>
        <v>2</v>
      </c>
      <c r="S126" s="1">
        <f>'Data_2nd DH'!M29</f>
        <v>0</v>
      </c>
      <c r="T126" s="1"/>
      <c r="U126" s="1"/>
      <c r="V126" s="1">
        <f>'Data_2nd DH'!N29</f>
        <v>0</v>
      </c>
      <c r="W126" s="1"/>
      <c r="X126" s="1"/>
      <c r="Y126" s="1"/>
      <c r="Z126" s="1">
        <f>'Data_2nd DH'!O29</f>
        <v>17.329999999999998</v>
      </c>
      <c r="AA126" s="1">
        <f>'Data_2nd DH'!P29</f>
        <v>12</v>
      </c>
      <c r="AB126" s="1">
        <f>'Data_2nd DH'!Q29</f>
        <v>9.9</v>
      </c>
      <c r="AC126" s="1">
        <f>'Data_2nd DH'!R29</f>
        <v>6.69</v>
      </c>
      <c r="AD126" s="1">
        <f>'Data_2nd DH'!S29</f>
        <v>0.72</v>
      </c>
      <c r="AE126" s="1">
        <v>0</v>
      </c>
      <c r="AF126" s="1">
        <f>'Data_2nd DH'!T29</f>
        <v>17.309999999999999</v>
      </c>
      <c r="AG126" s="1">
        <f>'Data_2nd DH'!U29</f>
        <v>272.14999999999998</v>
      </c>
      <c r="AH126" s="1"/>
      <c r="AI126" s="1">
        <f>'Data_2nd DH'!Y29</f>
        <v>0.85099999999999998</v>
      </c>
      <c r="AJ126" s="1">
        <f>'Data_2nd DH'!Z29</f>
        <v>0.44400000000000001</v>
      </c>
      <c r="AK126" s="1">
        <f>'Data_2nd DH'!AA29</f>
        <v>6.2E-2</v>
      </c>
      <c r="AL126" s="1"/>
      <c r="AM126" s="1">
        <f t="shared" si="9"/>
        <v>1.357</v>
      </c>
      <c r="AN126" s="129">
        <f t="shared" si="10"/>
        <v>319.80023501762628</v>
      </c>
    </row>
    <row r="127" spans="1:40" x14ac:dyDescent="0.2">
      <c r="A127" s="150">
        <f t="shared" si="4"/>
        <v>34</v>
      </c>
      <c r="B127" s="152">
        <v>45187</v>
      </c>
      <c r="C127" s="153" t="s">
        <v>140</v>
      </c>
      <c r="D127" s="150">
        <v>48</v>
      </c>
      <c r="E127" s="150" t="s">
        <v>146</v>
      </c>
      <c r="F127" s="154" t="s">
        <v>142</v>
      </c>
      <c r="G127" s="150" t="s">
        <v>136</v>
      </c>
      <c r="H127" s="150" t="s">
        <v>132</v>
      </c>
      <c r="I127" s="150" t="s">
        <v>169</v>
      </c>
      <c r="J127" s="150">
        <v>2</v>
      </c>
      <c r="K127" s="1">
        <f>'Data_2nd DH'!K30</f>
        <v>22</v>
      </c>
      <c r="L127" s="1"/>
      <c r="M127" s="1"/>
      <c r="N127" s="1"/>
      <c r="O127" s="1"/>
      <c r="P127" s="1"/>
      <c r="Q127" s="1"/>
      <c r="R127" s="1">
        <f>'Data_2nd DH'!L30</f>
        <v>4</v>
      </c>
      <c r="S127" s="1">
        <f>'Data_2nd DH'!M30</f>
        <v>1</v>
      </c>
      <c r="T127" s="1"/>
      <c r="U127" s="1"/>
      <c r="V127" s="1">
        <f>'Data_2nd DH'!N30</f>
        <v>0</v>
      </c>
      <c r="W127" s="1"/>
      <c r="X127" s="1"/>
      <c r="Y127" s="1"/>
      <c r="Z127" s="1">
        <f>'Data_2nd DH'!O30</f>
        <v>16.38</v>
      </c>
      <c r="AA127" s="1">
        <f>'Data_2nd DH'!P30</f>
        <v>13</v>
      </c>
      <c r="AB127" s="1">
        <f>'Data_2nd DH'!Q30</f>
        <v>8.6999999999999993</v>
      </c>
      <c r="AC127" s="1">
        <f>'Data_2nd DH'!R30</f>
        <v>6.77</v>
      </c>
      <c r="AD127" s="1">
        <f>'Data_2nd DH'!S30</f>
        <v>0.85</v>
      </c>
      <c r="AE127" s="1">
        <v>0</v>
      </c>
      <c r="AF127" s="1">
        <f>'Data_2nd DH'!T30</f>
        <v>16.32</v>
      </c>
      <c r="AG127" s="1">
        <f>'Data_2nd DH'!U30</f>
        <v>248.81</v>
      </c>
      <c r="AH127" s="1"/>
      <c r="AI127" s="1">
        <f>'Data_2nd DH'!Y30</f>
        <v>0.747</v>
      </c>
      <c r="AJ127" s="1">
        <f>'Data_2nd DH'!Z30</f>
        <v>0.47599999999999998</v>
      </c>
      <c r="AK127" s="1">
        <f>'Data_2nd DH'!AA30</f>
        <v>8.2000000000000003E-2</v>
      </c>
      <c r="AL127" s="1"/>
      <c r="AM127" s="1">
        <f t="shared" si="9"/>
        <v>1.3049999999999999</v>
      </c>
      <c r="AN127" s="129">
        <f t="shared" si="10"/>
        <v>333.0789825970549</v>
      </c>
    </row>
    <row r="128" spans="1:40" x14ac:dyDescent="0.2">
      <c r="A128" s="150">
        <f t="shared" si="4"/>
        <v>34</v>
      </c>
      <c r="B128" s="152">
        <v>45187</v>
      </c>
      <c r="C128" s="153" t="s">
        <v>140</v>
      </c>
      <c r="D128" s="150">
        <v>48</v>
      </c>
      <c r="E128" s="150" t="s">
        <v>146</v>
      </c>
      <c r="F128" s="154" t="s">
        <v>142</v>
      </c>
      <c r="G128" s="150" t="s">
        <v>136</v>
      </c>
      <c r="H128" s="150" t="s">
        <v>132</v>
      </c>
      <c r="I128" s="150" t="s">
        <v>170</v>
      </c>
      <c r="J128" s="150">
        <v>3</v>
      </c>
      <c r="K128" s="1">
        <f>'Data_2nd DH'!K31</f>
        <v>23</v>
      </c>
      <c r="L128" s="1"/>
      <c r="M128" s="1"/>
      <c r="N128" s="1"/>
      <c r="O128" s="1"/>
      <c r="P128" s="1"/>
      <c r="Q128" s="1"/>
      <c r="R128" s="1">
        <f>'Data_2nd DH'!L31</f>
        <v>4</v>
      </c>
      <c r="S128" s="1">
        <f>'Data_2nd DH'!M31</f>
        <v>3</v>
      </c>
      <c r="T128" s="1"/>
      <c r="U128" s="1"/>
      <c r="V128" s="1">
        <f>'Data_2nd DH'!N31</f>
        <v>0</v>
      </c>
      <c r="W128" s="1"/>
      <c r="X128" s="1"/>
      <c r="Y128" s="1"/>
      <c r="Z128" s="1">
        <f>'Data_2nd DH'!O31</f>
        <v>20.77</v>
      </c>
      <c r="AA128" s="1">
        <f>'Data_2nd DH'!P31</f>
        <v>12</v>
      </c>
      <c r="AB128" s="1">
        <f>'Data_2nd DH'!Q31</f>
        <v>10.86</v>
      </c>
      <c r="AC128" s="1">
        <f>'Data_2nd DH'!R31</f>
        <v>8.1</v>
      </c>
      <c r="AD128" s="1">
        <f>'Data_2nd DH'!S31</f>
        <v>1.79</v>
      </c>
      <c r="AE128" s="1">
        <v>0</v>
      </c>
      <c r="AF128" s="1">
        <f>'Data_2nd DH'!T31</f>
        <v>20.75</v>
      </c>
      <c r="AG128" s="1">
        <f>'Data_2nd DH'!U31</f>
        <v>294.70999999999998</v>
      </c>
      <c r="AH128" s="1"/>
      <c r="AI128" s="1">
        <f>'Data_2nd DH'!Y31</f>
        <v>0.95399999999999996</v>
      </c>
      <c r="AJ128" s="1">
        <f>'Data_2nd DH'!Z31</f>
        <v>0.59899999999999998</v>
      </c>
      <c r="AK128" s="1">
        <f>'Data_2nd DH'!AA31</f>
        <v>0.156</v>
      </c>
      <c r="AL128" s="1"/>
      <c r="AM128" s="1">
        <f t="shared" si="9"/>
        <v>1.7089999999999999</v>
      </c>
      <c r="AN128" s="129">
        <f t="shared" si="10"/>
        <v>308.92033542976941</v>
      </c>
    </row>
    <row r="129" spans="1:40" x14ac:dyDescent="0.2">
      <c r="A129" s="150">
        <f t="shared" si="4"/>
        <v>34</v>
      </c>
      <c r="B129" s="152">
        <v>45187</v>
      </c>
      <c r="C129" s="153" t="s">
        <v>140</v>
      </c>
      <c r="D129" s="150">
        <v>48</v>
      </c>
      <c r="E129" s="150" t="s">
        <v>146</v>
      </c>
      <c r="F129" s="154" t="s">
        <v>142</v>
      </c>
      <c r="G129" s="150" t="s">
        <v>136</v>
      </c>
      <c r="H129" s="150" t="s">
        <v>132</v>
      </c>
      <c r="I129" s="150" t="s">
        <v>171</v>
      </c>
      <c r="J129" s="150">
        <v>4</v>
      </c>
      <c r="K129" s="1">
        <f>'Data_2nd DH'!K32</f>
        <v>20</v>
      </c>
      <c r="L129" s="1"/>
      <c r="M129" s="1"/>
      <c r="N129" s="1"/>
      <c r="O129" s="1"/>
      <c r="P129" s="1"/>
      <c r="Q129" s="1"/>
      <c r="R129" s="1">
        <f>'Data_2nd DH'!L32</f>
        <v>4</v>
      </c>
      <c r="S129" s="1">
        <f>'Data_2nd DH'!M32</f>
        <v>1</v>
      </c>
      <c r="T129" s="1"/>
      <c r="U129" s="1"/>
      <c r="V129" s="1">
        <f>'Data_2nd DH'!N32</f>
        <v>0</v>
      </c>
      <c r="W129" s="1"/>
      <c r="X129" s="1"/>
      <c r="Y129" s="1"/>
      <c r="Z129" s="1">
        <f>'Data_2nd DH'!O32</f>
        <v>17.920000000000002</v>
      </c>
      <c r="AA129" s="1">
        <f>'Data_2nd DH'!P32</f>
        <v>13</v>
      </c>
      <c r="AB129" s="1">
        <f>'Data_2nd DH'!Q32</f>
        <v>9.92</v>
      </c>
      <c r="AC129" s="1">
        <f>'Data_2nd DH'!R32</f>
        <v>6.52</v>
      </c>
      <c r="AD129" s="1">
        <f>'Data_2nd DH'!S32</f>
        <v>1.45</v>
      </c>
      <c r="AE129" s="1">
        <v>0</v>
      </c>
      <c r="AF129" s="1">
        <f>'Data_2nd DH'!T32</f>
        <v>17.889999999999997</v>
      </c>
      <c r="AG129" s="1">
        <f>'Data_2nd DH'!U32</f>
        <v>295.11</v>
      </c>
      <c r="AH129" s="1"/>
      <c r="AI129" s="1">
        <f>'Data_2nd DH'!Y32</f>
        <v>0.879</v>
      </c>
      <c r="AJ129" s="1">
        <f>'Data_2nd DH'!Z32</f>
        <v>0.51700000000000002</v>
      </c>
      <c r="AK129" s="1">
        <f>'Data_2nd DH'!AA32</f>
        <v>0.124</v>
      </c>
      <c r="AL129" s="1"/>
      <c r="AM129" s="1">
        <f t="shared" si="9"/>
        <v>1.52</v>
      </c>
      <c r="AN129" s="129">
        <f t="shared" si="10"/>
        <v>335.73378839590447</v>
      </c>
    </row>
    <row r="130" spans="1:40" x14ac:dyDescent="0.2">
      <c r="A130" s="150">
        <f t="shared" si="4"/>
        <v>34</v>
      </c>
      <c r="B130" s="152">
        <v>45187</v>
      </c>
      <c r="C130" s="153" t="s">
        <v>140</v>
      </c>
      <c r="D130" s="150">
        <v>48</v>
      </c>
      <c r="E130" s="150" t="s">
        <v>146</v>
      </c>
      <c r="F130" s="154" t="s">
        <v>142</v>
      </c>
      <c r="G130" s="150" t="s">
        <v>136</v>
      </c>
      <c r="H130" s="150" t="s">
        <v>132</v>
      </c>
      <c r="I130" s="150" t="s">
        <v>172</v>
      </c>
      <c r="J130" s="150">
        <v>5</v>
      </c>
      <c r="K130" s="1">
        <f>'Data_2nd DH'!K33</f>
        <v>24</v>
      </c>
      <c r="L130" s="1"/>
      <c r="M130" s="1"/>
      <c r="N130" s="1"/>
      <c r="O130" s="1"/>
      <c r="P130" s="1"/>
      <c r="Q130" s="1"/>
      <c r="R130" s="1">
        <f>'Data_2nd DH'!L33</f>
        <v>4</v>
      </c>
      <c r="S130" s="1">
        <f>'Data_2nd DH'!M33</f>
        <v>2</v>
      </c>
      <c r="T130" s="1"/>
      <c r="U130" s="1"/>
      <c r="V130" s="1">
        <f>'Data_2nd DH'!N33</f>
        <v>0</v>
      </c>
      <c r="W130" s="1"/>
      <c r="X130" s="1"/>
      <c r="Y130" s="1"/>
      <c r="Z130" s="1">
        <f>'Data_2nd DH'!O33</f>
        <v>19.86</v>
      </c>
      <c r="AA130" s="1">
        <f>'Data_2nd DH'!P33</f>
        <v>12</v>
      </c>
      <c r="AB130" s="1">
        <f>'Data_2nd DH'!Q33</f>
        <v>10.54</v>
      </c>
      <c r="AC130" s="1">
        <f>'Data_2nd DH'!R33</f>
        <v>7.7</v>
      </c>
      <c r="AD130" s="1">
        <f>'Data_2nd DH'!S33</f>
        <v>1.49</v>
      </c>
      <c r="AE130" s="1">
        <v>0</v>
      </c>
      <c r="AF130" s="1">
        <f>'Data_2nd DH'!T33</f>
        <v>19.729999999999997</v>
      </c>
      <c r="AG130" s="1">
        <f>'Data_2nd DH'!U33</f>
        <v>315.11</v>
      </c>
      <c r="AH130" s="1"/>
      <c r="AI130" s="1">
        <f>'Data_2nd DH'!Y33</f>
        <v>0.96199999999999997</v>
      </c>
      <c r="AJ130" s="1">
        <f>'Data_2nd DH'!Z33</f>
        <v>0.63</v>
      </c>
      <c r="AK130" s="1">
        <f>'Data_2nd DH'!AA33</f>
        <v>0.13500000000000001</v>
      </c>
      <c r="AL130" s="1"/>
      <c r="AM130" s="1">
        <f t="shared" si="9"/>
        <v>1.7270000000000001</v>
      </c>
      <c r="AN130" s="129">
        <f t="shared" si="10"/>
        <v>327.55717255717258</v>
      </c>
    </row>
    <row r="131" spans="1:40" x14ac:dyDescent="0.2">
      <c r="A131" s="150">
        <f t="shared" si="4"/>
        <v>34</v>
      </c>
      <c r="B131" s="152">
        <v>45187</v>
      </c>
      <c r="C131" s="153" t="s">
        <v>140</v>
      </c>
      <c r="D131" s="150">
        <v>48</v>
      </c>
      <c r="E131" s="150" t="s">
        <v>146</v>
      </c>
      <c r="F131" s="154" t="s">
        <v>142</v>
      </c>
      <c r="G131" s="150" t="s">
        <v>136</v>
      </c>
      <c r="H131" s="150" t="s">
        <v>132</v>
      </c>
      <c r="I131" s="150" t="s">
        <v>173</v>
      </c>
      <c r="J131" s="150">
        <v>6</v>
      </c>
      <c r="K131" s="1">
        <f>'Data_2nd DH'!K34</f>
        <v>23</v>
      </c>
      <c r="L131" s="1"/>
      <c r="M131" s="1"/>
      <c r="N131" s="1"/>
      <c r="O131" s="1"/>
      <c r="P131" s="1"/>
      <c r="Q131" s="1"/>
      <c r="R131" s="1">
        <f>'Data_2nd DH'!L34</f>
        <v>2</v>
      </c>
      <c r="S131" s="1">
        <f>'Data_2nd DH'!M34</f>
        <v>0</v>
      </c>
      <c r="T131" s="1"/>
      <c r="U131" s="1"/>
      <c r="V131" s="1">
        <f>'Data_2nd DH'!N34</f>
        <v>0</v>
      </c>
      <c r="W131" s="1"/>
      <c r="X131" s="1"/>
      <c r="Y131" s="1"/>
      <c r="Z131" s="1">
        <f>'Data_2nd DH'!O34</f>
        <v>17.149999999999999</v>
      </c>
      <c r="AA131" s="1">
        <f>'Data_2nd DH'!P34</f>
        <v>13</v>
      </c>
      <c r="AB131" s="1">
        <f>'Data_2nd DH'!Q34</f>
        <v>9.69</v>
      </c>
      <c r="AC131" s="1">
        <f>'Data_2nd DH'!R34</f>
        <v>6.9</v>
      </c>
      <c r="AD131" s="1">
        <f>'Data_2nd DH'!S34</f>
        <v>0.53</v>
      </c>
      <c r="AE131" s="1">
        <v>0</v>
      </c>
      <c r="AF131" s="1">
        <f>'Data_2nd DH'!T34</f>
        <v>17.12</v>
      </c>
      <c r="AG131" s="1">
        <f>'Data_2nd DH'!U34</f>
        <v>276.47000000000003</v>
      </c>
      <c r="AH131" s="1"/>
      <c r="AI131" s="1">
        <f>'Data_2nd DH'!Y34</f>
        <v>0.83199999999999996</v>
      </c>
      <c r="AJ131" s="1">
        <f>'Data_2nd DH'!Z34</f>
        <v>0.497</v>
      </c>
      <c r="AK131" s="1">
        <f>'Data_2nd DH'!AA34</f>
        <v>5.1999999999999998E-2</v>
      </c>
      <c r="AL131" s="1"/>
      <c r="AM131" s="1">
        <f t="shared" si="9"/>
        <v>1.381</v>
      </c>
      <c r="AN131" s="129">
        <f t="shared" si="10"/>
        <v>332.29567307692315</v>
      </c>
    </row>
    <row r="132" spans="1:40" x14ac:dyDescent="0.2">
      <c r="A132" s="150">
        <f t="shared" si="4"/>
        <v>34</v>
      </c>
      <c r="B132" s="152">
        <v>45187</v>
      </c>
      <c r="C132" s="153" t="s">
        <v>140</v>
      </c>
      <c r="D132" s="150">
        <v>48</v>
      </c>
      <c r="E132" s="150" t="s">
        <v>147</v>
      </c>
      <c r="F132" s="154" t="s">
        <v>142</v>
      </c>
      <c r="G132" s="150" t="s">
        <v>136</v>
      </c>
      <c r="H132" s="150" t="s">
        <v>133</v>
      </c>
      <c r="I132" s="150" t="s">
        <v>174</v>
      </c>
      <c r="J132" s="150">
        <v>1</v>
      </c>
      <c r="K132" s="1">
        <f>'Data_2nd DH'!K35</f>
        <v>24.5</v>
      </c>
      <c r="L132" s="1"/>
      <c r="M132" s="1"/>
      <c r="N132" s="1"/>
      <c r="O132" s="1"/>
      <c r="P132" s="1"/>
      <c r="Q132" s="1"/>
      <c r="R132" s="1">
        <f>'Data_2nd DH'!L35</f>
        <v>4</v>
      </c>
      <c r="S132" s="1">
        <f>'Data_2nd DH'!M35</f>
        <v>1</v>
      </c>
      <c r="T132" s="1"/>
      <c r="U132" s="1"/>
      <c r="V132" s="1">
        <f>'Data_2nd DH'!N35</f>
        <v>0</v>
      </c>
      <c r="W132" s="1"/>
      <c r="X132" s="1"/>
      <c r="Y132" s="1"/>
      <c r="Z132" s="1">
        <f>'Data_2nd DH'!O35</f>
        <v>21.67</v>
      </c>
      <c r="AA132" s="1">
        <f>'Data_2nd DH'!P35</f>
        <v>13</v>
      </c>
      <c r="AB132" s="1">
        <f>'Data_2nd DH'!Q35</f>
        <v>11.52</v>
      </c>
      <c r="AC132" s="1">
        <f>'Data_2nd DH'!R35</f>
        <v>1.06</v>
      </c>
      <c r="AD132" s="1">
        <f>'Data_2nd DH'!S35</f>
        <v>9.0399999999999991</v>
      </c>
      <c r="AE132" s="1">
        <v>0</v>
      </c>
      <c r="AF132" s="1">
        <f>'Data_2nd DH'!T35</f>
        <v>21.619999999999997</v>
      </c>
      <c r="AG132" s="1">
        <f>'Data_2nd DH'!U35</f>
        <v>323.07</v>
      </c>
      <c r="AH132" s="1"/>
      <c r="AI132" s="1">
        <f>'Data_2nd DH'!Y35</f>
        <v>0.99299999999999999</v>
      </c>
      <c r="AJ132" s="1">
        <f>'Data_2nd DH'!Z35</f>
        <v>0.61499999999999999</v>
      </c>
      <c r="AK132" s="1">
        <f>'Data_2nd DH'!AA35</f>
        <v>0.10299999999999999</v>
      </c>
      <c r="AL132" s="1"/>
      <c r="AM132" s="1">
        <f t="shared" si="9"/>
        <v>1.7110000000000001</v>
      </c>
      <c r="AN132" s="129">
        <f t="shared" si="10"/>
        <v>325.34743202416917</v>
      </c>
    </row>
    <row r="133" spans="1:40" x14ac:dyDescent="0.2">
      <c r="A133" s="150">
        <f t="shared" si="4"/>
        <v>34</v>
      </c>
      <c r="B133" s="152">
        <v>45187</v>
      </c>
      <c r="C133" s="153" t="s">
        <v>140</v>
      </c>
      <c r="D133" s="150">
        <v>48</v>
      </c>
      <c r="E133" s="150" t="s">
        <v>147</v>
      </c>
      <c r="F133" s="154" t="s">
        <v>142</v>
      </c>
      <c r="G133" s="150" t="s">
        <v>136</v>
      </c>
      <c r="H133" s="150" t="s">
        <v>133</v>
      </c>
      <c r="I133" s="150" t="s">
        <v>175</v>
      </c>
      <c r="J133" s="150">
        <v>2</v>
      </c>
      <c r="K133" s="1">
        <f>'Data_2nd DH'!K36</f>
        <v>21.5</v>
      </c>
      <c r="L133" s="1"/>
      <c r="M133" s="1"/>
      <c r="N133" s="1"/>
      <c r="O133" s="1"/>
      <c r="P133" s="1"/>
      <c r="Q133" s="1"/>
      <c r="R133" s="1">
        <f>'Data_2nd DH'!L36</f>
        <v>3</v>
      </c>
      <c r="S133" s="1">
        <f>'Data_2nd DH'!M36</f>
        <v>1</v>
      </c>
      <c r="T133" s="1"/>
      <c r="U133" s="1"/>
      <c r="V133" s="1">
        <f>'Data_2nd DH'!N36</f>
        <v>0</v>
      </c>
      <c r="W133" s="1"/>
      <c r="X133" s="1"/>
      <c r="Y133" s="1"/>
      <c r="Z133" s="1">
        <f>'Data_2nd DH'!O36</f>
        <v>16.88</v>
      </c>
      <c r="AA133" s="1">
        <f>'Data_2nd DH'!P36</f>
        <v>11</v>
      </c>
      <c r="AB133" s="1">
        <f>'Data_2nd DH'!Q36</f>
        <v>9.1999999999999993</v>
      </c>
      <c r="AC133" s="1">
        <f>'Data_2nd DH'!R36</f>
        <v>0.99</v>
      </c>
      <c r="AD133" s="1">
        <f>'Data_2nd DH'!S36</f>
        <v>6.61</v>
      </c>
      <c r="AE133" s="1">
        <v>0</v>
      </c>
      <c r="AF133" s="1">
        <f>'Data_2nd DH'!T36</f>
        <v>16.8</v>
      </c>
      <c r="AG133" s="1">
        <f>'Data_2nd DH'!U36</f>
        <v>260.60000000000002</v>
      </c>
      <c r="AH133" s="1"/>
      <c r="AI133" s="1">
        <f>'Data_2nd DH'!Y36</f>
        <v>0.76300000000000001</v>
      </c>
      <c r="AJ133" s="1">
        <f>'Data_2nd DH'!Z36</f>
        <v>0.47299999999999998</v>
      </c>
      <c r="AK133" s="1">
        <f>'Data_2nd DH'!AA36</f>
        <v>8.5999999999999993E-2</v>
      </c>
      <c r="AL133" s="1"/>
      <c r="AM133" s="1">
        <f t="shared" si="9"/>
        <v>1.3220000000000001</v>
      </c>
      <c r="AN133" s="129">
        <f t="shared" si="10"/>
        <v>341.54652686762779</v>
      </c>
    </row>
    <row r="134" spans="1:40" x14ac:dyDescent="0.2">
      <c r="A134" s="150">
        <f t="shared" ref="A134:A197" si="11">B134-$C$4</f>
        <v>34</v>
      </c>
      <c r="B134" s="152">
        <v>45187</v>
      </c>
      <c r="C134" s="153" t="s">
        <v>140</v>
      </c>
      <c r="D134" s="150">
        <v>48</v>
      </c>
      <c r="E134" s="150" t="s">
        <v>147</v>
      </c>
      <c r="F134" s="154" t="s">
        <v>142</v>
      </c>
      <c r="G134" s="150" t="s">
        <v>136</v>
      </c>
      <c r="H134" s="150" t="s">
        <v>133</v>
      </c>
      <c r="I134" s="150" t="s">
        <v>176</v>
      </c>
      <c r="J134" s="150">
        <v>3</v>
      </c>
      <c r="K134" s="1">
        <f>'Data_2nd DH'!K37</f>
        <v>23</v>
      </c>
      <c r="L134" s="1"/>
      <c r="M134" s="1"/>
      <c r="N134" s="1"/>
      <c r="O134" s="1"/>
      <c r="P134" s="1"/>
      <c r="Q134" s="1"/>
      <c r="R134" s="1">
        <f>'Data_2nd DH'!L37</f>
        <v>3</v>
      </c>
      <c r="S134" s="1">
        <f>'Data_2nd DH'!M37</f>
        <v>0</v>
      </c>
      <c r="T134" s="1"/>
      <c r="U134" s="1"/>
      <c r="V134" s="1">
        <f>'Data_2nd DH'!N37</f>
        <v>0</v>
      </c>
      <c r="W134" s="1"/>
      <c r="X134" s="1"/>
      <c r="Y134" s="1"/>
      <c r="Z134" s="1">
        <f>'Data_2nd DH'!O37</f>
        <v>19.170000000000002</v>
      </c>
      <c r="AA134" s="1">
        <f>'Data_2nd DH'!P37</f>
        <v>11</v>
      </c>
      <c r="AB134" s="1">
        <f>'Data_2nd DH'!Q37</f>
        <v>10.89</v>
      </c>
      <c r="AC134" s="1">
        <f>'Data_2nd DH'!R37</f>
        <v>0.84</v>
      </c>
      <c r="AD134" s="1">
        <f>'Data_2nd DH'!S37</f>
        <v>7.4</v>
      </c>
      <c r="AE134" s="1">
        <v>0</v>
      </c>
      <c r="AF134" s="1">
        <f>'Data_2nd DH'!T37</f>
        <v>19.130000000000003</v>
      </c>
      <c r="AG134" s="1">
        <f>'Data_2nd DH'!U37</f>
        <v>302.87</v>
      </c>
      <c r="AH134" s="1"/>
      <c r="AI134" s="1">
        <f>'Data_2nd DH'!Y37</f>
        <v>0.95099999999999996</v>
      </c>
      <c r="AJ134" s="1">
        <f>'Data_2nd DH'!Z37</f>
        <v>0.56599999999999995</v>
      </c>
      <c r="AK134" s="1">
        <f>'Data_2nd DH'!AA37</f>
        <v>1287.8499999999999</v>
      </c>
      <c r="AL134" s="1"/>
      <c r="AM134" s="1">
        <f t="shared" si="9"/>
        <v>1289.367</v>
      </c>
      <c r="AN134" s="129">
        <f t="shared" si="10"/>
        <v>318.47528916929548</v>
      </c>
    </row>
    <row r="135" spans="1:40" x14ac:dyDescent="0.2">
      <c r="A135" s="150">
        <f t="shared" si="11"/>
        <v>34</v>
      </c>
      <c r="B135" s="152">
        <v>45187</v>
      </c>
      <c r="C135" s="153" t="s">
        <v>140</v>
      </c>
      <c r="D135" s="150">
        <v>48</v>
      </c>
      <c r="E135" s="150" t="s">
        <v>147</v>
      </c>
      <c r="F135" s="154" t="s">
        <v>142</v>
      </c>
      <c r="G135" s="150" t="s">
        <v>136</v>
      </c>
      <c r="H135" s="150" t="s">
        <v>133</v>
      </c>
      <c r="I135" s="150" t="s">
        <v>177</v>
      </c>
      <c r="J135" s="150">
        <v>4</v>
      </c>
      <c r="K135" s="1">
        <f>'Data_2nd DH'!K38</f>
        <v>20.5</v>
      </c>
      <c r="L135" s="1"/>
      <c r="M135" s="1"/>
      <c r="N135" s="1"/>
      <c r="O135" s="1"/>
      <c r="P135" s="1"/>
      <c r="Q135" s="1"/>
      <c r="R135" s="1">
        <f>'Data_2nd DH'!L38</f>
        <v>2</v>
      </c>
      <c r="S135" s="1">
        <f>'Data_2nd DH'!M38</f>
        <v>0</v>
      </c>
      <c r="T135" s="1"/>
      <c r="U135" s="1"/>
      <c r="V135" s="1">
        <f>'Data_2nd DH'!N38</f>
        <v>0</v>
      </c>
      <c r="W135" s="1"/>
      <c r="X135" s="1"/>
      <c r="Y135" s="1"/>
      <c r="Z135" s="1">
        <f>'Data_2nd DH'!O38</f>
        <v>13.72</v>
      </c>
      <c r="AA135" s="1">
        <f>'Data_2nd DH'!P38</f>
        <v>11</v>
      </c>
      <c r="AB135" s="1">
        <f>'Data_2nd DH'!Q38</f>
        <v>7.53</v>
      </c>
      <c r="AC135" s="1">
        <f>'Data_2nd DH'!R38</f>
        <v>0.37</v>
      </c>
      <c r="AD135" s="1">
        <f>'Data_2nd DH'!S38</f>
        <v>5.8</v>
      </c>
      <c r="AE135" s="1">
        <v>0</v>
      </c>
      <c r="AF135" s="1">
        <f>'Data_2nd DH'!T38</f>
        <v>13.7</v>
      </c>
      <c r="AG135" s="1">
        <f>'Data_2nd DH'!U38</f>
        <v>224.04</v>
      </c>
      <c r="AH135" s="1"/>
      <c r="AI135" s="1">
        <f>'Data_2nd DH'!Y38</f>
        <v>0.63800000000000001</v>
      </c>
      <c r="AJ135" s="1">
        <f>'Data_2nd DH'!Z38</f>
        <v>0.40799999999999997</v>
      </c>
      <c r="AK135" s="1">
        <f>'Data_2nd DH'!AA38</f>
        <v>3.4000000000000002E-2</v>
      </c>
      <c r="AL135" s="1"/>
      <c r="AM135" s="1">
        <f t="shared" si="9"/>
        <v>1.08</v>
      </c>
      <c r="AN135" s="129">
        <f t="shared" si="10"/>
        <v>351.15987460815046</v>
      </c>
    </row>
    <row r="136" spans="1:40" x14ac:dyDescent="0.2">
      <c r="A136" s="150">
        <f t="shared" si="11"/>
        <v>34</v>
      </c>
      <c r="B136" s="152">
        <v>45187</v>
      </c>
      <c r="C136" s="153" t="s">
        <v>140</v>
      </c>
      <c r="D136" s="150">
        <v>48</v>
      </c>
      <c r="E136" s="150" t="s">
        <v>147</v>
      </c>
      <c r="F136" s="154" t="s">
        <v>142</v>
      </c>
      <c r="G136" s="150" t="s">
        <v>136</v>
      </c>
      <c r="H136" s="150" t="s">
        <v>133</v>
      </c>
      <c r="I136" s="150" t="s">
        <v>178</v>
      </c>
      <c r="J136" s="150">
        <v>5</v>
      </c>
      <c r="K136" s="1">
        <f>'Data_2nd DH'!K39</f>
        <v>21.5</v>
      </c>
      <c r="L136" s="1"/>
      <c r="M136" s="1"/>
      <c r="N136" s="1"/>
      <c r="O136" s="1"/>
      <c r="P136" s="1"/>
      <c r="Q136" s="1"/>
      <c r="R136" s="1">
        <f>'Data_2nd DH'!L39</f>
        <v>3</v>
      </c>
      <c r="S136" s="1">
        <f>'Data_2nd DH'!M39</f>
        <v>4</v>
      </c>
      <c r="T136" s="1"/>
      <c r="U136" s="1"/>
      <c r="V136" s="1">
        <f>'Data_2nd DH'!N39</f>
        <v>0</v>
      </c>
      <c r="W136" s="1"/>
      <c r="X136" s="1"/>
      <c r="Y136" s="1"/>
      <c r="Z136" s="1">
        <f>'Data_2nd DH'!O39</f>
        <v>18.940000000000001</v>
      </c>
      <c r="AA136" s="1">
        <f>'Data_2nd DH'!P39</f>
        <v>12</v>
      </c>
      <c r="AB136" s="1">
        <f>'Data_2nd DH'!Q39</f>
        <v>10.119999999999999</v>
      </c>
      <c r="AC136" s="1">
        <f>'Data_2nd DH'!R39</f>
        <v>1.48</v>
      </c>
      <c r="AD136" s="1">
        <f>'Data_2nd DH'!S39</f>
        <v>7.23</v>
      </c>
      <c r="AE136" s="1">
        <v>0</v>
      </c>
      <c r="AF136" s="1">
        <f>'Data_2nd DH'!T39</f>
        <v>18.829999999999998</v>
      </c>
      <c r="AG136" s="1">
        <f>'Data_2nd DH'!U39</f>
        <v>299.69</v>
      </c>
      <c r="AH136" s="1"/>
      <c r="AI136" s="1">
        <f>'Data_2nd DH'!Y39</f>
        <v>0.86899999999999999</v>
      </c>
      <c r="AJ136" s="1">
        <f>'Data_2nd DH'!Z39</f>
        <v>0.57099999999999995</v>
      </c>
      <c r="AK136" s="1">
        <f>'Data_2nd DH'!AA39</f>
        <v>0.13700000000000001</v>
      </c>
      <c r="AL136" s="1"/>
      <c r="AM136" s="1">
        <f t="shared" si="9"/>
        <v>1.577</v>
      </c>
      <c r="AN136" s="129">
        <f t="shared" si="10"/>
        <v>344.86766398158801</v>
      </c>
    </row>
    <row r="137" spans="1:40" x14ac:dyDescent="0.2">
      <c r="A137" s="150">
        <f t="shared" si="11"/>
        <v>34</v>
      </c>
      <c r="B137" s="152">
        <v>45187</v>
      </c>
      <c r="C137" s="153" t="s">
        <v>140</v>
      </c>
      <c r="D137" s="150">
        <v>48</v>
      </c>
      <c r="E137" s="150" t="s">
        <v>147</v>
      </c>
      <c r="F137" s="154" t="s">
        <v>142</v>
      </c>
      <c r="G137" s="150" t="s">
        <v>136</v>
      </c>
      <c r="H137" s="150" t="s">
        <v>133</v>
      </c>
      <c r="I137" s="150" t="s">
        <v>179</v>
      </c>
      <c r="J137" s="150">
        <v>6</v>
      </c>
      <c r="K137" s="1">
        <f>'Data_2nd DH'!K40</f>
        <v>22.5</v>
      </c>
      <c r="L137" s="1"/>
      <c r="M137" s="1"/>
      <c r="N137" s="1"/>
      <c r="O137" s="1"/>
      <c r="P137" s="1"/>
      <c r="Q137" s="1"/>
      <c r="R137" s="1">
        <f>'Data_2nd DH'!L40</f>
        <v>3</v>
      </c>
      <c r="S137" s="1">
        <f>'Data_2nd DH'!M40</f>
        <v>4</v>
      </c>
      <c r="T137" s="1"/>
      <c r="U137" s="1"/>
      <c r="V137" s="1">
        <f>'Data_2nd DH'!N40</f>
        <v>0</v>
      </c>
      <c r="W137" s="1"/>
      <c r="X137" s="1"/>
      <c r="Y137" s="1"/>
      <c r="Z137" s="1">
        <f>'Data_2nd DH'!O40</f>
        <v>21.61</v>
      </c>
      <c r="AA137" s="1">
        <f>'Data_2nd DH'!P40</f>
        <v>12</v>
      </c>
      <c r="AB137" s="1">
        <f>'Data_2nd DH'!Q40</f>
        <v>10.48</v>
      </c>
      <c r="AC137" s="1">
        <f>'Data_2nd DH'!R40</f>
        <v>1.86</v>
      </c>
      <c r="AD137" s="1">
        <f>'Data_2nd DH'!S40</f>
        <v>9.1300000000000008</v>
      </c>
      <c r="AE137" s="1">
        <v>0</v>
      </c>
      <c r="AF137" s="1">
        <f>'Data_2nd DH'!T40</f>
        <v>21.47</v>
      </c>
      <c r="AG137" s="1">
        <f>'Data_2nd DH'!U40</f>
        <v>294.69</v>
      </c>
      <c r="AH137" s="1"/>
      <c r="AI137" s="1">
        <f>'Data_2nd DH'!Y40</f>
        <v>0.94199999999999995</v>
      </c>
      <c r="AJ137" s="1">
        <f>'Data_2nd DH'!Z40</f>
        <v>0.747</v>
      </c>
      <c r="AK137" s="1">
        <f>'Data_2nd DH'!AA40</f>
        <v>0.16800000000000001</v>
      </c>
      <c r="AL137" s="1"/>
      <c r="AM137" s="1">
        <f t="shared" si="9"/>
        <v>1.857</v>
      </c>
      <c r="AN137" s="129">
        <f t="shared" si="10"/>
        <v>312.83439490445863</v>
      </c>
    </row>
    <row r="138" spans="1:40" x14ac:dyDescent="0.2">
      <c r="A138" s="150">
        <f t="shared" si="11"/>
        <v>34</v>
      </c>
      <c r="B138" s="152">
        <v>45187</v>
      </c>
      <c r="C138" s="153" t="s">
        <v>140</v>
      </c>
      <c r="D138" s="150">
        <v>48</v>
      </c>
      <c r="E138" s="150" t="s">
        <v>148</v>
      </c>
      <c r="F138" s="154" t="s">
        <v>142</v>
      </c>
      <c r="G138" s="150" t="s">
        <v>136</v>
      </c>
      <c r="H138" s="150" t="s">
        <v>134</v>
      </c>
      <c r="I138" s="150" t="s">
        <v>180</v>
      </c>
      <c r="J138" s="150">
        <v>1</v>
      </c>
      <c r="K138" s="1">
        <f>'Data_2nd DH'!K41</f>
        <v>19</v>
      </c>
      <c r="L138" s="1"/>
      <c r="M138" s="1"/>
      <c r="N138" s="1"/>
      <c r="O138" s="1"/>
      <c r="P138" s="1"/>
      <c r="Q138" s="1"/>
      <c r="R138" s="1">
        <f>'Data_2nd DH'!L41</f>
        <v>2</v>
      </c>
      <c r="S138" s="1">
        <f>'Data_2nd DH'!M41</f>
        <v>0</v>
      </c>
      <c r="T138" s="1"/>
      <c r="U138" s="1"/>
      <c r="V138" s="1">
        <f>'Data_2nd DH'!N41</f>
        <v>0</v>
      </c>
      <c r="W138" s="1"/>
      <c r="X138" s="1"/>
      <c r="Y138" s="1"/>
      <c r="Z138" s="1">
        <f>'Data_2nd DH'!O41</f>
        <v>10.48</v>
      </c>
      <c r="AA138" s="1">
        <f>'Data_2nd DH'!P41</f>
        <v>10</v>
      </c>
      <c r="AB138" s="1">
        <f>'Data_2nd DH'!Q41</f>
        <v>5.4</v>
      </c>
      <c r="AC138" s="1">
        <f>'Data_2nd DH'!R41</f>
        <v>0.13</v>
      </c>
      <c r="AD138" s="1">
        <f>'Data_2nd DH'!S41</f>
        <v>4.87</v>
      </c>
      <c r="AE138" s="1">
        <v>0</v>
      </c>
      <c r="AF138" s="1">
        <f>'Data_2nd DH'!T41</f>
        <v>10.4</v>
      </c>
      <c r="AG138" s="1">
        <f>'Data_2nd DH'!U41</f>
        <v>177.48</v>
      </c>
      <c r="AH138" s="1"/>
      <c r="AI138" s="1">
        <f>'Data_2nd DH'!Y41</f>
        <v>0.439</v>
      </c>
      <c r="AJ138" s="1">
        <f>'Data_2nd DH'!Z41</f>
        <v>0.28299999999999997</v>
      </c>
      <c r="AK138" s="1">
        <f>'Data_2nd DH'!AA41</f>
        <v>1.2999999999999999E-2</v>
      </c>
      <c r="AL138" s="1"/>
      <c r="AM138" s="1">
        <f t="shared" si="9"/>
        <v>0.73499999999999999</v>
      </c>
      <c r="AN138" s="129">
        <f t="shared" si="10"/>
        <v>404.28246013667422</v>
      </c>
    </row>
    <row r="139" spans="1:40" x14ac:dyDescent="0.2">
      <c r="A139" s="150">
        <f t="shared" si="11"/>
        <v>34</v>
      </c>
      <c r="B139" s="152">
        <v>45187</v>
      </c>
      <c r="C139" s="153" t="s">
        <v>140</v>
      </c>
      <c r="D139" s="150">
        <v>48</v>
      </c>
      <c r="E139" s="150" t="s">
        <v>148</v>
      </c>
      <c r="F139" s="154" t="s">
        <v>142</v>
      </c>
      <c r="G139" s="150" t="s">
        <v>136</v>
      </c>
      <c r="H139" s="150" t="s">
        <v>134</v>
      </c>
      <c r="I139" s="150" t="s">
        <v>181</v>
      </c>
      <c r="J139" s="150">
        <v>2</v>
      </c>
      <c r="K139" s="1">
        <f>'Data_2nd DH'!K42</f>
        <v>23</v>
      </c>
      <c r="L139" s="1"/>
      <c r="M139" s="1"/>
      <c r="N139" s="1"/>
      <c r="O139" s="1"/>
      <c r="P139" s="1"/>
      <c r="Q139" s="1"/>
      <c r="R139" s="1">
        <f>'Data_2nd DH'!L42</f>
        <v>3</v>
      </c>
      <c r="S139" s="1">
        <f>'Data_2nd DH'!M42</f>
        <v>2</v>
      </c>
      <c r="T139" s="1"/>
      <c r="U139" s="1"/>
      <c r="V139" s="1">
        <f>'Data_2nd DH'!N42</f>
        <v>0</v>
      </c>
      <c r="W139" s="1"/>
      <c r="X139" s="1"/>
      <c r="Y139" s="1"/>
      <c r="Z139" s="1">
        <f>'Data_2nd DH'!O42</f>
        <v>18.25</v>
      </c>
      <c r="AA139" s="1">
        <f>'Data_2nd DH'!P42</f>
        <v>12</v>
      </c>
      <c r="AB139" s="1">
        <f>'Data_2nd DH'!Q42</f>
        <v>10</v>
      </c>
      <c r="AC139" s="1">
        <f>'Data_2nd DH'!R42</f>
        <v>0.79</v>
      </c>
      <c r="AD139" s="1">
        <f>'Data_2nd DH'!S42</f>
        <v>7.44</v>
      </c>
      <c r="AE139" s="1">
        <v>0</v>
      </c>
      <c r="AF139" s="1">
        <f>'Data_2nd DH'!T42</f>
        <v>18.23</v>
      </c>
      <c r="AG139" s="1">
        <f>'Data_2nd DH'!U42</f>
        <v>311.74</v>
      </c>
      <c r="AH139" s="1"/>
      <c r="AI139" s="1">
        <f>'Data_2nd DH'!Y42</f>
        <v>0.85099999999999998</v>
      </c>
      <c r="AJ139" s="1">
        <f>'Data_2nd DH'!Z42</f>
        <v>0.54500000000000004</v>
      </c>
      <c r="AK139" s="1">
        <f>'Data_2nd DH'!AA42</f>
        <v>7.8E-2</v>
      </c>
      <c r="AL139" s="1"/>
      <c r="AM139" s="1">
        <f t="shared" si="9"/>
        <v>1.474</v>
      </c>
      <c r="AN139" s="129">
        <f t="shared" si="10"/>
        <v>366.32197414806114</v>
      </c>
    </row>
    <row r="140" spans="1:40" x14ac:dyDescent="0.2">
      <c r="A140" s="150">
        <f t="shared" si="11"/>
        <v>34</v>
      </c>
      <c r="B140" s="152">
        <v>45187</v>
      </c>
      <c r="C140" s="153" t="s">
        <v>140</v>
      </c>
      <c r="D140" s="150">
        <v>48</v>
      </c>
      <c r="E140" s="150" t="s">
        <v>148</v>
      </c>
      <c r="F140" s="154" t="s">
        <v>142</v>
      </c>
      <c r="G140" s="150" t="s">
        <v>136</v>
      </c>
      <c r="H140" s="150" t="s">
        <v>134</v>
      </c>
      <c r="I140" s="150" t="s">
        <v>182</v>
      </c>
      <c r="J140" s="150">
        <v>3</v>
      </c>
      <c r="K140" s="1">
        <f>'Data_2nd DH'!K43</f>
        <v>20.5</v>
      </c>
      <c r="L140" s="1"/>
      <c r="M140" s="1"/>
      <c r="N140" s="1"/>
      <c r="O140" s="1"/>
      <c r="P140" s="1"/>
      <c r="Q140" s="1"/>
      <c r="R140" s="1">
        <f>'Data_2nd DH'!L43</f>
        <v>2</v>
      </c>
      <c r="S140" s="1">
        <f>'Data_2nd DH'!M43</f>
        <v>0</v>
      </c>
      <c r="T140" s="1"/>
      <c r="U140" s="1"/>
      <c r="V140" s="1">
        <f>'Data_2nd DH'!N43</f>
        <v>0</v>
      </c>
      <c r="W140" s="1"/>
      <c r="X140" s="1"/>
      <c r="Y140" s="1"/>
      <c r="Z140" s="1">
        <f>'Data_2nd DH'!O43</f>
        <v>9.68</v>
      </c>
      <c r="AA140" s="1">
        <f>'Data_2nd DH'!P43</f>
        <v>9</v>
      </c>
      <c r="AB140" s="1">
        <f>'Data_2nd DH'!Q43</f>
        <v>5.74</v>
      </c>
      <c r="AC140" s="1">
        <f>'Data_2nd DH'!R43</f>
        <v>0.18</v>
      </c>
      <c r="AD140" s="1">
        <f>'Data_2nd DH'!S43</f>
        <v>3.68</v>
      </c>
      <c r="AE140" s="1">
        <v>0</v>
      </c>
      <c r="AF140" s="1">
        <f>'Data_2nd DH'!T43</f>
        <v>9.6</v>
      </c>
      <c r="AG140" s="1">
        <f>'Data_2nd DH'!U43</f>
        <v>171.43</v>
      </c>
      <c r="AH140" s="1"/>
      <c r="AI140" s="1">
        <f>'Data_2nd DH'!Y43</f>
        <v>0.49299999999999999</v>
      </c>
      <c r="AJ140" s="1">
        <f>'Data_2nd DH'!Z43</f>
        <v>0.26500000000000001</v>
      </c>
      <c r="AK140" s="1">
        <f>'Data_2nd DH'!AA43</f>
        <v>1.6E-2</v>
      </c>
      <c r="AL140" s="1"/>
      <c r="AM140" s="1">
        <f t="shared" si="9"/>
        <v>0.77400000000000002</v>
      </c>
      <c r="AN140" s="129">
        <f t="shared" si="10"/>
        <v>347.72819472616635</v>
      </c>
    </row>
    <row r="141" spans="1:40" x14ac:dyDescent="0.2">
      <c r="A141" s="150">
        <f t="shared" si="11"/>
        <v>34</v>
      </c>
      <c r="B141" s="152">
        <v>45187</v>
      </c>
      <c r="C141" s="153" t="s">
        <v>140</v>
      </c>
      <c r="D141" s="150">
        <v>48</v>
      </c>
      <c r="E141" s="150" t="s">
        <v>148</v>
      </c>
      <c r="F141" s="154" t="s">
        <v>142</v>
      </c>
      <c r="G141" s="150" t="s">
        <v>136</v>
      </c>
      <c r="H141" s="150" t="s">
        <v>134</v>
      </c>
      <c r="I141" s="150" t="s">
        <v>183</v>
      </c>
      <c r="J141" s="150">
        <v>4</v>
      </c>
      <c r="K141" s="1">
        <f>'Data_2nd DH'!K44</f>
        <v>24.5</v>
      </c>
      <c r="L141" s="1"/>
      <c r="M141" s="1"/>
      <c r="N141" s="1"/>
      <c r="O141" s="1"/>
      <c r="P141" s="1"/>
      <c r="Q141" s="1"/>
      <c r="R141" s="1">
        <f>'Data_2nd DH'!L44</f>
        <v>3</v>
      </c>
      <c r="S141" s="1">
        <f>'Data_2nd DH'!M44</f>
        <v>1</v>
      </c>
      <c r="T141" s="1"/>
      <c r="U141" s="1"/>
      <c r="V141" s="1">
        <f>'Data_2nd DH'!N44</f>
        <v>0</v>
      </c>
      <c r="W141" s="1"/>
      <c r="X141" s="1"/>
      <c r="Y141" s="1"/>
      <c r="Z141" s="1">
        <f>'Data_2nd DH'!O44</f>
        <v>18.79</v>
      </c>
      <c r="AA141" s="1">
        <f>'Data_2nd DH'!P44</f>
        <v>11</v>
      </c>
      <c r="AB141" s="1">
        <f>'Data_2nd DH'!Q44</f>
        <v>10.59</v>
      </c>
      <c r="AC141" s="1">
        <f>'Data_2nd DH'!R44</f>
        <v>0.75</v>
      </c>
      <c r="AD141" s="1">
        <f>'Data_2nd DH'!S44</f>
        <v>7.38</v>
      </c>
      <c r="AE141" s="1">
        <v>0</v>
      </c>
      <c r="AF141" s="1">
        <f>'Data_2nd DH'!T44</f>
        <v>18.72</v>
      </c>
      <c r="AG141" s="1">
        <f>'Data_2nd DH'!U44</f>
        <v>327.16000000000003</v>
      </c>
      <c r="AH141" s="1"/>
      <c r="AI141" s="1">
        <f>'Data_2nd DH'!Y44</f>
        <v>0.92900000000000005</v>
      </c>
      <c r="AJ141" s="1">
        <f>'Data_2nd DH'!Z44</f>
        <v>0.54800000000000004</v>
      </c>
      <c r="AK141" s="1">
        <f>'Data_2nd DH'!AA44</f>
        <v>7.8E-2</v>
      </c>
      <c r="AL141" s="1"/>
      <c r="AM141" s="1">
        <f t="shared" si="9"/>
        <v>1.5550000000000002</v>
      </c>
      <c r="AN141" s="129">
        <f t="shared" si="10"/>
        <v>352.16361679224974</v>
      </c>
    </row>
    <row r="142" spans="1:40" x14ac:dyDescent="0.2">
      <c r="A142" s="150">
        <f t="shared" si="11"/>
        <v>34</v>
      </c>
      <c r="B142" s="152">
        <v>45187</v>
      </c>
      <c r="C142" s="153" t="s">
        <v>140</v>
      </c>
      <c r="D142" s="150">
        <v>48</v>
      </c>
      <c r="E142" s="150" t="s">
        <v>148</v>
      </c>
      <c r="F142" s="154" t="s">
        <v>142</v>
      </c>
      <c r="G142" s="150" t="s">
        <v>136</v>
      </c>
      <c r="H142" s="150" t="s">
        <v>134</v>
      </c>
      <c r="I142" s="150" t="s">
        <v>184</v>
      </c>
      <c r="J142" s="150">
        <v>5</v>
      </c>
      <c r="K142" s="1">
        <f>'Data_2nd DH'!K45</f>
        <v>24</v>
      </c>
      <c r="L142" s="1"/>
      <c r="M142" s="1"/>
      <c r="N142" s="1"/>
      <c r="O142" s="1"/>
      <c r="P142" s="1"/>
      <c r="Q142" s="1"/>
      <c r="R142" s="1">
        <f>'Data_2nd DH'!L45</f>
        <v>4</v>
      </c>
      <c r="S142" s="1">
        <f>'Data_2nd DH'!M45</f>
        <v>2</v>
      </c>
      <c r="T142" s="1"/>
      <c r="U142" s="1"/>
      <c r="V142" s="1">
        <f>'Data_2nd DH'!N45</f>
        <v>0</v>
      </c>
      <c r="W142" s="1"/>
      <c r="X142" s="1"/>
      <c r="Y142" s="1"/>
      <c r="Z142" s="1">
        <f>'Data_2nd DH'!O45</f>
        <v>17.57</v>
      </c>
      <c r="AA142" s="1">
        <f>'Data_2nd DH'!P45</f>
        <v>11</v>
      </c>
      <c r="AB142" s="1">
        <f>'Data_2nd DH'!Q45</f>
        <v>8.9</v>
      </c>
      <c r="AC142" s="1">
        <f>'Data_2nd DH'!R45</f>
        <v>1.02</v>
      </c>
      <c r="AD142" s="1">
        <f>'Data_2nd DH'!S45</f>
        <v>7.57</v>
      </c>
      <c r="AE142" s="1">
        <v>0</v>
      </c>
      <c r="AF142" s="1">
        <f>'Data_2nd DH'!T45</f>
        <v>17.490000000000002</v>
      </c>
      <c r="AG142" s="1">
        <f>'Data_2nd DH'!U45</f>
        <v>283.79000000000002</v>
      </c>
      <c r="AH142" s="1"/>
      <c r="AI142" s="1">
        <f>'Data_2nd DH'!Y45</f>
        <v>0.75800000000000001</v>
      </c>
      <c r="AJ142" s="1">
        <f>'Data_2nd DH'!Z45</f>
        <v>0.54300000000000004</v>
      </c>
      <c r="AK142" s="1">
        <f>'Data_2nd DH'!AA45</f>
        <v>0.10299999999999999</v>
      </c>
      <c r="AL142" s="1"/>
      <c r="AM142" s="1">
        <f t="shared" si="9"/>
        <v>1.4040000000000001</v>
      </c>
      <c r="AN142" s="129">
        <f t="shared" si="10"/>
        <v>374.39313984168865</v>
      </c>
    </row>
    <row r="143" spans="1:40" x14ac:dyDescent="0.2">
      <c r="A143" s="150">
        <f t="shared" si="11"/>
        <v>34</v>
      </c>
      <c r="B143" s="152">
        <v>45187</v>
      </c>
      <c r="C143" s="153" t="s">
        <v>140</v>
      </c>
      <c r="D143" s="150">
        <v>48</v>
      </c>
      <c r="E143" s="150" t="s">
        <v>148</v>
      </c>
      <c r="F143" s="154" t="s">
        <v>142</v>
      </c>
      <c r="G143" s="150" t="s">
        <v>136</v>
      </c>
      <c r="H143" s="150" t="s">
        <v>134</v>
      </c>
      <c r="I143" s="150" t="s">
        <v>185</v>
      </c>
      <c r="J143" s="150">
        <v>6</v>
      </c>
      <c r="K143" s="1">
        <f>'Data_2nd DH'!K46</f>
        <v>19.5</v>
      </c>
      <c r="L143" s="1"/>
      <c r="M143" s="1"/>
      <c r="N143" s="1"/>
      <c r="O143" s="1"/>
      <c r="P143" s="1"/>
      <c r="Q143" s="1"/>
      <c r="R143" s="1">
        <f>'Data_2nd DH'!L46</f>
        <v>2</v>
      </c>
      <c r="S143" s="1">
        <f>'Data_2nd DH'!M46</f>
        <v>0</v>
      </c>
      <c r="T143" s="1"/>
      <c r="U143" s="1"/>
      <c r="V143" s="1">
        <f>'Data_2nd DH'!N46</f>
        <v>0</v>
      </c>
      <c r="W143" s="1"/>
      <c r="X143" s="1"/>
      <c r="Y143" s="1"/>
      <c r="Z143" s="1">
        <f>'Data_2nd DH'!O46</f>
        <v>15.53</v>
      </c>
      <c r="AA143" s="1">
        <f>'Data_2nd DH'!P46</f>
        <v>11</v>
      </c>
      <c r="AB143" s="1">
        <f>'Data_2nd DH'!Q46</f>
        <v>8.83</v>
      </c>
      <c r="AC143" s="1">
        <f>'Data_2nd DH'!R46</f>
        <v>0.4</v>
      </c>
      <c r="AD143" s="1">
        <f>'Data_2nd DH'!S46</f>
        <v>6.31</v>
      </c>
      <c r="AE143" s="1">
        <v>0</v>
      </c>
      <c r="AF143" s="1">
        <f>'Data_2nd DH'!T46</f>
        <v>15.54</v>
      </c>
      <c r="AG143" s="1">
        <f>'Data_2nd DH'!U46</f>
        <v>256.8</v>
      </c>
      <c r="AH143" s="1"/>
      <c r="AI143" s="1">
        <f>'Data_2nd DH'!Y46</f>
        <v>0.755</v>
      </c>
      <c r="AJ143" s="1">
        <f>'Data_2nd DH'!Z46</f>
        <v>0.44600000000000001</v>
      </c>
      <c r="AK143" s="1">
        <f>'Data_2nd DH'!AA46</f>
        <v>3.6999999999999998E-2</v>
      </c>
      <c r="AL143" s="1"/>
      <c r="AM143" s="1">
        <f t="shared" si="9"/>
        <v>1.238</v>
      </c>
      <c r="AN143" s="129">
        <f t="shared" si="10"/>
        <v>340.13245033112582</v>
      </c>
    </row>
    <row r="144" spans="1:40" x14ac:dyDescent="0.2">
      <c r="A144" s="150">
        <f t="shared" si="11"/>
        <v>34</v>
      </c>
      <c r="B144" s="152">
        <v>45187</v>
      </c>
      <c r="C144" s="153" t="s">
        <v>140</v>
      </c>
      <c r="D144" s="150">
        <v>48</v>
      </c>
      <c r="E144" s="150" t="s">
        <v>149</v>
      </c>
      <c r="F144" s="154" t="s">
        <v>142</v>
      </c>
      <c r="G144" s="150" t="s">
        <v>136</v>
      </c>
      <c r="H144" s="150" t="s">
        <v>135</v>
      </c>
      <c r="I144" s="150" t="s">
        <v>186</v>
      </c>
      <c r="J144" s="150">
        <v>1</v>
      </c>
      <c r="K144" s="1">
        <f>'Data_2nd DH'!K47</f>
        <v>19</v>
      </c>
      <c r="L144" s="1"/>
      <c r="M144" s="1"/>
      <c r="N144" s="1"/>
      <c r="O144" s="1"/>
      <c r="P144" s="1"/>
      <c r="Q144" s="1"/>
      <c r="R144" s="1">
        <f>'Data_2nd DH'!L47</f>
        <v>2</v>
      </c>
      <c r="S144" s="1">
        <f>'Data_2nd DH'!M47</f>
        <v>0</v>
      </c>
      <c r="T144" s="1"/>
      <c r="U144" s="1"/>
      <c r="V144" s="1">
        <f>'Data_2nd DH'!N47</f>
        <v>0</v>
      </c>
      <c r="W144" s="1"/>
      <c r="X144" s="1"/>
      <c r="Y144" s="1"/>
      <c r="Z144" s="1">
        <f>'Data_2nd DH'!O47</f>
        <v>11.63</v>
      </c>
      <c r="AA144" s="1">
        <f>'Data_2nd DH'!P47</f>
        <v>11</v>
      </c>
      <c r="AB144" s="1">
        <f>'Data_2nd DH'!Q47</f>
        <v>6.5</v>
      </c>
      <c r="AC144" s="1">
        <f>'Data_2nd DH'!R47</f>
        <v>4.75</v>
      </c>
      <c r="AD144" s="1">
        <f>'Data_2nd DH'!S47</f>
        <v>0.35</v>
      </c>
      <c r="AE144" s="1">
        <v>0</v>
      </c>
      <c r="AF144" s="1">
        <f>'Data_2nd DH'!T47</f>
        <v>11.6</v>
      </c>
      <c r="AG144" s="1">
        <f>'Data_2nd DH'!U47</f>
        <v>209.89</v>
      </c>
      <c r="AH144" s="1"/>
      <c r="AI144" s="1">
        <f>'Data_2nd DH'!Y47</f>
        <v>0.52300000000000002</v>
      </c>
      <c r="AJ144" s="1">
        <f>'Data_2nd DH'!Z47</f>
        <v>0.28599999999999998</v>
      </c>
      <c r="AK144" s="1">
        <f>'Data_2nd DH'!AA47</f>
        <v>0.03</v>
      </c>
      <c r="AL144" s="1"/>
      <c r="AM144" s="1">
        <f t="shared" si="9"/>
        <v>0.83899999999999997</v>
      </c>
      <c r="AN144" s="129">
        <f t="shared" si="10"/>
        <v>401.31931166347988</v>
      </c>
    </row>
    <row r="145" spans="1:41" x14ac:dyDescent="0.2">
      <c r="A145" s="150">
        <f t="shared" si="11"/>
        <v>34</v>
      </c>
      <c r="B145" s="152">
        <v>45187</v>
      </c>
      <c r="C145" s="153" t="s">
        <v>140</v>
      </c>
      <c r="D145" s="150">
        <v>48</v>
      </c>
      <c r="E145" s="150" t="s">
        <v>149</v>
      </c>
      <c r="F145" s="154" t="s">
        <v>142</v>
      </c>
      <c r="G145" s="150" t="s">
        <v>136</v>
      </c>
      <c r="H145" s="150" t="s">
        <v>135</v>
      </c>
      <c r="I145" s="150" t="s">
        <v>187</v>
      </c>
      <c r="J145" s="150">
        <v>2</v>
      </c>
      <c r="K145" s="1">
        <f>'Data_2nd DH'!K48</f>
        <v>18</v>
      </c>
      <c r="L145" s="1"/>
      <c r="M145" s="1"/>
      <c r="N145" s="1"/>
      <c r="O145" s="1"/>
      <c r="P145" s="1"/>
      <c r="Q145" s="1"/>
      <c r="R145" s="1">
        <f>'Data_2nd DH'!L48</f>
        <v>2</v>
      </c>
      <c r="S145" s="1">
        <f>'Data_2nd DH'!M48</f>
        <v>1</v>
      </c>
      <c r="T145" s="1"/>
      <c r="U145" s="1"/>
      <c r="V145" s="1">
        <f>'Data_2nd DH'!N48</f>
        <v>0</v>
      </c>
      <c r="W145" s="1"/>
      <c r="X145" s="1"/>
      <c r="Y145" s="1"/>
      <c r="Z145" s="1">
        <f>'Data_2nd DH'!O48</f>
        <v>11</v>
      </c>
      <c r="AA145" s="1">
        <f>'Data_2nd DH'!P48</f>
        <v>9</v>
      </c>
      <c r="AB145" s="1">
        <f>'Data_2nd DH'!Q48</f>
        <v>6.31</v>
      </c>
      <c r="AC145" s="1">
        <f>'Data_2nd DH'!R48</f>
        <v>3.82</v>
      </c>
      <c r="AD145" s="1">
        <f>'Data_2nd DH'!S48</f>
        <v>0.8</v>
      </c>
      <c r="AE145" s="1">
        <v>0</v>
      </c>
      <c r="AF145" s="1">
        <f>'Data_2nd DH'!T48</f>
        <v>10.93</v>
      </c>
      <c r="AG145" s="1">
        <f>'Data_2nd DH'!U48</f>
        <v>206.75</v>
      </c>
      <c r="AH145" s="1"/>
      <c r="AI145" s="1">
        <f>'Data_2nd DH'!Y48</f>
        <v>0.54200000000000004</v>
      </c>
      <c r="AJ145" s="1">
        <f>'Data_2nd DH'!Z48</f>
        <v>0.27</v>
      </c>
      <c r="AK145" s="1">
        <f>'Data_2nd DH'!AA48</f>
        <v>6.7000000000000004E-2</v>
      </c>
      <c r="AL145" s="1"/>
      <c r="AM145" s="1">
        <f t="shared" si="9"/>
        <v>0.879</v>
      </c>
      <c r="AN145" s="129">
        <f t="shared" si="10"/>
        <v>381.45756457564573</v>
      </c>
    </row>
    <row r="146" spans="1:41" x14ac:dyDescent="0.2">
      <c r="A146" s="150">
        <f t="shared" si="11"/>
        <v>34</v>
      </c>
      <c r="B146" s="152">
        <v>45187</v>
      </c>
      <c r="C146" s="153" t="s">
        <v>140</v>
      </c>
      <c r="D146" s="150">
        <v>48</v>
      </c>
      <c r="E146" s="150" t="s">
        <v>149</v>
      </c>
      <c r="F146" s="154" t="s">
        <v>142</v>
      </c>
      <c r="G146" s="150" t="s">
        <v>136</v>
      </c>
      <c r="H146" s="150" t="s">
        <v>135</v>
      </c>
      <c r="I146" s="150" t="s">
        <v>188</v>
      </c>
      <c r="J146" s="150">
        <v>3</v>
      </c>
      <c r="K146" s="1">
        <f>'Data_2nd DH'!K49</f>
        <v>24</v>
      </c>
      <c r="L146" s="1"/>
      <c r="M146" s="1"/>
      <c r="N146" s="1"/>
      <c r="O146" s="1"/>
      <c r="P146" s="1"/>
      <c r="Q146" s="1"/>
      <c r="R146" s="1">
        <f>'Data_2nd DH'!L49</f>
        <v>3</v>
      </c>
      <c r="S146" s="1">
        <f>'Data_2nd DH'!M49</f>
        <v>3</v>
      </c>
      <c r="T146" s="1"/>
      <c r="U146" s="1"/>
      <c r="V146" s="1">
        <f>'Data_2nd DH'!N49</f>
        <v>0</v>
      </c>
      <c r="W146" s="1"/>
      <c r="X146" s="1"/>
      <c r="Y146" s="1"/>
      <c r="Z146" s="1">
        <f>'Data_2nd DH'!O49</f>
        <v>16.510000000000002</v>
      </c>
      <c r="AA146" s="1">
        <f>'Data_2nd DH'!P49</f>
        <v>11</v>
      </c>
      <c r="AB146" s="1">
        <f>'Data_2nd DH'!Q49</f>
        <v>9.0299999999999994</v>
      </c>
      <c r="AC146" s="1">
        <f>'Data_2nd DH'!R49</f>
        <v>6</v>
      </c>
      <c r="AD146" s="1">
        <f>'Data_2nd DH'!S49</f>
        <v>1.48</v>
      </c>
      <c r="AE146" s="1">
        <v>0</v>
      </c>
      <c r="AF146" s="1">
        <f>'Data_2nd DH'!T49</f>
        <v>16.509999999999998</v>
      </c>
      <c r="AG146" s="1">
        <f>'Data_2nd DH'!U49</f>
        <v>281.38</v>
      </c>
      <c r="AH146" s="1"/>
      <c r="AI146" s="1">
        <f>'Data_2nd DH'!Y49</f>
        <v>0.752</v>
      </c>
      <c r="AJ146" s="1">
        <f>'Data_2nd DH'!Z49</f>
        <v>0.432</v>
      </c>
      <c r="AK146" s="1">
        <f>'Data_2nd DH'!AA49</f>
        <v>0.12</v>
      </c>
      <c r="AL146" s="1"/>
      <c r="AM146" s="1">
        <f t="shared" si="9"/>
        <v>1.3039999999999998</v>
      </c>
      <c r="AN146" s="129">
        <f t="shared" si="10"/>
        <v>374.17553191489361</v>
      </c>
    </row>
    <row r="147" spans="1:41" x14ac:dyDescent="0.2">
      <c r="A147" s="150">
        <f t="shared" si="11"/>
        <v>34</v>
      </c>
      <c r="B147" s="152">
        <v>45187</v>
      </c>
      <c r="C147" s="153" t="s">
        <v>140</v>
      </c>
      <c r="D147" s="150">
        <v>48</v>
      </c>
      <c r="E147" s="150" t="s">
        <v>149</v>
      </c>
      <c r="F147" s="154" t="s">
        <v>142</v>
      </c>
      <c r="G147" s="150" t="s">
        <v>136</v>
      </c>
      <c r="H147" s="150" t="s">
        <v>135</v>
      </c>
      <c r="I147" s="150" t="s">
        <v>189</v>
      </c>
      <c r="J147" s="150">
        <v>4</v>
      </c>
      <c r="K147" s="1">
        <f>'Data_2nd DH'!K50</f>
        <v>21</v>
      </c>
      <c r="L147" s="1"/>
      <c r="M147" s="1"/>
      <c r="N147" s="1"/>
      <c r="O147" s="1"/>
      <c r="P147" s="1"/>
      <c r="Q147" s="1"/>
      <c r="R147" s="1">
        <f>'Data_2nd DH'!L50</f>
        <v>4</v>
      </c>
      <c r="S147" s="1">
        <f>'Data_2nd DH'!M50</f>
        <v>2</v>
      </c>
      <c r="T147" s="1"/>
      <c r="U147" s="1"/>
      <c r="V147" s="1">
        <f>'Data_2nd DH'!N50</f>
        <v>0</v>
      </c>
      <c r="W147" s="1"/>
      <c r="X147" s="1"/>
      <c r="Y147" s="1"/>
      <c r="Z147" s="1">
        <f>'Data_2nd DH'!O50</f>
        <v>15.93</v>
      </c>
      <c r="AA147" s="1">
        <f>'Data_2nd DH'!P50</f>
        <v>13</v>
      </c>
      <c r="AB147" s="1">
        <f>'Data_2nd DH'!Q50</f>
        <v>9.6</v>
      </c>
      <c r="AC147" s="1">
        <f>'Data_2nd DH'!R50</f>
        <v>4.87</v>
      </c>
      <c r="AD147" s="1">
        <f>'Data_2nd DH'!S50</f>
        <v>1.39</v>
      </c>
      <c r="AE147" s="1">
        <v>0</v>
      </c>
      <c r="AF147" s="1">
        <f>'Data_2nd DH'!T50</f>
        <v>15.86</v>
      </c>
      <c r="AG147" s="1">
        <f>'Data_2nd DH'!U50</f>
        <v>283.45999999999998</v>
      </c>
      <c r="AH147" s="1"/>
      <c r="AI147" s="1">
        <f>'Data_2nd DH'!Y50</f>
        <v>0.80100000000000005</v>
      </c>
      <c r="AJ147" s="1">
        <f>'Data_2nd DH'!Z50</f>
        <v>0.36199999999999999</v>
      </c>
      <c r="AK147" s="1">
        <f>'Data_2nd DH'!AA50</f>
        <v>0.11799999999999999</v>
      </c>
      <c r="AL147" s="1"/>
      <c r="AM147" s="1">
        <f t="shared" si="9"/>
        <v>1.2810000000000001</v>
      </c>
      <c r="AN147" s="129">
        <f t="shared" si="10"/>
        <v>353.88264669163539</v>
      </c>
    </row>
    <row r="148" spans="1:41" x14ac:dyDescent="0.2">
      <c r="A148" s="150">
        <f t="shared" si="11"/>
        <v>34</v>
      </c>
      <c r="B148" s="152">
        <v>45187</v>
      </c>
      <c r="C148" s="153" t="s">
        <v>140</v>
      </c>
      <c r="D148" s="150">
        <v>48</v>
      </c>
      <c r="E148" s="150" t="s">
        <v>149</v>
      </c>
      <c r="F148" s="154" t="s">
        <v>142</v>
      </c>
      <c r="G148" s="150" t="s">
        <v>136</v>
      </c>
      <c r="H148" s="150" t="s">
        <v>135</v>
      </c>
      <c r="I148" s="150" t="s">
        <v>190</v>
      </c>
      <c r="J148" s="150">
        <v>5</v>
      </c>
      <c r="K148" s="1">
        <f>'Data_2nd DH'!K51</f>
        <v>18</v>
      </c>
      <c r="L148" s="1"/>
      <c r="M148" s="1"/>
      <c r="N148" s="1"/>
      <c r="O148" s="1"/>
      <c r="P148" s="1"/>
      <c r="Q148" s="1"/>
      <c r="R148" s="1">
        <f>'Data_2nd DH'!L51</f>
        <v>3</v>
      </c>
      <c r="S148" s="1">
        <f>'Data_2nd DH'!M51</f>
        <v>0</v>
      </c>
      <c r="T148" s="1"/>
      <c r="U148" s="1"/>
      <c r="V148" s="1">
        <f>'Data_2nd DH'!N51</f>
        <v>0</v>
      </c>
      <c r="W148" s="1"/>
      <c r="X148" s="1"/>
      <c r="Y148" s="1"/>
      <c r="Z148" s="1">
        <f>'Data_2nd DH'!O51</f>
        <v>11.37</v>
      </c>
      <c r="AA148" s="1">
        <f>'Data_2nd DH'!P51</f>
        <v>11</v>
      </c>
      <c r="AB148" s="1">
        <f>'Data_2nd DH'!Q51</f>
        <v>6.55</v>
      </c>
      <c r="AC148" s="1">
        <f>'Data_2nd DH'!R51</f>
        <v>4.5199999999999996</v>
      </c>
      <c r="AD148" s="1">
        <f>'Data_2nd DH'!S51</f>
        <v>0.28000000000000003</v>
      </c>
      <c r="AE148" s="1">
        <v>0</v>
      </c>
      <c r="AF148" s="1">
        <f>'Data_2nd DH'!T51</f>
        <v>11.35</v>
      </c>
      <c r="AG148" s="1">
        <f>'Data_2nd DH'!U51</f>
        <v>213.95</v>
      </c>
      <c r="AH148" s="1"/>
      <c r="AI148" s="1">
        <f>'Data_2nd DH'!Y51</f>
        <v>0.52800000000000002</v>
      </c>
      <c r="AJ148" s="1">
        <f>'Data_2nd DH'!Z51</f>
        <v>0.29299999999999998</v>
      </c>
      <c r="AK148" s="1">
        <f>'Data_2nd DH'!AA51</f>
        <v>0.03</v>
      </c>
      <c r="AL148" s="1"/>
      <c r="AM148" s="1">
        <f t="shared" si="9"/>
        <v>0.85099999999999998</v>
      </c>
      <c r="AN148" s="129">
        <f t="shared" si="10"/>
        <v>405.20833333333331</v>
      </c>
    </row>
    <row r="149" spans="1:41" s="170" customFormat="1" x14ac:dyDescent="0.2">
      <c r="A149" s="171">
        <f t="shared" si="11"/>
        <v>34</v>
      </c>
      <c r="B149" s="172">
        <v>45187</v>
      </c>
      <c r="C149" s="173" t="s">
        <v>140</v>
      </c>
      <c r="D149" s="171">
        <v>48</v>
      </c>
      <c r="E149" s="171" t="s">
        <v>149</v>
      </c>
      <c r="F149" s="174" t="s">
        <v>142</v>
      </c>
      <c r="G149" s="171" t="s">
        <v>136</v>
      </c>
      <c r="H149" s="171" t="s">
        <v>135</v>
      </c>
      <c r="I149" s="171" t="s">
        <v>191</v>
      </c>
      <c r="J149" s="171">
        <v>6</v>
      </c>
      <c r="K149" s="167">
        <f>'Data_2nd DH'!K52</f>
        <v>16</v>
      </c>
      <c r="L149" s="167"/>
      <c r="M149" s="167"/>
      <c r="N149" s="167"/>
      <c r="O149" s="167"/>
      <c r="P149" s="167"/>
      <c r="Q149" s="167"/>
      <c r="R149" s="167">
        <f>'Data_2nd DH'!L52</f>
        <v>2</v>
      </c>
      <c r="S149" s="167">
        <f>'Data_2nd DH'!M52</f>
        <v>0</v>
      </c>
      <c r="T149" s="167"/>
      <c r="U149" s="167"/>
      <c r="V149" s="167">
        <f>'Data_2nd DH'!N52</f>
        <v>0</v>
      </c>
      <c r="W149" s="167"/>
      <c r="X149" s="167"/>
      <c r="Y149" s="167"/>
      <c r="Z149" s="167">
        <f>'Data_2nd DH'!O52</f>
        <v>11.22</v>
      </c>
      <c r="AA149" s="167">
        <f>'Data_2nd DH'!P52</f>
        <v>11</v>
      </c>
      <c r="AB149" s="167">
        <f>'Data_2nd DH'!Q52</f>
        <v>6.26</v>
      </c>
      <c r="AC149" s="167">
        <f>'Data_2nd DH'!R52</f>
        <v>4.6900000000000004</v>
      </c>
      <c r="AD149" s="167">
        <f>'Data_2nd DH'!S52</f>
        <v>0.3</v>
      </c>
      <c r="AE149" s="167">
        <v>0</v>
      </c>
      <c r="AF149" s="167">
        <f>'Data_2nd DH'!T52</f>
        <v>11.25</v>
      </c>
      <c r="AG149" s="167">
        <f>'Data_2nd DH'!U52</f>
        <v>208.99</v>
      </c>
      <c r="AH149" s="167"/>
      <c r="AI149" s="167">
        <f>'Data_2nd DH'!Y52</f>
        <v>0.51200000000000001</v>
      </c>
      <c r="AJ149" s="167">
        <f>'Data_2nd DH'!Z52</f>
        <v>0.28599999999999998</v>
      </c>
      <c r="AK149" s="167">
        <f>'Data_2nd DH'!AA52</f>
        <v>2.8000000000000001E-2</v>
      </c>
      <c r="AL149" s="167"/>
      <c r="AM149" s="167">
        <f t="shared" si="9"/>
        <v>0.82600000000000007</v>
      </c>
      <c r="AN149" s="168">
        <f t="shared" si="10"/>
        <v>408.18359375</v>
      </c>
    </row>
    <row r="150" spans="1:41" x14ac:dyDescent="0.2">
      <c r="A150" s="155">
        <f t="shared" si="11"/>
        <v>45</v>
      </c>
      <c r="B150" s="156">
        <f>'Data_3rd DH'!B5</f>
        <v>45198</v>
      </c>
      <c r="C150" s="157" t="str">
        <f>'Data_3rd DH'!C5</f>
        <v>Fruit set/green fruits</v>
      </c>
      <c r="D150" s="155">
        <f>'Data_3rd DH'!D5</f>
        <v>25</v>
      </c>
      <c r="E150" s="155" t="str">
        <f>'Data_3rd DH'!E5</f>
        <v>Cherry_EC6_HighLight</v>
      </c>
      <c r="F150" s="158" t="str">
        <f>'Data_3rd DH'!F5</f>
        <v>Cherry</v>
      </c>
      <c r="G150" s="155" t="str">
        <f>'Data_3rd DH'!G5</f>
        <v>EC6</v>
      </c>
      <c r="H150" s="155" t="str">
        <f>'Data_3rd DH'!H5</f>
        <v>high light</v>
      </c>
      <c r="I150" s="155" t="str">
        <f>'Data_3rd DH'!I5</f>
        <v>Cherry_EC6_HL_1</v>
      </c>
      <c r="J150" s="155">
        <f>'Data_3rd DH'!J5</f>
        <v>1</v>
      </c>
      <c r="K150" s="1">
        <f>'Data_3rd DH'!K5</f>
        <v>28</v>
      </c>
      <c r="L150" s="1"/>
      <c r="M150" s="1"/>
      <c r="N150" s="1"/>
      <c r="O150" s="1"/>
      <c r="P150" s="1"/>
      <c r="Q150" s="1"/>
      <c r="R150" s="1">
        <f>'Data_3rd DH'!L5</f>
        <v>5</v>
      </c>
      <c r="S150" s="1">
        <f>'Data_3rd DH'!M5</f>
        <v>8</v>
      </c>
      <c r="T150" s="1">
        <f>'Data_3rd DH'!N5</f>
        <v>6</v>
      </c>
      <c r="U150" s="1">
        <f>'Data_3rd DH'!O5</f>
        <v>2</v>
      </c>
      <c r="V150" s="1">
        <f>'Data_3rd DH'!P5</f>
        <v>5</v>
      </c>
      <c r="W150" s="1"/>
      <c r="X150" s="1"/>
      <c r="Y150" s="1"/>
      <c r="Z150" s="1">
        <f>'Data_3rd DH'!Q5</f>
        <v>45.74</v>
      </c>
      <c r="AA150" s="1">
        <f>'Data_3rd DH'!R5</f>
        <v>20</v>
      </c>
      <c r="AB150" s="1">
        <f>'Data_3rd DH'!S5</f>
        <v>24.93</v>
      </c>
      <c r="AC150" s="1">
        <f>'Data_3rd DH'!T5</f>
        <v>14.2</v>
      </c>
      <c r="AD150" s="1">
        <f>'Data_3rd DH'!U5</f>
        <v>1.83</v>
      </c>
      <c r="AE150" s="1">
        <f>'Data_3rd DH'!V5</f>
        <v>4.75</v>
      </c>
      <c r="AF150" s="1">
        <f>'Data_3rd DH'!W5</f>
        <v>45.709999999999994</v>
      </c>
      <c r="AG150" s="1">
        <f>'Data_3rd DH'!X5</f>
        <v>664.03</v>
      </c>
      <c r="AH150" s="1"/>
      <c r="AI150" s="1">
        <v>2.7269999999999999</v>
      </c>
      <c r="AJ150" s="1">
        <v>1.59</v>
      </c>
      <c r="AK150" s="1">
        <v>0.23100000000000001</v>
      </c>
      <c r="AL150" s="1">
        <v>0.55500000000000005</v>
      </c>
      <c r="AM150" s="1">
        <f>SUM(AI150:AL150)</f>
        <v>5.1029999999999998</v>
      </c>
      <c r="AN150" s="129">
        <f t="shared" ref="AN150" si="12">AG150/AI150</f>
        <v>243.50201686835351</v>
      </c>
      <c r="AO150" s="162"/>
    </row>
    <row r="151" spans="1:41" x14ac:dyDescent="0.2">
      <c r="A151" s="155">
        <f t="shared" si="11"/>
        <v>45</v>
      </c>
      <c r="B151" s="156">
        <f>'Data_3rd DH'!B6</f>
        <v>45198</v>
      </c>
      <c r="C151" s="157" t="str">
        <f>'Data_3rd DH'!C6</f>
        <v>Fruit set/green fruits</v>
      </c>
      <c r="D151" s="155">
        <f>'Data_3rd DH'!D6</f>
        <v>25</v>
      </c>
      <c r="E151" s="155" t="str">
        <f>'Data_3rd DH'!E6</f>
        <v>Cherry_EC6_HighLight</v>
      </c>
      <c r="F151" s="158" t="str">
        <f>'Data_3rd DH'!F6</f>
        <v>Cherry</v>
      </c>
      <c r="G151" s="155" t="str">
        <f>'Data_3rd DH'!G6</f>
        <v>EC6</v>
      </c>
      <c r="H151" s="155" t="str">
        <f>'Data_3rd DH'!H6</f>
        <v>high light</v>
      </c>
      <c r="I151" s="155" t="str">
        <f>'Data_3rd DH'!I6</f>
        <v>Cherry_EC6_HL_2</v>
      </c>
      <c r="J151" s="155">
        <f>'Data_3rd DH'!J6</f>
        <v>2</v>
      </c>
      <c r="K151" s="1">
        <f>'Data_3rd DH'!K6</f>
        <v>26</v>
      </c>
      <c r="L151" s="1"/>
      <c r="M151" s="1"/>
      <c r="N151" s="1"/>
      <c r="O151" s="1"/>
      <c r="P151" s="1"/>
      <c r="Q151" s="1"/>
      <c r="R151" s="1">
        <f>'Data_3rd DH'!L6</f>
        <v>8</v>
      </c>
      <c r="S151" s="1">
        <f>'Data_3rd DH'!M6</f>
        <v>6</v>
      </c>
      <c r="T151" s="1">
        <f>'Data_3rd DH'!N6</f>
        <v>7</v>
      </c>
      <c r="U151" s="1">
        <f>'Data_3rd DH'!O6</f>
        <v>2</v>
      </c>
      <c r="V151" s="1">
        <f>'Data_3rd DH'!P6</f>
        <v>11</v>
      </c>
      <c r="W151" s="1"/>
      <c r="X151" s="1"/>
      <c r="Y151" s="1"/>
      <c r="Z151" s="1">
        <f>'Data_3rd DH'!Q6</f>
        <v>51.82</v>
      </c>
      <c r="AA151" s="1">
        <f>'Data_3rd DH'!R6</f>
        <v>24</v>
      </c>
      <c r="AB151" s="1">
        <f>'Data_3rd DH'!S6</f>
        <v>25.06</v>
      </c>
      <c r="AC151" s="1">
        <f>'Data_3rd DH'!T6</f>
        <v>14.24</v>
      </c>
      <c r="AD151" s="1">
        <f>'Data_3rd DH'!U6</f>
        <v>1.6</v>
      </c>
      <c r="AE151" s="1">
        <f>'Data_3rd DH'!V6</f>
        <v>10.84</v>
      </c>
      <c r="AF151" s="1">
        <f>'Data_3rd DH'!W6</f>
        <v>51.739999999999995</v>
      </c>
      <c r="AG151" s="1">
        <f>'Data_3rd DH'!X6</f>
        <v>680.03</v>
      </c>
      <c r="AH151" s="1"/>
      <c r="AI151" s="1">
        <v>2.4780000000000002</v>
      </c>
      <c r="AJ151" s="1">
        <v>1.3979999999999999</v>
      </c>
      <c r="AK151" s="1">
        <v>0.19500000000000001</v>
      </c>
      <c r="AL151" s="1">
        <v>1.21</v>
      </c>
      <c r="AM151" s="1">
        <f t="shared" ref="AM151:AM197" si="13">SUM(AI151:AL151)</f>
        <v>5.2810000000000006</v>
      </c>
      <c r="AN151" s="129">
        <f t="shared" ref="AN151:AN214" si="14">AG151/AI151</f>
        <v>274.42695722356734</v>
      </c>
      <c r="AO151" s="162"/>
    </row>
    <row r="152" spans="1:41" x14ac:dyDescent="0.2">
      <c r="A152" s="155">
        <f t="shared" si="11"/>
        <v>45</v>
      </c>
      <c r="B152" s="156">
        <f>'Data_3rd DH'!B7</f>
        <v>45198</v>
      </c>
      <c r="C152" s="157" t="str">
        <f>'Data_3rd DH'!C7</f>
        <v>Fruit set/green fruits</v>
      </c>
      <c r="D152" s="155">
        <f>'Data_3rd DH'!D7</f>
        <v>25</v>
      </c>
      <c r="E152" s="155" t="str">
        <f>'Data_3rd DH'!E7</f>
        <v>Cherry_EC6_HighLight</v>
      </c>
      <c r="F152" s="158" t="str">
        <f>'Data_3rd DH'!F7</f>
        <v>Cherry</v>
      </c>
      <c r="G152" s="155" t="str">
        <f>'Data_3rd DH'!G7</f>
        <v>EC6</v>
      </c>
      <c r="H152" s="155" t="str">
        <f>'Data_3rd DH'!H7</f>
        <v>high light</v>
      </c>
      <c r="I152" s="155" t="str">
        <f>'Data_3rd DH'!I7</f>
        <v>Cherry_EC6_HL_3</v>
      </c>
      <c r="J152" s="155">
        <f>'Data_3rd DH'!J7</f>
        <v>3</v>
      </c>
      <c r="K152" s="1">
        <f>'Data_3rd DH'!K7</f>
        <v>33</v>
      </c>
      <c r="L152" s="1"/>
      <c r="M152" s="1"/>
      <c r="N152" s="1"/>
      <c r="O152" s="1"/>
      <c r="P152" s="1"/>
      <c r="Q152" s="1"/>
      <c r="R152" s="1">
        <f>'Data_3rd DH'!L7</f>
        <v>4</v>
      </c>
      <c r="S152" s="1">
        <f>'Data_3rd DH'!M7</f>
        <v>6</v>
      </c>
      <c r="T152" s="1">
        <f>'Data_3rd DH'!N7</f>
        <v>6.75</v>
      </c>
      <c r="U152" s="1">
        <f>'Data_3rd DH'!O7</f>
        <v>4</v>
      </c>
      <c r="V152" s="1">
        <f>'Data_3rd DH'!P7</f>
        <v>21</v>
      </c>
      <c r="W152" s="1"/>
      <c r="X152" s="1"/>
      <c r="Y152" s="1"/>
      <c r="Z152" s="1">
        <f>'Data_3rd DH'!Q7</f>
        <v>65.010000000000005</v>
      </c>
      <c r="AA152" s="1">
        <f>'Data_3rd DH'!R7</f>
        <v>30</v>
      </c>
      <c r="AB152" s="1">
        <f>'Data_3rd DH'!S7</f>
        <v>28.57</v>
      </c>
      <c r="AC152" s="1">
        <f>'Data_3rd DH'!T7</f>
        <v>16.95</v>
      </c>
      <c r="AD152" s="1">
        <f>'Data_3rd DH'!U7</f>
        <v>1.42</v>
      </c>
      <c r="AE152" s="1">
        <f>'Data_3rd DH'!V7</f>
        <v>17.86</v>
      </c>
      <c r="AF152" s="1">
        <f>'Data_3rd DH'!W7</f>
        <v>64.8</v>
      </c>
      <c r="AG152" s="1">
        <f>'Data_3rd DH'!X7</f>
        <v>787.19</v>
      </c>
      <c r="AH152" s="1"/>
      <c r="AI152" s="1">
        <v>3.0659999999999998</v>
      </c>
      <c r="AJ152" s="1">
        <v>1.921</v>
      </c>
      <c r="AK152" s="1">
        <v>0.17699999999999999</v>
      </c>
      <c r="AL152" s="1">
        <v>2.0619999999999998</v>
      </c>
      <c r="AM152" s="1">
        <f t="shared" si="13"/>
        <v>7.2259999999999991</v>
      </c>
      <c r="AN152" s="129">
        <f t="shared" si="14"/>
        <v>256.7482061317678</v>
      </c>
      <c r="AO152" s="162"/>
    </row>
    <row r="153" spans="1:41" x14ac:dyDescent="0.2">
      <c r="A153" s="155">
        <f t="shared" si="11"/>
        <v>45</v>
      </c>
      <c r="B153" s="156">
        <f>'Data_3rd DH'!B8</f>
        <v>45198</v>
      </c>
      <c r="C153" s="157" t="str">
        <f>'Data_3rd DH'!C8</f>
        <v>Fruit set/green fruits</v>
      </c>
      <c r="D153" s="155">
        <f>'Data_3rd DH'!D8</f>
        <v>25</v>
      </c>
      <c r="E153" s="155" t="str">
        <f>'Data_3rd DH'!E8</f>
        <v>Cherry_EC6_HighLight</v>
      </c>
      <c r="F153" s="158" t="str">
        <f>'Data_3rd DH'!F8</f>
        <v>Cherry</v>
      </c>
      <c r="G153" s="155" t="str">
        <f>'Data_3rd DH'!G8</f>
        <v>EC6</v>
      </c>
      <c r="H153" s="155" t="str">
        <f>'Data_3rd DH'!H8</f>
        <v>high light</v>
      </c>
      <c r="I153" s="155" t="str">
        <f>'Data_3rd DH'!I8</f>
        <v>Cherry_EC6_HL_4</v>
      </c>
      <c r="J153" s="155">
        <f>'Data_3rd DH'!J8</f>
        <v>4</v>
      </c>
      <c r="K153" s="1">
        <f>'Data_3rd DH'!K8</f>
        <v>26</v>
      </c>
      <c r="L153" s="1"/>
      <c r="M153" s="1"/>
      <c r="N153" s="1"/>
      <c r="O153" s="1"/>
      <c r="P153" s="1"/>
      <c r="Q153" s="1"/>
      <c r="R153" s="1">
        <f>'Data_3rd DH'!L8</f>
        <v>2</v>
      </c>
      <c r="S153" s="1">
        <f>'Data_3rd DH'!M8</f>
        <v>4</v>
      </c>
      <c r="T153" s="1">
        <f>'Data_3rd DH'!N8</f>
        <v>5.666666666666667</v>
      </c>
      <c r="U153" s="1">
        <f>'Data_3rd DH'!O8</f>
        <v>3</v>
      </c>
      <c r="V153" s="1">
        <f>'Data_3rd DH'!P8</f>
        <v>12</v>
      </c>
      <c r="W153" s="1"/>
      <c r="X153" s="1"/>
      <c r="Y153" s="1"/>
      <c r="Z153" s="1">
        <f>'Data_3rd DH'!Q8</f>
        <v>38.450000000000003</v>
      </c>
      <c r="AA153" s="1">
        <f>'Data_3rd DH'!R8</f>
        <v>18</v>
      </c>
      <c r="AB153" s="1">
        <f>'Data_3rd DH'!S8</f>
        <v>18.079999999999998</v>
      </c>
      <c r="AC153" s="1">
        <f>'Data_3rd DH'!T8</f>
        <v>8.94</v>
      </c>
      <c r="AD153" s="1">
        <f>'Data_3rd DH'!U8</f>
        <v>0.62000000000000455</v>
      </c>
      <c r="AE153" s="1">
        <f>'Data_3rd DH'!V8</f>
        <v>10.81</v>
      </c>
      <c r="AF153" s="1">
        <f>'Data_3rd DH'!W8</f>
        <v>38.450000000000003</v>
      </c>
      <c r="AG153" s="1">
        <f>'Data_3rd DH'!X8</f>
        <v>499.91</v>
      </c>
      <c r="AH153" s="1"/>
      <c r="AI153" s="1">
        <v>1.651</v>
      </c>
      <c r="AJ153" s="1">
        <v>0.9</v>
      </c>
      <c r="AK153" s="1">
        <v>5.8999999999999997E-2</v>
      </c>
      <c r="AL153" s="1">
        <v>1.0960000000000001</v>
      </c>
      <c r="AM153" s="1">
        <f t="shared" si="13"/>
        <v>3.7060000000000004</v>
      </c>
      <c r="AN153" s="129">
        <f t="shared" si="14"/>
        <v>302.79224712295581</v>
      </c>
      <c r="AO153" s="162"/>
    </row>
    <row r="154" spans="1:41" x14ac:dyDescent="0.2">
      <c r="A154" s="155">
        <f t="shared" si="11"/>
        <v>45</v>
      </c>
      <c r="B154" s="156">
        <f>'Data_3rd DH'!B9</f>
        <v>45198</v>
      </c>
      <c r="C154" s="157" t="str">
        <f>'Data_3rd DH'!C9</f>
        <v>Fruit set/green fruits</v>
      </c>
      <c r="D154" s="155">
        <f>'Data_3rd DH'!D9</f>
        <v>25</v>
      </c>
      <c r="E154" s="155" t="str">
        <f>'Data_3rd DH'!E9</f>
        <v>Cherry_EC6_HighLight</v>
      </c>
      <c r="F154" s="158" t="str">
        <f>'Data_3rd DH'!F9</f>
        <v>Cherry</v>
      </c>
      <c r="G154" s="155" t="str">
        <f>'Data_3rd DH'!G9</f>
        <v>EC6</v>
      </c>
      <c r="H154" s="155" t="str">
        <f>'Data_3rd DH'!H9</f>
        <v>high light</v>
      </c>
      <c r="I154" s="155" t="str">
        <f>'Data_3rd DH'!I9</f>
        <v>Cherry_EC6_HL_5</v>
      </c>
      <c r="J154" s="155">
        <f>'Data_3rd DH'!J9</f>
        <v>5</v>
      </c>
      <c r="K154" s="1">
        <f>'Data_3rd DH'!K9</f>
        <v>32</v>
      </c>
      <c r="L154" s="1"/>
      <c r="M154" s="1"/>
      <c r="N154" s="1"/>
      <c r="O154" s="1"/>
      <c r="P154" s="1"/>
      <c r="Q154" s="1"/>
      <c r="R154" s="1">
        <f>'Data_3rd DH'!L9</f>
        <v>6</v>
      </c>
      <c r="S154" s="1">
        <f>'Data_3rd DH'!M9</f>
        <v>8</v>
      </c>
      <c r="T154" s="1">
        <f>'Data_3rd DH'!N9</f>
        <v>5.5</v>
      </c>
      <c r="U154" s="1">
        <f>'Data_3rd DH'!O9</f>
        <v>2</v>
      </c>
      <c r="V154" s="1">
        <f>'Data_3rd DH'!P9</f>
        <v>10</v>
      </c>
      <c r="W154" s="1"/>
      <c r="X154" s="1"/>
      <c r="Y154" s="1"/>
      <c r="Z154" s="1">
        <f>'Data_3rd DH'!Q9</f>
        <v>46.99</v>
      </c>
      <c r="AA154" s="1">
        <f>'Data_3rd DH'!R9</f>
        <v>29</v>
      </c>
      <c r="AB154" s="1">
        <f>'Data_3rd DH'!S9</f>
        <v>25.79</v>
      </c>
      <c r="AC154" s="1">
        <f>'Data_3rd DH'!T9</f>
        <v>15.39</v>
      </c>
      <c r="AD154" s="1">
        <f>'Data_3rd DH'!U9</f>
        <v>2.1800000000000002</v>
      </c>
      <c r="AE154" s="1">
        <f>'Data_3rd DH'!V9</f>
        <v>3.32</v>
      </c>
      <c r="AF154" s="1">
        <f>'Data_3rd DH'!W9</f>
        <v>46.68</v>
      </c>
      <c r="AG154" s="1">
        <f>'Data_3rd DH'!X9</f>
        <v>695.8</v>
      </c>
      <c r="AH154" s="1"/>
      <c r="AI154" s="1">
        <v>2.8879999999999999</v>
      </c>
      <c r="AJ154" s="1">
        <v>1.6619999999999999</v>
      </c>
      <c r="AK154" s="1">
        <v>0.28199999999999997</v>
      </c>
      <c r="AL154" s="1">
        <v>0.40300000000000002</v>
      </c>
      <c r="AM154" s="1">
        <f t="shared" si="13"/>
        <v>5.2349999999999994</v>
      </c>
      <c r="AN154" s="129">
        <f t="shared" si="14"/>
        <v>240.92797783933517</v>
      </c>
      <c r="AO154" s="162"/>
    </row>
    <row r="155" spans="1:41" x14ac:dyDescent="0.2">
      <c r="A155" s="155">
        <f t="shared" si="11"/>
        <v>45</v>
      </c>
      <c r="B155" s="156">
        <f>'Data_3rd DH'!B10</f>
        <v>45198</v>
      </c>
      <c r="C155" s="157" t="str">
        <f>'Data_3rd DH'!C10</f>
        <v>Fruit set/green fruits</v>
      </c>
      <c r="D155" s="155">
        <f>'Data_3rd DH'!D10</f>
        <v>25</v>
      </c>
      <c r="E155" s="155" t="str">
        <f>'Data_3rd DH'!E10</f>
        <v>Cherry_EC6_HighLight</v>
      </c>
      <c r="F155" s="158" t="str">
        <f>'Data_3rd DH'!F10</f>
        <v>Cherry</v>
      </c>
      <c r="G155" s="155" t="str">
        <f>'Data_3rd DH'!G10</f>
        <v>EC6</v>
      </c>
      <c r="H155" s="155" t="str">
        <f>'Data_3rd DH'!H10</f>
        <v>high light</v>
      </c>
      <c r="I155" s="155" t="str">
        <f>'Data_3rd DH'!I10</f>
        <v>Cherry_EC6_HL_6</v>
      </c>
      <c r="J155" s="155">
        <f>'Data_3rd DH'!J10</f>
        <v>6</v>
      </c>
      <c r="K155" s="1">
        <f>'Data_3rd DH'!K10</f>
        <v>32</v>
      </c>
      <c r="L155" s="1"/>
      <c r="M155" s="1"/>
      <c r="N155" s="1"/>
      <c r="O155" s="1"/>
      <c r="P155" s="1"/>
      <c r="Q155" s="1"/>
      <c r="R155" s="1">
        <f>'Data_3rd DH'!L10</f>
        <v>7</v>
      </c>
      <c r="S155" s="1">
        <f>'Data_3rd DH'!M10</f>
        <v>7</v>
      </c>
      <c r="T155" s="1">
        <f>'Data_3rd DH'!N10</f>
        <v>5.25</v>
      </c>
      <c r="U155" s="1">
        <f>'Data_3rd DH'!O10</f>
        <v>4</v>
      </c>
      <c r="V155" s="1">
        <f>'Data_3rd DH'!P10</f>
        <v>19</v>
      </c>
      <c r="W155" s="1"/>
      <c r="X155" s="1"/>
      <c r="Y155" s="1"/>
      <c r="Z155" s="1">
        <f>'Data_3rd DH'!Q10</f>
        <v>56.73</v>
      </c>
      <c r="AA155" s="1">
        <f>'Data_3rd DH'!R10</f>
        <v>27</v>
      </c>
      <c r="AB155" s="1">
        <f>'Data_3rd DH'!S10</f>
        <v>26.44</v>
      </c>
      <c r="AC155" s="1">
        <f>'Data_3rd DH'!T10</f>
        <v>16.739999999999998</v>
      </c>
      <c r="AD155" s="1">
        <f>'Data_3rd DH'!U10</f>
        <v>1.39</v>
      </c>
      <c r="AE155" s="1">
        <f>'Data_3rd DH'!V10</f>
        <v>12.159999999999997</v>
      </c>
      <c r="AF155" s="1">
        <f>'Data_3rd DH'!W10</f>
        <v>56.73</v>
      </c>
      <c r="AG155" s="1">
        <f>'Data_3rd DH'!X10</f>
        <v>746.49</v>
      </c>
      <c r="AH155" s="1"/>
      <c r="AI155" s="1">
        <v>2.7389999999999999</v>
      </c>
      <c r="AJ155" s="1">
        <v>1.7769999999999999</v>
      </c>
      <c r="AK155" s="1">
        <v>0.187</v>
      </c>
      <c r="AL155" s="1">
        <v>1.377</v>
      </c>
      <c r="AM155" s="1">
        <f t="shared" si="13"/>
        <v>6.08</v>
      </c>
      <c r="AN155" s="129">
        <f t="shared" si="14"/>
        <v>272.54107338444692</v>
      </c>
      <c r="AO155" s="162"/>
    </row>
    <row r="156" spans="1:41" x14ac:dyDescent="0.2">
      <c r="A156" s="155">
        <f t="shared" si="11"/>
        <v>45</v>
      </c>
      <c r="B156" s="156">
        <f>'Data_3rd DH'!B11</f>
        <v>45198</v>
      </c>
      <c r="C156" s="157" t="str">
        <f>'Data_3rd DH'!C11</f>
        <v>Fruit set/green fruits</v>
      </c>
      <c r="D156" s="155">
        <f>'Data_3rd DH'!D11</f>
        <v>25</v>
      </c>
      <c r="E156" s="155" t="str">
        <f>'Data_3rd DH'!E11</f>
        <v>Cherry_EC6_MedLight</v>
      </c>
      <c r="F156" s="158" t="str">
        <f>'Data_3rd DH'!F11</f>
        <v>Cherry</v>
      </c>
      <c r="G156" s="155" t="str">
        <f>'Data_3rd DH'!G11</f>
        <v>EC6</v>
      </c>
      <c r="H156" s="155" t="str">
        <f>'Data_3rd DH'!H11</f>
        <v>med light</v>
      </c>
      <c r="I156" s="155" t="str">
        <f>'Data_3rd DH'!I11</f>
        <v>Cherry_EC6_ML_1</v>
      </c>
      <c r="J156" s="155">
        <f>'Data_3rd DH'!J11</f>
        <v>1</v>
      </c>
      <c r="K156" s="1">
        <f>'Data_3rd DH'!K11</f>
        <v>22</v>
      </c>
      <c r="L156" s="1"/>
      <c r="M156" s="1"/>
      <c r="N156" s="1"/>
      <c r="O156" s="1"/>
      <c r="P156" s="1"/>
      <c r="Q156" s="1"/>
      <c r="R156" s="1">
        <f>'Data_3rd DH'!L11</f>
        <v>4</v>
      </c>
      <c r="S156" s="1">
        <f>'Data_3rd DH'!M11</f>
        <v>3</v>
      </c>
      <c r="T156" s="1">
        <f>'Data_3rd DH'!N11</f>
        <v>5.5</v>
      </c>
      <c r="U156" s="1">
        <f>'Data_3rd DH'!O11</f>
        <v>2</v>
      </c>
      <c r="V156" s="1">
        <f>'Data_3rd DH'!P11</f>
        <v>11</v>
      </c>
      <c r="W156" s="1"/>
      <c r="X156" s="1"/>
      <c r="Y156" s="1"/>
      <c r="Z156" s="1">
        <f>'Data_3rd DH'!Q11</f>
        <v>27.87</v>
      </c>
      <c r="AA156" s="1">
        <f>'Data_3rd DH'!R11</f>
        <v>16</v>
      </c>
      <c r="AB156" s="1">
        <f>'Data_3rd DH'!S11</f>
        <v>10.91</v>
      </c>
      <c r="AC156" s="1">
        <f>'Data_3rd DH'!T11</f>
        <v>6.88</v>
      </c>
      <c r="AD156" s="1">
        <f>'Data_3rd DH'!U11</f>
        <v>0.53</v>
      </c>
      <c r="AE156" s="1">
        <f>'Data_3rd DH'!V11</f>
        <v>9.59</v>
      </c>
      <c r="AF156" s="1">
        <f>'Data_3rd DH'!W11</f>
        <v>27.91</v>
      </c>
      <c r="AG156" s="1">
        <f>'Data_3rd DH'!X11</f>
        <v>326.27999999999997</v>
      </c>
      <c r="AH156" s="1"/>
      <c r="AI156" s="1">
        <v>1.004</v>
      </c>
      <c r="AJ156" s="1">
        <v>0.64400000000000002</v>
      </c>
      <c r="AK156" s="1">
        <v>5.8999999999999997E-2</v>
      </c>
      <c r="AL156" s="1">
        <v>0.92100000000000004</v>
      </c>
      <c r="AM156" s="1">
        <f t="shared" si="13"/>
        <v>2.6280000000000001</v>
      </c>
      <c r="AN156" s="129">
        <f t="shared" si="14"/>
        <v>324.98007968127484</v>
      </c>
      <c r="AO156" s="162"/>
    </row>
    <row r="157" spans="1:41" x14ac:dyDescent="0.2">
      <c r="A157" s="155">
        <f t="shared" si="11"/>
        <v>45</v>
      </c>
      <c r="B157" s="156">
        <f>'Data_3rd DH'!B12</f>
        <v>45198</v>
      </c>
      <c r="C157" s="157" t="str">
        <f>'Data_3rd DH'!C12</f>
        <v>Fruit set/green fruits</v>
      </c>
      <c r="D157" s="155">
        <f>'Data_3rd DH'!D12</f>
        <v>25</v>
      </c>
      <c r="E157" s="155" t="str">
        <f>'Data_3rd DH'!E12</f>
        <v>Cherry_EC6_MedLight</v>
      </c>
      <c r="F157" s="158" t="str">
        <f>'Data_3rd DH'!F12</f>
        <v>Cherry</v>
      </c>
      <c r="G157" s="155" t="str">
        <f>'Data_3rd DH'!G12</f>
        <v>EC6</v>
      </c>
      <c r="H157" s="155" t="str">
        <f>'Data_3rd DH'!H12</f>
        <v>med light</v>
      </c>
      <c r="I157" s="155" t="str">
        <f>'Data_3rd DH'!I12</f>
        <v>Cherry_EC6_ML_2</v>
      </c>
      <c r="J157" s="155">
        <f>'Data_3rd DH'!J12</f>
        <v>2</v>
      </c>
      <c r="K157" s="1">
        <f>'Data_3rd DH'!K12</f>
        <v>32</v>
      </c>
      <c r="L157" s="1"/>
      <c r="M157" s="1"/>
      <c r="N157" s="1"/>
      <c r="O157" s="1"/>
      <c r="P157" s="1"/>
      <c r="Q157" s="1"/>
      <c r="R157" s="1">
        <f>'Data_3rd DH'!L12</f>
        <v>4</v>
      </c>
      <c r="S157" s="1">
        <f>'Data_3rd DH'!M12</f>
        <v>3</v>
      </c>
      <c r="T157" s="1">
        <f>'Data_3rd DH'!N12</f>
        <v>6</v>
      </c>
      <c r="U157" s="1">
        <f>'Data_3rd DH'!O12</f>
        <v>3</v>
      </c>
      <c r="V157" s="1">
        <f>'Data_3rd DH'!P12</f>
        <v>10</v>
      </c>
      <c r="W157" s="1"/>
      <c r="X157" s="1"/>
      <c r="Y157" s="1"/>
      <c r="Z157" s="1">
        <f>'Data_3rd DH'!Q12</f>
        <v>44.31</v>
      </c>
      <c r="AA157" s="1">
        <f>'Data_3rd DH'!R12</f>
        <v>18</v>
      </c>
      <c r="AB157" s="1">
        <f>'Data_3rd DH'!S12</f>
        <v>23.82</v>
      </c>
      <c r="AC157" s="1">
        <f>'Data_3rd DH'!T12</f>
        <v>15.2</v>
      </c>
      <c r="AD157" s="1">
        <f>'Data_3rd DH'!U12</f>
        <v>1</v>
      </c>
      <c r="AE157" s="1">
        <f>'Data_3rd DH'!V12</f>
        <v>4.09</v>
      </c>
      <c r="AF157" s="1">
        <f>'Data_3rd DH'!W12</f>
        <v>44.11</v>
      </c>
      <c r="AG157" s="1">
        <f>'Data_3rd DH'!X12</f>
        <v>657.62</v>
      </c>
      <c r="AH157" s="1"/>
      <c r="AI157" s="1">
        <v>2.516</v>
      </c>
      <c r="AJ157" s="1">
        <v>1.6140000000000001</v>
      </c>
      <c r="AK157" s="1">
        <v>0.128</v>
      </c>
      <c r="AL157" s="1">
        <v>0.49099999999999999</v>
      </c>
      <c r="AM157" s="1">
        <f t="shared" si="13"/>
        <v>4.7489999999999997</v>
      </c>
      <c r="AN157" s="129">
        <f t="shared" si="14"/>
        <v>261.37519872813988</v>
      </c>
      <c r="AO157" s="162"/>
    </row>
    <row r="158" spans="1:41" x14ac:dyDescent="0.2">
      <c r="A158" s="155">
        <f t="shared" si="11"/>
        <v>45</v>
      </c>
      <c r="B158" s="156">
        <f>'Data_3rd DH'!B13</f>
        <v>45198</v>
      </c>
      <c r="C158" s="157" t="str">
        <f>'Data_3rd DH'!C13</f>
        <v>Fruit set/green fruits</v>
      </c>
      <c r="D158" s="155">
        <f>'Data_3rd DH'!D13</f>
        <v>25</v>
      </c>
      <c r="E158" s="155" t="str">
        <f>'Data_3rd DH'!E13</f>
        <v>Cherry_EC6_MedLight</v>
      </c>
      <c r="F158" s="158" t="str">
        <f>'Data_3rd DH'!F13</f>
        <v>Cherry</v>
      </c>
      <c r="G158" s="155" t="str">
        <f>'Data_3rd DH'!G13</f>
        <v>EC6</v>
      </c>
      <c r="H158" s="155" t="str">
        <f>'Data_3rd DH'!H13</f>
        <v>med light</v>
      </c>
      <c r="I158" s="155" t="str">
        <f>'Data_3rd DH'!I13</f>
        <v>Cherry_EC6_ML_3</v>
      </c>
      <c r="J158" s="155">
        <f>'Data_3rd DH'!J13</f>
        <v>3</v>
      </c>
      <c r="K158" s="1">
        <f>'Data_3rd DH'!K13</f>
        <v>28</v>
      </c>
      <c r="L158" s="1"/>
      <c r="M158" s="1"/>
      <c r="N158" s="1"/>
      <c r="O158" s="1"/>
      <c r="P158" s="1"/>
      <c r="Q158" s="1"/>
      <c r="R158" s="1">
        <f>'Data_3rd DH'!L13</f>
        <v>3</v>
      </c>
      <c r="S158" s="1">
        <f>'Data_3rd DH'!M13</f>
        <v>6</v>
      </c>
      <c r="T158" s="1">
        <f>'Data_3rd DH'!N13</f>
        <v>6.333333333333333</v>
      </c>
      <c r="U158" s="1">
        <f>'Data_3rd DH'!O13</f>
        <v>3</v>
      </c>
      <c r="V158" s="1">
        <f>'Data_3rd DH'!P13</f>
        <v>13</v>
      </c>
      <c r="W158" s="1"/>
      <c r="X158" s="1"/>
      <c r="Y158" s="1"/>
      <c r="Z158" s="1">
        <f>'Data_3rd DH'!Q13</f>
        <v>34.17</v>
      </c>
      <c r="AA158" s="1">
        <f>'Data_3rd DH'!R13</f>
        <v>16</v>
      </c>
      <c r="AB158" s="1">
        <f>'Data_3rd DH'!S13</f>
        <v>16.350000000000001</v>
      </c>
      <c r="AC158" s="1">
        <f>'Data_3rd DH'!T13</f>
        <v>9.6</v>
      </c>
      <c r="AD158" s="1">
        <f>'Data_3rd DH'!U13</f>
        <v>0.84</v>
      </c>
      <c r="AE158" s="1">
        <f>'Data_3rd DH'!V13</f>
        <v>7.34</v>
      </c>
      <c r="AF158" s="1">
        <f>'Data_3rd DH'!W13</f>
        <v>34.130000000000003</v>
      </c>
      <c r="AG158" s="1">
        <f>'Data_3rd DH'!X13</f>
        <v>464.11</v>
      </c>
      <c r="AH158" s="1"/>
      <c r="AI158" s="1">
        <v>1.494</v>
      </c>
      <c r="AJ158" s="1">
        <v>0.95699999999999996</v>
      </c>
      <c r="AK158" s="1">
        <v>9.6000000000000002E-2</v>
      </c>
      <c r="AL158" s="1">
        <v>0.78700000000000003</v>
      </c>
      <c r="AM158" s="1">
        <f t="shared" si="13"/>
        <v>3.3340000000000001</v>
      </c>
      <c r="AN158" s="129">
        <f t="shared" si="14"/>
        <v>310.64926372155287</v>
      </c>
      <c r="AO158" s="162"/>
    </row>
    <row r="159" spans="1:41" x14ac:dyDescent="0.2">
      <c r="A159" s="155">
        <f t="shared" si="11"/>
        <v>45</v>
      </c>
      <c r="B159" s="156">
        <f>'Data_3rd DH'!B14</f>
        <v>45198</v>
      </c>
      <c r="C159" s="157" t="str">
        <f>'Data_3rd DH'!C14</f>
        <v>Fruit set/green fruits</v>
      </c>
      <c r="D159" s="155">
        <f>'Data_3rd DH'!D14</f>
        <v>25</v>
      </c>
      <c r="E159" s="155" t="str">
        <f>'Data_3rd DH'!E14</f>
        <v>Cherry_EC6_MedLight</v>
      </c>
      <c r="F159" s="158" t="str">
        <f>'Data_3rd DH'!F14</f>
        <v>Cherry</v>
      </c>
      <c r="G159" s="155" t="str">
        <f>'Data_3rd DH'!G14</f>
        <v>EC6</v>
      </c>
      <c r="H159" s="155" t="str">
        <f>'Data_3rd DH'!H14</f>
        <v>med light</v>
      </c>
      <c r="I159" s="155" t="str">
        <f>'Data_3rd DH'!I14</f>
        <v>Cherry_EC6_ML_4</v>
      </c>
      <c r="J159" s="155">
        <f>'Data_3rd DH'!J14</f>
        <v>4</v>
      </c>
      <c r="K159" s="1">
        <f>'Data_3rd DH'!K14</f>
        <v>33</v>
      </c>
      <c r="L159" s="1"/>
      <c r="M159" s="1"/>
      <c r="N159" s="1"/>
      <c r="O159" s="1"/>
      <c r="P159" s="1"/>
      <c r="Q159" s="1"/>
      <c r="R159" s="1">
        <f>'Data_3rd DH'!L14</f>
        <v>3</v>
      </c>
      <c r="S159" s="1">
        <f>'Data_3rd DH'!M14</f>
        <v>3</v>
      </c>
      <c r="T159" s="1">
        <f>'Data_3rd DH'!N14</f>
        <v>6</v>
      </c>
      <c r="U159" s="1">
        <f>'Data_3rd DH'!O14</f>
        <v>3</v>
      </c>
      <c r="V159" s="1">
        <f>'Data_3rd DH'!P14</f>
        <v>10</v>
      </c>
      <c r="W159" s="1"/>
      <c r="X159" s="1"/>
      <c r="Y159" s="1"/>
      <c r="Z159" s="1">
        <f>'Data_3rd DH'!Q14</f>
        <v>48.37</v>
      </c>
      <c r="AA159" s="1">
        <f>'Data_3rd DH'!R14</f>
        <v>19</v>
      </c>
      <c r="AB159" s="1">
        <f>'Data_3rd DH'!S14</f>
        <v>23.42</v>
      </c>
      <c r="AC159" s="1">
        <f>'Data_3rd DH'!T14</f>
        <v>13.4</v>
      </c>
      <c r="AD159" s="1">
        <f>'Data_3rd DH'!U14</f>
        <v>0.72</v>
      </c>
      <c r="AE159" s="1">
        <f>'Data_3rd DH'!V14</f>
        <v>10.29</v>
      </c>
      <c r="AF159" s="1">
        <f>'Data_3rd DH'!W14</f>
        <v>47.83</v>
      </c>
      <c r="AG159" s="1">
        <f>'Data_3rd DH'!X14</f>
        <v>652.54999999999995</v>
      </c>
      <c r="AH159" s="1"/>
      <c r="AI159" s="1">
        <v>2.3479999999999999</v>
      </c>
      <c r="AJ159" s="1">
        <v>1.4119999999999999</v>
      </c>
      <c r="AK159" s="1">
        <v>0.106</v>
      </c>
      <c r="AL159" s="1">
        <v>1.163</v>
      </c>
      <c r="AM159" s="1">
        <f t="shared" si="13"/>
        <v>5.0289999999999999</v>
      </c>
      <c r="AN159" s="129">
        <f t="shared" si="14"/>
        <v>277.91737649063032</v>
      </c>
      <c r="AO159" s="162"/>
    </row>
    <row r="160" spans="1:41" x14ac:dyDescent="0.2">
      <c r="A160" s="155">
        <f t="shared" si="11"/>
        <v>45</v>
      </c>
      <c r="B160" s="156">
        <f>'Data_3rd DH'!B15</f>
        <v>45198</v>
      </c>
      <c r="C160" s="157" t="str">
        <f>'Data_3rd DH'!C15</f>
        <v>Fruit set/green fruits</v>
      </c>
      <c r="D160" s="155">
        <f>'Data_3rd DH'!D15</f>
        <v>25</v>
      </c>
      <c r="E160" s="155" t="str">
        <f>'Data_3rd DH'!E15</f>
        <v>Cherry_EC6_MedLight</v>
      </c>
      <c r="F160" s="158" t="str">
        <f>'Data_3rd DH'!F15</f>
        <v>Cherry</v>
      </c>
      <c r="G160" s="155" t="str">
        <f>'Data_3rd DH'!G15</f>
        <v>EC6</v>
      </c>
      <c r="H160" s="155" t="str">
        <f>'Data_3rd DH'!H15</f>
        <v>med light</v>
      </c>
      <c r="I160" s="155" t="str">
        <f>'Data_3rd DH'!I15</f>
        <v>Cherry_EC6_ML_5</v>
      </c>
      <c r="J160" s="155">
        <f>'Data_3rd DH'!J15</f>
        <v>5</v>
      </c>
      <c r="K160" s="1">
        <f>'Data_3rd DH'!K15</f>
        <v>27</v>
      </c>
      <c r="L160" s="1"/>
      <c r="M160" s="1"/>
      <c r="N160" s="1"/>
      <c r="O160" s="1"/>
      <c r="P160" s="1"/>
      <c r="Q160" s="1"/>
      <c r="R160" s="1">
        <f>'Data_3rd DH'!L15</f>
        <v>4</v>
      </c>
      <c r="S160" s="1">
        <f>'Data_3rd DH'!M15</f>
        <v>7</v>
      </c>
      <c r="T160" s="1">
        <f>'Data_3rd DH'!N15</f>
        <v>7</v>
      </c>
      <c r="U160" s="1">
        <f>'Data_3rd DH'!O15</f>
        <v>2</v>
      </c>
      <c r="V160" s="1">
        <f>'Data_3rd DH'!P15</f>
        <v>10</v>
      </c>
      <c r="W160" s="1"/>
      <c r="X160" s="1"/>
      <c r="Y160" s="1"/>
      <c r="Z160" s="1">
        <f>'Data_3rd DH'!Q15</f>
        <v>43.37</v>
      </c>
      <c r="AA160" s="1">
        <f>'Data_3rd DH'!R15</f>
        <v>21</v>
      </c>
      <c r="AB160" s="1">
        <f>'Data_3rd DH'!S15</f>
        <v>23.59</v>
      </c>
      <c r="AC160" s="1">
        <f>'Data_3rd DH'!T15</f>
        <v>13.91</v>
      </c>
      <c r="AD160" s="1">
        <f>'Data_3rd DH'!U15</f>
        <v>1.78</v>
      </c>
      <c r="AE160" s="1">
        <f>'Data_3rd DH'!V15</f>
        <v>3.86</v>
      </c>
      <c r="AF160" s="1">
        <f>'Data_3rd DH'!W15</f>
        <v>43.14</v>
      </c>
      <c r="AG160" s="1">
        <f>'Data_3rd DH'!X15</f>
        <v>606.96</v>
      </c>
      <c r="AH160" s="1"/>
      <c r="AI160" s="1">
        <v>2.62</v>
      </c>
      <c r="AJ160" s="1">
        <v>1.516</v>
      </c>
      <c r="AK160" s="1">
        <v>0.22</v>
      </c>
      <c r="AL160" s="1">
        <v>0.46300000000000002</v>
      </c>
      <c r="AM160" s="1">
        <f t="shared" si="13"/>
        <v>4.819</v>
      </c>
      <c r="AN160" s="129">
        <f t="shared" si="14"/>
        <v>231.66412213740458</v>
      </c>
      <c r="AO160" s="162"/>
    </row>
    <row r="161" spans="1:41" x14ac:dyDescent="0.2">
      <c r="A161" s="155">
        <f t="shared" si="11"/>
        <v>45</v>
      </c>
      <c r="B161" s="156">
        <f>'Data_3rd DH'!B16</f>
        <v>45198</v>
      </c>
      <c r="C161" s="157" t="str">
        <f>'Data_3rd DH'!C16</f>
        <v>Fruit set/green fruits</v>
      </c>
      <c r="D161" s="155">
        <f>'Data_3rd DH'!D16</f>
        <v>25</v>
      </c>
      <c r="E161" s="155" t="str">
        <f>'Data_3rd DH'!E16</f>
        <v>Cherry_EC6_MedLight</v>
      </c>
      <c r="F161" s="158" t="str">
        <f>'Data_3rd DH'!F16</f>
        <v>Cherry</v>
      </c>
      <c r="G161" s="155" t="str">
        <f>'Data_3rd DH'!G16</f>
        <v>EC6</v>
      </c>
      <c r="H161" s="155" t="str">
        <f>'Data_3rd DH'!H16</f>
        <v>med light</v>
      </c>
      <c r="I161" s="155" t="str">
        <f>'Data_3rd DH'!I16</f>
        <v>Cherry_EC6_ML_6</v>
      </c>
      <c r="J161" s="155">
        <f>'Data_3rd DH'!J16</f>
        <v>6</v>
      </c>
      <c r="K161" s="1">
        <f>'Data_3rd DH'!K16</f>
        <v>26</v>
      </c>
      <c r="L161" s="1"/>
      <c r="M161" s="1"/>
      <c r="N161" s="1"/>
      <c r="O161" s="1"/>
      <c r="P161" s="1"/>
      <c r="Q161" s="1"/>
      <c r="R161" s="1">
        <f>'Data_3rd DH'!L16</f>
        <v>3</v>
      </c>
      <c r="S161" s="1">
        <f>'Data_3rd DH'!M16</f>
        <v>9</v>
      </c>
      <c r="T161" s="1">
        <f>'Data_3rd DH'!N16</f>
        <v>7</v>
      </c>
      <c r="U161" s="1">
        <f>'Data_3rd DH'!O16</f>
        <v>2</v>
      </c>
      <c r="V161" s="1">
        <f>'Data_3rd DH'!P16</f>
        <v>8</v>
      </c>
      <c r="W161" s="1"/>
      <c r="X161" s="1"/>
      <c r="Y161" s="1"/>
      <c r="Z161" s="1">
        <f>'Data_3rd DH'!Q16</f>
        <v>39.299999999999997</v>
      </c>
      <c r="AA161" s="1">
        <f>'Data_3rd DH'!R16</f>
        <v>25</v>
      </c>
      <c r="AB161" s="1">
        <f>'Data_3rd DH'!S16</f>
        <v>22.44</v>
      </c>
      <c r="AC161" s="1">
        <f>'Data_3rd DH'!T16</f>
        <v>12.03</v>
      </c>
      <c r="AD161" s="1">
        <f>'Data_3rd DH'!U16</f>
        <v>1.1100000000000001</v>
      </c>
      <c r="AE161" s="1">
        <f>'Data_3rd DH'!V16</f>
        <v>3.45</v>
      </c>
      <c r="AF161" s="1">
        <f>'Data_3rd DH'!W16</f>
        <v>39.03</v>
      </c>
      <c r="AG161" s="1">
        <f>'Data_3rd DH'!X16</f>
        <v>602.59</v>
      </c>
      <c r="AH161" s="1"/>
      <c r="AI161" s="1">
        <v>2.1949999999999998</v>
      </c>
      <c r="AJ161" s="1">
        <v>1.2210000000000001</v>
      </c>
      <c r="AK161" s="1">
        <v>0.124</v>
      </c>
      <c r="AL161" s="1">
        <v>0.39</v>
      </c>
      <c r="AM161" s="1">
        <f t="shared" si="13"/>
        <v>3.93</v>
      </c>
      <c r="AN161" s="129">
        <f t="shared" si="14"/>
        <v>274.52847380410026</v>
      </c>
      <c r="AO161" s="162"/>
    </row>
    <row r="162" spans="1:41" x14ac:dyDescent="0.2">
      <c r="A162" s="155">
        <f t="shared" si="11"/>
        <v>45</v>
      </c>
      <c r="B162" s="156">
        <f>'Data_3rd DH'!B17</f>
        <v>45198</v>
      </c>
      <c r="C162" s="157" t="str">
        <f>'Data_3rd DH'!C17</f>
        <v>Fruit set/green fruits</v>
      </c>
      <c r="D162" s="155">
        <f>'Data_3rd DH'!D17</f>
        <v>25</v>
      </c>
      <c r="E162" s="155" t="str">
        <f>'Data_3rd DH'!E17</f>
        <v>Cherry_EC6_LowLight</v>
      </c>
      <c r="F162" s="158" t="str">
        <f>'Data_3rd DH'!F17</f>
        <v>Cherry</v>
      </c>
      <c r="G162" s="155" t="str">
        <f>'Data_3rd DH'!G17</f>
        <v>EC6</v>
      </c>
      <c r="H162" s="155" t="str">
        <f>'Data_3rd DH'!H17</f>
        <v>low light</v>
      </c>
      <c r="I162" s="155" t="str">
        <f>'Data_3rd DH'!I17</f>
        <v>Cherry_EC6_LL_1</v>
      </c>
      <c r="J162" s="155">
        <f>'Data_3rd DH'!J17</f>
        <v>1</v>
      </c>
      <c r="K162" s="1">
        <f>'Data_3rd DH'!K17</f>
        <v>30</v>
      </c>
      <c r="L162" s="1"/>
      <c r="M162" s="1"/>
      <c r="N162" s="1"/>
      <c r="O162" s="1"/>
      <c r="P162" s="1"/>
      <c r="Q162" s="1"/>
      <c r="R162" s="1">
        <f>'Data_3rd DH'!L17</f>
        <v>3</v>
      </c>
      <c r="S162" s="1">
        <f>'Data_3rd DH'!M17</f>
        <v>0</v>
      </c>
      <c r="T162" s="1">
        <f>'Data_3rd DH'!N17</f>
        <v>5.6</v>
      </c>
      <c r="U162" s="1">
        <f>'Data_3rd DH'!O17</f>
        <v>5</v>
      </c>
      <c r="V162" s="1">
        <f>'Data_3rd DH'!P17</f>
        <v>15</v>
      </c>
      <c r="W162" s="1"/>
      <c r="X162" s="1"/>
      <c r="Y162" s="1"/>
      <c r="Z162" s="1">
        <f>'Data_3rd DH'!Q17</f>
        <v>39.74</v>
      </c>
      <c r="AA162" s="1">
        <f>'Data_3rd DH'!R17</f>
        <v>23</v>
      </c>
      <c r="AB162" s="1">
        <f>'Data_3rd DH'!S17</f>
        <v>18.3</v>
      </c>
      <c r="AC162" s="1">
        <f>'Data_3rd DH'!T17</f>
        <v>11.62</v>
      </c>
      <c r="AD162" s="1">
        <f>'Data_3rd DH'!U17</f>
        <v>0.28999999999999998</v>
      </c>
      <c r="AE162" s="1">
        <f>'Data_3rd DH'!V17</f>
        <v>9.24</v>
      </c>
      <c r="AF162" s="1">
        <f>'Data_3rd DH'!W17</f>
        <v>39.450000000000003</v>
      </c>
      <c r="AG162" s="1">
        <f>'Data_3rd DH'!X17</f>
        <v>538.64</v>
      </c>
      <c r="AH162" s="1"/>
      <c r="AI162" s="1">
        <v>1.8</v>
      </c>
      <c r="AJ162" s="1">
        <v>1.121</v>
      </c>
      <c r="AK162" s="1">
        <v>4.5999999999999999E-2</v>
      </c>
      <c r="AL162" s="1">
        <v>1.0129999999999999</v>
      </c>
      <c r="AM162" s="1">
        <f t="shared" si="13"/>
        <v>3.98</v>
      </c>
      <c r="AN162" s="129">
        <f t="shared" si="14"/>
        <v>299.24444444444441</v>
      </c>
      <c r="AO162" s="162"/>
    </row>
    <row r="163" spans="1:41" x14ac:dyDescent="0.2">
      <c r="A163" s="155">
        <f t="shared" si="11"/>
        <v>45</v>
      </c>
      <c r="B163" s="156">
        <f>'Data_3rd DH'!B18</f>
        <v>45198</v>
      </c>
      <c r="C163" s="157" t="str">
        <f>'Data_3rd DH'!C18</f>
        <v>Fruit set/green fruits</v>
      </c>
      <c r="D163" s="155">
        <f>'Data_3rd DH'!D18</f>
        <v>25</v>
      </c>
      <c r="E163" s="155" t="str">
        <f>'Data_3rd DH'!E18</f>
        <v>Cherry_EC6_LowLight</v>
      </c>
      <c r="F163" s="158" t="str">
        <f>'Data_3rd DH'!F18</f>
        <v>Cherry</v>
      </c>
      <c r="G163" s="155" t="str">
        <f>'Data_3rd DH'!G18</f>
        <v>EC6</v>
      </c>
      <c r="H163" s="155" t="str">
        <f>'Data_3rd DH'!H18</f>
        <v>low light</v>
      </c>
      <c r="I163" s="155" t="str">
        <f>'Data_3rd DH'!I18</f>
        <v>Cherry_EC6_LL_2</v>
      </c>
      <c r="J163" s="155">
        <f>'Data_3rd DH'!J18</f>
        <v>2</v>
      </c>
      <c r="K163" s="1">
        <f>'Data_3rd DH'!K18</f>
        <v>28</v>
      </c>
      <c r="L163" s="1"/>
      <c r="M163" s="1"/>
      <c r="N163" s="1"/>
      <c r="O163" s="1"/>
      <c r="P163" s="1"/>
      <c r="Q163" s="1"/>
      <c r="R163" s="1">
        <f>'Data_3rd DH'!L18</f>
        <v>4</v>
      </c>
      <c r="S163" s="1">
        <f>'Data_3rd DH'!M18</f>
        <v>4</v>
      </c>
      <c r="T163" s="1">
        <f>'Data_3rd DH'!N18</f>
        <v>7.5</v>
      </c>
      <c r="U163" s="1">
        <f>'Data_3rd DH'!O18</f>
        <v>2</v>
      </c>
      <c r="V163" s="1">
        <f>'Data_3rd DH'!P18</f>
        <v>8</v>
      </c>
      <c r="W163" s="1"/>
      <c r="X163" s="1"/>
      <c r="Y163" s="1"/>
      <c r="Z163" s="1">
        <f>'Data_3rd DH'!Q18</f>
        <v>40.119999999999997</v>
      </c>
      <c r="AA163" s="1">
        <f>'Data_3rd DH'!R18</f>
        <v>20</v>
      </c>
      <c r="AB163" s="1">
        <f>'Data_3rd DH'!S18</f>
        <v>23.7</v>
      </c>
      <c r="AC163" s="1">
        <f>'Data_3rd DH'!T18</f>
        <v>13.27</v>
      </c>
      <c r="AD163" s="1">
        <f>'Data_3rd DH'!U18</f>
        <v>1.59</v>
      </c>
      <c r="AE163" s="1">
        <f>'Data_3rd DH'!V18</f>
        <v>1.66</v>
      </c>
      <c r="AF163" s="1">
        <f>'Data_3rd DH'!W18</f>
        <v>40.22</v>
      </c>
      <c r="AG163" s="1">
        <f>'Data_3rd DH'!X18</f>
        <v>641.29999999999995</v>
      </c>
      <c r="AH163" s="1"/>
      <c r="AI163" s="1">
        <v>2.48</v>
      </c>
      <c r="AJ163" s="1">
        <v>1.2869999999999999</v>
      </c>
      <c r="AK163" s="1">
        <v>0.18</v>
      </c>
      <c r="AL163" s="1">
        <v>0.17699999999999999</v>
      </c>
      <c r="AM163" s="1">
        <f t="shared" si="13"/>
        <v>4.1239999999999997</v>
      </c>
      <c r="AN163" s="129">
        <f t="shared" si="14"/>
        <v>258.58870967741933</v>
      </c>
      <c r="AO163" s="162"/>
    </row>
    <row r="164" spans="1:41" x14ac:dyDescent="0.2">
      <c r="A164" s="155">
        <f t="shared" si="11"/>
        <v>45</v>
      </c>
      <c r="B164" s="156">
        <f>'Data_3rd DH'!B19</f>
        <v>45198</v>
      </c>
      <c r="C164" s="157" t="str">
        <f>'Data_3rd DH'!C19</f>
        <v>Fruit set/green fruits</v>
      </c>
      <c r="D164" s="155">
        <f>'Data_3rd DH'!D19</f>
        <v>25</v>
      </c>
      <c r="E164" s="155" t="str">
        <f>'Data_3rd DH'!E19</f>
        <v>Cherry_EC6_LowLight</v>
      </c>
      <c r="F164" s="158" t="str">
        <f>'Data_3rd DH'!F19</f>
        <v>Cherry</v>
      </c>
      <c r="G164" s="155" t="str">
        <f>'Data_3rd DH'!G19</f>
        <v>EC6</v>
      </c>
      <c r="H164" s="155" t="str">
        <f>'Data_3rd DH'!H19</f>
        <v>low light</v>
      </c>
      <c r="I164" s="155" t="str">
        <f>'Data_3rd DH'!I19</f>
        <v>Cherry_EC6_LL_3</v>
      </c>
      <c r="J164" s="155">
        <f>'Data_3rd DH'!J19</f>
        <v>3</v>
      </c>
      <c r="K164" s="1">
        <f>'Data_3rd DH'!K19</f>
        <v>33</v>
      </c>
      <c r="L164" s="1"/>
      <c r="M164" s="1"/>
      <c r="N164" s="1"/>
      <c r="O164" s="1"/>
      <c r="P164" s="1"/>
      <c r="Q164" s="1"/>
      <c r="R164" s="1">
        <f>'Data_3rd DH'!L19</f>
        <v>5</v>
      </c>
      <c r="S164" s="1">
        <f>'Data_3rd DH'!M19</f>
        <v>3</v>
      </c>
      <c r="T164" s="1">
        <f>'Data_3rd DH'!N19</f>
        <v>5.75</v>
      </c>
      <c r="U164" s="1">
        <f>'Data_3rd DH'!O19</f>
        <v>4</v>
      </c>
      <c r="V164" s="1">
        <f>'Data_3rd DH'!P19</f>
        <v>14</v>
      </c>
      <c r="W164" s="1"/>
      <c r="X164" s="1"/>
      <c r="Y164" s="1"/>
      <c r="Z164" s="1">
        <f>'Data_3rd DH'!Q19</f>
        <v>50.18</v>
      </c>
      <c r="AA164" s="1">
        <f>'Data_3rd DH'!R19</f>
        <v>21</v>
      </c>
      <c r="AB164" s="1">
        <f>'Data_3rd DH'!S19</f>
        <v>23.98</v>
      </c>
      <c r="AC164" s="1">
        <f>'Data_3rd DH'!T19</f>
        <v>14.63</v>
      </c>
      <c r="AD164" s="1">
        <f>'Data_3rd DH'!U19</f>
        <v>1.05</v>
      </c>
      <c r="AE164" s="1">
        <f>'Data_3rd DH'!V19</f>
        <v>10.28</v>
      </c>
      <c r="AF164" s="1">
        <f>'Data_3rd DH'!W19</f>
        <v>49.94</v>
      </c>
      <c r="AG164" s="1">
        <f>'Data_3rd DH'!X19</f>
        <v>666.26</v>
      </c>
      <c r="AH164" s="1"/>
      <c r="AI164" s="1">
        <v>2.585</v>
      </c>
      <c r="AJ164" s="1">
        <v>1.589</v>
      </c>
      <c r="AK164" s="1">
        <v>0.13900000000000001</v>
      </c>
      <c r="AL164" s="1">
        <v>1.1950000000000001</v>
      </c>
      <c r="AM164" s="1">
        <f t="shared" si="13"/>
        <v>5.508</v>
      </c>
      <c r="AN164" s="129">
        <f t="shared" si="14"/>
        <v>257.74081237911025</v>
      </c>
      <c r="AO164" s="162"/>
    </row>
    <row r="165" spans="1:41" x14ac:dyDescent="0.2">
      <c r="A165" s="155">
        <f t="shared" si="11"/>
        <v>45</v>
      </c>
      <c r="B165" s="156">
        <f>'Data_3rd DH'!B20</f>
        <v>45198</v>
      </c>
      <c r="C165" s="157" t="str">
        <f>'Data_3rd DH'!C20</f>
        <v>Fruit set/green fruits</v>
      </c>
      <c r="D165" s="155">
        <f>'Data_3rd DH'!D20</f>
        <v>25</v>
      </c>
      <c r="E165" s="155" t="str">
        <f>'Data_3rd DH'!E20</f>
        <v>Cherry_EC6_LowLight</v>
      </c>
      <c r="F165" s="158" t="str">
        <f>'Data_3rd DH'!F20</f>
        <v>Cherry</v>
      </c>
      <c r="G165" s="155" t="str">
        <f>'Data_3rd DH'!G20</f>
        <v>EC6</v>
      </c>
      <c r="H165" s="155" t="str">
        <f>'Data_3rd DH'!H20</f>
        <v>low light</v>
      </c>
      <c r="I165" s="155" t="str">
        <f>'Data_3rd DH'!I20</f>
        <v>Cherry_EC6_LL_4</v>
      </c>
      <c r="J165" s="155">
        <f>'Data_3rd DH'!J20</f>
        <v>4</v>
      </c>
      <c r="K165" s="1">
        <f>'Data_3rd DH'!K20</f>
        <v>30</v>
      </c>
      <c r="L165" s="1"/>
      <c r="M165" s="1"/>
      <c r="N165" s="1"/>
      <c r="O165" s="1"/>
      <c r="P165" s="1"/>
      <c r="Q165" s="1"/>
      <c r="R165" s="1">
        <f>'Data_3rd DH'!L20</f>
        <v>2</v>
      </c>
      <c r="S165" s="1">
        <f>'Data_3rd DH'!M20</f>
        <v>1</v>
      </c>
      <c r="T165" s="1">
        <f>'Data_3rd DH'!N20</f>
        <v>5.75</v>
      </c>
      <c r="U165" s="1">
        <f>'Data_3rd DH'!O20</f>
        <v>4</v>
      </c>
      <c r="V165" s="1">
        <f>'Data_3rd DH'!P20</f>
        <v>15</v>
      </c>
      <c r="W165" s="1"/>
      <c r="X165" s="1"/>
      <c r="Y165" s="1"/>
      <c r="Z165" s="1">
        <f>'Data_3rd DH'!Q20</f>
        <v>43.51</v>
      </c>
      <c r="AA165" s="1">
        <f>'Data_3rd DH'!R20</f>
        <v>17</v>
      </c>
      <c r="AB165" s="1">
        <f>'Data_3rd DH'!S20</f>
        <v>21.38</v>
      </c>
      <c r="AC165" s="1">
        <f>'Data_3rd DH'!T20</f>
        <v>12.51</v>
      </c>
      <c r="AD165" s="1">
        <f>'Data_3rd DH'!U20</f>
        <v>0.77</v>
      </c>
      <c r="AE165" s="1">
        <f>'Data_3rd DH'!V20</f>
        <v>8.73</v>
      </c>
      <c r="AF165" s="1">
        <f>'Data_3rd DH'!W20</f>
        <v>43.39</v>
      </c>
      <c r="AG165" s="1">
        <f>'Data_3rd DH'!X20</f>
        <v>586.04</v>
      </c>
      <c r="AH165" s="1"/>
      <c r="AI165" s="1">
        <v>2.133</v>
      </c>
      <c r="AJ165" s="1">
        <v>1.33</v>
      </c>
      <c r="AK165" s="1">
        <v>9.0999999999999998E-2</v>
      </c>
      <c r="AL165" s="1">
        <v>1.0049999999999999</v>
      </c>
      <c r="AM165" s="1">
        <f t="shared" si="13"/>
        <v>4.5590000000000002</v>
      </c>
      <c r="AN165" s="129">
        <f t="shared" si="14"/>
        <v>274.74917955930613</v>
      </c>
      <c r="AO165" s="162"/>
    </row>
    <row r="166" spans="1:41" x14ac:dyDescent="0.2">
      <c r="A166" s="155">
        <f t="shared" si="11"/>
        <v>45</v>
      </c>
      <c r="B166" s="156">
        <f>'Data_3rd DH'!B21</f>
        <v>45198</v>
      </c>
      <c r="C166" s="157" t="str">
        <f>'Data_3rd DH'!C21</f>
        <v>Fruit set/green fruits</v>
      </c>
      <c r="D166" s="155">
        <f>'Data_3rd DH'!D21</f>
        <v>25</v>
      </c>
      <c r="E166" s="155" t="str">
        <f>'Data_3rd DH'!E21</f>
        <v>Cherry_EC6_LowLight</v>
      </c>
      <c r="F166" s="158" t="str">
        <f>'Data_3rd DH'!F21</f>
        <v>Cherry</v>
      </c>
      <c r="G166" s="155" t="str">
        <f>'Data_3rd DH'!G21</f>
        <v>EC6</v>
      </c>
      <c r="H166" s="155" t="str">
        <f>'Data_3rd DH'!H21</f>
        <v>low light</v>
      </c>
      <c r="I166" s="155" t="str">
        <f>'Data_3rd DH'!I21</f>
        <v>Cherry_EC6_LL_5</v>
      </c>
      <c r="J166" s="155">
        <f>'Data_3rd DH'!J21</f>
        <v>5</v>
      </c>
      <c r="K166" s="1">
        <f>'Data_3rd DH'!K21</f>
        <v>29</v>
      </c>
      <c r="L166" s="1"/>
      <c r="M166" s="1"/>
      <c r="N166" s="1"/>
      <c r="O166" s="1"/>
      <c r="P166" s="1"/>
      <c r="Q166" s="1"/>
      <c r="R166" s="1">
        <f>'Data_3rd DH'!L21</f>
        <v>3</v>
      </c>
      <c r="S166" s="1">
        <f>'Data_3rd DH'!M21</f>
        <v>4</v>
      </c>
      <c r="T166" s="1">
        <f>'Data_3rd DH'!N21</f>
        <v>6</v>
      </c>
      <c r="U166" s="1">
        <f>'Data_3rd DH'!O21</f>
        <v>2</v>
      </c>
      <c r="V166" s="1">
        <f>'Data_3rd DH'!P21</f>
        <v>8</v>
      </c>
      <c r="W166" s="1"/>
      <c r="X166" s="1"/>
      <c r="Y166" s="1"/>
      <c r="Z166" s="1">
        <f>'Data_3rd DH'!Q21</f>
        <v>34.64</v>
      </c>
      <c r="AA166" s="1">
        <f>'Data_3rd DH'!R21</f>
        <v>18</v>
      </c>
      <c r="AB166" s="1">
        <f>'Data_3rd DH'!S21</f>
        <v>19.52</v>
      </c>
      <c r="AC166" s="1">
        <f>'Data_3rd DH'!T21</f>
        <v>11.18</v>
      </c>
      <c r="AD166" s="1">
        <f>'Data_3rd DH'!U21</f>
        <v>1.08</v>
      </c>
      <c r="AE166" s="1">
        <f>'Data_3rd DH'!V21</f>
        <v>2.75</v>
      </c>
      <c r="AF166" s="1">
        <f>'Data_3rd DH'!W21</f>
        <v>34.53</v>
      </c>
      <c r="AG166" s="1">
        <f>'Data_3rd DH'!X21</f>
        <v>559.78</v>
      </c>
      <c r="AH166" s="1"/>
      <c r="AI166" s="1">
        <v>1.9510000000000001</v>
      </c>
      <c r="AJ166" s="1">
        <v>1.1659999999999999</v>
      </c>
      <c r="AK166" s="1">
        <v>0.129</v>
      </c>
      <c r="AL166" s="1">
        <v>0.313</v>
      </c>
      <c r="AM166" s="1">
        <f t="shared" si="13"/>
        <v>3.5590000000000002</v>
      </c>
      <c r="AN166" s="129">
        <f t="shared" si="14"/>
        <v>286.91952844695027</v>
      </c>
      <c r="AO166" s="162"/>
    </row>
    <row r="167" spans="1:41" x14ac:dyDescent="0.2">
      <c r="A167" s="155">
        <f t="shared" si="11"/>
        <v>45</v>
      </c>
      <c r="B167" s="156">
        <f>'Data_3rd DH'!B22</f>
        <v>45198</v>
      </c>
      <c r="C167" s="157" t="str">
        <f>'Data_3rd DH'!C22</f>
        <v>Fruit set/green fruits</v>
      </c>
      <c r="D167" s="155">
        <f>'Data_3rd DH'!D22</f>
        <v>25</v>
      </c>
      <c r="E167" s="155" t="str">
        <f>'Data_3rd DH'!E22</f>
        <v>Cherry_EC6_LowLight</v>
      </c>
      <c r="F167" s="158" t="str">
        <f>'Data_3rd DH'!F22</f>
        <v>Cherry</v>
      </c>
      <c r="G167" s="155" t="str">
        <f>'Data_3rd DH'!G22</f>
        <v>EC6</v>
      </c>
      <c r="H167" s="155" t="str">
        <f>'Data_3rd DH'!H22</f>
        <v>low light</v>
      </c>
      <c r="I167" s="155" t="str">
        <f>'Data_3rd DH'!I22</f>
        <v>Cherry_EC6_LL_6</v>
      </c>
      <c r="J167" s="155">
        <f>'Data_3rd DH'!J22</f>
        <v>6</v>
      </c>
      <c r="K167" s="1">
        <f>'Data_3rd DH'!K22</f>
        <v>32</v>
      </c>
      <c r="L167" s="1"/>
      <c r="M167" s="1"/>
      <c r="N167" s="1"/>
      <c r="O167" s="1"/>
      <c r="P167" s="1"/>
      <c r="Q167" s="1"/>
      <c r="R167" s="1">
        <f>'Data_3rd DH'!L22</f>
        <v>4</v>
      </c>
      <c r="S167" s="1">
        <f>'Data_3rd DH'!M22</f>
        <v>6</v>
      </c>
      <c r="T167" s="1">
        <f>'Data_3rd DH'!N22</f>
        <v>7.5</v>
      </c>
      <c r="U167" s="1">
        <f>'Data_3rd DH'!O22</f>
        <v>2</v>
      </c>
      <c r="V167" s="1">
        <f>'Data_3rd DH'!P22</f>
        <v>11</v>
      </c>
      <c r="W167" s="1"/>
      <c r="X167" s="1"/>
      <c r="Y167" s="1"/>
      <c r="Z167" s="1">
        <f>'Data_3rd DH'!Q22</f>
        <v>47.79</v>
      </c>
      <c r="AA167" s="1">
        <f>'Data_3rd DH'!R22</f>
        <v>23</v>
      </c>
      <c r="AB167" s="1">
        <f>'Data_3rd DH'!S22</f>
        <v>26.63</v>
      </c>
      <c r="AC167" s="1">
        <f>'Data_3rd DH'!T22</f>
        <v>15.3</v>
      </c>
      <c r="AD167" s="1">
        <f>'Data_3rd DH'!U22</f>
        <v>1.57</v>
      </c>
      <c r="AE167" s="1">
        <f>'Data_3rd DH'!V22</f>
        <v>3.96</v>
      </c>
      <c r="AF167" s="1">
        <f>'Data_3rd DH'!W22</f>
        <v>47.46</v>
      </c>
      <c r="AG167" s="1">
        <f>'Data_3rd DH'!X22</f>
        <v>711.25</v>
      </c>
      <c r="AH167" s="1"/>
      <c r="AI167" s="1">
        <v>2.6930000000000001</v>
      </c>
      <c r="AJ167" s="1">
        <v>1.6279999999999999</v>
      </c>
      <c r="AK167" s="1">
        <v>0.19500000000000001</v>
      </c>
      <c r="AL167" s="1">
        <v>0.47899999999999998</v>
      </c>
      <c r="AM167" s="1">
        <f t="shared" si="13"/>
        <v>4.9950000000000001</v>
      </c>
      <c r="AN167" s="129">
        <f t="shared" si="14"/>
        <v>264.11065725956183</v>
      </c>
      <c r="AO167" s="162"/>
    </row>
    <row r="168" spans="1:41" x14ac:dyDescent="0.2">
      <c r="A168" s="155">
        <f t="shared" si="11"/>
        <v>45</v>
      </c>
      <c r="B168" s="156">
        <f>'Data_3rd DH'!B23</f>
        <v>45198</v>
      </c>
      <c r="C168" s="157" t="str">
        <f>'Data_3rd DH'!C23</f>
        <v>Fruit set/green fruits</v>
      </c>
      <c r="D168" s="155">
        <f>'Data_3rd DH'!D23</f>
        <v>25</v>
      </c>
      <c r="E168" s="155" t="str">
        <f>'Data_3rd DH'!E23</f>
        <v>Cherry_EC6_NoLight</v>
      </c>
      <c r="F168" s="158" t="str">
        <f>'Data_3rd DH'!F23</f>
        <v>Cherry</v>
      </c>
      <c r="G168" s="155" t="str">
        <f>'Data_3rd DH'!G23</f>
        <v>EC6</v>
      </c>
      <c r="H168" s="155" t="str">
        <f>'Data_3rd DH'!H23</f>
        <v>no light</v>
      </c>
      <c r="I168" s="155" t="str">
        <f>'Data_3rd DH'!I23</f>
        <v>Cherry_EC6__1</v>
      </c>
      <c r="J168" s="155">
        <f>'Data_3rd DH'!J23</f>
        <v>1</v>
      </c>
      <c r="K168" s="1">
        <f>'Data_3rd DH'!K23</f>
        <v>26</v>
      </c>
      <c r="L168" s="1"/>
      <c r="M168" s="1"/>
      <c r="N168" s="1"/>
      <c r="O168" s="1"/>
      <c r="P168" s="1"/>
      <c r="Q168" s="1"/>
      <c r="R168" s="1">
        <f>'Data_3rd DH'!L23</f>
        <v>4</v>
      </c>
      <c r="S168" s="1">
        <f>'Data_3rd DH'!M23</f>
        <v>1</v>
      </c>
      <c r="T168" s="1">
        <f>'Data_3rd DH'!N23</f>
        <v>7.5</v>
      </c>
      <c r="U168" s="1">
        <f>'Data_3rd DH'!O23</f>
        <v>2</v>
      </c>
      <c r="V168" s="1">
        <f>'Data_3rd DH'!P23</f>
        <v>4</v>
      </c>
      <c r="W168" s="1"/>
      <c r="X168" s="1"/>
      <c r="Y168" s="1"/>
      <c r="Z168" s="1">
        <f>'Data_3rd DH'!Q23</f>
        <v>26.37</v>
      </c>
      <c r="AA168" s="1">
        <f>'Data_3rd DH'!R23</f>
        <v>19</v>
      </c>
      <c r="AB168" s="1">
        <f>'Data_3rd DH'!S23</f>
        <v>11.64</v>
      </c>
      <c r="AC168" s="1">
        <f>'Data_3rd DH'!T23</f>
        <v>9.7799999999999994</v>
      </c>
      <c r="AD168" s="1">
        <f>'Data_3rd DH'!U23</f>
        <v>0.48</v>
      </c>
      <c r="AE168" s="1">
        <f>'Data_3rd DH'!V23</f>
        <v>1.26</v>
      </c>
      <c r="AF168" s="1">
        <f>'Data_3rd DH'!W23</f>
        <v>23.160000000000004</v>
      </c>
      <c r="AG168" s="1">
        <f>'Data_3rd DH'!X23</f>
        <v>461.22</v>
      </c>
      <c r="AH168" s="1"/>
      <c r="AI168" s="1">
        <v>1.3660000000000001</v>
      </c>
      <c r="AJ168" s="1">
        <v>0.84399999999999997</v>
      </c>
      <c r="AK168" s="1">
        <v>6.4000000000000001E-2</v>
      </c>
      <c r="AL168" s="1">
        <v>0.13600000000000001</v>
      </c>
      <c r="AM168" s="1">
        <f t="shared" si="13"/>
        <v>2.41</v>
      </c>
      <c r="AN168" s="129">
        <f t="shared" si="14"/>
        <v>337.6427525622255</v>
      </c>
      <c r="AO168" s="162"/>
    </row>
    <row r="169" spans="1:41" x14ac:dyDescent="0.2">
      <c r="A169" s="155">
        <f t="shared" si="11"/>
        <v>45</v>
      </c>
      <c r="B169" s="156">
        <f>'Data_3rd DH'!B24</f>
        <v>45198</v>
      </c>
      <c r="C169" s="157" t="str">
        <f>'Data_3rd DH'!C24</f>
        <v>Fruit set/green fruits</v>
      </c>
      <c r="D169" s="155">
        <f>'Data_3rd DH'!D24</f>
        <v>25</v>
      </c>
      <c r="E169" s="155" t="str">
        <f>'Data_3rd DH'!E24</f>
        <v>Cherry_EC6_NoLight</v>
      </c>
      <c r="F169" s="158" t="str">
        <f>'Data_3rd DH'!F24</f>
        <v>Cherry</v>
      </c>
      <c r="G169" s="155" t="str">
        <f>'Data_3rd DH'!G24</f>
        <v>EC6</v>
      </c>
      <c r="H169" s="155" t="str">
        <f>'Data_3rd DH'!H24</f>
        <v>no light</v>
      </c>
      <c r="I169" s="155" t="str">
        <f>'Data_3rd DH'!I24</f>
        <v>Cherry_EC6__2</v>
      </c>
      <c r="J169" s="155">
        <f>'Data_3rd DH'!J24</f>
        <v>2</v>
      </c>
      <c r="K169" s="1">
        <f>'Data_3rd DH'!K24</f>
        <v>22</v>
      </c>
      <c r="L169" s="1"/>
      <c r="M169" s="1"/>
      <c r="N169" s="1"/>
      <c r="O169" s="1"/>
      <c r="P169" s="1"/>
      <c r="Q169" s="1"/>
      <c r="R169" s="1">
        <f>'Data_3rd DH'!L24</f>
        <v>5</v>
      </c>
      <c r="S169" s="1">
        <f>'Data_3rd DH'!M24</f>
        <v>4</v>
      </c>
      <c r="T169" s="1">
        <f>'Data_3rd DH'!N24</f>
        <v>5.666666666666667</v>
      </c>
      <c r="U169" s="1">
        <f>'Data_3rd DH'!O24</f>
        <v>3</v>
      </c>
      <c r="V169" s="1">
        <f>'Data_3rd DH'!P24</f>
        <v>13</v>
      </c>
      <c r="W169" s="1"/>
      <c r="X169" s="1"/>
      <c r="Y169" s="1"/>
      <c r="Z169" s="1">
        <f>'Data_3rd DH'!Q24</f>
        <v>37.51</v>
      </c>
      <c r="AA169" s="1">
        <f>'Data_3rd DH'!R24</f>
        <v>20</v>
      </c>
      <c r="AB169" s="1">
        <f>'Data_3rd DH'!S24</f>
        <v>17.97</v>
      </c>
      <c r="AC169" s="1">
        <f>'Data_3rd DH'!T24</f>
        <v>9.67</v>
      </c>
      <c r="AD169" s="1">
        <f>'Data_3rd DH'!U24</f>
        <v>0.66</v>
      </c>
      <c r="AE169" s="1">
        <f>'Data_3rd DH'!V24</f>
        <v>8.9700000000000006</v>
      </c>
      <c r="AF169" s="1">
        <f>'Data_3rd DH'!W24</f>
        <v>37.270000000000003</v>
      </c>
      <c r="AG169" s="1">
        <f>'Data_3rd DH'!X24</f>
        <v>517.79999999999995</v>
      </c>
      <c r="AH169" s="1"/>
      <c r="AI169" s="1">
        <v>1.7170000000000001</v>
      </c>
      <c r="AJ169" s="1">
        <v>0.96499999999999997</v>
      </c>
      <c r="AK169" s="1">
        <v>8.6999999999999994E-2</v>
      </c>
      <c r="AL169" s="1">
        <v>0.96</v>
      </c>
      <c r="AM169" s="1">
        <f t="shared" si="13"/>
        <v>3.7290000000000001</v>
      </c>
      <c r="AN169" s="129">
        <f t="shared" si="14"/>
        <v>301.57251019219564</v>
      </c>
      <c r="AO169" s="162"/>
    </row>
    <row r="170" spans="1:41" x14ac:dyDescent="0.2">
      <c r="A170" s="155">
        <f t="shared" si="11"/>
        <v>45</v>
      </c>
      <c r="B170" s="156">
        <f>'Data_3rd DH'!B25</f>
        <v>45198</v>
      </c>
      <c r="C170" s="157" t="str">
        <f>'Data_3rd DH'!C25</f>
        <v>Fruit set/green fruits</v>
      </c>
      <c r="D170" s="155">
        <f>'Data_3rd DH'!D25</f>
        <v>25</v>
      </c>
      <c r="E170" s="155" t="str">
        <f>'Data_3rd DH'!E25</f>
        <v>Cherry_EC6_NoLight</v>
      </c>
      <c r="F170" s="158" t="str">
        <f>'Data_3rd DH'!F25</f>
        <v>Cherry</v>
      </c>
      <c r="G170" s="155" t="str">
        <f>'Data_3rd DH'!G25</f>
        <v>EC6</v>
      </c>
      <c r="H170" s="155" t="str">
        <f>'Data_3rd DH'!H25</f>
        <v>no light</v>
      </c>
      <c r="I170" s="155" t="str">
        <f>'Data_3rd DH'!I25</f>
        <v>Cherry_EC6__3</v>
      </c>
      <c r="J170" s="155">
        <f>'Data_3rd DH'!J25</f>
        <v>3</v>
      </c>
      <c r="K170" s="1">
        <f>'Data_3rd DH'!K25</f>
        <v>24</v>
      </c>
      <c r="L170" s="1"/>
      <c r="M170" s="1"/>
      <c r="N170" s="1"/>
      <c r="O170" s="1"/>
      <c r="P170" s="1"/>
      <c r="Q170" s="1"/>
      <c r="R170" s="1">
        <f>'Data_3rd DH'!L25</f>
        <v>2</v>
      </c>
      <c r="S170" s="1">
        <f>'Data_3rd DH'!M25</f>
        <v>0</v>
      </c>
      <c r="T170" s="1">
        <f>'Data_3rd DH'!N25</f>
        <v>5.666666666666667</v>
      </c>
      <c r="U170" s="1">
        <f>'Data_3rd DH'!O25</f>
        <v>3</v>
      </c>
      <c r="V170" s="1">
        <f>'Data_3rd DH'!P25</f>
        <v>12</v>
      </c>
      <c r="W170" s="1"/>
      <c r="X170" s="1"/>
      <c r="Y170" s="1"/>
      <c r="Z170" s="1">
        <f>'Data_3rd DH'!Q25</f>
        <v>30.93</v>
      </c>
      <c r="AA170" s="1">
        <f>'Data_3rd DH'!R25</f>
        <v>16</v>
      </c>
      <c r="AB170" s="1">
        <f>'Data_3rd DH'!S25</f>
        <v>15.11</v>
      </c>
      <c r="AC170" s="1">
        <f>'Data_3rd DH'!T25</f>
        <v>8.08</v>
      </c>
      <c r="AD170" s="1">
        <f>'Data_3rd DH'!U25</f>
        <v>0.35</v>
      </c>
      <c r="AE170" s="1">
        <f>'Data_3rd DH'!V25</f>
        <v>7.34</v>
      </c>
      <c r="AF170" s="1">
        <f>'Data_3rd DH'!W25</f>
        <v>30.88</v>
      </c>
      <c r="AG170" s="1">
        <f>'Data_3rd DH'!X25</f>
        <v>440.8</v>
      </c>
      <c r="AH170" s="1"/>
      <c r="AI170" s="1">
        <v>1.4450000000000001</v>
      </c>
      <c r="AJ170" s="1">
        <v>0.74</v>
      </c>
      <c r="AK170" s="1">
        <v>3.9E-2</v>
      </c>
      <c r="AL170" s="1">
        <v>0.754</v>
      </c>
      <c r="AM170" s="1">
        <f t="shared" si="13"/>
        <v>2.9780000000000002</v>
      </c>
      <c r="AN170" s="129">
        <f t="shared" si="14"/>
        <v>305.05190311418687</v>
      </c>
      <c r="AO170" s="162"/>
    </row>
    <row r="171" spans="1:41" x14ac:dyDescent="0.2">
      <c r="A171" s="155">
        <f t="shared" si="11"/>
        <v>45</v>
      </c>
      <c r="B171" s="156">
        <f>'Data_3rd DH'!B26</f>
        <v>45198</v>
      </c>
      <c r="C171" s="157" t="str">
        <f>'Data_3rd DH'!C26</f>
        <v>Fruit set/green fruits</v>
      </c>
      <c r="D171" s="155">
        <f>'Data_3rd DH'!D26</f>
        <v>25</v>
      </c>
      <c r="E171" s="155" t="str">
        <f>'Data_3rd DH'!E26</f>
        <v>Cherry_EC6_NoLight</v>
      </c>
      <c r="F171" s="158" t="str">
        <f>'Data_3rd DH'!F26</f>
        <v>Cherry</v>
      </c>
      <c r="G171" s="155" t="str">
        <f>'Data_3rd DH'!G26</f>
        <v>EC6</v>
      </c>
      <c r="H171" s="155" t="str">
        <f>'Data_3rd DH'!H26</f>
        <v>no light</v>
      </c>
      <c r="I171" s="155" t="str">
        <f>'Data_3rd DH'!I26</f>
        <v>Cherry_EC6__4</v>
      </c>
      <c r="J171" s="155">
        <f>'Data_3rd DH'!J26</f>
        <v>4</v>
      </c>
      <c r="K171" s="1">
        <f>'Data_3rd DH'!K26</f>
        <v>23</v>
      </c>
      <c r="L171" s="1"/>
      <c r="M171" s="1"/>
      <c r="N171" s="1"/>
      <c r="O171" s="1"/>
      <c r="P171" s="1"/>
      <c r="Q171" s="1"/>
      <c r="R171" s="1">
        <f>'Data_3rd DH'!L26</f>
        <v>2</v>
      </c>
      <c r="S171" s="1">
        <f>'Data_3rd DH'!M26</f>
        <v>6</v>
      </c>
      <c r="T171" s="1">
        <f>'Data_3rd DH'!N26</f>
        <v>0</v>
      </c>
      <c r="U171" s="1">
        <f>'Data_3rd DH'!O26</f>
        <v>0</v>
      </c>
      <c r="V171" s="1">
        <f>'Data_3rd DH'!P26</f>
        <v>0</v>
      </c>
      <c r="W171" s="1"/>
      <c r="X171" s="1"/>
      <c r="Y171" s="1"/>
      <c r="Z171" s="1">
        <f>'Data_3rd DH'!Q26</f>
        <v>16.41</v>
      </c>
      <c r="AA171" s="1">
        <f>'Data_3rd DH'!R26</f>
        <v>16</v>
      </c>
      <c r="AB171" s="1">
        <f>'Data_3rd DH'!S26</f>
        <v>9.44</v>
      </c>
      <c r="AC171" s="1">
        <f>'Data_3rd DH'!T26</f>
        <v>6.2</v>
      </c>
      <c r="AD171" s="1">
        <f>'Data_3rd DH'!U26</f>
        <v>0.69</v>
      </c>
      <c r="AE171" s="1">
        <f>'Data_3rd DH'!V26</f>
        <v>0</v>
      </c>
      <c r="AF171" s="1">
        <f>'Data_3rd DH'!W26</f>
        <v>16.330000000000002</v>
      </c>
      <c r="AG171" s="1">
        <f>'Data_3rd DH'!X26</f>
        <v>306.68</v>
      </c>
      <c r="AH171" s="1"/>
      <c r="AI171" s="1">
        <v>0.88400000000000001</v>
      </c>
      <c r="AJ171" s="1">
        <v>0.55500000000000005</v>
      </c>
      <c r="AK171" s="1">
        <v>0.08</v>
      </c>
      <c r="AL171" s="1"/>
      <c r="AM171" s="1">
        <f t="shared" si="13"/>
        <v>1.5190000000000001</v>
      </c>
      <c r="AN171" s="129">
        <f t="shared" si="14"/>
        <v>346.92307692307691</v>
      </c>
      <c r="AO171" s="162"/>
    </row>
    <row r="172" spans="1:41" x14ac:dyDescent="0.2">
      <c r="A172" s="155">
        <f t="shared" si="11"/>
        <v>45</v>
      </c>
      <c r="B172" s="156">
        <f>'Data_3rd DH'!B27</f>
        <v>45198</v>
      </c>
      <c r="C172" s="157" t="str">
        <f>'Data_3rd DH'!C27</f>
        <v>Fruit set/green fruits</v>
      </c>
      <c r="D172" s="155">
        <f>'Data_3rd DH'!D27</f>
        <v>25</v>
      </c>
      <c r="E172" s="155" t="str">
        <f>'Data_3rd DH'!E27</f>
        <v>Cherry_EC6_NoLight</v>
      </c>
      <c r="F172" s="158" t="str">
        <f>'Data_3rd DH'!F27</f>
        <v>Cherry</v>
      </c>
      <c r="G172" s="155" t="str">
        <f>'Data_3rd DH'!G27</f>
        <v>EC6</v>
      </c>
      <c r="H172" s="155" t="str">
        <f>'Data_3rd DH'!H27</f>
        <v>no light</v>
      </c>
      <c r="I172" s="155" t="str">
        <f>'Data_3rd DH'!I27</f>
        <v>Cherry_EC6__5</v>
      </c>
      <c r="J172" s="155">
        <f>'Data_3rd DH'!J27</f>
        <v>5</v>
      </c>
      <c r="K172" s="1">
        <f>'Data_3rd DH'!K27</f>
        <v>28</v>
      </c>
      <c r="L172" s="1"/>
      <c r="M172" s="1"/>
      <c r="N172" s="1"/>
      <c r="O172" s="1"/>
      <c r="P172" s="1"/>
      <c r="Q172" s="1"/>
      <c r="R172" s="1">
        <f>'Data_3rd DH'!L27</f>
        <v>0</v>
      </c>
      <c r="S172" s="1">
        <f>'Data_3rd DH'!M27</f>
        <v>0</v>
      </c>
      <c r="T172" s="1">
        <f>'Data_3rd DH'!N27</f>
        <v>7.25</v>
      </c>
      <c r="U172" s="1">
        <f>'Data_3rd DH'!O27</f>
        <v>4</v>
      </c>
      <c r="V172" s="1">
        <f>'Data_3rd DH'!P27</f>
        <v>14</v>
      </c>
      <c r="W172" s="1"/>
      <c r="X172" s="1"/>
      <c r="Y172" s="1"/>
      <c r="Z172" s="1">
        <f>'Data_3rd DH'!Q27</f>
        <v>38.92</v>
      </c>
      <c r="AA172" s="1">
        <f>'Data_3rd DH'!R27</f>
        <v>20</v>
      </c>
      <c r="AB172" s="1">
        <f>'Data_3rd DH'!S27</f>
        <v>21.02</v>
      </c>
      <c r="AC172" s="1">
        <f>'Data_3rd DH'!T27</f>
        <v>12.47</v>
      </c>
      <c r="AD172" s="1">
        <f>'Data_3rd DH'!U27</f>
        <v>0.55000000000000004</v>
      </c>
      <c r="AE172" s="1">
        <f>'Data_3rd DH'!V27</f>
        <v>5.32</v>
      </c>
      <c r="AF172" s="1">
        <f>'Data_3rd DH'!W27</f>
        <v>39.36</v>
      </c>
      <c r="AG172" s="1">
        <f>'Data_3rd DH'!X27</f>
        <v>607.11</v>
      </c>
      <c r="AH172" s="1"/>
      <c r="AI172" s="1">
        <v>2.1309999999999998</v>
      </c>
      <c r="AJ172" s="1">
        <v>1.2270000000000001</v>
      </c>
      <c r="AK172" s="1">
        <v>5.3999999999999999E-2</v>
      </c>
      <c r="AL172" s="1">
        <v>0.59599999999999997</v>
      </c>
      <c r="AM172" s="1">
        <f t="shared" si="13"/>
        <v>4.0079999999999991</v>
      </c>
      <c r="AN172" s="129">
        <f t="shared" si="14"/>
        <v>284.89441576724545</v>
      </c>
      <c r="AO172" s="162"/>
    </row>
    <row r="173" spans="1:41" x14ac:dyDescent="0.2">
      <c r="A173" s="155">
        <f t="shared" si="11"/>
        <v>45</v>
      </c>
      <c r="B173" s="156">
        <f>'Data_3rd DH'!B28</f>
        <v>45198</v>
      </c>
      <c r="C173" s="157" t="str">
        <f>'Data_3rd DH'!C28</f>
        <v>Fruit set/green fruits</v>
      </c>
      <c r="D173" s="155">
        <f>'Data_3rd DH'!D28</f>
        <v>25</v>
      </c>
      <c r="E173" s="155" t="str">
        <f>'Data_3rd DH'!E28</f>
        <v>Cherry_EC6_NoLight</v>
      </c>
      <c r="F173" s="158" t="str">
        <f>'Data_3rd DH'!F28</f>
        <v>Cherry</v>
      </c>
      <c r="G173" s="155" t="str">
        <f>'Data_3rd DH'!G28</f>
        <v>EC6</v>
      </c>
      <c r="H173" s="155" t="str">
        <f>'Data_3rd DH'!H28</f>
        <v>no light</v>
      </c>
      <c r="I173" s="155" t="str">
        <f>'Data_3rd DH'!I28</f>
        <v>Cherry_EC6__6</v>
      </c>
      <c r="J173" s="155">
        <f>'Data_3rd DH'!J28</f>
        <v>6</v>
      </c>
      <c r="K173" s="1">
        <f>'Data_3rd DH'!K28</f>
        <v>29</v>
      </c>
      <c r="L173" s="1"/>
      <c r="M173" s="1"/>
      <c r="N173" s="1"/>
      <c r="O173" s="1"/>
      <c r="P173" s="1"/>
      <c r="Q173" s="1"/>
      <c r="R173" s="1">
        <f>'Data_3rd DH'!L28</f>
        <v>3</v>
      </c>
      <c r="S173" s="1">
        <f>'Data_3rd DH'!M28</f>
        <v>1</v>
      </c>
      <c r="T173" s="1">
        <f>'Data_3rd DH'!N28</f>
        <v>6</v>
      </c>
      <c r="U173" s="1">
        <f>'Data_3rd DH'!O28</f>
        <v>3</v>
      </c>
      <c r="V173" s="1">
        <f>'Data_3rd DH'!P28</f>
        <v>13</v>
      </c>
      <c r="W173" s="1"/>
      <c r="X173" s="1"/>
      <c r="Y173" s="1"/>
      <c r="Z173" s="1">
        <f>'Data_3rd DH'!Q28</f>
        <v>36.36</v>
      </c>
      <c r="AA173" s="1">
        <f>'Data_3rd DH'!R28</f>
        <v>21</v>
      </c>
      <c r="AB173" s="1">
        <f>'Data_3rd DH'!S28</f>
        <v>15.27</v>
      </c>
      <c r="AC173" s="1">
        <f>'Data_3rd DH'!T28</f>
        <v>10.42</v>
      </c>
      <c r="AD173" s="1">
        <f>'Data_3rd DH'!U28</f>
        <v>0.28999999999999998</v>
      </c>
      <c r="AE173" s="1">
        <f>'Data_3rd DH'!V28</f>
        <v>10.3</v>
      </c>
      <c r="AF173" s="1">
        <f>'Data_3rd DH'!W28</f>
        <v>36.28</v>
      </c>
      <c r="AG173" s="1">
        <f>'Data_3rd DH'!X28</f>
        <v>489.54</v>
      </c>
      <c r="AH173" s="1"/>
      <c r="AI173" s="1">
        <v>1.508</v>
      </c>
      <c r="AJ173" s="1">
        <v>0.97599999999999998</v>
      </c>
      <c r="AK173" s="1">
        <v>3.9E-2</v>
      </c>
      <c r="AL173" s="1">
        <v>1.0469999999999999</v>
      </c>
      <c r="AM173" s="1">
        <f t="shared" si="13"/>
        <v>3.5700000000000003</v>
      </c>
      <c r="AN173" s="129">
        <f t="shared" si="14"/>
        <v>324.62864721485414</v>
      </c>
      <c r="AO173" s="162"/>
    </row>
    <row r="174" spans="1:41" x14ac:dyDescent="0.2">
      <c r="A174" s="155">
        <f t="shared" si="11"/>
        <v>45</v>
      </c>
      <c r="B174" s="156">
        <f>'Data_3rd DH'!B29</f>
        <v>45198</v>
      </c>
      <c r="C174" s="157" t="str">
        <f>'Data_3rd DH'!C29</f>
        <v>Fruit set/green fruits</v>
      </c>
      <c r="D174" s="155">
        <f>'Data_3rd DH'!D29</f>
        <v>25</v>
      </c>
      <c r="E174" s="155" t="str">
        <f>'Data_3rd DH'!E29</f>
        <v>Cherry_EC3_HighLight</v>
      </c>
      <c r="F174" s="158" t="str">
        <f>'Data_3rd DH'!F29</f>
        <v>Cherry</v>
      </c>
      <c r="G174" s="155" t="str">
        <f>'Data_3rd DH'!G29</f>
        <v>EC3</v>
      </c>
      <c r="H174" s="155" t="str">
        <f>'Data_3rd DH'!H29</f>
        <v>high light</v>
      </c>
      <c r="I174" s="155" t="str">
        <f>'Data_3rd DH'!I29</f>
        <v>Cherry_EC3_HL_1</v>
      </c>
      <c r="J174" s="155">
        <f>'Data_3rd DH'!J29</f>
        <v>1</v>
      </c>
      <c r="K174" s="1">
        <f>'Data_3rd DH'!K29</f>
        <v>20</v>
      </c>
      <c r="L174" s="1"/>
      <c r="M174" s="1"/>
      <c r="N174" s="1"/>
      <c r="O174" s="1"/>
      <c r="P174" s="1"/>
      <c r="Q174" s="1"/>
      <c r="R174" s="1">
        <f>'Data_3rd DH'!L29</f>
        <v>6</v>
      </c>
      <c r="S174" s="1">
        <f>'Data_3rd DH'!M29</f>
        <v>5</v>
      </c>
      <c r="T174" s="1">
        <f>'Data_3rd DH'!N29</f>
        <v>6</v>
      </c>
      <c r="U174" s="1">
        <f>'Data_3rd DH'!O29</f>
        <v>3</v>
      </c>
      <c r="V174" s="1">
        <f>'Data_3rd DH'!P29</f>
        <v>18</v>
      </c>
      <c r="W174" s="1"/>
      <c r="X174" s="1"/>
      <c r="Y174" s="1"/>
      <c r="Z174" s="1">
        <f>'Data_3rd DH'!Q29</f>
        <v>46.83</v>
      </c>
      <c r="AA174" s="1">
        <f>'Data_3rd DH'!R29</f>
        <v>22</v>
      </c>
      <c r="AB174" s="1">
        <f>'Data_3rd DH'!S29</f>
        <v>17.57</v>
      </c>
      <c r="AC174" s="1">
        <f>'Data_3rd DH'!T29</f>
        <v>10.93</v>
      </c>
      <c r="AD174" s="1">
        <f>'Data_3rd DH'!U29</f>
        <v>0.73</v>
      </c>
      <c r="AE174" s="1">
        <f>'Data_3rd DH'!V29</f>
        <v>17.45</v>
      </c>
      <c r="AF174" s="1">
        <f>'Data_3rd DH'!W29</f>
        <v>46.68</v>
      </c>
      <c r="AG174" s="1">
        <f>'Data_3rd DH'!X29</f>
        <v>487.82</v>
      </c>
      <c r="AH174" s="1"/>
      <c r="AI174" s="1">
        <v>1.6160000000000001</v>
      </c>
      <c r="AJ174" s="1">
        <v>1.048</v>
      </c>
      <c r="AK174" s="1">
        <v>8.8999999999999996E-2</v>
      </c>
      <c r="AL174" s="1">
        <v>1.635</v>
      </c>
      <c r="AM174" s="1">
        <f t="shared" si="13"/>
        <v>4.3879999999999999</v>
      </c>
      <c r="AN174" s="129">
        <f t="shared" si="14"/>
        <v>301.86881188118809</v>
      </c>
      <c r="AO174" s="162"/>
    </row>
    <row r="175" spans="1:41" x14ac:dyDescent="0.2">
      <c r="A175" s="155">
        <f t="shared" si="11"/>
        <v>45</v>
      </c>
      <c r="B175" s="156">
        <f>'Data_3rd DH'!B30</f>
        <v>45198</v>
      </c>
      <c r="C175" s="157" t="str">
        <f>'Data_3rd DH'!C30</f>
        <v>Fruit set/green fruits</v>
      </c>
      <c r="D175" s="155">
        <f>'Data_3rd DH'!D30</f>
        <v>25</v>
      </c>
      <c r="E175" s="155" t="str">
        <f>'Data_3rd DH'!E30</f>
        <v>Cherry_EC3_HighLight</v>
      </c>
      <c r="F175" s="158" t="str">
        <f>'Data_3rd DH'!F30</f>
        <v>Cherry</v>
      </c>
      <c r="G175" s="155" t="str">
        <f>'Data_3rd DH'!G30</f>
        <v>EC3</v>
      </c>
      <c r="H175" s="155" t="str">
        <f>'Data_3rd DH'!H30</f>
        <v>high light</v>
      </c>
      <c r="I175" s="155" t="str">
        <f>'Data_3rd DH'!I30</f>
        <v>Cherry_EC3_HL_2</v>
      </c>
      <c r="J175" s="155">
        <f>'Data_3rd DH'!J30</f>
        <v>2</v>
      </c>
      <c r="K175" s="1">
        <f>'Data_3rd DH'!K30</f>
        <v>31</v>
      </c>
      <c r="L175" s="1"/>
      <c r="M175" s="1"/>
      <c r="N175" s="1"/>
      <c r="O175" s="1"/>
      <c r="P175" s="1"/>
      <c r="Q175" s="1"/>
      <c r="R175" s="1">
        <f>'Data_3rd DH'!L30</f>
        <v>4</v>
      </c>
      <c r="S175" s="1">
        <f>'Data_3rd DH'!M30</f>
        <v>4</v>
      </c>
      <c r="T175" s="1">
        <f>'Data_3rd DH'!N30</f>
        <v>7</v>
      </c>
      <c r="U175" s="1">
        <f>'Data_3rd DH'!O30</f>
        <v>3</v>
      </c>
      <c r="V175" s="1">
        <f>'Data_3rd DH'!P30</f>
        <v>14</v>
      </c>
      <c r="W175" s="1"/>
      <c r="X175" s="1"/>
      <c r="Y175" s="1"/>
      <c r="Z175" s="1">
        <f>'Data_3rd DH'!Q30</f>
        <v>49.83</v>
      </c>
      <c r="AA175" s="1">
        <f>'Data_3rd DH'!R30</f>
        <v>24</v>
      </c>
      <c r="AB175" s="1">
        <f>'Data_3rd DH'!S30</f>
        <v>25.94</v>
      </c>
      <c r="AC175" s="1">
        <f>'Data_3rd DH'!T30</f>
        <v>16.399999999999999</v>
      </c>
      <c r="AD175" s="1">
        <f>'Data_3rd DH'!U30</f>
        <v>1.1100000000000001</v>
      </c>
      <c r="AE175" s="1">
        <f>'Data_3rd DH'!V30</f>
        <v>6.51</v>
      </c>
      <c r="AF175" s="1">
        <f>'Data_3rd DH'!W30</f>
        <v>49.96</v>
      </c>
      <c r="AG175" s="1">
        <f>'Data_3rd DH'!X30</f>
        <v>667.37</v>
      </c>
      <c r="AH175" s="1"/>
      <c r="AI175" s="1">
        <v>2.6190000000000002</v>
      </c>
      <c r="AJ175" s="1">
        <v>1.7869999999999999</v>
      </c>
      <c r="AK175" s="1">
        <v>0.125</v>
      </c>
      <c r="AL175" s="1">
        <v>0.71699999999999997</v>
      </c>
      <c r="AM175" s="1">
        <f t="shared" si="13"/>
        <v>5.2480000000000002</v>
      </c>
      <c r="AN175" s="129">
        <f t="shared" si="14"/>
        <v>254.81863306605572</v>
      </c>
      <c r="AO175" s="162"/>
    </row>
    <row r="176" spans="1:41" x14ac:dyDescent="0.2">
      <c r="A176" s="155">
        <f t="shared" si="11"/>
        <v>45</v>
      </c>
      <c r="B176" s="156">
        <f>'Data_3rd DH'!B31</f>
        <v>45198</v>
      </c>
      <c r="C176" s="157" t="str">
        <f>'Data_3rd DH'!C31</f>
        <v>Fruit set/green fruits</v>
      </c>
      <c r="D176" s="155">
        <f>'Data_3rd DH'!D31</f>
        <v>25</v>
      </c>
      <c r="E176" s="155" t="str">
        <f>'Data_3rd DH'!E31</f>
        <v>Cherry_EC3_HighLight</v>
      </c>
      <c r="F176" s="158" t="str">
        <f>'Data_3rd DH'!F31</f>
        <v>Cherry</v>
      </c>
      <c r="G176" s="155" t="str">
        <f>'Data_3rd DH'!G31</f>
        <v>EC3</v>
      </c>
      <c r="H176" s="155" t="str">
        <f>'Data_3rd DH'!H31</f>
        <v>high light</v>
      </c>
      <c r="I176" s="155" t="str">
        <f>'Data_3rd DH'!I31</f>
        <v>Cherry_EC3_HL_3</v>
      </c>
      <c r="J176" s="155">
        <f>'Data_3rd DH'!J31</f>
        <v>3</v>
      </c>
      <c r="K176" s="1">
        <f>'Data_3rd DH'!K31</f>
        <v>26</v>
      </c>
      <c r="L176" s="1"/>
      <c r="M176" s="1"/>
      <c r="N176" s="1"/>
      <c r="O176" s="1"/>
      <c r="P176" s="1"/>
      <c r="Q176" s="1"/>
      <c r="R176" s="1">
        <f>'Data_3rd DH'!L31</f>
        <v>0</v>
      </c>
      <c r="S176" s="1">
        <f>'Data_3rd DH'!M31</f>
        <v>0</v>
      </c>
      <c r="T176" s="1">
        <f>'Data_3rd DH'!N31</f>
        <v>7.666666666666667</v>
      </c>
      <c r="U176" s="1">
        <f>'Data_3rd DH'!O31</f>
        <v>3</v>
      </c>
      <c r="V176" s="1">
        <f>'Data_3rd DH'!P31</f>
        <v>10</v>
      </c>
      <c r="W176" s="1"/>
      <c r="X176" s="1"/>
      <c r="Y176" s="1"/>
      <c r="Z176" s="1">
        <f>'Data_3rd DH'!Q31</f>
        <v>25.17</v>
      </c>
      <c r="AA176" s="1">
        <f>'Data_3rd DH'!R31</f>
        <v>11</v>
      </c>
      <c r="AB176" s="1">
        <f>'Data_3rd DH'!S31</f>
        <v>8.76</v>
      </c>
      <c r="AC176" s="1">
        <f>'Data_3rd DH'!T31</f>
        <v>6.79</v>
      </c>
      <c r="AD176" s="1">
        <f>'Data_3rd DH'!U31</f>
        <v>0</v>
      </c>
      <c r="AE176" s="1">
        <f>'Data_3rd DH'!V31</f>
        <v>9.5399999999999991</v>
      </c>
      <c r="AF176" s="1">
        <f>'Data_3rd DH'!W31</f>
        <v>25.09</v>
      </c>
      <c r="AG176" s="1">
        <f>'Data_3rd DH'!X31</f>
        <v>260.10000000000002</v>
      </c>
      <c r="AH176" s="1"/>
      <c r="AI176" s="1">
        <v>0.88300000000000001</v>
      </c>
      <c r="AJ176" s="1">
        <v>0.85</v>
      </c>
      <c r="AK176" s="1">
        <v>4.9000000000000002E-2</v>
      </c>
      <c r="AL176" s="1">
        <v>0.94599999999999995</v>
      </c>
      <c r="AM176" s="1">
        <f t="shared" si="13"/>
        <v>2.7279999999999998</v>
      </c>
      <c r="AN176" s="129">
        <f t="shared" si="14"/>
        <v>294.56398640996605</v>
      </c>
      <c r="AO176" s="162"/>
    </row>
    <row r="177" spans="1:41" x14ac:dyDescent="0.2">
      <c r="A177" s="155">
        <f t="shared" si="11"/>
        <v>45</v>
      </c>
      <c r="B177" s="156">
        <f>'Data_3rd DH'!B32</f>
        <v>45198</v>
      </c>
      <c r="C177" s="157" t="str">
        <f>'Data_3rd DH'!C32</f>
        <v>Fruit set/green fruits</v>
      </c>
      <c r="D177" s="155">
        <f>'Data_3rd DH'!D32</f>
        <v>25</v>
      </c>
      <c r="E177" s="155" t="str">
        <f>'Data_3rd DH'!E32</f>
        <v>Cherry_EC3_HighLight</v>
      </c>
      <c r="F177" s="158" t="str">
        <f>'Data_3rd DH'!F32</f>
        <v>Cherry</v>
      </c>
      <c r="G177" s="155" t="str">
        <f>'Data_3rd DH'!G32</f>
        <v>EC3</v>
      </c>
      <c r="H177" s="155" t="str">
        <f>'Data_3rd DH'!H32</f>
        <v>high light</v>
      </c>
      <c r="I177" s="155" t="str">
        <f>'Data_3rd DH'!I32</f>
        <v>Cherry_EC3_HL_4</v>
      </c>
      <c r="J177" s="155">
        <f>'Data_3rd DH'!J32</f>
        <v>4</v>
      </c>
      <c r="K177" s="1">
        <f>'Data_3rd DH'!K32</f>
        <v>29</v>
      </c>
      <c r="L177" s="1"/>
      <c r="M177" s="1"/>
      <c r="N177" s="1"/>
      <c r="O177" s="1"/>
      <c r="P177" s="1"/>
      <c r="Q177" s="1"/>
      <c r="R177" s="1">
        <f>'Data_3rd DH'!L32</f>
        <v>2</v>
      </c>
      <c r="S177" s="1">
        <f>'Data_3rd DH'!M32</f>
        <v>3</v>
      </c>
      <c r="T177" s="1">
        <f>'Data_3rd DH'!N32</f>
        <v>10.666666666666666</v>
      </c>
      <c r="U177" s="1">
        <f>'Data_3rd DH'!O32</f>
        <v>3</v>
      </c>
      <c r="V177" s="1">
        <f>'Data_3rd DH'!P32</f>
        <v>20</v>
      </c>
      <c r="W177" s="1"/>
      <c r="X177" s="1"/>
      <c r="Y177" s="1"/>
      <c r="Z177" s="1">
        <f>'Data_3rd DH'!Q32</f>
        <v>36.33</v>
      </c>
      <c r="AA177" s="1">
        <f>'Data_3rd DH'!R32</f>
        <v>13</v>
      </c>
      <c r="AB177" s="1">
        <f>'Data_3rd DH'!S32</f>
        <v>12.15</v>
      </c>
      <c r="AC177" s="1">
        <f>'Data_3rd DH'!T32</f>
        <v>9.14</v>
      </c>
      <c r="AD177" s="1">
        <f>'Data_3rd DH'!U32</f>
        <v>0.39</v>
      </c>
      <c r="AE177" s="1">
        <f>'Data_3rd DH'!V32</f>
        <v>14.71</v>
      </c>
      <c r="AF177" s="1">
        <f>'Data_3rd DH'!W32</f>
        <v>36.39</v>
      </c>
      <c r="AG177" s="1">
        <f>'Data_3rd DH'!X32</f>
        <v>335.01</v>
      </c>
      <c r="AH177" s="1"/>
      <c r="AI177" s="1">
        <v>1.296</v>
      </c>
      <c r="AJ177" s="1">
        <v>1.038</v>
      </c>
      <c r="AK177" s="1">
        <v>1.6E-2</v>
      </c>
      <c r="AL177" s="1">
        <v>1.5569999999999999</v>
      </c>
      <c r="AM177" s="1">
        <f t="shared" si="13"/>
        <v>3.907</v>
      </c>
      <c r="AN177" s="129">
        <f t="shared" si="14"/>
        <v>258.49537037037038</v>
      </c>
      <c r="AO177" s="162"/>
    </row>
    <row r="178" spans="1:41" x14ac:dyDescent="0.2">
      <c r="A178" s="155">
        <f t="shared" si="11"/>
        <v>45</v>
      </c>
      <c r="B178" s="156">
        <f>'Data_3rd DH'!B33</f>
        <v>45198</v>
      </c>
      <c r="C178" s="157" t="str">
        <f>'Data_3rd DH'!C33</f>
        <v>Fruit set/green fruits</v>
      </c>
      <c r="D178" s="155">
        <f>'Data_3rd DH'!D33</f>
        <v>25</v>
      </c>
      <c r="E178" s="155" t="str">
        <f>'Data_3rd DH'!E33</f>
        <v>Cherry_EC3_HighLight</v>
      </c>
      <c r="F178" s="158" t="str">
        <f>'Data_3rd DH'!F33</f>
        <v>Cherry</v>
      </c>
      <c r="G178" s="155" t="str">
        <f>'Data_3rd DH'!G33</f>
        <v>EC3</v>
      </c>
      <c r="H178" s="155" t="str">
        <f>'Data_3rd DH'!H33</f>
        <v>high light</v>
      </c>
      <c r="I178" s="155" t="str">
        <f>'Data_3rd DH'!I33</f>
        <v>Cherry_EC3_HL_5</v>
      </c>
      <c r="J178" s="155">
        <f>'Data_3rd DH'!J33</f>
        <v>5</v>
      </c>
      <c r="K178" s="1">
        <f>'Data_3rd DH'!K33</f>
        <v>30</v>
      </c>
      <c r="L178" s="1"/>
      <c r="M178" s="1"/>
      <c r="N178" s="1"/>
      <c r="O178" s="1"/>
      <c r="P178" s="1"/>
      <c r="Q178" s="1"/>
      <c r="R178" s="1">
        <f>'Data_3rd DH'!L33</f>
        <v>2</v>
      </c>
      <c r="S178" s="1">
        <f>'Data_3rd DH'!M33</f>
        <v>0</v>
      </c>
      <c r="T178" s="1">
        <f>'Data_3rd DH'!N33</f>
        <v>5.333333333333333</v>
      </c>
      <c r="U178" s="1">
        <f>'Data_3rd DH'!O33</f>
        <v>3</v>
      </c>
      <c r="V178" s="1">
        <f>'Data_3rd DH'!P33</f>
        <v>12</v>
      </c>
      <c r="W178" s="1"/>
      <c r="X178" s="1"/>
      <c r="Y178" s="1"/>
      <c r="Z178" s="1">
        <f>'Data_3rd DH'!Q33</f>
        <v>28.11</v>
      </c>
      <c r="AA178" s="1">
        <f>'Data_3rd DH'!R33</f>
        <v>12</v>
      </c>
      <c r="AB178" s="1">
        <f>'Data_3rd DH'!S33</f>
        <v>13.05</v>
      </c>
      <c r="AC178" s="1">
        <f>'Data_3rd DH'!T33</f>
        <v>9.44</v>
      </c>
      <c r="AD178" s="1">
        <f>'Data_3rd DH'!U33</f>
        <v>0.1</v>
      </c>
      <c r="AE178" s="1">
        <f>'Data_3rd DH'!V33</f>
        <v>5.6</v>
      </c>
      <c r="AF178" s="1">
        <f>'Data_3rd DH'!W33</f>
        <v>28.190000000000005</v>
      </c>
      <c r="AG178" s="1">
        <f>'Data_3rd DH'!X33</f>
        <v>378.13</v>
      </c>
      <c r="AH178" s="1"/>
      <c r="AI178" s="1">
        <v>1.1639999999999999</v>
      </c>
      <c r="AJ178" s="1">
        <v>0.84399999999999997</v>
      </c>
      <c r="AK178" s="1"/>
      <c r="AL178" s="1">
        <v>0.504</v>
      </c>
      <c r="AM178" s="1">
        <f t="shared" si="13"/>
        <v>2.512</v>
      </c>
      <c r="AN178" s="129">
        <f t="shared" si="14"/>
        <v>324.85395189003441</v>
      </c>
      <c r="AO178" s="162"/>
    </row>
    <row r="179" spans="1:41" x14ac:dyDescent="0.2">
      <c r="A179" s="155">
        <f t="shared" si="11"/>
        <v>45</v>
      </c>
      <c r="B179" s="156">
        <f>'Data_3rd DH'!B34</f>
        <v>45198</v>
      </c>
      <c r="C179" s="157" t="str">
        <f>'Data_3rd DH'!C34</f>
        <v>Fruit set/green fruits</v>
      </c>
      <c r="D179" s="155">
        <f>'Data_3rd DH'!D34</f>
        <v>25</v>
      </c>
      <c r="E179" s="155" t="str">
        <f>'Data_3rd DH'!E34</f>
        <v>Cherry_EC3_HighLight</v>
      </c>
      <c r="F179" s="158" t="str">
        <f>'Data_3rd DH'!F34</f>
        <v>Cherry</v>
      </c>
      <c r="G179" s="155" t="str">
        <f>'Data_3rd DH'!G34</f>
        <v>EC3</v>
      </c>
      <c r="H179" s="155" t="str">
        <f>'Data_3rd DH'!H34</f>
        <v>high light</v>
      </c>
      <c r="I179" s="155" t="str">
        <f>'Data_3rd DH'!I34</f>
        <v>Cherry_EC3_HL_6</v>
      </c>
      <c r="J179" s="155">
        <f>'Data_3rd DH'!J34</f>
        <v>6</v>
      </c>
      <c r="K179" s="1">
        <f>'Data_3rd DH'!K34</f>
        <v>31</v>
      </c>
      <c r="L179" s="1"/>
      <c r="M179" s="1"/>
      <c r="N179" s="1"/>
      <c r="O179" s="1"/>
      <c r="P179" s="1"/>
      <c r="Q179" s="1"/>
      <c r="R179" s="1">
        <f>'Data_3rd DH'!L34</f>
        <v>4</v>
      </c>
      <c r="S179" s="1">
        <f>'Data_3rd DH'!M34</f>
        <v>0</v>
      </c>
      <c r="T179" s="1">
        <f>'Data_3rd DH'!N34</f>
        <v>5.5</v>
      </c>
      <c r="U179" s="1">
        <f>'Data_3rd DH'!O34</f>
        <v>4</v>
      </c>
      <c r="V179" s="1">
        <f>'Data_3rd DH'!P34</f>
        <v>14</v>
      </c>
      <c r="W179" s="1"/>
      <c r="X179" s="1"/>
      <c r="Y179" s="1"/>
      <c r="Z179" s="1">
        <f>'Data_3rd DH'!Q34</f>
        <v>39.46</v>
      </c>
      <c r="AA179" s="1">
        <f>'Data_3rd DH'!R34</f>
        <v>20</v>
      </c>
      <c r="AB179" s="1">
        <f>'Data_3rd DH'!S34</f>
        <v>19.54</v>
      </c>
      <c r="AC179" s="1">
        <f>'Data_3rd DH'!T34</f>
        <v>13.2</v>
      </c>
      <c r="AD179" s="1">
        <f>'Data_3rd DH'!U34</f>
        <v>0.56999999999999995</v>
      </c>
      <c r="AE179" s="1">
        <f>'Data_3rd DH'!V34</f>
        <v>6.03</v>
      </c>
      <c r="AF179" s="1">
        <f>'Data_3rd DH'!W34</f>
        <v>39.339999999999996</v>
      </c>
      <c r="AG179" s="1">
        <f>'Data_3rd DH'!X34</f>
        <v>554.39</v>
      </c>
      <c r="AH179" s="1"/>
      <c r="AI179" s="1">
        <v>1.9319999999999999</v>
      </c>
      <c r="AJ179" s="1">
        <v>1.286</v>
      </c>
      <c r="AK179" s="1">
        <v>7.2999999999999995E-2</v>
      </c>
      <c r="AL179" s="1">
        <v>0.63800000000000001</v>
      </c>
      <c r="AM179" s="1">
        <f t="shared" si="13"/>
        <v>3.9289999999999998</v>
      </c>
      <c r="AN179" s="129">
        <f t="shared" si="14"/>
        <v>286.95134575569358</v>
      </c>
      <c r="AO179" s="162"/>
    </row>
    <row r="180" spans="1:41" x14ac:dyDescent="0.2">
      <c r="A180" s="155">
        <f t="shared" si="11"/>
        <v>45</v>
      </c>
      <c r="B180" s="156">
        <f>'Data_3rd DH'!B35</f>
        <v>45198</v>
      </c>
      <c r="C180" s="157" t="str">
        <f>'Data_3rd DH'!C35</f>
        <v>Fruit set/green fruits</v>
      </c>
      <c r="D180" s="155">
        <f>'Data_3rd DH'!D35</f>
        <v>25</v>
      </c>
      <c r="E180" s="155" t="str">
        <f>'Data_3rd DH'!E35</f>
        <v>Cherry_EC3_MedLight</v>
      </c>
      <c r="F180" s="158" t="str">
        <f>'Data_3rd DH'!F35</f>
        <v>Cherry</v>
      </c>
      <c r="G180" s="155" t="str">
        <f>'Data_3rd DH'!G35</f>
        <v>EC3</v>
      </c>
      <c r="H180" s="155" t="str">
        <f>'Data_3rd DH'!H35</f>
        <v>med light</v>
      </c>
      <c r="I180" s="155" t="str">
        <f>'Data_3rd DH'!I35</f>
        <v>Cherry_EC3_ML_1</v>
      </c>
      <c r="J180" s="155">
        <f>'Data_3rd DH'!J35</f>
        <v>1</v>
      </c>
      <c r="K180" s="1">
        <f>'Data_3rd DH'!K35</f>
        <v>35</v>
      </c>
      <c r="L180" s="1"/>
      <c r="M180" s="1"/>
      <c r="N180" s="1"/>
      <c r="O180" s="1"/>
      <c r="P180" s="1"/>
      <c r="Q180" s="1"/>
      <c r="R180" s="1">
        <f>'Data_3rd DH'!L35</f>
        <v>3</v>
      </c>
      <c r="S180" s="1">
        <f>'Data_3rd DH'!M35</f>
        <v>2</v>
      </c>
      <c r="T180" s="1">
        <f>'Data_3rd DH'!N35</f>
        <v>7.5</v>
      </c>
      <c r="U180" s="1">
        <f>'Data_3rd DH'!O35</f>
        <v>4</v>
      </c>
      <c r="V180" s="1">
        <f>'Data_3rd DH'!P35</f>
        <v>18</v>
      </c>
      <c r="W180" s="1"/>
      <c r="X180" s="1"/>
      <c r="Y180" s="1"/>
      <c r="Z180" s="1">
        <f>'Data_3rd DH'!Q35</f>
        <v>60.91</v>
      </c>
      <c r="AA180" s="1">
        <f>'Data_3rd DH'!R35</f>
        <v>24</v>
      </c>
      <c r="AB180" s="1">
        <f>'Data_3rd DH'!S35</f>
        <v>32.06</v>
      </c>
      <c r="AC180" s="1">
        <f>'Data_3rd DH'!T35</f>
        <v>19.09</v>
      </c>
      <c r="AD180" s="1">
        <f>'Data_3rd DH'!U35</f>
        <v>0.67</v>
      </c>
      <c r="AE180" s="1">
        <f>'Data_3rd DH'!V35</f>
        <v>8.91</v>
      </c>
      <c r="AF180" s="1">
        <f>'Data_3rd DH'!W35</f>
        <v>60.730000000000004</v>
      </c>
      <c r="AG180" s="1">
        <f>'Data_3rd DH'!X35</f>
        <v>838.07</v>
      </c>
      <c r="AH180" s="1"/>
      <c r="AI180" s="1">
        <v>3.3359999999999999</v>
      </c>
      <c r="AJ180" s="1">
        <v>2.1349999999999998</v>
      </c>
      <c r="AK180" s="1">
        <v>8.7999999999999995E-2</v>
      </c>
      <c r="AL180" s="1">
        <v>1.024</v>
      </c>
      <c r="AM180" s="1">
        <f t="shared" si="13"/>
        <v>6.5830000000000002</v>
      </c>
      <c r="AN180" s="129">
        <f t="shared" si="14"/>
        <v>251.22002398081537</v>
      </c>
      <c r="AO180" s="162"/>
    </row>
    <row r="181" spans="1:41" x14ac:dyDescent="0.2">
      <c r="A181" s="155">
        <f t="shared" si="11"/>
        <v>45</v>
      </c>
      <c r="B181" s="156">
        <f>'Data_3rd DH'!B36</f>
        <v>45198</v>
      </c>
      <c r="C181" s="157" t="str">
        <f>'Data_3rd DH'!C36</f>
        <v>Fruit set/green fruits</v>
      </c>
      <c r="D181" s="155">
        <f>'Data_3rd DH'!D36</f>
        <v>25</v>
      </c>
      <c r="E181" s="155" t="str">
        <f>'Data_3rd DH'!E36</f>
        <v>Cherry_EC3_MedLight</v>
      </c>
      <c r="F181" s="158" t="str">
        <f>'Data_3rd DH'!F36</f>
        <v>Cherry</v>
      </c>
      <c r="G181" s="155" t="str">
        <f>'Data_3rd DH'!G36</f>
        <v>EC3</v>
      </c>
      <c r="H181" s="155" t="str">
        <f>'Data_3rd DH'!H36</f>
        <v>med light</v>
      </c>
      <c r="I181" s="155" t="str">
        <f>'Data_3rd DH'!I36</f>
        <v>Cherry_EC3_ML_2</v>
      </c>
      <c r="J181" s="155">
        <f>'Data_3rd DH'!J36</f>
        <v>2</v>
      </c>
      <c r="K181" s="1">
        <f>'Data_3rd DH'!K36</f>
        <v>30</v>
      </c>
      <c r="L181" s="1"/>
      <c r="M181" s="1"/>
      <c r="N181" s="1"/>
      <c r="O181" s="1"/>
      <c r="P181" s="1"/>
      <c r="Q181" s="1"/>
      <c r="R181" s="1">
        <f>'Data_3rd DH'!L36</f>
        <v>2</v>
      </c>
      <c r="S181" s="1">
        <f>'Data_3rd DH'!M36</f>
        <v>2</v>
      </c>
      <c r="T181" s="1">
        <f>'Data_3rd DH'!N36</f>
        <v>5.8</v>
      </c>
      <c r="U181" s="1">
        <f>'Data_3rd DH'!O36</f>
        <v>5</v>
      </c>
      <c r="V181" s="1">
        <f>'Data_3rd DH'!P36</f>
        <v>17</v>
      </c>
      <c r="W181" s="1"/>
      <c r="X181" s="1"/>
      <c r="Y181" s="1"/>
      <c r="Z181" s="1">
        <f>'Data_3rd DH'!Q36</f>
        <v>52.01</v>
      </c>
      <c r="AA181" s="1">
        <f>'Data_3rd DH'!R36</f>
        <v>18</v>
      </c>
      <c r="AB181" s="1">
        <f>'Data_3rd DH'!S36</f>
        <v>23.22</v>
      </c>
      <c r="AC181" s="1">
        <f>'Data_3rd DH'!T36</f>
        <v>13.53</v>
      </c>
      <c r="AD181" s="1">
        <f>'Data_3rd DH'!U36</f>
        <v>0.38</v>
      </c>
      <c r="AE181" s="1">
        <f>'Data_3rd DH'!V36</f>
        <v>14.71</v>
      </c>
      <c r="AF181" s="1">
        <f>'Data_3rd DH'!W36</f>
        <v>51.84</v>
      </c>
      <c r="AG181" s="1">
        <f>'Data_3rd DH'!X36</f>
        <v>609.79999999999995</v>
      </c>
      <c r="AH181" s="1"/>
      <c r="AI181" s="1">
        <v>2.1339999999999999</v>
      </c>
      <c r="AJ181" s="1">
        <v>1.353</v>
      </c>
      <c r="AK181" s="1">
        <v>4.5999999999999999E-2</v>
      </c>
      <c r="AL181" s="1">
        <v>1.5089999999999999</v>
      </c>
      <c r="AM181" s="1">
        <f t="shared" si="13"/>
        <v>5.0419999999999998</v>
      </c>
      <c r="AN181" s="129">
        <f t="shared" si="14"/>
        <v>285.75445173383315</v>
      </c>
      <c r="AO181" s="162"/>
    </row>
    <row r="182" spans="1:41" x14ac:dyDescent="0.2">
      <c r="A182" s="155">
        <f t="shared" si="11"/>
        <v>45</v>
      </c>
      <c r="B182" s="156">
        <f>'Data_3rd DH'!B37</f>
        <v>45198</v>
      </c>
      <c r="C182" s="157" t="str">
        <f>'Data_3rd DH'!C37</f>
        <v>Fruit set/green fruits</v>
      </c>
      <c r="D182" s="155">
        <f>'Data_3rd DH'!D37</f>
        <v>25</v>
      </c>
      <c r="E182" s="155" t="str">
        <f>'Data_3rd DH'!E37</f>
        <v>Cherry_EC3_MedLight</v>
      </c>
      <c r="F182" s="158" t="str">
        <f>'Data_3rd DH'!F37</f>
        <v>Cherry</v>
      </c>
      <c r="G182" s="155" t="str">
        <f>'Data_3rd DH'!G37</f>
        <v>EC3</v>
      </c>
      <c r="H182" s="155" t="str">
        <f>'Data_3rd DH'!H37</f>
        <v>med light</v>
      </c>
      <c r="I182" s="155" t="str">
        <f>'Data_3rd DH'!I37</f>
        <v>Cherry_EC3_ML_3</v>
      </c>
      <c r="J182" s="155">
        <f>'Data_3rd DH'!J37</f>
        <v>3</v>
      </c>
      <c r="K182" s="1">
        <f>'Data_3rd DH'!K37</f>
        <v>34</v>
      </c>
      <c r="L182" s="1"/>
      <c r="M182" s="1"/>
      <c r="N182" s="1"/>
      <c r="O182" s="1"/>
      <c r="P182" s="1"/>
      <c r="Q182" s="1"/>
      <c r="R182" s="1">
        <f>'Data_3rd DH'!L37</f>
        <v>3</v>
      </c>
      <c r="S182" s="1">
        <f>'Data_3rd DH'!M37</f>
        <v>2</v>
      </c>
      <c r="T182" s="1">
        <f>'Data_3rd DH'!N37</f>
        <v>6.4</v>
      </c>
      <c r="U182" s="1">
        <f>'Data_3rd DH'!O37</f>
        <v>5</v>
      </c>
      <c r="V182" s="1">
        <f>'Data_3rd DH'!P37</f>
        <v>21</v>
      </c>
      <c r="W182" s="1"/>
      <c r="X182" s="1"/>
      <c r="Y182" s="1"/>
      <c r="Z182" s="1">
        <f>'Data_3rd DH'!Q37</f>
        <v>55.98</v>
      </c>
      <c r="AA182" s="1">
        <f>'Data_3rd DH'!R37</f>
        <v>25</v>
      </c>
      <c r="AB182" s="1">
        <f>'Data_3rd DH'!S37</f>
        <v>25.55</v>
      </c>
      <c r="AC182" s="1">
        <f>'Data_3rd DH'!T37</f>
        <v>16.37</v>
      </c>
      <c r="AD182" s="1">
        <f>'Data_3rd DH'!U37</f>
        <v>0.62</v>
      </c>
      <c r="AE182" s="1">
        <f>'Data_3rd DH'!V37</f>
        <v>13.41</v>
      </c>
      <c r="AF182" s="1">
        <f>'Data_3rd DH'!W37</f>
        <v>55.95</v>
      </c>
      <c r="AG182" s="1">
        <f>'Data_3rd DH'!X37</f>
        <v>679.15</v>
      </c>
      <c r="AH182" s="1"/>
      <c r="AI182" s="1">
        <v>2.9</v>
      </c>
      <c r="AJ182" s="1">
        <v>1.907</v>
      </c>
      <c r="AK182" s="1">
        <v>8.3000000000000004E-2</v>
      </c>
      <c r="AL182" s="1">
        <v>1.5960000000000001</v>
      </c>
      <c r="AM182" s="1">
        <f t="shared" si="13"/>
        <v>6.4860000000000007</v>
      </c>
      <c r="AN182" s="129">
        <f t="shared" si="14"/>
        <v>234.18965517241378</v>
      </c>
      <c r="AO182" s="162"/>
    </row>
    <row r="183" spans="1:41" x14ac:dyDescent="0.2">
      <c r="A183" s="155">
        <f t="shared" si="11"/>
        <v>45</v>
      </c>
      <c r="B183" s="156">
        <f>'Data_3rd DH'!B38</f>
        <v>45198</v>
      </c>
      <c r="C183" s="157" t="str">
        <f>'Data_3rd DH'!C38</f>
        <v>Fruit set/green fruits</v>
      </c>
      <c r="D183" s="155">
        <f>'Data_3rd DH'!D38</f>
        <v>25</v>
      </c>
      <c r="E183" s="155" t="str">
        <f>'Data_3rd DH'!E38</f>
        <v>Cherry_EC3_MedLight</v>
      </c>
      <c r="F183" s="158" t="str">
        <f>'Data_3rd DH'!F38</f>
        <v>Cherry</v>
      </c>
      <c r="G183" s="155" t="str">
        <f>'Data_3rd DH'!G38</f>
        <v>EC3</v>
      </c>
      <c r="H183" s="155" t="str">
        <f>'Data_3rd DH'!H38</f>
        <v>med light</v>
      </c>
      <c r="I183" s="155" t="str">
        <f>'Data_3rd DH'!I38</f>
        <v>Cherry_EC3_ML_4</v>
      </c>
      <c r="J183" s="155">
        <f>'Data_3rd DH'!J38</f>
        <v>4</v>
      </c>
      <c r="K183" s="1">
        <f>'Data_3rd DH'!K38</f>
        <v>28</v>
      </c>
      <c r="L183" s="1"/>
      <c r="M183" s="1"/>
      <c r="N183" s="1"/>
      <c r="O183" s="1"/>
      <c r="P183" s="1"/>
      <c r="Q183" s="1"/>
      <c r="R183" s="1">
        <f>'Data_3rd DH'!L38</f>
        <v>2</v>
      </c>
      <c r="S183" s="1">
        <f>'Data_3rd DH'!M38</f>
        <v>0</v>
      </c>
      <c r="T183" s="1">
        <f>'Data_3rd DH'!N38</f>
        <v>7</v>
      </c>
      <c r="U183" s="1">
        <f>'Data_3rd DH'!O38</f>
        <v>3</v>
      </c>
      <c r="V183" s="1">
        <f>'Data_3rd DH'!P38</f>
        <v>19</v>
      </c>
      <c r="W183" s="1"/>
      <c r="X183" s="1"/>
      <c r="Y183" s="1"/>
      <c r="Z183" s="1">
        <f>'Data_3rd DH'!Q38</f>
        <v>43.83</v>
      </c>
      <c r="AA183" s="1">
        <f>'Data_3rd DH'!R38</f>
        <v>30</v>
      </c>
      <c r="AB183" s="1">
        <f>'Data_3rd DH'!S38</f>
        <v>19.420000000000002</v>
      </c>
      <c r="AC183" s="1">
        <f>'Data_3rd DH'!T38</f>
        <v>10.52</v>
      </c>
      <c r="AD183" s="1">
        <f>'Data_3rd DH'!U38</f>
        <v>0.3</v>
      </c>
      <c r="AE183" s="1">
        <f>'Data_3rd DH'!V38</f>
        <v>13.5</v>
      </c>
      <c r="AF183" s="1">
        <f>'Data_3rd DH'!W38</f>
        <v>43.74</v>
      </c>
      <c r="AG183" s="1">
        <f>'Data_3rd DH'!X38</f>
        <v>543</v>
      </c>
      <c r="AH183" s="1"/>
      <c r="AI183" s="1">
        <v>2.052</v>
      </c>
      <c r="AJ183" s="1">
        <v>1.1279999999999999</v>
      </c>
      <c r="AK183" s="1">
        <v>0.04</v>
      </c>
      <c r="AL183" s="1">
        <v>1.4610000000000001</v>
      </c>
      <c r="AM183" s="1">
        <f t="shared" si="13"/>
        <v>4.681</v>
      </c>
      <c r="AN183" s="129">
        <f t="shared" si="14"/>
        <v>264.61988304093569</v>
      </c>
      <c r="AO183" s="162"/>
    </row>
    <row r="184" spans="1:41" x14ac:dyDescent="0.2">
      <c r="A184" s="155">
        <f t="shared" si="11"/>
        <v>45</v>
      </c>
      <c r="B184" s="156">
        <f>'Data_3rd DH'!B39</f>
        <v>45198</v>
      </c>
      <c r="C184" s="157" t="str">
        <f>'Data_3rd DH'!C39</f>
        <v>Fruit set/green fruits</v>
      </c>
      <c r="D184" s="155">
        <f>'Data_3rd DH'!D39</f>
        <v>25</v>
      </c>
      <c r="E184" s="155" t="str">
        <f>'Data_3rd DH'!E39</f>
        <v>Cherry_EC3_MedLight</v>
      </c>
      <c r="F184" s="158" t="str">
        <f>'Data_3rd DH'!F39</f>
        <v>Cherry</v>
      </c>
      <c r="G184" s="155" t="str">
        <f>'Data_3rd DH'!G39</f>
        <v>EC3</v>
      </c>
      <c r="H184" s="155" t="str">
        <f>'Data_3rd DH'!H39</f>
        <v>med light</v>
      </c>
      <c r="I184" s="155" t="str">
        <f>'Data_3rd DH'!I39</f>
        <v>Cherry_EC3_ML_5</v>
      </c>
      <c r="J184" s="155">
        <f>'Data_3rd DH'!J39</f>
        <v>5</v>
      </c>
      <c r="K184" s="1">
        <f>'Data_3rd DH'!K39</f>
        <v>28</v>
      </c>
      <c r="L184" s="1"/>
      <c r="M184" s="1"/>
      <c r="N184" s="1"/>
      <c r="O184" s="1"/>
      <c r="P184" s="1"/>
      <c r="Q184" s="1"/>
      <c r="R184" s="1">
        <f>'Data_3rd DH'!L39</f>
        <v>1</v>
      </c>
      <c r="S184" s="1">
        <f>'Data_3rd DH'!M39</f>
        <v>0</v>
      </c>
      <c r="T184" s="1">
        <f>'Data_3rd DH'!N39</f>
        <v>6.333333333333333</v>
      </c>
      <c r="U184" s="1">
        <f>'Data_3rd DH'!O39</f>
        <v>3</v>
      </c>
      <c r="V184" s="1">
        <f>'Data_3rd DH'!P39</f>
        <v>12</v>
      </c>
      <c r="W184" s="1"/>
      <c r="X184" s="1"/>
      <c r="Y184" s="1"/>
      <c r="Z184" s="1">
        <f>'Data_3rd DH'!Q39</f>
        <v>25.95</v>
      </c>
      <c r="AA184" s="1">
        <f>'Data_3rd DH'!R39</f>
        <v>15</v>
      </c>
      <c r="AB184" s="1">
        <f>'Data_3rd DH'!S39</f>
        <v>11.07</v>
      </c>
      <c r="AC184" s="1">
        <f>'Data_3rd DH'!T39</f>
        <v>8.18</v>
      </c>
      <c r="AD184" s="1">
        <f>'Data_3rd DH'!U39</f>
        <v>0.05</v>
      </c>
      <c r="AE184" s="1">
        <f>'Data_3rd DH'!V39</f>
        <v>6.62</v>
      </c>
      <c r="AF184" s="1">
        <f>'Data_3rd DH'!W39</f>
        <v>25.92</v>
      </c>
      <c r="AG184" s="1">
        <f>'Data_3rd DH'!X39</f>
        <v>330.09</v>
      </c>
      <c r="AH184" s="1"/>
      <c r="AI184" s="1">
        <v>1.016</v>
      </c>
      <c r="AJ184" s="1">
        <v>0.83</v>
      </c>
      <c r="AK184" s="1">
        <v>4.0000000000000001E-3</v>
      </c>
      <c r="AL184" s="1">
        <v>0.63600000000000001</v>
      </c>
      <c r="AM184" s="1">
        <f t="shared" si="13"/>
        <v>2.4860000000000002</v>
      </c>
      <c r="AN184" s="129">
        <f t="shared" si="14"/>
        <v>324.89173228346453</v>
      </c>
      <c r="AO184" s="162"/>
    </row>
    <row r="185" spans="1:41" x14ac:dyDescent="0.2">
      <c r="A185" s="155">
        <f t="shared" si="11"/>
        <v>45</v>
      </c>
      <c r="B185" s="156">
        <f>'Data_3rd DH'!B40</f>
        <v>45198</v>
      </c>
      <c r="C185" s="157" t="str">
        <f>'Data_3rd DH'!C40</f>
        <v>Fruit set/green fruits</v>
      </c>
      <c r="D185" s="155">
        <f>'Data_3rd DH'!D40</f>
        <v>25</v>
      </c>
      <c r="E185" s="155" t="str">
        <f>'Data_3rd DH'!E40</f>
        <v>Cherry_EC3_MedLight</v>
      </c>
      <c r="F185" s="158" t="str">
        <f>'Data_3rd DH'!F40</f>
        <v>Cherry</v>
      </c>
      <c r="G185" s="155" t="str">
        <f>'Data_3rd DH'!G40</f>
        <v>EC3</v>
      </c>
      <c r="H185" s="155" t="str">
        <f>'Data_3rd DH'!H40</f>
        <v>med light</v>
      </c>
      <c r="I185" s="155" t="str">
        <f>'Data_3rd DH'!I40</f>
        <v>Cherry_EC3_ML_6</v>
      </c>
      <c r="J185" s="155">
        <f>'Data_3rd DH'!J40</f>
        <v>6</v>
      </c>
      <c r="K185" s="1">
        <f>'Data_3rd DH'!K40</f>
        <v>30</v>
      </c>
      <c r="L185" s="1"/>
      <c r="M185" s="1"/>
      <c r="N185" s="1"/>
      <c r="O185" s="1"/>
      <c r="P185" s="1"/>
      <c r="Q185" s="1"/>
      <c r="R185" s="1">
        <f>'Data_3rd DH'!L40</f>
        <v>4</v>
      </c>
      <c r="S185" s="1">
        <f>'Data_3rd DH'!M40</f>
        <v>5</v>
      </c>
      <c r="T185" s="1">
        <f>'Data_3rd DH'!N40</f>
        <v>6.333333333333333</v>
      </c>
      <c r="U185" s="1">
        <f>'Data_3rd DH'!O40</f>
        <v>3</v>
      </c>
      <c r="V185" s="1">
        <f>'Data_3rd DH'!P40</f>
        <v>14</v>
      </c>
      <c r="W185" s="1"/>
      <c r="X185" s="1"/>
      <c r="Y185" s="1"/>
      <c r="Z185" s="1">
        <f>'Data_3rd DH'!Q40</f>
        <v>38.42</v>
      </c>
      <c r="AA185" s="1">
        <f>'Data_3rd DH'!R40</f>
        <v>16</v>
      </c>
      <c r="AB185" s="1">
        <f>'Data_3rd DH'!S40</f>
        <v>15.86</v>
      </c>
      <c r="AC185" s="1">
        <f>'Data_3rd DH'!T40</f>
        <v>11.44</v>
      </c>
      <c r="AD185" s="1">
        <f>'Data_3rd DH'!U40</f>
        <v>1.19</v>
      </c>
      <c r="AE185" s="1">
        <f>'Data_3rd DH'!V40</f>
        <v>10.029999999999999</v>
      </c>
      <c r="AF185" s="1">
        <f>'Data_3rd DH'!W40</f>
        <v>38.519999999999996</v>
      </c>
      <c r="AG185" s="1">
        <f>'Data_3rd DH'!X40</f>
        <v>448.01</v>
      </c>
      <c r="AH185" s="1"/>
      <c r="AI185" s="1">
        <v>1.508</v>
      </c>
      <c r="AJ185" s="1">
        <v>1.097</v>
      </c>
      <c r="AK185" s="1">
        <v>0.128</v>
      </c>
      <c r="AL185" s="1">
        <v>1.022</v>
      </c>
      <c r="AM185" s="1">
        <f t="shared" si="13"/>
        <v>3.7549999999999999</v>
      </c>
      <c r="AN185" s="129">
        <f t="shared" si="14"/>
        <v>297.08885941644564</v>
      </c>
      <c r="AO185" s="162"/>
    </row>
    <row r="186" spans="1:41" x14ac:dyDescent="0.2">
      <c r="A186" s="155">
        <f t="shared" si="11"/>
        <v>45</v>
      </c>
      <c r="B186" s="156">
        <f>'Data_3rd DH'!B41</f>
        <v>45198</v>
      </c>
      <c r="C186" s="157" t="str">
        <f>'Data_3rd DH'!C41</f>
        <v>Fruit set/green fruits</v>
      </c>
      <c r="D186" s="155">
        <f>'Data_3rd DH'!D41</f>
        <v>25</v>
      </c>
      <c r="E186" s="155" t="str">
        <f>'Data_3rd DH'!E41</f>
        <v>Cherry_EC3_LowLight</v>
      </c>
      <c r="F186" s="158" t="str">
        <f>'Data_3rd DH'!F41</f>
        <v>Cherry</v>
      </c>
      <c r="G186" s="155" t="str">
        <f>'Data_3rd DH'!G41</f>
        <v>EC3</v>
      </c>
      <c r="H186" s="155" t="str">
        <f>'Data_3rd DH'!H41</f>
        <v>low light</v>
      </c>
      <c r="I186" s="155" t="str">
        <f>'Data_3rd DH'!I41</f>
        <v>Cherry_EC3_LL_1</v>
      </c>
      <c r="J186" s="155">
        <f>'Data_3rd DH'!J41</f>
        <v>1</v>
      </c>
      <c r="K186" s="1">
        <f>'Data_3rd DH'!K41</f>
        <v>25</v>
      </c>
      <c r="L186" s="1"/>
      <c r="M186" s="1"/>
      <c r="N186" s="1"/>
      <c r="O186" s="1"/>
      <c r="P186" s="1"/>
      <c r="Q186" s="1"/>
      <c r="R186" s="1">
        <f>'Data_3rd DH'!L41</f>
        <v>4</v>
      </c>
      <c r="S186" s="1">
        <f>'Data_3rd DH'!M41</f>
        <v>3</v>
      </c>
      <c r="T186" s="1">
        <f>'Data_3rd DH'!N41</f>
        <v>6</v>
      </c>
      <c r="U186" s="1">
        <f>'Data_3rd DH'!O41</f>
        <v>2</v>
      </c>
      <c r="V186" s="1">
        <f>'Data_3rd DH'!P41</f>
        <v>9</v>
      </c>
      <c r="W186" s="1"/>
      <c r="X186" s="1"/>
      <c r="Y186" s="1"/>
      <c r="Z186" s="1">
        <f>'Data_3rd DH'!Q41</f>
        <v>30.2</v>
      </c>
      <c r="AA186" s="1">
        <f>'Data_3rd DH'!R41</f>
        <v>19</v>
      </c>
      <c r="AB186" s="1">
        <f>'Data_3rd DH'!S41</f>
        <v>16.29</v>
      </c>
      <c r="AC186" s="1">
        <f>'Data_3rd DH'!T41</f>
        <v>10.02</v>
      </c>
      <c r="AD186" s="1">
        <f>'Data_3rd DH'!U41</f>
        <v>1.07</v>
      </c>
      <c r="AE186" s="1">
        <f>'Data_3rd DH'!V41</f>
        <v>2.83</v>
      </c>
      <c r="AF186" s="1">
        <f>'Data_3rd DH'!W41</f>
        <v>30.21</v>
      </c>
      <c r="AG186" s="1">
        <f>'Data_3rd DH'!X41</f>
        <v>439.45</v>
      </c>
      <c r="AH186" s="1"/>
      <c r="AI186" s="1">
        <v>1.5820000000000001</v>
      </c>
      <c r="AJ186" s="1">
        <v>0.93300000000000005</v>
      </c>
      <c r="AK186" s="1">
        <v>0.11600000000000001</v>
      </c>
      <c r="AL186" s="1">
        <v>0.28799999999999998</v>
      </c>
      <c r="AM186" s="1">
        <f t="shared" si="13"/>
        <v>2.919</v>
      </c>
      <c r="AN186" s="129">
        <f t="shared" si="14"/>
        <v>277.78128950695321</v>
      </c>
      <c r="AO186" s="162"/>
    </row>
    <row r="187" spans="1:41" x14ac:dyDescent="0.2">
      <c r="A187" s="155">
        <f t="shared" si="11"/>
        <v>45</v>
      </c>
      <c r="B187" s="156">
        <f>'Data_3rd DH'!B42</f>
        <v>45198</v>
      </c>
      <c r="C187" s="157" t="str">
        <f>'Data_3rd DH'!C42</f>
        <v>Fruit set/green fruits</v>
      </c>
      <c r="D187" s="155">
        <f>'Data_3rd DH'!D42</f>
        <v>25</v>
      </c>
      <c r="E187" s="155" t="str">
        <f>'Data_3rd DH'!E42</f>
        <v>Cherry_EC3_LowLight</v>
      </c>
      <c r="F187" s="158" t="str">
        <f>'Data_3rd DH'!F42</f>
        <v>Cherry</v>
      </c>
      <c r="G187" s="155" t="str">
        <f>'Data_3rd DH'!G42</f>
        <v>EC3</v>
      </c>
      <c r="H187" s="155" t="str">
        <f>'Data_3rd DH'!H42</f>
        <v>low light</v>
      </c>
      <c r="I187" s="155" t="str">
        <f>'Data_3rd DH'!I42</f>
        <v>Cherry_EC3_LL_2</v>
      </c>
      <c r="J187" s="155">
        <f>'Data_3rd DH'!J42</f>
        <v>2</v>
      </c>
      <c r="K187" s="1">
        <f>'Data_3rd DH'!K42</f>
        <v>29</v>
      </c>
      <c r="L187" s="1"/>
      <c r="M187" s="1"/>
      <c r="N187" s="1"/>
      <c r="O187" s="1"/>
      <c r="P187" s="1"/>
      <c r="Q187" s="1"/>
      <c r="R187" s="1">
        <f>'Data_3rd DH'!L42</f>
        <v>4</v>
      </c>
      <c r="S187" s="1">
        <f>'Data_3rd DH'!M42</f>
        <v>3</v>
      </c>
      <c r="T187" s="1">
        <f>'Data_3rd DH'!N42</f>
        <v>6</v>
      </c>
      <c r="U187" s="1">
        <f>'Data_3rd DH'!O42</f>
        <v>2</v>
      </c>
      <c r="V187" s="1">
        <f>'Data_3rd DH'!P42</f>
        <v>9</v>
      </c>
      <c r="W187" s="1"/>
      <c r="X187" s="1"/>
      <c r="Y187" s="1"/>
      <c r="Z187" s="1">
        <f>'Data_3rd DH'!Q42</f>
        <v>32.81</v>
      </c>
      <c r="AA187" s="1">
        <f>'Data_3rd DH'!R42</f>
        <v>13</v>
      </c>
      <c r="AB187" s="1">
        <f>'Data_3rd DH'!S42</f>
        <v>17.48</v>
      </c>
      <c r="AC187" s="1">
        <f>'Data_3rd DH'!T42</f>
        <v>11.06</v>
      </c>
      <c r="AD187" s="1">
        <f>'Data_3rd DH'!U42</f>
        <v>0.91</v>
      </c>
      <c r="AE187" s="1">
        <f>'Data_3rd DH'!V42</f>
        <v>3.57</v>
      </c>
      <c r="AF187" s="1">
        <f>'Data_3rd DH'!W42</f>
        <v>33.019999999999996</v>
      </c>
      <c r="AG187" s="1">
        <f>'Data_3rd DH'!X42</f>
        <v>478.39</v>
      </c>
      <c r="AH187" s="1"/>
      <c r="AI187" s="1">
        <v>1.613</v>
      </c>
      <c r="AJ187" s="1">
        <v>1.101</v>
      </c>
      <c r="AK187" s="1">
        <v>9.5000000000000001E-2</v>
      </c>
      <c r="AL187" s="1">
        <v>0.36799999999999999</v>
      </c>
      <c r="AM187" s="1">
        <f t="shared" si="13"/>
        <v>3.177</v>
      </c>
      <c r="AN187" s="129">
        <f t="shared" si="14"/>
        <v>296.58400495970238</v>
      </c>
      <c r="AO187" s="162"/>
    </row>
    <row r="188" spans="1:41" x14ac:dyDescent="0.2">
      <c r="A188" s="155">
        <f t="shared" si="11"/>
        <v>45</v>
      </c>
      <c r="B188" s="156">
        <f>'Data_3rd DH'!B43</f>
        <v>45198</v>
      </c>
      <c r="C188" s="157" t="str">
        <f>'Data_3rd DH'!C43</f>
        <v>Fruit set/green fruits</v>
      </c>
      <c r="D188" s="155">
        <f>'Data_3rd DH'!D43</f>
        <v>25</v>
      </c>
      <c r="E188" s="155" t="str">
        <f>'Data_3rd DH'!E43</f>
        <v>Cherry_EC3_LowLight</v>
      </c>
      <c r="F188" s="158" t="str">
        <f>'Data_3rd DH'!F43</f>
        <v>Cherry</v>
      </c>
      <c r="G188" s="155" t="str">
        <f>'Data_3rd DH'!G43</f>
        <v>EC3</v>
      </c>
      <c r="H188" s="155" t="str">
        <f>'Data_3rd DH'!H43</f>
        <v>low light</v>
      </c>
      <c r="I188" s="155" t="str">
        <f>'Data_3rd DH'!I43</f>
        <v>Cherry_EC3_LL_3</v>
      </c>
      <c r="J188" s="155">
        <f>'Data_3rd DH'!J43</f>
        <v>3</v>
      </c>
      <c r="K188" s="1">
        <f>'Data_3rd DH'!K43</f>
        <v>26</v>
      </c>
      <c r="L188" s="1"/>
      <c r="M188" s="1"/>
      <c r="N188" s="1"/>
      <c r="O188" s="1"/>
      <c r="P188" s="1"/>
      <c r="Q188" s="1"/>
      <c r="R188" s="1">
        <f>'Data_3rd DH'!L43</f>
        <v>3</v>
      </c>
      <c r="S188" s="1">
        <f>'Data_3rd DH'!M43</f>
        <v>0</v>
      </c>
      <c r="T188" s="1">
        <f>'Data_3rd DH'!N43</f>
        <v>6.666666666666667</v>
      </c>
      <c r="U188" s="1">
        <f>'Data_3rd DH'!O43</f>
        <v>3</v>
      </c>
      <c r="V188" s="1">
        <f>'Data_3rd DH'!P43</f>
        <v>11</v>
      </c>
      <c r="W188" s="1"/>
      <c r="X188" s="1"/>
      <c r="Y188" s="1"/>
      <c r="Z188" s="1">
        <f>'Data_3rd DH'!Q43</f>
        <v>30.35</v>
      </c>
      <c r="AA188" s="1">
        <f>'Data_3rd DH'!R43</f>
        <v>16</v>
      </c>
      <c r="AB188" s="1">
        <f>'Data_3rd DH'!S43</f>
        <v>14.28</v>
      </c>
      <c r="AC188" s="1">
        <f>'Data_3rd DH'!T43</f>
        <v>9.02</v>
      </c>
      <c r="AD188" s="1">
        <f>'Data_3rd DH'!U43</f>
        <v>0.19</v>
      </c>
      <c r="AE188" s="1">
        <f>'Data_3rd DH'!V43</f>
        <v>6.85</v>
      </c>
      <c r="AF188" s="1">
        <f>'Data_3rd DH'!W43</f>
        <v>30.339999999999996</v>
      </c>
      <c r="AG188" s="1">
        <f>'Data_3rd DH'!X43</f>
        <v>449.72</v>
      </c>
      <c r="AH188" s="1"/>
      <c r="AI188" s="1">
        <v>1.175</v>
      </c>
      <c r="AJ188" s="1">
        <v>0.79100000000000004</v>
      </c>
      <c r="AK188" s="1">
        <v>2.5000000000000001E-2</v>
      </c>
      <c r="AL188" s="1">
        <v>0.60499999999999998</v>
      </c>
      <c r="AM188" s="1">
        <f t="shared" si="13"/>
        <v>2.5960000000000001</v>
      </c>
      <c r="AN188" s="129">
        <f t="shared" si="14"/>
        <v>382.74042553191492</v>
      </c>
      <c r="AO188" s="162"/>
    </row>
    <row r="189" spans="1:41" x14ac:dyDescent="0.2">
      <c r="A189" s="155">
        <f t="shared" si="11"/>
        <v>45</v>
      </c>
      <c r="B189" s="156">
        <f>'Data_3rd DH'!B44</f>
        <v>45198</v>
      </c>
      <c r="C189" s="157" t="str">
        <f>'Data_3rd DH'!C44</f>
        <v>Fruit set/green fruits</v>
      </c>
      <c r="D189" s="155">
        <f>'Data_3rd DH'!D44</f>
        <v>25</v>
      </c>
      <c r="E189" s="155" t="str">
        <f>'Data_3rd DH'!E44</f>
        <v>Cherry_EC3_LowLight</v>
      </c>
      <c r="F189" s="158" t="str">
        <f>'Data_3rd DH'!F44</f>
        <v>Cherry</v>
      </c>
      <c r="G189" s="155" t="str">
        <f>'Data_3rd DH'!G44</f>
        <v>EC3</v>
      </c>
      <c r="H189" s="155" t="str">
        <f>'Data_3rd DH'!H44</f>
        <v>low light</v>
      </c>
      <c r="I189" s="155" t="str">
        <f>'Data_3rd DH'!I44</f>
        <v>Cherry_EC3_LL_4</v>
      </c>
      <c r="J189" s="155">
        <f>'Data_3rd DH'!J44</f>
        <v>4</v>
      </c>
      <c r="K189" s="1">
        <f>'Data_3rd DH'!K44</f>
        <v>25</v>
      </c>
      <c r="L189" s="1"/>
      <c r="M189" s="1"/>
      <c r="N189" s="1"/>
      <c r="O189" s="1"/>
      <c r="P189" s="1"/>
      <c r="Q189" s="1"/>
      <c r="R189" s="1">
        <f>'Data_3rd DH'!L44</f>
        <v>4</v>
      </c>
      <c r="S189" s="1">
        <f>'Data_3rd DH'!M44</f>
        <v>5</v>
      </c>
      <c r="T189" s="1">
        <f>'Data_3rd DH'!N44</f>
        <v>5</v>
      </c>
      <c r="U189" s="1">
        <f>'Data_3rd DH'!O44</f>
        <v>2</v>
      </c>
      <c r="V189" s="1">
        <f>'Data_3rd DH'!P44</f>
        <v>9</v>
      </c>
      <c r="W189" s="1"/>
      <c r="X189" s="1"/>
      <c r="Y189" s="1"/>
      <c r="Z189" s="1">
        <f>'Data_3rd DH'!Q44</f>
        <v>36.81</v>
      </c>
      <c r="AA189" s="1">
        <f>'Data_3rd DH'!R44</f>
        <v>23</v>
      </c>
      <c r="AB189" s="1">
        <f>'Data_3rd DH'!S44</f>
        <v>20.83</v>
      </c>
      <c r="AC189" s="1">
        <f>'Data_3rd DH'!T44</f>
        <v>11.02</v>
      </c>
      <c r="AD189" s="1">
        <f>'Data_3rd DH'!U44</f>
        <v>0.98</v>
      </c>
      <c r="AE189" s="1">
        <f>'Data_3rd DH'!V44</f>
        <v>4.01</v>
      </c>
      <c r="AF189" s="1">
        <f>'Data_3rd DH'!W44</f>
        <v>36.839999999999996</v>
      </c>
      <c r="AG189" s="1">
        <f>'Data_3rd DH'!X44</f>
        <v>563.20000000000005</v>
      </c>
      <c r="AH189" s="1"/>
      <c r="AI189" s="1">
        <v>1.8560000000000001</v>
      </c>
      <c r="AJ189" s="1">
        <v>1.0069999999999999</v>
      </c>
      <c r="AK189" s="1">
        <v>0.11</v>
      </c>
      <c r="AL189" s="1">
        <v>0.41099999999999998</v>
      </c>
      <c r="AM189" s="1">
        <f t="shared" si="13"/>
        <v>3.3839999999999999</v>
      </c>
      <c r="AN189" s="129">
        <f t="shared" si="14"/>
        <v>303.44827586206895</v>
      </c>
      <c r="AO189" s="162"/>
    </row>
    <row r="190" spans="1:41" x14ac:dyDescent="0.2">
      <c r="A190" s="155">
        <f t="shared" si="11"/>
        <v>45</v>
      </c>
      <c r="B190" s="156">
        <f>'Data_3rd DH'!B45</f>
        <v>45198</v>
      </c>
      <c r="C190" s="157" t="str">
        <f>'Data_3rd DH'!C45</f>
        <v>Fruit set/green fruits</v>
      </c>
      <c r="D190" s="155">
        <f>'Data_3rd DH'!D45</f>
        <v>25</v>
      </c>
      <c r="E190" s="155" t="str">
        <f>'Data_3rd DH'!E45</f>
        <v>Cherry_EC3_LowLight</v>
      </c>
      <c r="F190" s="158" t="str">
        <f>'Data_3rd DH'!F45</f>
        <v>Cherry</v>
      </c>
      <c r="G190" s="155" t="str">
        <f>'Data_3rd DH'!G45</f>
        <v>EC3</v>
      </c>
      <c r="H190" s="155" t="str">
        <f>'Data_3rd DH'!H45</f>
        <v>low light</v>
      </c>
      <c r="I190" s="155" t="str">
        <f>'Data_3rd DH'!I45</f>
        <v>Cherry_EC3_LL_5</v>
      </c>
      <c r="J190" s="155">
        <f>'Data_3rd DH'!J45</f>
        <v>5</v>
      </c>
      <c r="K190" s="1">
        <f>'Data_3rd DH'!K45</f>
        <v>33</v>
      </c>
      <c r="L190" s="1"/>
      <c r="M190" s="1"/>
      <c r="N190" s="1"/>
      <c r="O190" s="1"/>
      <c r="P190" s="1"/>
      <c r="Q190" s="1"/>
      <c r="R190" s="1">
        <f>'Data_3rd DH'!L45</f>
        <v>4</v>
      </c>
      <c r="S190" s="1">
        <f>'Data_3rd DH'!M45</f>
        <v>8</v>
      </c>
      <c r="T190" s="1">
        <f>'Data_3rd DH'!N45</f>
        <v>6</v>
      </c>
      <c r="U190" s="1">
        <f>'Data_3rd DH'!O45</f>
        <v>2</v>
      </c>
      <c r="V190" s="1">
        <f>'Data_3rd DH'!P45</f>
        <v>11</v>
      </c>
      <c r="W190" s="1"/>
      <c r="X190" s="1"/>
      <c r="Y190" s="1"/>
      <c r="Z190" s="1">
        <f>'Data_3rd DH'!Q45</f>
        <v>34.659999999999997</v>
      </c>
      <c r="AA190" s="1">
        <f>'Data_3rd DH'!R45</f>
        <v>13</v>
      </c>
      <c r="AB190" s="1">
        <f>'Data_3rd DH'!S45</f>
        <v>15.39</v>
      </c>
      <c r="AC190" s="1">
        <f>'Data_3rd DH'!T45</f>
        <v>12.42</v>
      </c>
      <c r="AD190" s="1">
        <f>'Data_3rd DH'!U45</f>
        <v>1.22</v>
      </c>
      <c r="AE190" s="1">
        <f>'Data_3rd DH'!V45</f>
        <v>5.57</v>
      </c>
      <c r="AF190" s="1">
        <f>'Data_3rd DH'!W45</f>
        <v>34.6</v>
      </c>
      <c r="AG190" s="1">
        <f>'Data_3rd DH'!X45</f>
        <v>471.87</v>
      </c>
      <c r="AH190" s="1"/>
      <c r="AI190" s="1">
        <v>1.5609999999999999</v>
      </c>
      <c r="AJ190" s="1">
        <v>1.389</v>
      </c>
      <c r="AK190" s="1">
        <v>0.155</v>
      </c>
      <c r="AL190" s="1">
        <v>0.60499999999999998</v>
      </c>
      <c r="AM190" s="1">
        <f t="shared" si="13"/>
        <v>3.71</v>
      </c>
      <c r="AN190" s="129">
        <f t="shared" si="14"/>
        <v>302.28699551569508</v>
      </c>
      <c r="AO190" s="162"/>
    </row>
    <row r="191" spans="1:41" x14ac:dyDescent="0.2">
      <c r="A191" s="155">
        <f t="shared" si="11"/>
        <v>45</v>
      </c>
      <c r="B191" s="156">
        <f>'Data_3rd DH'!B46</f>
        <v>45198</v>
      </c>
      <c r="C191" s="157" t="str">
        <f>'Data_3rd DH'!C46</f>
        <v>Fruit set/green fruits</v>
      </c>
      <c r="D191" s="155">
        <f>'Data_3rd DH'!D46</f>
        <v>25</v>
      </c>
      <c r="E191" s="155" t="str">
        <f>'Data_3rd DH'!E46</f>
        <v>Cherry_EC3_LowLight</v>
      </c>
      <c r="F191" s="158" t="str">
        <f>'Data_3rd DH'!F46</f>
        <v>Cherry</v>
      </c>
      <c r="G191" s="155" t="str">
        <f>'Data_3rd DH'!G46</f>
        <v>EC3</v>
      </c>
      <c r="H191" s="155" t="str">
        <f>'Data_3rd DH'!H46</f>
        <v>low light</v>
      </c>
      <c r="I191" s="155" t="str">
        <f>'Data_3rd DH'!I46</f>
        <v>Cherry_EC3_LL_6</v>
      </c>
      <c r="J191" s="155">
        <f>'Data_3rd DH'!J46</f>
        <v>6</v>
      </c>
      <c r="K191" s="1">
        <f>'Data_3rd DH'!K46</f>
        <v>28</v>
      </c>
      <c r="L191" s="1"/>
      <c r="M191" s="1"/>
      <c r="N191" s="1"/>
      <c r="O191" s="1"/>
      <c r="P191" s="1"/>
      <c r="Q191" s="1"/>
      <c r="R191" s="1">
        <f>'Data_3rd DH'!L46</f>
        <v>4</v>
      </c>
      <c r="S191" s="1">
        <f>'Data_3rd DH'!M46</f>
        <v>8</v>
      </c>
      <c r="T191" s="1">
        <f>'Data_3rd DH'!N46</f>
        <v>5</v>
      </c>
      <c r="U191" s="1">
        <f>'Data_3rd DH'!O46</f>
        <v>1</v>
      </c>
      <c r="V191" s="1">
        <f>'Data_3rd DH'!P46</f>
        <v>2</v>
      </c>
      <c r="W191" s="1"/>
      <c r="X191" s="1"/>
      <c r="Y191" s="1"/>
      <c r="Z191" s="1">
        <f>'Data_3rd DH'!Q46</f>
        <v>27.57</v>
      </c>
      <c r="AA191" s="1">
        <f>'Data_3rd DH'!R46</f>
        <v>18</v>
      </c>
      <c r="AB191" s="1">
        <f>'Data_3rd DH'!S46</f>
        <v>14.48</v>
      </c>
      <c r="AC191" s="1">
        <f>'Data_3rd DH'!T46</f>
        <v>9.8800000000000008</v>
      </c>
      <c r="AD191" s="1">
        <f>'Data_3rd DH'!U46</f>
        <v>1.48</v>
      </c>
      <c r="AE191" s="1">
        <f>'Data_3rd DH'!V46</f>
        <v>1.64</v>
      </c>
      <c r="AF191" s="1">
        <f>'Data_3rd DH'!W46</f>
        <v>27.48</v>
      </c>
      <c r="AG191" s="1">
        <f>'Data_3rd DH'!X46</f>
        <v>409.17</v>
      </c>
      <c r="AH191" s="1"/>
      <c r="AI191" s="1">
        <v>1.389</v>
      </c>
      <c r="AJ191" s="1">
        <v>0.92</v>
      </c>
      <c r="AK191" s="1">
        <v>0.16500000000000001</v>
      </c>
      <c r="AL191" s="1">
        <v>0.16500000000000001</v>
      </c>
      <c r="AM191" s="1">
        <f t="shared" si="13"/>
        <v>2.6390000000000002</v>
      </c>
      <c r="AN191" s="129">
        <f t="shared" si="14"/>
        <v>294.57883369330455</v>
      </c>
      <c r="AO191" s="162"/>
    </row>
    <row r="192" spans="1:41" x14ac:dyDescent="0.2">
      <c r="A192" s="155">
        <f t="shared" si="11"/>
        <v>45</v>
      </c>
      <c r="B192" s="156">
        <f>'Data_3rd DH'!B47</f>
        <v>45198</v>
      </c>
      <c r="C192" s="157" t="str">
        <f>'Data_3rd DH'!C47</f>
        <v>Fruit set/green fruits</v>
      </c>
      <c r="D192" s="155">
        <f>'Data_3rd DH'!D47</f>
        <v>25</v>
      </c>
      <c r="E192" s="155" t="str">
        <f>'Data_3rd DH'!E47</f>
        <v>Cherry_EC3_NoLight</v>
      </c>
      <c r="F192" s="158" t="str">
        <f>'Data_3rd DH'!F47</f>
        <v>Cherry</v>
      </c>
      <c r="G192" s="155" t="str">
        <f>'Data_3rd DH'!G47</f>
        <v>EC3</v>
      </c>
      <c r="H192" s="155" t="str">
        <f>'Data_3rd DH'!H47</f>
        <v>no light</v>
      </c>
      <c r="I192" s="155" t="str">
        <f>'Data_3rd DH'!I47</f>
        <v>Cherry_EC3__1</v>
      </c>
      <c r="J192" s="155">
        <f>'Data_3rd DH'!J47</f>
        <v>1</v>
      </c>
      <c r="K192" s="1">
        <f>'Data_3rd DH'!K47</f>
        <v>23</v>
      </c>
      <c r="L192" s="1"/>
      <c r="M192" s="1"/>
      <c r="N192" s="1"/>
      <c r="O192" s="1"/>
      <c r="P192" s="1"/>
      <c r="Q192" s="1"/>
      <c r="R192" s="1">
        <f>'Data_3rd DH'!L47</f>
        <v>3</v>
      </c>
      <c r="S192" s="1">
        <f>'Data_3rd DH'!M47</f>
        <v>6</v>
      </c>
      <c r="T192" s="1">
        <f>'Data_3rd DH'!N47</f>
        <v>4</v>
      </c>
      <c r="U192" s="1">
        <f>'Data_3rd DH'!O47</f>
        <v>2</v>
      </c>
      <c r="V192" s="1">
        <f>'Data_3rd DH'!P47</f>
        <v>8</v>
      </c>
      <c r="W192" s="1"/>
      <c r="X192" s="1"/>
      <c r="Y192" s="1"/>
      <c r="Z192" s="1">
        <f>'Data_3rd DH'!Q47</f>
        <v>26.85</v>
      </c>
      <c r="AA192" s="1">
        <f>'Data_3rd DH'!R47</f>
        <v>13</v>
      </c>
      <c r="AB192" s="1">
        <f>'Data_3rd DH'!S47</f>
        <v>11.12</v>
      </c>
      <c r="AC192" s="1">
        <f>'Data_3rd DH'!T47</f>
        <v>7.49</v>
      </c>
      <c r="AD192" s="1">
        <f>'Data_3rd DH'!U47</f>
        <v>0.76</v>
      </c>
      <c r="AE192" s="1">
        <f>'Data_3rd DH'!V47</f>
        <v>7.49</v>
      </c>
      <c r="AF192" s="1">
        <f>'Data_3rd DH'!W47</f>
        <v>26.86</v>
      </c>
      <c r="AG192" s="1">
        <f>'Data_3rd DH'!X47</f>
        <v>338.76</v>
      </c>
      <c r="AH192" s="1"/>
      <c r="AI192" s="1">
        <v>0.92600000000000005</v>
      </c>
      <c r="AJ192" s="1">
        <v>0.60699999999999998</v>
      </c>
      <c r="AK192" s="1">
        <v>7.3999999999999996E-2</v>
      </c>
      <c r="AL192" s="1">
        <v>0.60399999999999998</v>
      </c>
      <c r="AM192" s="1">
        <f t="shared" si="13"/>
        <v>2.2109999999999999</v>
      </c>
      <c r="AN192" s="129">
        <f t="shared" si="14"/>
        <v>365.83153347732178</v>
      </c>
      <c r="AO192" s="162"/>
    </row>
    <row r="193" spans="1:42" x14ac:dyDescent="0.2">
      <c r="A193" s="155">
        <f t="shared" si="11"/>
        <v>45</v>
      </c>
      <c r="B193" s="156">
        <f>'Data_3rd DH'!B48</f>
        <v>45198</v>
      </c>
      <c r="C193" s="157" t="str">
        <f>'Data_3rd DH'!C48</f>
        <v>Fruit set/green fruits</v>
      </c>
      <c r="D193" s="155">
        <f>'Data_3rd DH'!D48</f>
        <v>25</v>
      </c>
      <c r="E193" s="155" t="str">
        <f>'Data_3rd DH'!E48</f>
        <v>Cherry_EC3_NoLight</v>
      </c>
      <c r="F193" s="158" t="str">
        <f>'Data_3rd DH'!F48</f>
        <v>Cherry</v>
      </c>
      <c r="G193" s="155" t="str">
        <f>'Data_3rd DH'!G48</f>
        <v>EC3</v>
      </c>
      <c r="H193" s="155" t="str">
        <f>'Data_3rd DH'!H48</f>
        <v>no light</v>
      </c>
      <c r="I193" s="155" t="str">
        <f>'Data_3rd DH'!I48</f>
        <v>Cherry_EC3__2</v>
      </c>
      <c r="J193" s="155">
        <f>'Data_3rd DH'!J48</f>
        <v>2</v>
      </c>
      <c r="K193" s="1">
        <f>'Data_3rd DH'!K48</f>
        <v>21</v>
      </c>
      <c r="L193" s="1"/>
      <c r="M193" s="1"/>
      <c r="N193" s="1"/>
      <c r="O193" s="1"/>
      <c r="P193" s="1"/>
      <c r="Q193" s="1"/>
      <c r="R193" s="1">
        <f>'Data_3rd DH'!L48</f>
        <v>3</v>
      </c>
      <c r="S193" s="1">
        <f>'Data_3rd DH'!M48</f>
        <v>3</v>
      </c>
      <c r="T193" s="1">
        <f>'Data_3rd DH'!N48</f>
        <v>4.333333333333333</v>
      </c>
      <c r="U193" s="1">
        <f>'Data_3rd DH'!O48</f>
        <v>3</v>
      </c>
      <c r="V193" s="1">
        <f>'Data_3rd DH'!P48</f>
        <v>11</v>
      </c>
      <c r="W193" s="1"/>
      <c r="X193" s="1"/>
      <c r="Y193" s="1"/>
      <c r="Z193" s="1">
        <f>'Data_3rd DH'!Q48</f>
        <v>31.28</v>
      </c>
      <c r="AA193" s="1">
        <f>'Data_3rd DH'!R48</f>
        <v>14</v>
      </c>
      <c r="AB193" s="1">
        <f>'Data_3rd DH'!S48</f>
        <v>12.55</v>
      </c>
      <c r="AC193" s="1">
        <f>'Data_3rd DH'!T48</f>
        <v>8.3000000000000007</v>
      </c>
      <c r="AD193" s="1">
        <f>'Data_3rd DH'!U48</f>
        <v>0.57999999999999996</v>
      </c>
      <c r="AE193" s="1">
        <f>'Data_3rd DH'!V48</f>
        <v>9.8699999999999992</v>
      </c>
      <c r="AF193" s="1">
        <f>'Data_3rd DH'!W48</f>
        <v>31.299999999999997</v>
      </c>
      <c r="AG193" s="1">
        <f>'Data_3rd DH'!X48</f>
        <v>377.57</v>
      </c>
      <c r="AH193" s="1"/>
      <c r="AI193" s="1">
        <v>1.216</v>
      </c>
      <c r="AJ193" s="1">
        <v>0.83899999999999997</v>
      </c>
      <c r="AK193" s="1">
        <v>7.3999999999999996E-2</v>
      </c>
      <c r="AL193" s="1">
        <v>0.96599999999999997</v>
      </c>
      <c r="AM193" s="1">
        <f t="shared" si="13"/>
        <v>3.0949999999999998</v>
      </c>
      <c r="AN193" s="129">
        <f t="shared" si="14"/>
        <v>310.50164473684208</v>
      </c>
      <c r="AO193" s="162"/>
    </row>
    <row r="194" spans="1:42" x14ac:dyDescent="0.2">
      <c r="A194" s="155">
        <f t="shared" si="11"/>
        <v>45</v>
      </c>
      <c r="B194" s="156">
        <f>'Data_3rd DH'!B49</f>
        <v>45198</v>
      </c>
      <c r="C194" s="157" t="str">
        <f>'Data_3rd DH'!C49</f>
        <v>Fruit set/green fruits</v>
      </c>
      <c r="D194" s="155">
        <f>'Data_3rd DH'!D49</f>
        <v>25</v>
      </c>
      <c r="E194" s="155" t="str">
        <f>'Data_3rd DH'!E49</f>
        <v>Cherry_EC3_NoLight</v>
      </c>
      <c r="F194" s="158" t="str">
        <f>'Data_3rd DH'!F49</f>
        <v>Cherry</v>
      </c>
      <c r="G194" s="155" t="str">
        <f>'Data_3rd DH'!G49</f>
        <v>EC3</v>
      </c>
      <c r="H194" s="155" t="str">
        <f>'Data_3rd DH'!H49</f>
        <v>no light</v>
      </c>
      <c r="I194" s="155" t="str">
        <f>'Data_3rd DH'!I49</f>
        <v>Cherry_EC3__3</v>
      </c>
      <c r="J194" s="155">
        <f>'Data_3rd DH'!J49</f>
        <v>3</v>
      </c>
      <c r="K194" s="1">
        <f>'Data_3rd DH'!K49</f>
        <v>29</v>
      </c>
      <c r="L194" s="1"/>
      <c r="M194" s="1"/>
      <c r="N194" s="1"/>
      <c r="O194" s="1"/>
      <c r="P194" s="1"/>
      <c r="Q194" s="1"/>
      <c r="R194" s="1">
        <f>'Data_3rd DH'!L49</f>
        <v>5</v>
      </c>
      <c r="S194" s="1">
        <f>'Data_3rd DH'!M49</f>
        <v>4</v>
      </c>
      <c r="T194" s="1">
        <f>'Data_3rd DH'!N49</f>
        <v>0</v>
      </c>
      <c r="U194" s="1">
        <f>'Data_3rd DH'!O49</f>
        <v>0</v>
      </c>
      <c r="V194" s="1">
        <f>'Data_3rd DH'!P49</f>
        <v>0</v>
      </c>
      <c r="W194" s="1"/>
      <c r="X194" s="1"/>
      <c r="Y194" s="1"/>
      <c r="Z194" s="1">
        <f>'Data_3rd DH'!Q49</f>
        <v>24.67</v>
      </c>
      <c r="AA194" s="1">
        <f>'Data_3rd DH'!R49</f>
        <v>16</v>
      </c>
      <c r="AB194" s="1">
        <f>'Data_3rd DH'!S49</f>
        <v>13.78</v>
      </c>
      <c r="AC194" s="1">
        <f>'Data_3rd DH'!T49</f>
        <v>9.81</v>
      </c>
      <c r="AD194" s="1">
        <f>'Data_3rd DH'!U49</f>
        <v>1.08</v>
      </c>
      <c r="AE194" s="1">
        <f>'Data_3rd DH'!V49</f>
        <v>0</v>
      </c>
      <c r="AF194" s="1">
        <f>'Data_3rd DH'!W49</f>
        <v>24.67</v>
      </c>
      <c r="AG194" s="1">
        <f>'Data_3rd DH'!X49</f>
        <v>425.29</v>
      </c>
      <c r="AH194" s="1"/>
      <c r="AI194" s="1">
        <v>1.58</v>
      </c>
      <c r="AJ194" s="1">
        <v>0.77</v>
      </c>
      <c r="AK194" s="1">
        <v>0.122</v>
      </c>
      <c r="AL194" s="1"/>
      <c r="AM194" s="1">
        <f t="shared" si="13"/>
        <v>2.472</v>
      </c>
      <c r="AN194" s="129">
        <f t="shared" si="14"/>
        <v>269.17088607594934</v>
      </c>
      <c r="AO194" s="162"/>
    </row>
    <row r="195" spans="1:42" x14ac:dyDescent="0.2">
      <c r="A195" s="155">
        <f t="shared" si="11"/>
        <v>45</v>
      </c>
      <c r="B195" s="156">
        <f>'Data_3rd DH'!B50</f>
        <v>45198</v>
      </c>
      <c r="C195" s="157" t="str">
        <f>'Data_3rd DH'!C50</f>
        <v>Fruit set/green fruits</v>
      </c>
      <c r="D195" s="155">
        <f>'Data_3rd DH'!D50</f>
        <v>25</v>
      </c>
      <c r="E195" s="155" t="str">
        <f>'Data_3rd DH'!E50</f>
        <v>Cherry_EC3_NoLight</v>
      </c>
      <c r="F195" s="158" t="str">
        <f>'Data_3rd DH'!F50</f>
        <v>Cherry</v>
      </c>
      <c r="G195" s="155" t="str">
        <f>'Data_3rd DH'!G50</f>
        <v>EC3</v>
      </c>
      <c r="H195" s="155" t="str">
        <f>'Data_3rd DH'!H50</f>
        <v>no light</v>
      </c>
      <c r="I195" s="155" t="str">
        <f>'Data_3rd DH'!I50</f>
        <v>Cherry_EC3__4</v>
      </c>
      <c r="J195" s="155">
        <f>'Data_3rd DH'!J50</f>
        <v>4</v>
      </c>
      <c r="K195" s="1">
        <f>'Data_3rd DH'!K50</f>
        <v>32</v>
      </c>
      <c r="L195" s="1"/>
      <c r="M195" s="1"/>
      <c r="N195" s="1"/>
      <c r="O195" s="1"/>
      <c r="P195" s="1"/>
      <c r="Q195" s="1"/>
      <c r="R195" s="1">
        <f>'Data_3rd DH'!L50</f>
        <v>5</v>
      </c>
      <c r="S195" s="1">
        <f>'Data_3rd DH'!M50</f>
        <v>2</v>
      </c>
      <c r="T195" s="1">
        <f>'Data_3rd DH'!N50</f>
        <v>4.5</v>
      </c>
      <c r="U195" s="1">
        <f>'Data_3rd DH'!O50</f>
        <v>2</v>
      </c>
      <c r="V195" s="1">
        <f>'Data_3rd DH'!P50</f>
        <v>5</v>
      </c>
      <c r="W195" s="1"/>
      <c r="X195" s="1"/>
      <c r="Y195" s="1"/>
      <c r="Z195" s="1">
        <f>'Data_3rd DH'!Q50</f>
        <v>32.880000000000003</v>
      </c>
      <c r="AA195" s="1">
        <f>'Data_3rd DH'!R50</f>
        <v>17</v>
      </c>
      <c r="AB195" s="1">
        <f>'Data_3rd DH'!S50</f>
        <v>18.47</v>
      </c>
      <c r="AC195" s="1">
        <f>'Data_3rd DH'!T50</f>
        <v>12.98</v>
      </c>
      <c r="AD195" s="1">
        <f>'Data_3rd DH'!U50</f>
        <v>0.75</v>
      </c>
      <c r="AE195" s="1">
        <f>'Data_3rd DH'!V50</f>
        <v>0.48</v>
      </c>
      <c r="AF195" s="1">
        <f>'Data_3rd DH'!W50</f>
        <v>32.68</v>
      </c>
      <c r="AG195" s="1">
        <f>'Data_3rd DH'!X50</f>
        <v>523.51</v>
      </c>
      <c r="AH195" s="1"/>
      <c r="AI195" s="1">
        <v>1.8360000000000001</v>
      </c>
      <c r="AJ195" s="1">
        <v>1.0649999999999999</v>
      </c>
      <c r="AK195" s="1">
        <v>9.4E-2</v>
      </c>
      <c r="AL195" s="1">
        <v>6.8000000000000005E-2</v>
      </c>
      <c r="AM195" s="1">
        <f t="shared" si="13"/>
        <v>3.0629999999999997</v>
      </c>
      <c r="AN195" s="129">
        <f t="shared" si="14"/>
        <v>285.13616557734201</v>
      </c>
      <c r="AO195" s="162"/>
    </row>
    <row r="196" spans="1:42" x14ac:dyDescent="0.2">
      <c r="A196" s="155">
        <f t="shared" si="11"/>
        <v>45</v>
      </c>
      <c r="B196" s="156">
        <f>'Data_3rd DH'!B51</f>
        <v>45198</v>
      </c>
      <c r="C196" s="157" t="str">
        <f>'Data_3rd DH'!C51</f>
        <v>Fruit set/green fruits</v>
      </c>
      <c r="D196" s="155">
        <f>'Data_3rd DH'!D51</f>
        <v>25</v>
      </c>
      <c r="E196" s="155" t="str">
        <f>'Data_3rd DH'!E51</f>
        <v>Cherry_EC3_NoLight</v>
      </c>
      <c r="F196" s="158" t="str">
        <f>'Data_3rd DH'!F51</f>
        <v>Cherry</v>
      </c>
      <c r="G196" s="155" t="str">
        <f>'Data_3rd DH'!G51</f>
        <v>EC3</v>
      </c>
      <c r="H196" s="155" t="str">
        <f>'Data_3rd DH'!H51</f>
        <v>no light</v>
      </c>
      <c r="I196" s="155" t="str">
        <f>'Data_3rd DH'!I51</f>
        <v>Cherry_EC3__5</v>
      </c>
      <c r="J196" s="155">
        <f>'Data_3rd DH'!J51</f>
        <v>5</v>
      </c>
      <c r="K196" s="1">
        <f>'Data_3rd DH'!K51</f>
        <v>26</v>
      </c>
      <c r="L196" s="1"/>
      <c r="M196" s="1"/>
      <c r="N196" s="1"/>
      <c r="O196" s="1"/>
      <c r="P196" s="1"/>
      <c r="Q196" s="1"/>
      <c r="R196" s="1">
        <f>'Data_3rd DH'!L51</f>
        <v>5</v>
      </c>
      <c r="S196" s="1">
        <f>'Data_3rd DH'!M51</f>
        <v>6</v>
      </c>
      <c r="T196" s="1">
        <f>'Data_3rd DH'!N51</f>
        <v>5.5</v>
      </c>
      <c r="U196" s="1">
        <f>'Data_3rd DH'!O51</f>
        <v>2</v>
      </c>
      <c r="V196" s="1">
        <f>'Data_3rd DH'!P51</f>
        <v>8</v>
      </c>
      <c r="W196" s="1"/>
      <c r="X196" s="1"/>
      <c r="Y196" s="1"/>
      <c r="Z196" s="1">
        <f>'Data_3rd DH'!Q51</f>
        <v>32.96</v>
      </c>
      <c r="AA196" s="1">
        <f>'Data_3rd DH'!R51</f>
        <v>17</v>
      </c>
      <c r="AB196" s="1">
        <f>'Data_3rd DH'!S51</f>
        <v>16.350000000000001</v>
      </c>
      <c r="AC196" s="1">
        <f>'Data_3rd DH'!T51</f>
        <v>9.19</v>
      </c>
      <c r="AD196" s="1">
        <f>'Data_3rd DH'!U51</f>
        <v>0.71</v>
      </c>
      <c r="AE196" s="1">
        <f>'Data_3rd DH'!V51</f>
        <v>6.78</v>
      </c>
      <c r="AF196" s="1">
        <f>'Data_3rd DH'!W51</f>
        <v>33.03</v>
      </c>
      <c r="AG196" s="1">
        <f>'Data_3rd DH'!X51</f>
        <v>468.69</v>
      </c>
      <c r="AH196" s="1"/>
      <c r="AI196" s="1">
        <v>1.5549999999999999</v>
      </c>
      <c r="AJ196" s="1">
        <v>0.81899999999999995</v>
      </c>
      <c r="AK196" s="1">
        <v>6.3E-2</v>
      </c>
      <c r="AL196" s="1">
        <v>0.63600000000000001</v>
      </c>
      <c r="AM196" s="1">
        <f t="shared" si="13"/>
        <v>3.073</v>
      </c>
      <c r="AN196" s="129">
        <f t="shared" si="14"/>
        <v>301.40836012861735</v>
      </c>
      <c r="AO196" s="162"/>
    </row>
    <row r="197" spans="1:42" s="170" customFormat="1" x14ac:dyDescent="0.2">
      <c r="A197" s="163">
        <f t="shared" si="11"/>
        <v>45</v>
      </c>
      <c r="B197" s="164">
        <f>'Data_3rd DH'!B52</f>
        <v>45198</v>
      </c>
      <c r="C197" s="165" t="str">
        <f>'Data_3rd DH'!C52</f>
        <v>Fruit set/green fruits</v>
      </c>
      <c r="D197" s="163">
        <f>'Data_3rd DH'!D52</f>
        <v>25</v>
      </c>
      <c r="E197" s="163" t="str">
        <f>'Data_3rd DH'!E52</f>
        <v>Cherry_EC3_NoLight</v>
      </c>
      <c r="F197" s="166" t="str">
        <f>'Data_3rd DH'!F52</f>
        <v>Cherry</v>
      </c>
      <c r="G197" s="163" t="str">
        <f>'Data_3rd DH'!G52</f>
        <v>EC3</v>
      </c>
      <c r="H197" s="163" t="str">
        <f>'Data_3rd DH'!H52</f>
        <v>no light</v>
      </c>
      <c r="I197" s="163" t="str">
        <f>'Data_3rd DH'!I52</f>
        <v>Cherry_EC3__6</v>
      </c>
      <c r="J197" s="163">
        <f>'Data_3rd DH'!J52</f>
        <v>6</v>
      </c>
      <c r="K197" s="167">
        <f>'Data_3rd DH'!K52</f>
        <v>23</v>
      </c>
      <c r="L197" s="167"/>
      <c r="M197" s="167"/>
      <c r="N197" s="167"/>
      <c r="O197" s="167"/>
      <c r="P197" s="167"/>
      <c r="Q197" s="167"/>
      <c r="R197" s="167">
        <f>'Data_3rd DH'!L52</f>
        <v>0</v>
      </c>
      <c r="S197" s="167">
        <f>'Data_3rd DH'!M52</f>
        <v>0</v>
      </c>
      <c r="T197" s="167">
        <f>'Data_3rd DH'!N52</f>
        <v>4.5</v>
      </c>
      <c r="U197" s="167">
        <f>'Data_3rd DH'!O52</f>
        <v>2</v>
      </c>
      <c r="V197" s="167">
        <f>'Data_3rd DH'!P52</f>
        <v>6</v>
      </c>
      <c r="W197" s="167"/>
      <c r="X197" s="167"/>
      <c r="Y197" s="167"/>
      <c r="Z197" s="167">
        <f>'Data_3rd DH'!Q52</f>
        <v>13.89</v>
      </c>
      <c r="AA197" s="167">
        <f>'Data_3rd DH'!R52</f>
        <v>9</v>
      </c>
      <c r="AB197" s="167">
        <f>'Data_3rd DH'!S52</f>
        <v>6.31</v>
      </c>
      <c r="AC197" s="167">
        <f>'Data_3rd DH'!T52</f>
        <v>4.87</v>
      </c>
      <c r="AD197" s="167">
        <f>'Data_3rd DH'!U52</f>
        <v>0</v>
      </c>
      <c r="AE197" s="167">
        <f>'Data_3rd DH'!V52</f>
        <v>2.63</v>
      </c>
      <c r="AF197" s="167">
        <f>'Data_3rd DH'!W52</f>
        <v>13.809999999999999</v>
      </c>
      <c r="AG197" s="167">
        <f>'Data_3rd DH'!X52</f>
        <v>199.1</v>
      </c>
      <c r="AH197" s="167"/>
      <c r="AI197" s="167">
        <v>0.77200000000000002</v>
      </c>
      <c r="AJ197" s="167">
        <v>0.61299999999999999</v>
      </c>
      <c r="AK197" s="167"/>
      <c r="AL197" s="167">
        <v>0.27900000000000003</v>
      </c>
      <c r="AM197" s="167">
        <f t="shared" si="13"/>
        <v>1.6640000000000001</v>
      </c>
      <c r="AN197" s="168">
        <f t="shared" si="14"/>
        <v>257.90155440414509</v>
      </c>
      <c r="AO197" s="169"/>
    </row>
    <row r="198" spans="1:42" x14ac:dyDescent="0.2">
      <c r="A198" s="150">
        <f t="shared" ref="A198:A245" si="15">B198-$C$4</f>
        <v>86</v>
      </c>
      <c r="B198" s="152">
        <v>45239</v>
      </c>
      <c r="C198" s="153" t="s">
        <v>338</v>
      </c>
      <c r="D198" s="150">
        <v>20</v>
      </c>
      <c r="E198" s="150" t="s">
        <v>141</v>
      </c>
      <c r="F198" s="154" t="s">
        <v>142</v>
      </c>
      <c r="G198" s="150" t="s">
        <v>131</v>
      </c>
      <c r="H198" s="150" t="s">
        <v>132</v>
      </c>
      <c r="I198" s="150" t="s">
        <v>192</v>
      </c>
      <c r="J198" s="150">
        <v>1</v>
      </c>
      <c r="K198" s="3">
        <v>35</v>
      </c>
      <c r="L198" s="1"/>
      <c r="M198" s="1"/>
      <c r="N198" s="1"/>
      <c r="O198" s="1"/>
      <c r="P198" s="1"/>
      <c r="Q198" s="1"/>
      <c r="R198" s="1">
        <v>5</v>
      </c>
      <c r="S198" s="1">
        <v>3</v>
      </c>
      <c r="T198" s="1"/>
      <c r="U198" s="1">
        <v>8</v>
      </c>
      <c r="V198" s="1">
        <v>48</v>
      </c>
      <c r="W198" s="1">
        <v>26</v>
      </c>
      <c r="X198" s="1">
        <v>9</v>
      </c>
      <c r="Y198" s="1">
        <v>13</v>
      </c>
      <c r="Z198" s="1"/>
      <c r="AA198" s="1">
        <v>54</v>
      </c>
      <c r="AB198" s="1">
        <v>44.47</v>
      </c>
      <c r="AC198" s="1">
        <v>20.309999999999999</v>
      </c>
      <c r="AD198" s="1">
        <v>0.62</v>
      </c>
      <c r="AE198" s="1">
        <v>220.15</v>
      </c>
      <c r="AF198" s="1">
        <v>285.55</v>
      </c>
      <c r="AG198" s="1">
        <v>1199.3599999999999</v>
      </c>
      <c r="AH198" s="1"/>
      <c r="AI198" s="1">
        <v>5.1879999999999997</v>
      </c>
      <c r="AJ198" s="1">
        <v>2.504</v>
      </c>
      <c r="AK198" s="1">
        <v>7.5999999999999998E-2</v>
      </c>
      <c r="AL198" s="1">
        <v>19.303000000000001</v>
      </c>
      <c r="AM198" s="1">
        <f>SUM(AI198:AL198)</f>
        <v>27.071000000000002</v>
      </c>
      <c r="AN198" s="129">
        <f t="shared" si="14"/>
        <v>231.17964533538935</v>
      </c>
      <c r="AO198" s="162"/>
      <c r="AP198" s="162"/>
    </row>
    <row r="199" spans="1:42" x14ac:dyDescent="0.2">
      <c r="A199" s="150">
        <f t="shared" si="15"/>
        <v>86</v>
      </c>
      <c r="B199" s="152">
        <v>45239</v>
      </c>
      <c r="C199" s="153" t="s">
        <v>338</v>
      </c>
      <c r="D199" s="150">
        <v>20</v>
      </c>
      <c r="E199" s="150" t="s">
        <v>141</v>
      </c>
      <c r="F199" s="154" t="s">
        <v>142</v>
      </c>
      <c r="G199" s="150" t="s">
        <v>131</v>
      </c>
      <c r="H199" s="150" t="s">
        <v>132</v>
      </c>
      <c r="I199" s="150" t="s">
        <v>193</v>
      </c>
      <c r="J199" s="150">
        <v>2</v>
      </c>
      <c r="K199" s="3">
        <v>35</v>
      </c>
      <c r="L199" s="1"/>
      <c r="M199" s="1"/>
      <c r="N199" s="1"/>
      <c r="O199" s="1"/>
      <c r="P199" s="1"/>
      <c r="Q199" s="1"/>
      <c r="R199" s="1">
        <v>6</v>
      </c>
      <c r="S199" s="1">
        <v>8</v>
      </c>
      <c r="T199" s="1"/>
      <c r="U199" s="1">
        <v>5</v>
      </c>
      <c r="V199" s="1">
        <v>22</v>
      </c>
      <c r="W199" s="1">
        <v>3</v>
      </c>
      <c r="X199" s="1">
        <v>4</v>
      </c>
      <c r="Y199" s="1">
        <v>15</v>
      </c>
      <c r="Z199" s="1">
        <v>225.06</v>
      </c>
      <c r="AA199" s="1">
        <v>38</v>
      </c>
      <c r="AB199" s="1">
        <v>38.869999999999997</v>
      </c>
      <c r="AC199" s="1">
        <v>13.43</v>
      </c>
      <c r="AD199" s="1">
        <v>1.1599999999999999</v>
      </c>
      <c r="AE199" s="1">
        <v>171.22</v>
      </c>
      <c r="AF199" s="1">
        <v>224.68</v>
      </c>
      <c r="AG199" s="1">
        <v>990.75</v>
      </c>
      <c r="AH199" s="1"/>
      <c r="AI199" s="1">
        <v>4.42</v>
      </c>
      <c r="AJ199" s="1">
        <v>1.734</v>
      </c>
      <c r="AK199" s="1">
        <v>0.16900000000000001</v>
      </c>
      <c r="AL199" s="1">
        <v>15.189</v>
      </c>
      <c r="AM199" s="1">
        <f t="shared" ref="AM199:AM245" si="16">SUM(AI199:AL199)</f>
        <v>21.512</v>
      </c>
      <c r="AN199" s="129">
        <f t="shared" si="14"/>
        <v>224.15158371040724</v>
      </c>
      <c r="AO199" s="162"/>
      <c r="AP199" s="162"/>
    </row>
    <row r="200" spans="1:42" x14ac:dyDescent="0.2">
      <c r="A200" s="150">
        <f t="shared" si="15"/>
        <v>86</v>
      </c>
      <c r="B200" s="152">
        <v>45239</v>
      </c>
      <c r="C200" s="153" t="s">
        <v>338</v>
      </c>
      <c r="D200" s="150">
        <v>20</v>
      </c>
      <c r="E200" s="150" t="s">
        <v>141</v>
      </c>
      <c r="F200" s="154" t="s">
        <v>142</v>
      </c>
      <c r="G200" s="150" t="s">
        <v>131</v>
      </c>
      <c r="H200" s="150" t="s">
        <v>132</v>
      </c>
      <c r="I200" s="150" t="s">
        <v>194</v>
      </c>
      <c r="J200" s="150">
        <v>3</v>
      </c>
      <c r="K200" s="1">
        <v>39</v>
      </c>
      <c r="L200" s="1"/>
      <c r="M200" s="1"/>
      <c r="N200" s="1"/>
      <c r="O200" s="1"/>
      <c r="P200" s="1"/>
      <c r="Q200" s="1"/>
      <c r="R200" s="1">
        <v>1</v>
      </c>
      <c r="S200" s="1">
        <v>7</v>
      </c>
      <c r="T200" s="1"/>
      <c r="U200" s="1">
        <v>13</v>
      </c>
      <c r="V200" s="1">
        <v>74</v>
      </c>
      <c r="W200" s="1">
        <v>62</v>
      </c>
      <c r="X200" s="1">
        <v>5</v>
      </c>
      <c r="Y200" s="1">
        <v>7</v>
      </c>
      <c r="Z200" s="1">
        <v>325.69</v>
      </c>
      <c r="AA200" s="1">
        <v>67</v>
      </c>
      <c r="AB200" s="1">
        <v>75.72</v>
      </c>
      <c r="AC200" s="1">
        <v>31.68</v>
      </c>
      <c r="AD200" s="1">
        <v>0.26</v>
      </c>
      <c r="AE200" s="1">
        <v>217.99</v>
      </c>
      <c r="AF200" s="1">
        <v>325.65000000000003</v>
      </c>
      <c r="AG200" s="1">
        <v>1916.95</v>
      </c>
      <c r="AH200" s="1"/>
      <c r="AI200" s="1">
        <v>8.2279999999999998</v>
      </c>
      <c r="AJ200" s="1">
        <v>4.0250000000000004</v>
      </c>
      <c r="AK200" s="1">
        <v>1.9E-2</v>
      </c>
      <c r="AL200" s="1">
        <v>20.545999999999999</v>
      </c>
      <c r="AM200" s="1">
        <f t="shared" si="16"/>
        <v>32.817999999999998</v>
      </c>
      <c r="AN200" s="129">
        <f t="shared" si="14"/>
        <v>232.97885269810405</v>
      </c>
      <c r="AO200" s="162"/>
      <c r="AP200" s="162"/>
    </row>
    <row r="201" spans="1:42" x14ac:dyDescent="0.2">
      <c r="A201" s="150">
        <f t="shared" si="15"/>
        <v>86</v>
      </c>
      <c r="B201" s="152">
        <v>45239</v>
      </c>
      <c r="C201" s="153" t="s">
        <v>338</v>
      </c>
      <c r="D201" s="150">
        <v>20</v>
      </c>
      <c r="E201" s="150" t="s">
        <v>141</v>
      </c>
      <c r="F201" s="154" t="s">
        <v>142</v>
      </c>
      <c r="G201" s="150" t="s">
        <v>131</v>
      </c>
      <c r="H201" s="150" t="s">
        <v>132</v>
      </c>
      <c r="I201" s="150" t="s">
        <v>195</v>
      </c>
      <c r="J201" s="150">
        <v>4</v>
      </c>
      <c r="K201" s="1">
        <v>36</v>
      </c>
      <c r="L201" s="1"/>
      <c r="M201" s="1"/>
      <c r="N201" s="1"/>
      <c r="O201" s="1"/>
      <c r="P201" s="1"/>
      <c r="Q201" s="1"/>
      <c r="R201" s="1">
        <v>6</v>
      </c>
      <c r="S201" s="1">
        <v>4</v>
      </c>
      <c r="T201" s="1"/>
      <c r="U201" s="1">
        <v>10</v>
      </c>
      <c r="V201" s="1">
        <v>35</v>
      </c>
      <c r="W201" s="1">
        <v>15</v>
      </c>
      <c r="X201" s="1">
        <v>8</v>
      </c>
      <c r="Y201" s="1">
        <v>12</v>
      </c>
      <c r="Z201" s="1">
        <v>237.03</v>
      </c>
      <c r="AA201" s="1">
        <v>46</v>
      </c>
      <c r="AB201" s="1">
        <v>45.14</v>
      </c>
      <c r="AC201" s="1">
        <v>21.36</v>
      </c>
      <c r="AD201" s="1">
        <v>0.83</v>
      </c>
      <c r="AE201" s="1">
        <v>169.31</v>
      </c>
      <c r="AF201" s="1">
        <v>236.64</v>
      </c>
      <c r="AG201" s="1">
        <v>1210.42</v>
      </c>
      <c r="AH201" s="1"/>
      <c r="AI201" s="1">
        <v>4.8440000000000003</v>
      </c>
      <c r="AJ201" s="1">
        <v>2.528</v>
      </c>
      <c r="AK201" s="1">
        <v>9.6000000000000002E-2</v>
      </c>
      <c r="AL201" s="1">
        <v>14.103</v>
      </c>
      <c r="AM201" s="1">
        <f t="shared" si="16"/>
        <v>21.570999999999998</v>
      </c>
      <c r="AN201" s="129">
        <f t="shared" si="14"/>
        <v>249.88026424442609</v>
      </c>
      <c r="AO201" s="162"/>
      <c r="AP201" s="162"/>
    </row>
    <row r="202" spans="1:42" x14ac:dyDescent="0.2">
      <c r="A202" s="150">
        <f t="shared" si="15"/>
        <v>86</v>
      </c>
      <c r="B202" s="152">
        <v>45239</v>
      </c>
      <c r="C202" s="153" t="s">
        <v>338</v>
      </c>
      <c r="D202" s="150">
        <v>20</v>
      </c>
      <c r="E202" s="150" t="s">
        <v>141</v>
      </c>
      <c r="F202" s="154" t="s">
        <v>142</v>
      </c>
      <c r="G202" s="150" t="s">
        <v>131</v>
      </c>
      <c r="H202" s="150" t="s">
        <v>132</v>
      </c>
      <c r="I202" s="150" t="s">
        <v>196</v>
      </c>
      <c r="J202" s="150">
        <v>5</v>
      </c>
      <c r="K202" s="1">
        <v>39</v>
      </c>
      <c r="L202" s="1"/>
      <c r="M202" s="1"/>
      <c r="N202" s="1"/>
      <c r="O202" s="1"/>
      <c r="P202" s="1"/>
      <c r="Q202" s="1"/>
      <c r="R202" s="1">
        <v>9</v>
      </c>
      <c r="S202" s="1">
        <v>7</v>
      </c>
      <c r="T202" s="1"/>
      <c r="U202" s="1">
        <v>8</v>
      </c>
      <c r="V202" s="1">
        <v>36</v>
      </c>
      <c r="W202" s="1">
        <v>14</v>
      </c>
      <c r="X202" s="1">
        <v>10</v>
      </c>
      <c r="Y202" s="1">
        <v>12</v>
      </c>
      <c r="Z202" s="1">
        <v>245.15</v>
      </c>
      <c r="AA202" s="1">
        <v>43</v>
      </c>
      <c r="AB202" s="1">
        <v>38.880000000000003</v>
      </c>
      <c r="AC202" s="1">
        <v>22.71</v>
      </c>
      <c r="AD202" s="1">
        <v>1.71</v>
      </c>
      <c r="AE202" s="1">
        <v>181.46</v>
      </c>
      <c r="AF202" s="1">
        <v>244.76000000000002</v>
      </c>
      <c r="AG202" s="1">
        <v>1084.04</v>
      </c>
      <c r="AH202" s="1"/>
      <c r="AI202" s="1">
        <v>4.3769999999999998</v>
      </c>
      <c r="AJ202" s="1">
        <v>2.6720000000000002</v>
      </c>
      <c r="AK202" s="1">
        <v>0.24199999999999999</v>
      </c>
      <c r="AL202" s="1">
        <v>14.613</v>
      </c>
      <c r="AM202" s="1">
        <f t="shared" si="16"/>
        <v>21.904</v>
      </c>
      <c r="AN202" s="129">
        <f t="shared" si="14"/>
        <v>247.66735206762624</v>
      </c>
      <c r="AO202" s="162"/>
      <c r="AP202" s="162"/>
    </row>
    <row r="203" spans="1:42" x14ac:dyDescent="0.2">
      <c r="A203" s="150">
        <f t="shared" si="15"/>
        <v>86</v>
      </c>
      <c r="B203" s="152">
        <v>45239</v>
      </c>
      <c r="C203" s="153" t="s">
        <v>338</v>
      </c>
      <c r="D203" s="150">
        <v>20</v>
      </c>
      <c r="E203" s="150" t="s">
        <v>141</v>
      </c>
      <c r="F203" s="154" t="s">
        <v>142</v>
      </c>
      <c r="G203" s="150" t="s">
        <v>131</v>
      </c>
      <c r="H203" s="150" t="s">
        <v>132</v>
      </c>
      <c r="I203" s="150" t="s">
        <v>197</v>
      </c>
      <c r="J203" s="150">
        <v>6</v>
      </c>
      <c r="K203" s="1">
        <v>34</v>
      </c>
      <c r="L203" s="1"/>
      <c r="M203" s="1"/>
      <c r="N203" s="1"/>
      <c r="O203" s="1"/>
      <c r="P203" s="1"/>
      <c r="Q203" s="1"/>
      <c r="R203" s="1">
        <v>5</v>
      </c>
      <c r="S203" s="1">
        <v>2</v>
      </c>
      <c r="T203" s="1"/>
      <c r="U203" s="1">
        <v>9</v>
      </c>
      <c r="V203" s="1">
        <v>45</v>
      </c>
      <c r="W203" s="1">
        <v>29</v>
      </c>
      <c r="X203" s="1">
        <v>8</v>
      </c>
      <c r="Y203" s="1">
        <v>8</v>
      </c>
      <c r="Z203" s="1">
        <v>272.67</v>
      </c>
      <c r="AA203" s="1">
        <v>72</v>
      </c>
      <c r="AB203" s="1">
        <v>53.81</v>
      </c>
      <c r="AC203" s="1">
        <v>19.28</v>
      </c>
      <c r="AD203" s="1">
        <v>0.5</v>
      </c>
      <c r="AE203" s="1">
        <v>198.45</v>
      </c>
      <c r="AF203" s="1">
        <v>272.03999999999996</v>
      </c>
      <c r="AG203" s="1">
        <v>1389.74</v>
      </c>
      <c r="AH203" s="1"/>
      <c r="AI203" s="1">
        <v>6.0880000000000001</v>
      </c>
      <c r="AJ203" s="1">
        <v>2.6320000000000001</v>
      </c>
      <c r="AK203" s="1">
        <v>7.1999999999999995E-2</v>
      </c>
      <c r="AL203" s="1">
        <v>18.25</v>
      </c>
      <c r="AM203" s="1">
        <f t="shared" si="16"/>
        <v>27.042000000000002</v>
      </c>
      <c r="AN203" s="129">
        <f t="shared" si="14"/>
        <v>228.27529566360053</v>
      </c>
      <c r="AO203" s="162"/>
      <c r="AP203" s="162"/>
    </row>
    <row r="204" spans="1:42" x14ac:dyDescent="0.2">
      <c r="A204" s="150">
        <f t="shared" si="15"/>
        <v>86</v>
      </c>
      <c r="B204" s="152">
        <v>45239</v>
      </c>
      <c r="C204" s="153" t="s">
        <v>338</v>
      </c>
      <c r="D204" s="150">
        <v>20</v>
      </c>
      <c r="E204" s="150" t="s">
        <v>143</v>
      </c>
      <c r="F204" s="154" t="s">
        <v>142</v>
      </c>
      <c r="G204" s="150" t="s">
        <v>131</v>
      </c>
      <c r="H204" s="150" t="s">
        <v>133</v>
      </c>
      <c r="I204" s="150" t="s">
        <v>150</v>
      </c>
      <c r="J204" s="150">
        <v>1</v>
      </c>
      <c r="K204" s="3">
        <v>33</v>
      </c>
      <c r="L204" s="1"/>
      <c r="M204" s="1"/>
      <c r="N204" s="1"/>
      <c r="O204" s="1"/>
      <c r="P204" s="1"/>
      <c r="Q204" s="1"/>
      <c r="R204" s="1"/>
      <c r="S204" s="1">
        <v>1</v>
      </c>
      <c r="T204" s="1"/>
      <c r="U204" s="1">
        <v>12</v>
      </c>
      <c r="V204" s="1">
        <v>48</v>
      </c>
      <c r="W204" s="1">
        <v>27</v>
      </c>
      <c r="X204" s="1">
        <v>15</v>
      </c>
      <c r="Y204" s="1">
        <v>6</v>
      </c>
      <c r="Z204" s="1">
        <v>292.13</v>
      </c>
      <c r="AA204" s="1">
        <v>48</v>
      </c>
      <c r="AB204" s="1">
        <v>49.5</v>
      </c>
      <c r="AC204" s="1">
        <v>22.17</v>
      </c>
      <c r="AD204" s="1"/>
      <c r="AE204" s="1">
        <v>219.73</v>
      </c>
      <c r="AF204" s="1">
        <v>291.39999999999998</v>
      </c>
      <c r="AG204" s="1">
        <v>1280.0999999999999</v>
      </c>
      <c r="AH204" s="1"/>
      <c r="AI204" s="1">
        <v>5.79</v>
      </c>
      <c r="AJ204" s="1">
        <v>2.8839999999999999</v>
      </c>
      <c r="AK204" s="1"/>
      <c r="AL204" s="1">
        <v>19.933</v>
      </c>
      <c r="AM204" s="1">
        <f t="shared" si="16"/>
        <v>28.606999999999999</v>
      </c>
      <c r="AN204" s="129">
        <f t="shared" si="14"/>
        <v>221.0880829015544</v>
      </c>
      <c r="AO204" s="162"/>
      <c r="AP204" s="162"/>
    </row>
    <row r="205" spans="1:42" x14ac:dyDescent="0.2">
      <c r="A205" s="150">
        <f t="shared" si="15"/>
        <v>86</v>
      </c>
      <c r="B205" s="152">
        <v>45239</v>
      </c>
      <c r="C205" s="153" t="s">
        <v>338</v>
      </c>
      <c r="D205" s="150">
        <v>20</v>
      </c>
      <c r="E205" s="150" t="s">
        <v>143</v>
      </c>
      <c r="F205" s="154" t="s">
        <v>142</v>
      </c>
      <c r="G205" s="150" t="s">
        <v>131</v>
      </c>
      <c r="H205" s="150" t="s">
        <v>133</v>
      </c>
      <c r="I205" s="150" t="s">
        <v>151</v>
      </c>
      <c r="J205" s="150">
        <v>2</v>
      </c>
      <c r="K205" s="3">
        <v>42</v>
      </c>
      <c r="L205" s="1"/>
      <c r="M205" s="1"/>
      <c r="N205" s="1"/>
      <c r="O205" s="1"/>
      <c r="P205" s="1"/>
      <c r="Q205" s="1"/>
      <c r="R205" s="1">
        <v>6</v>
      </c>
      <c r="S205" s="1"/>
      <c r="T205" s="1"/>
      <c r="U205" s="1">
        <v>11</v>
      </c>
      <c r="V205" s="1">
        <v>40</v>
      </c>
      <c r="W205" s="1">
        <v>19</v>
      </c>
      <c r="X205" s="1">
        <v>13</v>
      </c>
      <c r="Y205" s="1">
        <v>8</v>
      </c>
      <c r="Z205" s="1">
        <v>337.92</v>
      </c>
      <c r="AA205" s="1">
        <v>49</v>
      </c>
      <c r="AB205" s="1">
        <v>62.06</v>
      </c>
      <c r="AC205" s="1">
        <v>28.82</v>
      </c>
      <c r="AD205" s="1">
        <v>0.87</v>
      </c>
      <c r="AE205" s="1">
        <v>245.27</v>
      </c>
      <c r="AF205" s="1">
        <v>337.02</v>
      </c>
      <c r="AG205" s="1">
        <v>1564.92</v>
      </c>
      <c r="AH205" s="1"/>
      <c r="AI205" s="1">
        <v>7.2510000000000003</v>
      </c>
      <c r="AJ205" s="1">
        <v>3.895</v>
      </c>
      <c r="AK205" s="1">
        <v>0.12</v>
      </c>
      <c r="AL205" s="1">
        <v>22.440999999999999</v>
      </c>
      <c r="AM205" s="1">
        <f t="shared" si="16"/>
        <v>33.707000000000001</v>
      </c>
      <c r="AN205" s="129">
        <f t="shared" si="14"/>
        <v>215.82126603227141</v>
      </c>
      <c r="AO205" s="162"/>
      <c r="AP205" s="162"/>
    </row>
    <row r="206" spans="1:42" x14ac:dyDescent="0.2">
      <c r="A206" s="150">
        <f t="shared" si="15"/>
        <v>86</v>
      </c>
      <c r="B206" s="152">
        <v>45239</v>
      </c>
      <c r="C206" s="153" t="s">
        <v>338</v>
      </c>
      <c r="D206" s="150">
        <v>20</v>
      </c>
      <c r="E206" s="150" t="s">
        <v>143</v>
      </c>
      <c r="F206" s="154" t="s">
        <v>142</v>
      </c>
      <c r="G206" s="150" t="s">
        <v>131</v>
      </c>
      <c r="H206" s="150" t="s">
        <v>133</v>
      </c>
      <c r="I206" s="150" t="s">
        <v>152</v>
      </c>
      <c r="J206" s="150">
        <v>3</v>
      </c>
      <c r="K206" s="1">
        <v>39</v>
      </c>
      <c r="L206" s="1"/>
      <c r="M206" s="1"/>
      <c r="N206" s="1"/>
      <c r="O206" s="1"/>
      <c r="P206" s="1"/>
      <c r="Q206" s="1"/>
      <c r="R206" s="1">
        <v>5</v>
      </c>
      <c r="S206" s="1">
        <v>5</v>
      </c>
      <c r="T206" s="1"/>
      <c r="U206" s="1">
        <v>15</v>
      </c>
      <c r="V206" s="1">
        <v>52</v>
      </c>
      <c r="W206" s="1">
        <v>37</v>
      </c>
      <c r="X206" s="1">
        <v>11</v>
      </c>
      <c r="Y206" s="1">
        <v>4</v>
      </c>
      <c r="Z206" s="1">
        <v>293.64</v>
      </c>
      <c r="AA206" s="1">
        <v>64</v>
      </c>
      <c r="AB206" s="1">
        <v>62.08</v>
      </c>
      <c r="AC206" s="1">
        <v>29.45</v>
      </c>
      <c r="AD206" s="1">
        <v>0.78</v>
      </c>
      <c r="AE206" s="1">
        <v>200.32</v>
      </c>
      <c r="AF206" s="1">
        <v>292.63</v>
      </c>
      <c r="AG206" s="1">
        <v>1635.31</v>
      </c>
      <c r="AH206" s="1"/>
      <c r="AI206" s="1">
        <v>7.1950000000000003</v>
      </c>
      <c r="AJ206" s="1">
        <v>3.9359999999999999</v>
      </c>
      <c r="AK206" s="1">
        <v>0.109</v>
      </c>
      <c r="AL206" s="1">
        <v>19.059999999999999</v>
      </c>
      <c r="AM206" s="1">
        <f t="shared" si="16"/>
        <v>30.299999999999997</v>
      </c>
      <c r="AN206" s="129">
        <f t="shared" si="14"/>
        <v>227.28422515635856</v>
      </c>
      <c r="AO206" s="162"/>
      <c r="AP206" s="162"/>
    </row>
    <row r="207" spans="1:42" x14ac:dyDescent="0.2">
      <c r="A207" s="150">
        <f t="shared" si="15"/>
        <v>86</v>
      </c>
      <c r="B207" s="152">
        <v>45239</v>
      </c>
      <c r="C207" s="153" t="s">
        <v>338</v>
      </c>
      <c r="D207" s="150">
        <v>20</v>
      </c>
      <c r="E207" s="150" t="s">
        <v>143</v>
      </c>
      <c r="F207" s="154" t="s">
        <v>142</v>
      </c>
      <c r="G207" s="150" t="s">
        <v>131</v>
      </c>
      <c r="H207" s="150" t="s">
        <v>133</v>
      </c>
      <c r="I207" s="150" t="s">
        <v>153</v>
      </c>
      <c r="J207" s="150">
        <v>4</v>
      </c>
      <c r="K207" s="1">
        <v>43</v>
      </c>
      <c r="L207" s="1"/>
      <c r="M207" s="1"/>
      <c r="N207" s="1"/>
      <c r="O207" s="1"/>
      <c r="P207" s="1"/>
      <c r="Q207" s="1"/>
      <c r="R207" s="1"/>
      <c r="S207" s="1"/>
      <c r="T207" s="1"/>
      <c r="U207" s="1">
        <v>11</v>
      </c>
      <c r="V207" s="1">
        <v>51</v>
      </c>
      <c r="W207" s="1">
        <v>38</v>
      </c>
      <c r="X207" s="1">
        <v>6</v>
      </c>
      <c r="Y207" s="1">
        <v>7</v>
      </c>
      <c r="Z207" s="1">
        <v>267.26</v>
      </c>
      <c r="AA207" s="1">
        <v>42</v>
      </c>
      <c r="AB207" s="1">
        <v>49.74</v>
      </c>
      <c r="AC207" s="1">
        <v>20.399999999999999</v>
      </c>
      <c r="AD207" s="1"/>
      <c r="AE207" s="1">
        <v>196.73</v>
      </c>
      <c r="AF207" s="1">
        <v>266.87</v>
      </c>
      <c r="AG207" s="1">
        <v>1331.95</v>
      </c>
      <c r="AH207" s="1"/>
      <c r="AI207" s="1">
        <v>5.4480000000000004</v>
      </c>
      <c r="AJ207" s="1">
        <v>2.6419999999999999</v>
      </c>
      <c r="AK207" s="1"/>
      <c r="AL207" s="1">
        <v>18.34</v>
      </c>
      <c r="AM207" s="1">
        <f t="shared" si="16"/>
        <v>26.43</v>
      </c>
      <c r="AN207" s="129">
        <f t="shared" si="14"/>
        <v>244.48421439060203</v>
      </c>
      <c r="AO207" s="162"/>
      <c r="AP207" s="162"/>
    </row>
    <row r="208" spans="1:42" x14ac:dyDescent="0.2">
      <c r="A208" s="150">
        <f t="shared" si="15"/>
        <v>86</v>
      </c>
      <c r="B208" s="152">
        <v>45239</v>
      </c>
      <c r="C208" s="153" t="s">
        <v>338</v>
      </c>
      <c r="D208" s="150">
        <v>20</v>
      </c>
      <c r="E208" s="150" t="s">
        <v>143</v>
      </c>
      <c r="F208" s="154" t="s">
        <v>142</v>
      </c>
      <c r="G208" s="150" t="s">
        <v>131</v>
      </c>
      <c r="H208" s="150" t="s">
        <v>133</v>
      </c>
      <c r="I208" s="150" t="s">
        <v>154</v>
      </c>
      <c r="J208" s="150">
        <v>5</v>
      </c>
      <c r="K208" s="1">
        <v>34</v>
      </c>
      <c r="L208" s="1"/>
      <c r="M208" s="1"/>
      <c r="N208" s="1"/>
      <c r="O208" s="1"/>
      <c r="P208" s="1"/>
      <c r="Q208" s="1"/>
      <c r="R208" s="1">
        <v>8</v>
      </c>
      <c r="S208" s="1">
        <v>5</v>
      </c>
      <c r="T208" s="1"/>
      <c r="U208" s="1">
        <v>7</v>
      </c>
      <c r="V208" s="1">
        <v>26</v>
      </c>
      <c r="W208" s="1">
        <v>7</v>
      </c>
      <c r="X208" s="1">
        <v>9</v>
      </c>
      <c r="Y208" s="1">
        <v>10</v>
      </c>
      <c r="Z208" s="1">
        <v>240.31</v>
      </c>
      <c r="AA208" s="1">
        <v>41</v>
      </c>
      <c r="AB208" s="1">
        <v>39.46</v>
      </c>
      <c r="AC208" s="1">
        <v>21.07</v>
      </c>
      <c r="AD208" s="1">
        <v>0.95</v>
      </c>
      <c r="AE208" s="1">
        <v>178.39</v>
      </c>
      <c r="AF208" s="1">
        <v>239.87</v>
      </c>
      <c r="AG208" s="1">
        <v>1024.9000000000001</v>
      </c>
      <c r="AH208" s="1"/>
      <c r="AI208" s="1">
        <v>4.4530000000000003</v>
      </c>
      <c r="AJ208" s="1">
        <v>2.4729999999999999</v>
      </c>
      <c r="AK208" s="1">
        <v>0.13600000000000001</v>
      </c>
      <c r="AL208" s="1">
        <v>14.432</v>
      </c>
      <c r="AM208" s="1">
        <f t="shared" si="16"/>
        <v>21.494</v>
      </c>
      <c r="AN208" s="129">
        <f t="shared" si="14"/>
        <v>230.15944307208625</v>
      </c>
      <c r="AO208" s="162"/>
      <c r="AP208" s="162"/>
    </row>
    <row r="209" spans="1:42" x14ac:dyDescent="0.2">
      <c r="A209" s="150">
        <f t="shared" si="15"/>
        <v>86</v>
      </c>
      <c r="B209" s="152">
        <v>45239</v>
      </c>
      <c r="C209" s="153" t="s">
        <v>338</v>
      </c>
      <c r="D209" s="150">
        <v>20</v>
      </c>
      <c r="E209" s="150" t="s">
        <v>143</v>
      </c>
      <c r="F209" s="154" t="s">
        <v>142</v>
      </c>
      <c r="G209" s="150" t="s">
        <v>131</v>
      </c>
      <c r="H209" s="150" t="s">
        <v>133</v>
      </c>
      <c r="I209" s="150" t="s">
        <v>155</v>
      </c>
      <c r="J209" s="150">
        <v>6</v>
      </c>
      <c r="K209" s="1">
        <v>37</v>
      </c>
      <c r="L209" s="1"/>
      <c r="M209" s="1"/>
      <c r="N209" s="1"/>
      <c r="O209" s="1"/>
      <c r="P209" s="1"/>
      <c r="Q209" s="1"/>
      <c r="R209" s="1"/>
      <c r="S209" s="1"/>
      <c r="T209" s="1"/>
      <c r="U209" s="1">
        <v>9</v>
      </c>
      <c r="V209" s="1">
        <v>48</v>
      </c>
      <c r="W209" s="1">
        <v>33</v>
      </c>
      <c r="X209" s="1">
        <v>5</v>
      </c>
      <c r="Y209" s="1">
        <v>10</v>
      </c>
      <c r="Z209" s="1">
        <v>241.57</v>
      </c>
      <c r="AA209" s="1">
        <v>40</v>
      </c>
      <c r="AB209" s="1">
        <v>43.36</v>
      </c>
      <c r="AC209" s="1">
        <v>20.46</v>
      </c>
      <c r="AD209" s="1"/>
      <c r="AE209" s="1">
        <v>177.19</v>
      </c>
      <c r="AF209" s="1">
        <v>241.01</v>
      </c>
      <c r="AG209" s="1">
        <v>1203.67</v>
      </c>
      <c r="AH209" s="1"/>
      <c r="AI209" s="1">
        <v>4.5419999999999998</v>
      </c>
      <c r="AJ209" s="1">
        <v>2.4910000000000001</v>
      </c>
      <c r="AK209" s="1"/>
      <c r="AL209" s="1">
        <v>14.795999999999999</v>
      </c>
      <c r="AM209" s="1">
        <f t="shared" si="16"/>
        <v>21.829000000000001</v>
      </c>
      <c r="AN209" s="129">
        <f t="shared" si="14"/>
        <v>265.0088066930868</v>
      </c>
      <c r="AO209" s="162"/>
      <c r="AP209" s="162"/>
    </row>
    <row r="210" spans="1:42" x14ac:dyDescent="0.2">
      <c r="A210" s="150">
        <f t="shared" si="15"/>
        <v>86</v>
      </c>
      <c r="B210" s="152">
        <v>45239</v>
      </c>
      <c r="C210" s="153" t="s">
        <v>338</v>
      </c>
      <c r="D210" s="150">
        <v>20</v>
      </c>
      <c r="E210" s="150" t="s">
        <v>144</v>
      </c>
      <c r="F210" s="154" t="s">
        <v>142</v>
      </c>
      <c r="G210" s="150" t="s">
        <v>131</v>
      </c>
      <c r="H210" s="150" t="s">
        <v>134</v>
      </c>
      <c r="I210" s="150" t="s">
        <v>156</v>
      </c>
      <c r="J210" s="150">
        <v>1</v>
      </c>
      <c r="K210" s="3">
        <v>37</v>
      </c>
      <c r="L210" s="1"/>
      <c r="M210" s="1"/>
      <c r="N210" s="1"/>
      <c r="O210" s="1"/>
      <c r="P210" s="1"/>
      <c r="Q210" s="1"/>
      <c r="R210" s="1"/>
      <c r="S210" s="1"/>
      <c r="T210" s="1"/>
      <c r="U210" s="1">
        <v>11</v>
      </c>
      <c r="V210" s="1">
        <v>62</v>
      </c>
      <c r="W210" s="1">
        <v>48</v>
      </c>
      <c r="X210" s="1">
        <v>5</v>
      </c>
      <c r="Y210" s="1">
        <v>9</v>
      </c>
      <c r="Z210" s="1">
        <v>303.74</v>
      </c>
      <c r="AA210" s="1">
        <v>48</v>
      </c>
      <c r="AB210" s="1">
        <v>48</v>
      </c>
      <c r="AC210" s="1">
        <v>14.47</v>
      </c>
      <c r="AD210" s="1"/>
      <c r="AE210" s="1">
        <v>254.94</v>
      </c>
      <c r="AF210" s="1">
        <v>317.40999999999997</v>
      </c>
      <c r="AG210" s="1">
        <v>1315.56</v>
      </c>
      <c r="AH210" s="1"/>
      <c r="AI210" s="1">
        <v>5.524</v>
      </c>
      <c r="AJ210" s="1">
        <v>1.923</v>
      </c>
      <c r="AK210" s="1"/>
      <c r="AL210" s="1">
        <v>21.448</v>
      </c>
      <c r="AM210" s="1">
        <f t="shared" si="16"/>
        <v>28.895</v>
      </c>
      <c r="AN210" s="129">
        <f t="shared" si="14"/>
        <v>238.15351194786385</v>
      </c>
      <c r="AO210" s="162"/>
      <c r="AP210" s="162"/>
    </row>
    <row r="211" spans="1:42" x14ac:dyDescent="0.2">
      <c r="A211" s="150">
        <f t="shared" si="15"/>
        <v>86</v>
      </c>
      <c r="B211" s="152">
        <v>45239</v>
      </c>
      <c r="C211" s="153" t="s">
        <v>338</v>
      </c>
      <c r="D211" s="150">
        <v>20</v>
      </c>
      <c r="E211" s="150" t="s">
        <v>144</v>
      </c>
      <c r="F211" s="154" t="s">
        <v>142</v>
      </c>
      <c r="G211" s="150" t="s">
        <v>131</v>
      </c>
      <c r="H211" s="150" t="s">
        <v>134</v>
      </c>
      <c r="I211" s="150" t="s">
        <v>157</v>
      </c>
      <c r="J211" s="150">
        <v>2</v>
      </c>
      <c r="K211" s="3">
        <v>28</v>
      </c>
      <c r="L211" s="1"/>
      <c r="M211" s="1"/>
      <c r="N211" s="1"/>
      <c r="O211" s="1"/>
      <c r="P211" s="1"/>
      <c r="Q211" s="1"/>
      <c r="R211" s="1"/>
      <c r="S211" s="1"/>
      <c r="T211" s="1"/>
      <c r="U211" s="1">
        <v>8</v>
      </c>
      <c r="V211" s="1">
        <v>30</v>
      </c>
      <c r="W211" s="1">
        <v>18</v>
      </c>
      <c r="X211" s="1">
        <v>1</v>
      </c>
      <c r="Y211" s="1">
        <v>11</v>
      </c>
      <c r="Z211" s="1">
        <v>160.51</v>
      </c>
      <c r="AA211" s="1">
        <v>25</v>
      </c>
      <c r="AB211" s="1">
        <v>23.82</v>
      </c>
      <c r="AC211" s="1">
        <v>10.43</v>
      </c>
      <c r="AD211" s="1"/>
      <c r="AE211" s="1">
        <v>136.26</v>
      </c>
      <c r="AF211" s="1">
        <v>170.51</v>
      </c>
      <c r="AG211" s="1">
        <v>673.48</v>
      </c>
      <c r="AH211" s="1"/>
      <c r="AI211" s="1">
        <v>2.6070000000000002</v>
      </c>
      <c r="AJ211" s="1">
        <v>1.165</v>
      </c>
      <c r="AK211" s="1"/>
      <c r="AL211" s="1">
        <v>9.2759999999999998</v>
      </c>
      <c r="AM211" s="1">
        <f t="shared" si="16"/>
        <v>13.048</v>
      </c>
      <c r="AN211" s="129">
        <f t="shared" si="14"/>
        <v>258.33525124664362</v>
      </c>
      <c r="AO211" s="162"/>
      <c r="AP211" s="162"/>
    </row>
    <row r="212" spans="1:42" x14ac:dyDescent="0.2">
      <c r="A212" s="150">
        <f t="shared" si="15"/>
        <v>86</v>
      </c>
      <c r="B212" s="152">
        <v>45239</v>
      </c>
      <c r="C212" s="153" t="s">
        <v>338</v>
      </c>
      <c r="D212" s="150">
        <v>20</v>
      </c>
      <c r="E212" s="150" t="s">
        <v>144</v>
      </c>
      <c r="F212" s="154" t="s">
        <v>142</v>
      </c>
      <c r="G212" s="150" t="s">
        <v>131</v>
      </c>
      <c r="H212" s="150" t="s">
        <v>134</v>
      </c>
      <c r="I212" s="150" t="s">
        <v>158</v>
      </c>
      <c r="J212" s="150">
        <v>3</v>
      </c>
      <c r="K212" s="1">
        <v>41</v>
      </c>
      <c r="L212" s="1"/>
      <c r="M212" s="1"/>
      <c r="N212" s="1"/>
      <c r="O212" s="1"/>
      <c r="P212" s="1"/>
      <c r="Q212" s="1"/>
      <c r="R212" s="1">
        <v>26</v>
      </c>
      <c r="S212" s="1">
        <v>1</v>
      </c>
      <c r="T212" s="1"/>
      <c r="U212" s="1">
        <v>7</v>
      </c>
      <c r="V212" s="1">
        <v>45</v>
      </c>
      <c r="W212" s="1">
        <v>35</v>
      </c>
      <c r="X212" s="1">
        <v>7</v>
      </c>
      <c r="Y212" s="1">
        <v>3</v>
      </c>
      <c r="Z212" s="1">
        <v>254</v>
      </c>
      <c r="AA212" s="1">
        <v>58</v>
      </c>
      <c r="AB212" s="1">
        <v>50.98</v>
      </c>
      <c r="AC212" s="1">
        <v>18.91</v>
      </c>
      <c r="AD212" s="1"/>
      <c r="AE212" s="1">
        <v>202.14</v>
      </c>
      <c r="AF212" s="1">
        <v>272.02999999999997</v>
      </c>
      <c r="AG212" s="1">
        <v>1393.69</v>
      </c>
      <c r="AH212" s="1"/>
      <c r="AI212" s="1">
        <v>5.4820000000000002</v>
      </c>
      <c r="AJ212" s="1">
        <v>2.3380000000000001</v>
      </c>
      <c r="AK212" s="1">
        <v>9.9000000000000005E-2</v>
      </c>
      <c r="AL212" s="1">
        <v>16.347000000000001</v>
      </c>
      <c r="AM212" s="1">
        <f t="shared" si="16"/>
        <v>24.266000000000002</v>
      </c>
      <c r="AN212" s="129">
        <f t="shared" si="14"/>
        <v>254.23020795330171</v>
      </c>
      <c r="AO212" s="162"/>
      <c r="AP212" s="162"/>
    </row>
    <row r="213" spans="1:42" x14ac:dyDescent="0.2">
      <c r="A213" s="150">
        <f t="shared" si="15"/>
        <v>86</v>
      </c>
      <c r="B213" s="152">
        <v>45239</v>
      </c>
      <c r="C213" s="153" t="s">
        <v>338</v>
      </c>
      <c r="D213" s="150">
        <v>20</v>
      </c>
      <c r="E213" s="150" t="s">
        <v>144</v>
      </c>
      <c r="F213" s="154" t="s">
        <v>142</v>
      </c>
      <c r="G213" s="150" t="s">
        <v>131</v>
      </c>
      <c r="H213" s="150" t="s">
        <v>134</v>
      </c>
      <c r="I213" s="150" t="s">
        <v>159</v>
      </c>
      <c r="J213" s="150">
        <v>4</v>
      </c>
      <c r="K213" s="1">
        <v>40</v>
      </c>
      <c r="L213" s="1"/>
      <c r="M213" s="1"/>
      <c r="N213" s="1"/>
      <c r="O213" s="1"/>
      <c r="P213" s="1"/>
      <c r="Q213" s="1"/>
      <c r="R213" s="1">
        <v>24</v>
      </c>
      <c r="S213" s="1"/>
      <c r="T213" s="1"/>
      <c r="U213" s="1">
        <v>7</v>
      </c>
      <c r="V213" s="1">
        <v>38</v>
      </c>
      <c r="W213" s="1">
        <v>28</v>
      </c>
      <c r="X213" s="1">
        <v>4</v>
      </c>
      <c r="Y213" s="1">
        <v>6</v>
      </c>
      <c r="Z213" s="1">
        <v>214.49</v>
      </c>
      <c r="AA213" s="1">
        <v>35</v>
      </c>
      <c r="AB213" s="1">
        <v>43.67</v>
      </c>
      <c r="AC213" s="1">
        <v>17.440000000000001</v>
      </c>
      <c r="AD213" s="1"/>
      <c r="AE213" s="1">
        <v>170.4</v>
      </c>
      <c r="AF213" s="1">
        <v>231.51</v>
      </c>
      <c r="AG213" s="1">
        <v>1166.02</v>
      </c>
      <c r="AH213" s="1"/>
      <c r="AI213" s="1">
        <v>4.718</v>
      </c>
      <c r="AJ213" s="1">
        <v>2.1110000000000002</v>
      </c>
      <c r="AK213" s="1">
        <v>7.1999999999999995E-2</v>
      </c>
      <c r="AL213" s="1">
        <v>12.521000000000001</v>
      </c>
      <c r="AM213" s="1">
        <f t="shared" si="16"/>
        <v>19.422000000000001</v>
      </c>
      <c r="AN213" s="129">
        <f t="shared" si="14"/>
        <v>247.14285714285714</v>
      </c>
      <c r="AO213" s="162"/>
      <c r="AP213" s="162"/>
    </row>
    <row r="214" spans="1:42" x14ac:dyDescent="0.2">
      <c r="A214" s="150">
        <f t="shared" si="15"/>
        <v>86</v>
      </c>
      <c r="B214" s="152">
        <v>45239</v>
      </c>
      <c r="C214" s="153" t="s">
        <v>338</v>
      </c>
      <c r="D214" s="150">
        <v>20</v>
      </c>
      <c r="E214" s="150" t="s">
        <v>144</v>
      </c>
      <c r="F214" s="154" t="s">
        <v>142</v>
      </c>
      <c r="G214" s="150" t="s">
        <v>131</v>
      </c>
      <c r="H214" s="150" t="s">
        <v>134</v>
      </c>
      <c r="I214" s="150" t="s">
        <v>160</v>
      </c>
      <c r="J214" s="150">
        <v>5</v>
      </c>
      <c r="K214" s="1">
        <v>34</v>
      </c>
      <c r="L214" s="1"/>
      <c r="M214" s="1"/>
      <c r="N214" s="1"/>
      <c r="O214" s="1"/>
      <c r="P214" s="1"/>
      <c r="Q214" s="1"/>
      <c r="R214" s="1">
        <v>9</v>
      </c>
      <c r="S214" s="1"/>
      <c r="T214" s="1"/>
      <c r="U214" s="1">
        <v>7</v>
      </c>
      <c r="V214" s="1">
        <v>32</v>
      </c>
      <c r="W214" s="1">
        <v>16</v>
      </c>
      <c r="X214" s="1">
        <v>8</v>
      </c>
      <c r="Y214" s="1">
        <v>8</v>
      </c>
      <c r="Z214" s="1">
        <v>184.07</v>
      </c>
      <c r="AA214" s="1">
        <v>27</v>
      </c>
      <c r="AB214" s="1">
        <v>30.3</v>
      </c>
      <c r="AC214" s="1">
        <v>11.67</v>
      </c>
      <c r="AD214" s="1"/>
      <c r="AE214" s="1">
        <v>153.44999999999999</v>
      </c>
      <c r="AF214" s="1">
        <v>195.42</v>
      </c>
      <c r="AG214" s="1">
        <v>858.66</v>
      </c>
      <c r="AH214" s="1"/>
      <c r="AI214" s="1">
        <v>3.1230000000000002</v>
      </c>
      <c r="AJ214" s="1">
        <v>1.4339999999999999</v>
      </c>
      <c r="AK214" s="1">
        <v>1.1000000000000001E-3</v>
      </c>
      <c r="AL214" s="1">
        <v>10.827999999999999</v>
      </c>
      <c r="AM214" s="1">
        <f t="shared" si="16"/>
        <v>15.386099999999999</v>
      </c>
      <c r="AN214" s="129">
        <f t="shared" si="14"/>
        <v>274.94716618635925</v>
      </c>
      <c r="AO214" s="162"/>
      <c r="AP214" s="162"/>
    </row>
    <row r="215" spans="1:42" x14ac:dyDescent="0.2">
      <c r="A215" s="150">
        <f t="shared" si="15"/>
        <v>86</v>
      </c>
      <c r="B215" s="152">
        <v>45239</v>
      </c>
      <c r="C215" s="153" t="s">
        <v>338</v>
      </c>
      <c r="D215" s="150">
        <v>20</v>
      </c>
      <c r="E215" s="150" t="s">
        <v>144</v>
      </c>
      <c r="F215" s="154" t="s">
        <v>142</v>
      </c>
      <c r="G215" s="150" t="s">
        <v>131</v>
      </c>
      <c r="H215" s="150" t="s">
        <v>134</v>
      </c>
      <c r="I215" s="150" t="s">
        <v>161</v>
      </c>
      <c r="J215" s="150">
        <v>6</v>
      </c>
      <c r="K215" s="1">
        <v>42</v>
      </c>
      <c r="L215" s="1"/>
      <c r="M215" s="1"/>
      <c r="N215" s="1"/>
      <c r="O215" s="1"/>
      <c r="P215" s="1"/>
      <c r="Q215" s="1"/>
      <c r="R215" s="1">
        <v>11</v>
      </c>
      <c r="S215" s="1">
        <v>3</v>
      </c>
      <c r="T215" s="1"/>
      <c r="U215" s="1">
        <v>12</v>
      </c>
      <c r="V215" s="1">
        <v>62</v>
      </c>
      <c r="W215" s="1">
        <v>51</v>
      </c>
      <c r="X215" s="1">
        <v>8</v>
      </c>
      <c r="Y215" s="1">
        <v>3</v>
      </c>
      <c r="Z215" s="1">
        <v>324.2</v>
      </c>
      <c r="AA215" s="1">
        <v>68</v>
      </c>
      <c r="AB215" s="1">
        <v>73.349999999999994</v>
      </c>
      <c r="AC215" s="1">
        <v>25.45</v>
      </c>
      <c r="AD215" s="1"/>
      <c r="AE215" s="1">
        <v>250.19</v>
      </c>
      <c r="AF215" s="1">
        <v>348.99</v>
      </c>
      <c r="AG215" s="1">
        <v>1831.88</v>
      </c>
      <c r="AH215" s="1"/>
      <c r="AI215" s="1">
        <v>8.2070000000000007</v>
      </c>
      <c r="AJ215" s="1">
        <v>3.7149999999999999</v>
      </c>
      <c r="AK215" s="1">
        <v>4.4999999999999998E-2</v>
      </c>
      <c r="AL215" s="1">
        <v>21.56</v>
      </c>
      <c r="AM215" s="1">
        <f t="shared" si="16"/>
        <v>33.527000000000001</v>
      </c>
      <c r="AN215" s="129">
        <f t="shared" ref="AN215:AN245" si="17">AG215/AI215</f>
        <v>223.20945534299986</v>
      </c>
      <c r="AO215" s="162"/>
      <c r="AP215" s="162"/>
    </row>
    <row r="216" spans="1:42" x14ac:dyDescent="0.2">
      <c r="A216" s="150">
        <f t="shared" si="15"/>
        <v>86</v>
      </c>
      <c r="B216" s="152">
        <v>45239</v>
      </c>
      <c r="C216" s="153" t="s">
        <v>338</v>
      </c>
      <c r="D216" s="150">
        <v>20</v>
      </c>
      <c r="E216" s="150" t="s">
        <v>145</v>
      </c>
      <c r="F216" s="154" t="s">
        <v>142</v>
      </c>
      <c r="G216" s="150" t="s">
        <v>131</v>
      </c>
      <c r="H216" s="150" t="s">
        <v>135</v>
      </c>
      <c r="I216" s="150" t="s">
        <v>162</v>
      </c>
      <c r="J216" s="150">
        <v>1</v>
      </c>
      <c r="K216" s="3">
        <v>32</v>
      </c>
      <c r="L216" s="1"/>
      <c r="M216" s="1"/>
      <c r="N216" s="1"/>
      <c r="O216" s="1"/>
      <c r="P216" s="1"/>
      <c r="Q216" s="1"/>
      <c r="R216" s="1"/>
      <c r="S216" s="1"/>
      <c r="T216" s="1"/>
      <c r="U216" s="1">
        <v>9</v>
      </c>
      <c r="V216" s="1">
        <v>38</v>
      </c>
      <c r="W216" s="1">
        <v>29</v>
      </c>
      <c r="X216" s="1">
        <v>5</v>
      </c>
      <c r="Y216" s="1">
        <v>4</v>
      </c>
      <c r="Z216" s="1">
        <v>181.77</v>
      </c>
      <c r="AA216" s="1">
        <v>34</v>
      </c>
      <c r="AB216" s="1">
        <v>32.44</v>
      </c>
      <c r="AC216" s="1">
        <v>12.5</v>
      </c>
      <c r="AD216" s="1"/>
      <c r="AE216" s="1">
        <v>135.15</v>
      </c>
      <c r="AF216" s="1">
        <v>180.09</v>
      </c>
      <c r="AG216" s="1">
        <v>943.6</v>
      </c>
      <c r="AH216" s="1"/>
      <c r="AI216" s="1">
        <v>3.33</v>
      </c>
      <c r="AJ216" s="1">
        <v>1.5549999999999999</v>
      </c>
      <c r="AK216" s="1"/>
      <c r="AL216" s="1">
        <v>11.4</v>
      </c>
      <c r="AM216" s="1">
        <f t="shared" si="16"/>
        <v>16.285</v>
      </c>
      <c r="AN216" s="129">
        <f t="shared" si="17"/>
        <v>283.36336336336336</v>
      </c>
      <c r="AO216" s="162"/>
      <c r="AP216" s="162"/>
    </row>
    <row r="217" spans="1:42" x14ac:dyDescent="0.2">
      <c r="A217" s="150">
        <f t="shared" si="15"/>
        <v>86</v>
      </c>
      <c r="B217" s="152">
        <v>45239</v>
      </c>
      <c r="C217" s="153" t="s">
        <v>338</v>
      </c>
      <c r="D217" s="150">
        <v>20</v>
      </c>
      <c r="E217" s="150" t="s">
        <v>145</v>
      </c>
      <c r="F217" s="154" t="s">
        <v>142</v>
      </c>
      <c r="G217" s="150" t="s">
        <v>131</v>
      </c>
      <c r="H217" s="150" t="s">
        <v>135</v>
      </c>
      <c r="I217" s="150" t="s">
        <v>163</v>
      </c>
      <c r="J217" s="150">
        <v>2</v>
      </c>
      <c r="K217" s="3">
        <v>35</v>
      </c>
      <c r="L217" s="1"/>
      <c r="M217" s="1"/>
      <c r="N217" s="1"/>
      <c r="O217" s="1"/>
      <c r="P217" s="1"/>
      <c r="Q217" s="1"/>
      <c r="R217" s="1"/>
      <c r="S217" s="1"/>
      <c r="T217" s="1"/>
      <c r="U217" s="1">
        <v>8</v>
      </c>
      <c r="V217" s="1">
        <v>39</v>
      </c>
      <c r="W217" s="1">
        <v>27</v>
      </c>
      <c r="X217" s="1">
        <v>6</v>
      </c>
      <c r="Y217" s="1">
        <v>6</v>
      </c>
      <c r="Z217" s="1">
        <v>216.33</v>
      </c>
      <c r="AA217" s="1">
        <v>36</v>
      </c>
      <c r="AB217" s="1">
        <v>37.46</v>
      </c>
      <c r="AC217" s="1">
        <v>12.43</v>
      </c>
      <c r="AD217" s="1"/>
      <c r="AE217" s="1">
        <v>178.64</v>
      </c>
      <c r="AF217" s="1">
        <v>228.52999999999997</v>
      </c>
      <c r="AG217" s="1">
        <v>1006.77</v>
      </c>
      <c r="AH217" s="1"/>
      <c r="AI217" s="1">
        <v>4.1449999999999996</v>
      </c>
      <c r="AJ217" s="1">
        <v>1.6990000000000001</v>
      </c>
      <c r="AK217" s="1"/>
      <c r="AL217" s="1">
        <v>14.909000000000001</v>
      </c>
      <c r="AM217" s="1">
        <f t="shared" si="16"/>
        <v>20.753</v>
      </c>
      <c r="AN217" s="129">
        <f t="shared" si="17"/>
        <v>242.88781664656216</v>
      </c>
      <c r="AO217" s="162"/>
      <c r="AP217" s="162"/>
    </row>
    <row r="218" spans="1:42" x14ac:dyDescent="0.2">
      <c r="A218" s="150">
        <f t="shared" si="15"/>
        <v>86</v>
      </c>
      <c r="B218" s="152">
        <v>45239</v>
      </c>
      <c r="C218" s="153" t="s">
        <v>338</v>
      </c>
      <c r="D218" s="150">
        <v>20</v>
      </c>
      <c r="E218" s="150" t="s">
        <v>145</v>
      </c>
      <c r="F218" s="154" t="s">
        <v>142</v>
      </c>
      <c r="G218" s="150" t="s">
        <v>131</v>
      </c>
      <c r="H218" s="150" t="s">
        <v>135</v>
      </c>
      <c r="I218" s="150" t="s">
        <v>164</v>
      </c>
      <c r="J218" s="150">
        <v>3</v>
      </c>
      <c r="K218" s="1">
        <v>33</v>
      </c>
      <c r="L218" s="1"/>
      <c r="M218" s="1"/>
      <c r="N218" s="1"/>
      <c r="O218" s="1"/>
      <c r="P218" s="1"/>
      <c r="Q218" s="1"/>
      <c r="R218" s="1"/>
      <c r="S218" s="1"/>
      <c r="T218" s="1"/>
      <c r="U218" s="1">
        <v>9</v>
      </c>
      <c r="V218" s="1">
        <v>53</v>
      </c>
      <c r="W218" s="1">
        <v>46</v>
      </c>
      <c r="X218" s="1">
        <v>3</v>
      </c>
      <c r="Y218" s="1">
        <v>4</v>
      </c>
      <c r="Z218" s="1">
        <v>244.95</v>
      </c>
      <c r="AA218" s="1">
        <v>68</v>
      </c>
      <c r="AB218" s="1">
        <v>57.37</v>
      </c>
      <c r="AC218" s="1">
        <v>14.41</v>
      </c>
      <c r="AD218" s="1"/>
      <c r="AE218" s="1">
        <v>187.27</v>
      </c>
      <c r="AF218" s="1">
        <v>259.05</v>
      </c>
      <c r="AG218" s="1">
        <v>1484.14</v>
      </c>
      <c r="AH218" s="1"/>
      <c r="AI218" s="1">
        <v>6.0650000000000004</v>
      </c>
      <c r="AJ218" s="1">
        <v>2</v>
      </c>
      <c r="AK218" s="1"/>
      <c r="AL218" s="1">
        <v>16.102</v>
      </c>
      <c r="AM218" s="1">
        <f t="shared" si="16"/>
        <v>24.167000000000002</v>
      </c>
      <c r="AN218" s="129">
        <f t="shared" si="17"/>
        <v>244.70568837592745</v>
      </c>
      <c r="AO218" s="162"/>
      <c r="AP218" s="162"/>
    </row>
    <row r="219" spans="1:42" x14ac:dyDescent="0.2">
      <c r="A219" s="150">
        <f t="shared" si="15"/>
        <v>86</v>
      </c>
      <c r="B219" s="152">
        <v>45239</v>
      </c>
      <c r="C219" s="153" t="s">
        <v>338</v>
      </c>
      <c r="D219" s="150">
        <v>20</v>
      </c>
      <c r="E219" s="150" t="s">
        <v>145</v>
      </c>
      <c r="F219" s="154" t="s">
        <v>142</v>
      </c>
      <c r="G219" s="150" t="s">
        <v>131</v>
      </c>
      <c r="H219" s="150" t="s">
        <v>135</v>
      </c>
      <c r="I219" s="150" t="s">
        <v>165</v>
      </c>
      <c r="J219" s="150">
        <v>4</v>
      </c>
      <c r="K219" s="1">
        <v>35</v>
      </c>
      <c r="L219" s="1"/>
      <c r="M219" s="1"/>
      <c r="N219" s="1"/>
      <c r="O219" s="1"/>
      <c r="P219" s="1"/>
      <c r="Q219" s="1"/>
      <c r="R219" s="1"/>
      <c r="S219" s="1"/>
      <c r="T219" s="1"/>
      <c r="U219" s="1">
        <v>10</v>
      </c>
      <c r="V219" s="1">
        <v>55</v>
      </c>
      <c r="W219" s="1">
        <v>48</v>
      </c>
      <c r="X219" s="1">
        <v>3</v>
      </c>
      <c r="Y219" s="1">
        <v>4</v>
      </c>
      <c r="Z219" s="1">
        <v>204</v>
      </c>
      <c r="AA219" s="1">
        <v>41</v>
      </c>
      <c r="AB219" s="1">
        <v>39.07</v>
      </c>
      <c r="AC219" s="1">
        <v>13.29</v>
      </c>
      <c r="AD219" s="1"/>
      <c r="AE219" s="1">
        <v>164.55</v>
      </c>
      <c r="AF219" s="1">
        <v>216.91000000000003</v>
      </c>
      <c r="AG219" s="1">
        <v>1059.9100000000001</v>
      </c>
      <c r="AH219" s="1"/>
      <c r="AI219" s="1">
        <v>4.226</v>
      </c>
      <c r="AJ219" s="1">
        <v>1.746</v>
      </c>
      <c r="AK219" s="1"/>
      <c r="AL219" s="1">
        <v>13.287000000000001</v>
      </c>
      <c r="AM219" s="1">
        <f t="shared" si="16"/>
        <v>19.259</v>
      </c>
      <c r="AN219" s="129">
        <f t="shared" si="17"/>
        <v>250.80690960719357</v>
      </c>
      <c r="AO219" s="162"/>
      <c r="AP219" s="162"/>
    </row>
    <row r="220" spans="1:42" x14ac:dyDescent="0.2">
      <c r="A220" s="150">
        <f t="shared" si="15"/>
        <v>86</v>
      </c>
      <c r="B220" s="152">
        <v>45239</v>
      </c>
      <c r="C220" s="153" t="s">
        <v>338</v>
      </c>
      <c r="D220" s="150">
        <v>20</v>
      </c>
      <c r="E220" s="150" t="s">
        <v>145</v>
      </c>
      <c r="F220" s="154" t="s">
        <v>142</v>
      </c>
      <c r="G220" s="150" t="s">
        <v>131</v>
      </c>
      <c r="H220" s="150" t="s">
        <v>135</v>
      </c>
      <c r="I220" s="150" t="s">
        <v>166</v>
      </c>
      <c r="J220" s="150">
        <v>5</v>
      </c>
      <c r="K220" s="1">
        <v>30</v>
      </c>
      <c r="L220" s="1"/>
      <c r="M220" s="1"/>
      <c r="N220" s="1"/>
      <c r="O220" s="1"/>
      <c r="P220" s="1"/>
      <c r="Q220" s="1"/>
      <c r="R220" s="1">
        <v>1</v>
      </c>
      <c r="S220" s="1"/>
      <c r="T220" s="1"/>
      <c r="U220" s="1">
        <v>8</v>
      </c>
      <c r="V220" s="1">
        <v>29</v>
      </c>
      <c r="W220" s="1">
        <v>22</v>
      </c>
      <c r="X220" s="1">
        <v>3</v>
      </c>
      <c r="Y220" s="1">
        <v>4</v>
      </c>
      <c r="Z220" s="1">
        <v>137.18</v>
      </c>
      <c r="AA220" s="1">
        <v>29</v>
      </c>
      <c r="AB220" s="1">
        <v>27.09</v>
      </c>
      <c r="AC220" s="1">
        <v>10.3</v>
      </c>
      <c r="AD220" s="1"/>
      <c r="AE220" s="1">
        <v>109.82</v>
      </c>
      <c r="AF220" s="1">
        <v>147.20999999999998</v>
      </c>
      <c r="AG220" s="1">
        <v>757.03</v>
      </c>
      <c r="AH220" s="1"/>
      <c r="AI220" s="1">
        <v>2.827</v>
      </c>
      <c r="AJ220" s="1">
        <v>1.218</v>
      </c>
      <c r="AK220" s="1"/>
      <c r="AL220" s="1">
        <v>7.976</v>
      </c>
      <c r="AM220" s="1">
        <f t="shared" si="16"/>
        <v>12.021000000000001</v>
      </c>
      <c r="AN220" s="129">
        <f t="shared" si="17"/>
        <v>267.78563848602761</v>
      </c>
      <c r="AO220" s="162"/>
      <c r="AP220" s="162"/>
    </row>
    <row r="221" spans="1:42" x14ac:dyDescent="0.2">
      <c r="A221" s="150">
        <f t="shared" si="15"/>
        <v>86</v>
      </c>
      <c r="B221" s="152">
        <v>45239</v>
      </c>
      <c r="C221" s="153" t="s">
        <v>338</v>
      </c>
      <c r="D221" s="150">
        <v>20</v>
      </c>
      <c r="E221" s="150" t="s">
        <v>145</v>
      </c>
      <c r="F221" s="154" t="s">
        <v>142</v>
      </c>
      <c r="G221" s="150" t="s">
        <v>131</v>
      </c>
      <c r="H221" s="150" t="s">
        <v>135</v>
      </c>
      <c r="I221" s="150" t="s">
        <v>167</v>
      </c>
      <c r="J221" s="150">
        <v>6</v>
      </c>
      <c r="K221" s="1">
        <v>29</v>
      </c>
      <c r="L221" s="1"/>
      <c r="M221" s="1"/>
      <c r="N221" s="1"/>
      <c r="O221" s="1"/>
      <c r="P221" s="1"/>
      <c r="Q221" s="1"/>
      <c r="R221" s="1"/>
      <c r="S221" s="1"/>
      <c r="T221" s="1"/>
      <c r="U221" s="1">
        <v>7</v>
      </c>
      <c r="V221" s="1">
        <v>39</v>
      </c>
      <c r="W221" s="1">
        <v>30</v>
      </c>
      <c r="X221" s="1">
        <v>1</v>
      </c>
      <c r="Y221" s="1">
        <v>8</v>
      </c>
      <c r="Z221" s="1">
        <v>136.96</v>
      </c>
      <c r="AA221" s="1">
        <v>29</v>
      </c>
      <c r="AB221" s="1">
        <v>24.08</v>
      </c>
      <c r="AC221" s="1">
        <v>8.74</v>
      </c>
      <c r="AD221" s="1"/>
      <c r="AE221" s="1">
        <v>109.57</v>
      </c>
      <c r="AF221" s="1">
        <v>142.38999999999999</v>
      </c>
      <c r="AG221" s="1">
        <v>1110.21</v>
      </c>
      <c r="AH221" s="1"/>
      <c r="AI221" s="1">
        <v>2.4460000000000002</v>
      </c>
      <c r="AJ221" s="1">
        <v>0.98199999999999998</v>
      </c>
      <c r="AK221" s="1"/>
      <c r="AL221" s="1">
        <v>8.0839999999999996</v>
      </c>
      <c r="AM221" s="1">
        <f t="shared" si="16"/>
        <v>11.512</v>
      </c>
      <c r="AN221" s="129">
        <f t="shared" si="17"/>
        <v>453.88798037612429</v>
      </c>
      <c r="AO221" s="162"/>
      <c r="AP221" s="162"/>
    </row>
    <row r="222" spans="1:42" x14ac:dyDescent="0.2">
      <c r="A222" s="150">
        <f t="shared" si="15"/>
        <v>86</v>
      </c>
      <c r="B222" s="152">
        <v>45239</v>
      </c>
      <c r="C222" s="153" t="s">
        <v>338</v>
      </c>
      <c r="D222" s="150">
        <v>20</v>
      </c>
      <c r="E222" s="150" t="s">
        <v>146</v>
      </c>
      <c r="F222" s="154" t="s">
        <v>142</v>
      </c>
      <c r="G222" s="150" t="s">
        <v>136</v>
      </c>
      <c r="H222" s="150" t="s">
        <v>132</v>
      </c>
      <c r="I222" s="150" t="s">
        <v>168</v>
      </c>
      <c r="J222" s="150">
        <v>1</v>
      </c>
      <c r="K222" s="3">
        <v>42</v>
      </c>
      <c r="L222" s="1"/>
      <c r="M222" s="1"/>
      <c r="N222" s="1"/>
      <c r="O222" s="1"/>
      <c r="P222" s="1"/>
      <c r="Q222" s="1"/>
      <c r="R222" s="1">
        <v>6</v>
      </c>
      <c r="S222" s="1">
        <v>10</v>
      </c>
      <c r="T222" s="1"/>
      <c r="U222" s="1">
        <v>16</v>
      </c>
      <c r="V222" s="1">
        <v>65</v>
      </c>
      <c r="W222" s="1">
        <v>51</v>
      </c>
      <c r="X222" s="1">
        <v>9</v>
      </c>
      <c r="Y222" s="1">
        <v>5</v>
      </c>
      <c r="Z222" s="1">
        <v>362.69</v>
      </c>
      <c r="AA222" s="1">
        <v>66</v>
      </c>
      <c r="AB222" s="1">
        <v>83.11</v>
      </c>
      <c r="AC222" s="1">
        <v>39.07</v>
      </c>
      <c r="AD222" s="1">
        <v>0.82</v>
      </c>
      <c r="AE222" s="1">
        <v>239.02</v>
      </c>
      <c r="AF222" s="1">
        <v>362.02</v>
      </c>
      <c r="AG222" s="1">
        <v>1955.49</v>
      </c>
      <c r="AH222" s="1"/>
      <c r="AI222" s="1">
        <v>9.2390000000000008</v>
      </c>
      <c r="AJ222" s="1">
        <v>5.4089999999999998</v>
      </c>
      <c r="AK222" s="1">
        <v>0.107</v>
      </c>
      <c r="AL222" s="1">
        <v>21.588999999999999</v>
      </c>
      <c r="AM222" s="1">
        <f t="shared" si="16"/>
        <v>36.343999999999994</v>
      </c>
      <c r="AN222" s="129">
        <f t="shared" si="17"/>
        <v>211.65602337915357</v>
      </c>
      <c r="AO222" s="162"/>
      <c r="AP222" s="162"/>
    </row>
    <row r="223" spans="1:42" x14ac:dyDescent="0.2">
      <c r="A223" s="150">
        <f t="shared" si="15"/>
        <v>86</v>
      </c>
      <c r="B223" s="152">
        <v>45239</v>
      </c>
      <c r="C223" s="153" t="s">
        <v>338</v>
      </c>
      <c r="D223" s="150">
        <v>20</v>
      </c>
      <c r="E223" s="150" t="s">
        <v>146</v>
      </c>
      <c r="F223" s="154" t="s">
        <v>142</v>
      </c>
      <c r="G223" s="150" t="s">
        <v>136</v>
      </c>
      <c r="H223" s="150" t="s">
        <v>132</v>
      </c>
      <c r="I223" s="150" t="s">
        <v>169</v>
      </c>
      <c r="J223" s="150">
        <v>2</v>
      </c>
      <c r="K223" s="3">
        <v>36</v>
      </c>
      <c r="L223" s="1"/>
      <c r="M223" s="1"/>
      <c r="N223" s="1"/>
      <c r="O223" s="1"/>
      <c r="P223" s="1"/>
      <c r="Q223" s="1"/>
      <c r="R223" s="1"/>
      <c r="S223" s="1"/>
      <c r="T223" s="1"/>
      <c r="U223" s="1">
        <v>16</v>
      </c>
      <c r="V223" s="1">
        <v>36</v>
      </c>
      <c r="W223" s="1">
        <v>21</v>
      </c>
      <c r="X223" s="1">
        <v>12</v>
      </c>
      <c r="Y223" s="1">
        <v>3</v>
      </c>
      <c r="Z223" s="1">
        <v>329.3</v>
      </c>
      <c r="AA223" s="1">
        <v>51</v>
      </c>
      <c r="AB223" s="1">
        <v>51.36</v>
      </c>
      <c r="AC223" s="1">
        <v>24.02</v>
      </c>
      <c r="AD223" s="1"/>
      <c r="AE223" s="1">
        <v>253.46</v>
      </c>
      <c r="AF223" s="1">
        <v>328.84000000000003</v>
      </c>
      <c r="AG223" s="1">
        <v>1326.65</v>
      </c>
      <c r="AH223" s="1"/>
      <c r="AI223" s="1">
        <v>5.5110000000000001</v>
      </c>
      <c r="AJ223" s="1">
        <v>3.0710000000000002</v>
      </c>
      <c r="AK223" s="1"/>
      <c r="AL223" s="1">
        <v>20.302</v>
      </c>
      <c r="AM223" s="1">
        <f t="shared" si="16"/>
        <v>28.884</v>
      </c>
      <c r="AN223" s="129">
        <f t="shared" si="17"/>
        <v>240.7276356378153</v>
      </c>
      <c r="AO223" s="162"/>
      <c r="AP223" s="162"/>
    </row>
    <row r="224" spans="1:42" x14ac:dyDescent="0.2">
      <c r="A224" s="150">
        <f t="shared" si="15"/>
        <v>86</v>
      </c>
      <c r="B224" s="152">
        <v>45239</v>
      </c>
      <c r="C224" s="153" t="s">
        <v>338</v>
      </c>
      <c r="D224" s="150">
        <v>20</v>
      </c>
      <c r="E224" s="150" t="s">
        <v>146</v>
      </c>
      <c r="F224" s="154" t="s">
        <v>142</v>
      </c>
      <c r="G224" s="150" t="s">
        <v>136</v>
      </c>
      <c r="H224" s="150" t="s">
        <v>132</v>
      </c>
      <c r="I224" s="150" t="s">
        <v>170</v>
      </c>
      <c r="J224" s="150">
        <v>3</v>
      </c>
      <c r="K224" s="1">
        <v>36</v>
      </c>
      <c r="L224" s="1"/>
      <c r="M224" s="1"/>
      <c r="N224" s="1"/>
      <c r="O224" s="1"/>
      <c r="P224" s="1"/>
      <c r="Q224" s="1"/>
      <c r="R224" s="1">
        <v>7</v>
      </c>
      <c r="S224" s="1">
        <v>2</v>
      </c>
      <c r="T224" s="1"/>
      <c r="U224" s="1">
        <v>7</v>
      </c>
      <c r="V224" s="1">
        <v>32</v>
      </c>
      <c r="W224" s="1">
        <v>13</v>
      </c>
      <c r="X224" s="1">
        <v>10</v>
      </c>
      <c r="Y224" s="1">
        <v>9</v>
      </c>
      <c r="Z224" s="1">
        <v>280.18</v>
      </c>
      <c r="AA224" s="1">
        <v>43</v>
      </c>
      <c r="AB224" s="1">
        <v>50.58</v>
      </c>
      <c r="AC224" s="1">
        <v>22.63</v>
      </c>
      <c r="AD224" s="1">
        <v>1.1299999999999999</v>
      </c>
      <c r="AE224" s="1">
        <v>205.32</v>
      </c>
      <c r="AF224" s="1">
        <v>279.65999999999997</v>
      </c>
      <c r="AG224" s="1">
        <v>1309.52</v>
      </c>
      <c r="AH224" s="1"/>
      <c r="AI224" s="1">
        <v>5.3959999999999999</v>
      </c>
      <c r="AJ224" s="1">
        <v>2.67</v>
      </c>
      <c r="AK224" s="1">
        <v>0.14299999999999999</v>
      </c>
      <c r="AL224" s="1">
        <v>16.242999999999999</v>
      </c>
      <c r="AM224" s="1">
        <f t="shared" si="16"/>
        <v>24.451999999999998</v>
      </c>
      <c r="AN224" s="129">
        <f t="shared" si="17"/>
        <v>242.68346923647147</v>
      </c>
      <c r="AO224" s="162"/>
      <c r="AP224" s="162"/>
    </row>
    <row r="225" spans="1:42" x14ac:dyDescent="0.2">
      <c r="A225" s="150">
        <f t="shared" si="15"/>
        <v>86</v>
      </c>
      <c r="B225" s="152">
        <v>45239</v>
      </c>
      <c r="C225" s="153" t="s">
        <v>338</v>
      </c>
      <c r="D225" s="150">
        <v>20</v>
      </c>
      <c r="E225" s="150" t="s">
        <v>146</v>
      </c>
      <c r="F225" s="154" t="s">
        <v>142</v>
      </c>
      <c r="G225" s="150" t="s">
        <v>136</v>
      </c>
      <c r="H225" s="150" t="s">
        <v>132</v>
      </c>
      <c r="I225" s="150" t="s">
        <v>171</v>
      </c>
      <c r="J225" s="150">
        <v>4</v>
      </c>
      <c r="K225" s="1">
        <v>27</v>
      </c>
      <c r="L225" s="1"/>
      <c r="M225" s="1"/>
      <c r="N225" s="1"/>
      <c r="O225" s="1"/>
      <c r="P225" s="1"/>
      <c r="Q225" s="1"/>
      <c r="R225" s="1"/>
      <c r="S225" s="1"/>
      <c r="T225" s="1"/>
      <c r="U225" s="1">
        <v>14</v>
      </c>
      <c r="V225" s="1">
        <v>49</v>
      </c>
      <c r="W225" s="1">
        <v>33</v>
      </c>
      <c r="X225" s="1">
        <v>2</v>
      </c>
      <c r="Y225" s="1">
        <v>14</v>
      </c>
      <c r="Z225" s="1">
        <v>308.38</v>
      </c>
      <c r="AA225" s="1">
        <v>39</v>
      </c>
      <c r="AB225" s="1">
        <v>40.840000000000003</v>
      </c>
      <c r="AC225" s="1">
        <v>16.95</v>
      </c>
      <c r="AD225" s="1"/>
      <c r="AE225" s="1">
        <v>249.61</v>
      </c>
      <c r="AF225" s="1">
        <v>307.40000000000003</v>
      </c>
      <c r="AG225" s="1">
        <v>1059.43</v>
      </c>
      <c r="AH225" s="1"/>
      <c r="AI225" s="1">
        <v>4.4340000000000002</v>
      </c>
      <c r="AJ225" s="1">
        <v>2.0859999999999999</v>
      </c>
      <c r="AK225" s="1"/>
      <c r="AL225" s="1">
        <v>19.716999999999999</v>
      </c>
      <c r="AM225" s="1">
        <f t="shared" si="16"/>
        <v>26.236999999999998</v>
      </c>
      <c r="AN225" s="129">
        <f t="shared" si="17"/>
        <v>238.93324312133515</v>
      </c>
      <c r="AO225" s="162"/>
      <c r="AP225" s="162"/>
    </row>
    <row r="226" spans="1:42" x14ac:dyDescent="0.2">
      <c r="A226" s="150">
        <f t="shared" si="15"/>
        <v>86</v>
      </c>
      <c r="B226" s="152">
        <v>45239</v>
      </c>
      <c r="C226" s="153" t="s">
        <v>338</v>
      </c>
      <c r="D226" s="150">
        <v>20</v>
      </c>
      <c r="E226" s="150" t="s">
        <v>146</v>
      </c>
      <c r="F226" s="154" t="s">
        <v>142</v>
      </c>
      <c r="G226" s="150" t="s">
        <v>136</v>
      </c>
      <c r="H226" s="150" t="s">
        <v>132</v>
      </c>
      <c r="I226" s="150" t="s">
        <v>172</v>
      </c>
      <c r="J226" s="150">
        <v>5</v>
      </c>
      <c r="K226" s="1">
        <v>37</v>
      </c>
      <c r="L226" s="1"/>
      <c r="M226" s="1"/>
      <c r="N226" s="1"/>
      <c r="O226" s="1"/>
      <c r="P226" s="1"/>
      <c r="Q226" s="1"/>
      <c r="R226" s="1"/>
      <c r="S226" s="1"/>
      <c r="T226" s="1"/>
      <c r="U226" s="1">
        <v>17</v>
      </c>
      <c r="V226" s="1">
        <v>66</v>
      </c>
      <c r="W226" s="1">
        <v>46</v>
      </c>
      <c r="X226" s="1">
        <v>9</v>
      </c>
      <c r="Y226" s="1">
        <v>11</v>
      </c>
      <c r="Z226" s="1">
        <v>441.85</v>
      </c>
      <c r="AA226" s="1">
        <v>74</v>
      </c>
      <c r="AB226" s="1">
        <v>73.319999999999993</v>
      </c>
      <c r="AC226" s="1">
        <v>25.73</v>
      </c>
      <c r="AD226" s="1"/>
      <c r="AE226" s="1">
        <v>341.37</v>
      </c>
      <c r="AF226" s="1">
        <v>440.42</v>
      </c>
      <c r="AG226" s="1">
        <v>1829.3</v>
      </c>
      <c r="AH226" s="1"/>
      <c r="AI226" s="1">
        <v>8.2959999999999994</v>
      </c>
      <c r="AJ226" s="1">
        <v>3.4790000000000001</v>
      </c>
      <c r="AK226" s="1"/>
      <c r="AL226" s="1">
        <v>26.713999999999999</v>
      </c>
      <c r="AM226" s="1">
        <f t="shared" si="16"/>
        <v>38.488999999999997</v>
      </c>
      <c r="AN226" s="129">
        <f t="shared" si="17"/>
        <v>220.50385728061718</v>
      </c>
      <c r="AO226" s="162"/>
      <c r="AP226" s="162"/>
    </row>
    <row r="227" spans="1:42" x14ac:dyDescent="0.2">
      <c r="A227" s="150">
        <f t="shared" si="15"/>
        <v>86</v>
      </c>
      <c r="B227" s="152">
        <v>45239</v>
      </c>
      <c r="C227" s="153" t="s">
        <v>338</v>
      </c>
      <c r="D227" s="150">
        <v>20</v>
      </c>
      <c r="E227" s="150" t="s">
        <v>146</v>
      </c>
      <c r="F227" s="154" t="s">
        <v>142</v>
      </c>
      <c r="G227" s="150" t="s">
        <v>136</v>
      </c>
      <c r="H227" s="150" t="s">
        <v>132</v>
      </c>
      <c r="I227" s="150" t="s">
        <v>173</v>
      </c>
      <c r="J227" s="150">
        <v>6</v>
      </c>
      <c r="K227" s="1">
        <v>36</v>
      </c>
      <c r="L227" s="1"/>
      <c r="M227" s="1"/>
      <c r="N227" s="1"/>
      <c r="O227" s="1"/>
      <c r="P227" s="1"/>
      <c r="Q227" s="1"/>
      <c r="R227" s="1">
        <v>2</v>
      </c>
      <c r="S227" s="1">
        <v>7</v>
      </c>
      <c r="T227" s="1"/>
      <c r="U227" s="1">
        <v>12</v>
      </c>
      <c r="V227" s="1">
        <v>38</v>
      </c>
      <c r="W227" s="1">
        <v>22</v>
      </c>
      <c r="X227" s="1">
        <v>7</v>
      </c>
      <c r="Y227" s="1">
        <v>9</v>
      </c>
      <c r="Z227" s="1">
        <v>335.01</v>
      </c>
      <c r="AA227" s="1">
        <v>44</v>
      </c>
      <c r="AB227" s="1">
        <v>57.74</v>
      </c>
      <c r="AC227" s="1">
        <v>25.21</v>
      </c>
      <c r="AD227" s="1">
        <v>7.0000000000000007E-2</v>
      </c>
      <c r="AE227" s="1">
        <v>251.2</v>
      </c>
      <c r="AF227" s="1">
        <v>334.21999999999997</v>
      </c>
      <c r="AG227" s="1">
        <v>1479.36</v>
      </c>
      <c r="AH227" s="1"/>
      <c r="AI227" s="1">
        <v>6.4619999999999997</v>
      </c>
      <c r="AJ227" s="1">
        <v>3.4129999999999998</v>
      </c>
      <c r="AK227" s="1">
        <v>3.9E-2</v>
      </c>
      <c r="AL227" s="1">
        <v>21.32</v>
      </c>
      <c r="AM227" s="1">
        <f t="shared" si="16"/>
        <v>31.234000000000002</v>
      </c>
      <c r="AN227" s="129">
        <f t="shared" si="17"/>
        <v>228.9322191272052</v>
      </c>
      <c r="AO227" s="162"/>
      <c r="AP227" s="162"/>
    </row>
    <row r="228" spans="1:42" x14ac:dyDescent="0.2">
      <c r="A228" s="150">
        <f t="shared" si="15"/>
        <v>86</v>
      </c>
      <c r="B228" s="152">
        <v>45239</v>
      </c>
      <c r="C228" s="153" t="s">
        <v>338</v>
      </c>
      <c r="D228" s="150">
        <v>20</v>
      </c>
      <c r="E228" s="150" t="s">
        <v>147</v>
      </c>
      <c r="F228" s="154" t="s">
        <v>142</v>
      </c>
      <c r="G228" s="150" t="s">
        <v>136</v>
      </c>
      <c r="H228" s="150" t="s">
        <v>133</v>
      </c>
      <c r="I228" s="150" t="s">
        <v>174</v>
      </c>
      <c r="J228" s="150">
        <v>1</v>
      </c>
      <c r="K228" s="3">
        <v>36</v>
      </c>
      <c r="L228" s="1"/>
      <c r="M228" s="1"/>
      <c r="N228" s="1"/>
      <c r="O228" s="1"/>
      <c r="P228" s="1"/>
      <c r="Q228" s="1"/>
      <c r="R228" s="1"/>
      <c r="S228" s="1"/>
      <c r="T228" s="1"/>
      <c r="U228" s="1">
        <v>17</v>
      </c>
      <c r="V228" s="1">
        <v>77</v>
      </c>
      <c r="W228" s="1">
        <v>65</v>
      </c>
      <c r="X228" s="1">
        <v>7</v>
      </c>
      <c r="Y228" s="1">
        <v>5</v>
      </c>
      <c r="Z228" s="1">
        <v>371.22</v>
      </c>
      <c r="AA228" s="1">
        <v>64</v>
      </c>
      <c r="AB228" s="1">
        <v>65.27</v>
      </c>
      <c r="AC228" s="1">
        <v>26.8</v>
      </c>
      <c r="AD228" s="1"/>
      <c r="AE228" s="1">
        <v>277.91000000000003</v>
      </c>
      <c r="AF228" s="1">
        <v>369.98</v>
      </c>
      <c r="AG228" s="1">
        <v>1673.36</v>
      </c>
      <c r="AH228" s="1"/>
      <c r="AI228" s="1">
        <v>7.1230000000000002</v>
      </c>
      <c r="AJ228" s="1">
        <v>3.3959999999999999</v>
      </c>
      <c r="AK228" s="1"/>
      <c r="AL228" s="1">
        <v>23.587</v>
      </c>
      <c r="AM228" s="1">
        <f t="shared" si="16"/>
        <v>34.106000000000002</v>
      </c>
      <c r="AN228" s="129">
        <f t="shared" si="17"/>
        <v>234.92348729467918</v>
      </c>
      <c r="AO228" s="162"/>
      <c r="AP228" s="162"/>
    </row>
    <row r="229" spans="1:42" x14ac:dyDescent="0.2">
      <c r="A229" s="150">
        <f t="shared" si="15"/>
        <v>86</v>
      </c>
      <c r="B229" s="152">
        <v>45239</v>
      </c>
      <c r="C229" s="153" t="s">
        <v>338</v>
      </c>
      <c r="D229" s="150">
        <v>20</v>
      </c>
      <c r="E229" s="150" t="s">
        <v>147</v>
      </c>
      <c r="F229" s="154" t="s">
        <v>142</v>
      </c>
      <c r="G229" s="150" t="s">
        <v>136</v>
      </c>
      <c r="H229" s="150" t="s">
        <v>133</v>
      </c>
      <c r="I229" s="150" t="s">
        <v>175</v>
      </c>
      <c r="J229" s="150">
        <v>2</v>
      </c>
      <c r="K229" s="3">
        <v>26</v>
      </c>
      <c r="L229" s="1"/>
      <c r="M229" s="1"/>
      <c r="N229" s="1"/>
      <c r="O229" s="1"/>
      <c r="P229" s="1"/>
      <c r="Q229" s="1"/>
      <c r="R229" s="1">
        <v>1</v>
      </c>
      <c r="S229" s="1"/>
      <c r="T229" s="1"/>
      <c r="U229" s="1">
        <v>9</v>
      </c>
      <c r="V229" s="1">
        <v>29</v>
      </c>
      <c r="W229" s="1">
        <v>10</v>
      </c>
      <c r="X229" s="1">
        <v>11</v>
      </c>
      <c r="Y229" s="1">
        <v>8</v>
      </c>
      <c r="Z229" s="1">
        <v>267.23</v>
      </c>
      <c r="AA229" s="1">
        <v>35</v>
      </c>
      <c r="AB229" s="1">
        <v>44.85</v>
      </c>
      <c r="AC229" s="1">
        <v>20.81</v>
      </c>
      <c r="AD229" s="1">
        <v>0.13</v>
      </c>
      <c r="AE229" s="1">
        <v>201.12</v>
      </c>
      <c r="AF229" s="1">
        <v>266.90999999999997</v>
      </c>
      <c r="AG229" s="1">
        <v>1200.08</v>
      </c>
      <c r="AH229" s="1"/>
      <c r="AI229" s="1">
        <v>4.7690000000000001</v>
      </c>
      <c r="AJ229" s="1">
        <v>2.97</v>
      </c>
      <c r="AK229" s="1">
        <v>1.0999999999999999E-2</v>
      </c>
      <c r="AL229" s="1">
        <v>15.618</v>
      </c>
      <c r="AM229" s="1">
        <f t="shared" si="16"/>
        <v>23.368000000000002</v>
      </c>
      <c r="AN229" s="129">
        <f t="shared" si="17"/>
        <v>251.64185363807923</v>
      </c>
      <c r="AO229" s="162"/>
      <c r="AP229" s="162"/>
    </row>
    <row r="230" spans="1:42" x14ac:dyDescent="0.2">
      <c r="A230" s="150">
        <f t="shared" si="15"/>
        <v>86</v>
      </c>
      <c r="B230" s="152">
        <v>45239</v>
      </c>
      <c r="C230" s="153" t="s">
        <v>338</v>
      </c>
      <c r="D230" s="150">
        <v>20</v>
      </c>
      <c r="E230" s="150" t="s">
        <v>147</v>
      </c>
      <c r="F230" s="154" t="s">
        <v>142</v>
      </c>
      <c r="G230" s="150" t="s">
        <v>136</v>
      </c>
      <c r="H230" s="150" t="s">
        <v>133</v>
      </c>
      <c r="I230" s="150" t="s">
        <v>176</v>
      </c>
      <c r="J230" s="150">
        <v>3</v>
      </c>
      <c r="K230" s="1">
        <v>41</v>
      </c>
      <c r="L230" s="1"/>
      <c r="M230" s="1"/>
      <c r="N230" s="1"/>
      <c r="O230" s="1"/>
      <c r="P230" s="1"/>
      <c r="Q230" s="1"/>
      <c r="R230" s="1"/>
      <c r="S230" s="1">
        <v>8</v>
      </c>
      <c r="T230" s="1"/>
      <c r="U230" s="1">
        <v>26</v>
      </c>
      <c r="V230" s="1">
        <v>112</v>
      </c>
      <c r="W230" s="1">
        <v>102</v>
      </c>
      <c r="X230" s="1">
        <v>7</v>
      </c>
      <c r="Y230" s="1">
        <v>3</v>
      </c>
      <c r="Z230" s="1">
        <v>402.92</v>
      </c>
      <c r="AA230" s="1">
        <v>63</v>
      </c>
      <c r="AB230" s="1">
        <v>94.51</v>
      </c>
      <c r="AC230" s="1">
        <v>38.25</v>
      </c>
      <c r="AD230" s="1"/>
      <c r="AE230" s="1">
        <v>269.31</v>
      </c>
      <c r="AF230" s="1">
        <v>402.07</v>
      </c>
      <c r="AG230" s="159">
        <v>1287.8499999999999</v>
      </c>
      <c r="AH230" s="1"/>
      <c r="AI230" s="1">
        <v>10.132</v>
      </c>
      <c r="AJ230" s="1">
        <v>5.0030000000000001</v>
      </c>
      <c r="AK230" s="1"/>
      <c r="AL230" s="1">
        <v>25.231000000000002</v>
      </c>
      <c r="AM230" s="1">
        <f t="shared" si="16"/>
        <v>40.366</v>
      </c>
      <c r="AN230" s="129">
        <f t="shared" si="17"/>
        <v>127.10718515594156</v>
      </c>
      <c r="AO230" s="162"/>
      <c r="AP230" s="162"/>
    </row>
    <row r="231" spans="1:42" x14ac:dyDescent="0.2">
      <c r="A231" s="150">
        <f t="shared" si="15"/>
        <v>86</v>
      </c>
      <c r="B231" s="152">
        <v>45239</v>
      </c>
      <c r="C231" s="153" t="s">
        <v>338</v>
      </c>
      <c r="D231" s="150">
        <v>20</v>
      </c>
      <c r="E231" s="150" t="s">
        <v>147</v>
      </c>
      <c r="F231" s="154" t="s">
        <v>142</v>
      </c>
      <c r="G231" s="150" t="s">
        <v>136</v>
      </c>
      <c r="H231" s="150" t="s">
        <v>133</v>
      </c>
      <c r="I231" s="150" t="s">
        <v>177</v>
      </c>
      <c r="J231" s="150">
        <v>4</v>
      </c>
      <c r="K231" s="1">
        <v>32</v>
      </c>
      <c r="L231" s="1"/>
      <c r="M231" s="1"/>
      <c r="N231" s="1"/>
      <c r="O231" s="1"/>
      <c r="P231" s="1"/>
      <c r="Q231" s="1"/>
      <c r="R231" s="1"/>
      <c r="S231" s="1"/>
      <c r="T231" s="1"/>
      <c r="U231" s="1">
        <v>8</v>
      </c>
      <c r="V231" s="1">
        <v>42</v>
      </c>
      <c r="W231" s="1">
        <v>19</v>
      </c>
      <c r="X231" s="1">
        <v>15</v>
      </c>
      <c r="Y231" s="1">
        <v>8</v>
      </c>
      <c r="Z231" s="1">
        <v>266.44</v>
      </c>
      <c r="AA231" s="1">
        <v>41</v>
      </c>
      <c r="AB231" s="1">
        <v>44.19</v>
      </c>
      <c r="AC231" s="1">
        <v>18.29</v>
      </c>
      <c r="AD231" s="1"/>
      <c r="AE231" s="1">
        <v>203.56</v>
      </c>
      <c r="AF231" s="1">
        <v>266.04000000000002</v>
      </c>
      <c r="AG231" s="1">
        <v>1114.1500000000001</v>
      </c>
      <c r="AH231" s="1"/>
      <c r="AI231" s="1">
        <v>4.431</v>
      </c>
      <c r="AJ231" s="1">
        <v>2.1709999999999998</v>
      </c>
      <c r="AK231" s="1"/>
      <c r="AL231" s="1">
        <v>15.343</v>
      </c>
      <c r="AM231" s="1">
        <f t="shared" si="16"/>
        <v>21.945</v>
      </c>
      <c r="AN231" s="129">
        <f t="shared" si="17"/>
        <v>251.44436921688109</v>
      </c>
      <c r="AO231" s="162"/>
      <c r="AP231" s="162"/>
    </row>
    <row r="232" spans="1:42" x14ac:dyDescent="0.2">
      <c r="A232" s="150">
        <f t="shared" si="15"/>
        <v>86</v>
      </c>
      <c r="B232" s="152">
        <v>45239</v>
      </c>
      <c r="C232" s="153" t="s">
        <v>338</v>
      </c>
      <c r="D232" s="150">
        <v>20</v>
      </c>
      <c r="E232" s="150" t="s">
        <v>147</v>
      </c>
      <c r="F232" s="154" t="s">
        <v>142</v>
      </c>
      <c r="G232" s="150" t="s">
        <v>136</v>
      </c>
      <c r="H232" s="150" t="s">
        <v>133</v>
      </c>
      <c r="I232" s="150" t="s">
        <v>178</v>
      </c>
      <c r="J232" s="150">
        <v>5</v>
      </c>
      <c r="K232" s="1">
        <v>39</v>
      </c>
      <c r="L232" s="1"/>
      <c r="M232" s="1"/>
      <c r="N232" s="1"/>
      <c r="O232" s="1"/>
      <c r="P232" s="1"/>
      <c r="Q232" s="1"/>
      <c r="R232" s="1">
        <v>4</v>
      </c>
      <c r="S232" s="1"/>
      <c r="T232" s="1"/>
      <c r="U232" s="1">
        <v>14</v>
      </c>
      <c r="V232" s="1">
        <v>74</v>
      </c>
      <c r="W232" s="1">
        <v>61</v>
      </c>
      <c r="X232" s="1">
        <v>9</v>
      </c>
      <c r="Y232" s="1">
        <v>4</v>
      </c>
      <c r="Z232" s="1">
        <v>368.81</v>
      </c>
      <c r="AA232" s="1">
        <v>67</v>
      </c>
      <c r="AB232" s="1">
        <v>89.28</v>
      </c>
      <c r="AC232" s="1">
        <v>37.270000000000003</v>
      </c>
      <c r="AD232" s="1">
        <v>0.25</v>
      </c>
      <c r="AE232" s="1">
        <v>242.45</v>
      </c>
      <c r="AF232" s="1">
        <v>369.25</v>
      </c>
      <c r="AG232" s="1">
        <v>2195.4</v>
      </c>
      <c r="AH232" s="1"/>
      <c r="AI232" s="1">
        <v>9.0879999999999992</v>
      </c>
      <c r="AJ232" s="1">
        <v>4.4909999999999997</v>
      </c>
      <c r="AK232" s="1">
        <v>3.9E-2</v>
      </c>
      <c r="AL232" s="1">
        <v>21.456</v>
      </c>
      <c r="AM232" s="1">
        <f t="shared" si="16"/>
        <v>35.073999999999998</v>
      </c>
      <c r="AN232" s="129">
        <f t="shared" si="17"/>
        <v>241.57130281690144</v>
      </c>
      <c r="AO232" s="162"/>
      <c r="AP232" s="162"/>
    </row>
    <row r="233" spans="1:42" x14ac:dyDescent="0.2">
      <c r="A233" s="150">
        <f t="shared" si="15"/>
        <v>86</v>
      </c>
      <c r="B233" s="152">
        <v>45239</v>
      </c>
      <c r="C233" s="153" t="s">
        <v>338</v>
      </c>
      <c r="D233" s="150">
        <v>20</v>
      </c>
      <c r="E233" s="150" t="s">
        <v>147</v>
      </c>
      <c r="F233" s="154" t="s">
        <v>142</v>
      </c>
      <c r="G233" s="150" t="s">
        <v>136</v>
      </c>
      <c r="H233" s="150" t="s">
        <v>133</v>
      </c>
      <c r="I233" s="150" t="s">
        <v>179</v>
      </c>
      <c r="J233" s="150">
        <v>6</v>
      </c>
      <c r="K233" s="1">
        <v>39</v>
      </c>
      <c r="L233" s="1"/>
      <c r="M233" s="1"/>
      <c r="N233" s="1"/>
      <c r="O233" s="1"/>
      <c r="P233" s="1"/>
      <c r="Q233" s="1"/>
      <c r="R233" s="1">
        <v>2</v>
      </c>
      <c r="S233" s="1">
        <v>5</v>
      </c>
      <c r="T233" s="1"/>
      <c r="U233" s="1">
        <v>11</v>
      </c>
      <c r="V233" s="1">
        <v>55</v>
      </c>
      <c r="W233" s="1">
        <v>50</v>
      </c>
      <c r="X233" s="1">
        <v>4</v>
      </c>
      <c r="Y233" s="1">
        <v>1</v>
      </c>
      <c r="Z233" s="1">
        <v>197.16</v>
      </c>
      <c r="AA233" s="1">
        <v>42</v>
      </c>
      <c r="AB233" s="1">
        <v>45.49</v>
      </c>
      <c r="AC233" s="1">
        <v>21.17</v>
      </c>
      <c r="AD233" s="1">
        <v>0.31</v>
      </c>
      <c r="AE233" s="1">
        <v>129.9</v>
      </c>
      <c r="AF233" s="1">
        <v>196.87</v>
      </c>
      <c r="AG233" s="1">
        <v>1212.49</v>
      </c>
      <c r="AH233" s="1"/>
      <c r="AI233" s="1">
        <v>4.46</v>
      </c>
      <c r="AJ233" s="1">
        <v>2.2440000000000002</v>
      </c>
      <c r="AK233" s="1">
        <v>0.04</v>
      </c>
      <c r="AL233" s="1">
        <v>10.428000000000001</v>
      </c>
      <c r="AM233" s="1">
        <f t="shared" si="16"/>
        <v>17.172000000000001</v>
      </c>
      <c r="AN233" s="129">
        <f t="shared" si="17"/>
        <v>271.85874439461884</v>
      </c>
      <c r="AO233" s="162"/>
      <c r="AP233" s="162"/>
    </row>
    <row r="234" spans="1:42" x14ac:dyDescent="0.2">
      <c r="A234" s="150">
        <f t="shared" si="15"/>
        <v>86</v>
      </c>
      <c r="B234" s="152">
        <v>45239</v>
      </c>
      <c r="C234" s="153" t="s">
        <v>338</v>
      </c>
      <c r="D234" s="150">
        <v>20</v>
      </c>
      <c r="E234" s="150" t="s">
        <v>148</v>
      </c>
      <c r="F234" s="154" t="s">
        <v>142</v>
      </c>
      <c r="G234" s="150" t="s">
        <v>136</v>
      </c>
      <c r="H234" s="150" t="s">
        <v>134</v>
      </c>
      <c r="I234" s="150" t="s">
        <v>180</v>
      </c>
      <c r="J234" s="150">
        <v>1</v>
      </c>
      <c r="K234" s="3">
        <v>33</v>
      </c>
      <c r="L234" s="1"/>
      <c r="M234" s="1"/>
      <c r="N234" s="1"/>
      <c r="O234" s="1"/>
      <c r="P234" s="1"/>
      <c r="Q234" s="1"/>
      <c r="R234" s="1">
        <v>2</v>
      </c>
      <c r="S234" s="1">
        <v>1</v>
      </c>
      <c r="T234" s="1"/>
      <c r="U234" s="1">
        <v>8</v>
      </c>
      <c r="V234" s="1">
        <v>41</v>
      </c>
      <c r="W234" s="1">
        <v>30</v>
      </c>
      <c r="X234" s="1">
        <v>7</v>
      </c>
      <c r="Y234" s="1">
        <v>4</v>
      </c>
      <c r="Z234" s="1">
        <v>238.9</v>
      </c>
      <c r="AA234" s="1">
        <v>45</v>
      </c>
      <c r="AB234" s="1">
        <v>52.64</v>
      </c>
      <c r="AC234" s="1">
        <v>18.059999999999999</v>
      </c>
      <c r="AD234" s="1"/>
      <c r="AE234" s="1">
        <v>184.74</v>
      </c>
      <c r="AF234" s="1">
        <v>255.44</v>
      </c>
      <c r="AG234" s="1">
        <v>1384.1</v>
      </c>
      <c r="AH234" s="1"/>
      <c r="AI234" s="1">
        <v>5.1379999999999999</v>
      </c>
      <c r="AJ234" s="1">
        <v>1.9765999999999999</v>
      </c>
      <c r="AK234" s="1">
        <v>1.2E-2</v>
      </c>
      <c r="AL234" s="1">
        <v>13.151999999999999</v>
      </c>
      <c r="AM234" s="1">
        <f t="shared" si="16"/>
        <v>20.278599999999997</v>
      </c>
      <c r="AN234" s="129">
        <f t="shared" si="17"/>
        <v>269.38497469832618</v>
      </c>
      <c r="AO234" s="162"/>
      <c r="AP234" s="162"/>
    </row>
    <row r="235" spans="1:42" x14ac:dyDescent="0.2">
      <c r="A235" s="150">
        <f t="shared" si="15"/>
        <v>86</v>
      </c>
      <c r="B235" s="152">
        <v>45239</v>
      </c>
      <c r="C235" s="153" t="s">
        <v>338</v>
      </c>
      <c r="D235" s="150">
        <v>20</v>
      </c>
      <c r="E235" s="150" t="s">
        <v>148</v>
      </c>
      <c r="F235" s="154" t="s">
        <v>142</v>
      </c>
      <c r="G235" s="150" t="s">
        <v>136</v>
      </c>
      <c r="H235" s="150" t="s">
        <v>134</v>
      </c>
      <c r="I235" s="150" t="s">
        <v>181</v>
      </c>
      <c r="J235" s="150">
        <v>2</v>
      </c>
      <c r="K235" s="3">
        <v>33</v>
      </c>
      <c r="L235" s="1"/>
      <c r="M235" s="1"/>
      <c r="N235" s="1"/>
      <c r="O235" s="1"/>
      <c r="P235" s="1"/>
      <c r="Q235" s="1"/>
      <c r="R235" s="1"/>
      <c r="S235" s="1"/>
      <c r="T235" s="1"/>
      <c r="U235" s="1">
        <v>8</v>
      </c>
      <c r="V235" s="1">
        <v>51</v>
      </c>
      <c r="W235" s="1">
        <v>39</v>
      </c>
      <c r="X235" s="1">
        <v>9</v>
      </c>
      <c r="Y235" s="1">
        <v>3</v>
      </c>
      <c r="Z235" s="1">
        <v>283.22000000000003</v>
      </c>
      <c r="AA235" s="1">
        <v>41</v>
      </c>
      <c r="AB235" s="1">
        <v>51.02</v>
      </c>
      <c r="AC235" s="1">
        <v>18.399999999999999</v>
      </c>
      <c r="AD235" s="1"/>
      <c r="AE235" s="1">
        <v>231.67</v>
      </c>
      <c r="AF235" s="1">
        <v>301.08999999999997</v>
      </c>
      <c r="AG235" s="1">
        <v>1352.28</v>
      </c>
      <c r="AH235" s="1"/>
      <c r="AI235" s="1">
        <v>5.516</v>
      </c>
      <c r="AJ235" s="1">
        <v>2.2909999999999999</v>
      </c>
      <c r="AK235" s="1"/>
      <c r="AL235" s="1">
        <v>17.416</v>
      </c>
      <c r="AM235" s="1">
        <f t="shared" si="16"/>
        <v>25.222999999999999</v>
      </c>
      <c r="AN235" s="129">
        <f t="shared" si="17"/>
        <v>245.15591007976795</v>
      </c>
      <c r="AO235" s="162"/>
      <c r="AP235" s="162"/>
    </row>
    <row r="236" spans="1:42" x14ac:dyDescent="0.2">
      <c r="A236" s="150">
        <f t="shared" si="15"/>
        <v>86</v>
      </c>
      <c r="B236" s="152">
        <v>45239</v>
      </c>
      <c r="C236" s="153" t="s">
        <v>338</v>
      </c>
      <c r="D236" s="150">
        <v>20</v>
      </c>
      <c r="E236" s="150" t="s">
        <v>148</v>
      </c>
      <c r="F236" s="154" t="s">
        <v>142</v>
      </c>
      <c r="G236" s="150" t="s">
        <v>136</v>
      </c>
      <c r="H236" s="150" t="s">
        <v>134</v>
      </c>
      <c r="I236" s="150" t="s">
        <v>182</v>
      </c>
      <c r="J236" s="150">
        <v>3</v>
      </c>
      <c r="K236" s="1">
        <v>32</v>
      </c>
      <c r="L236" s="1"/>
      <c r="M236" s="1"/>
      <c r="N236" s="1"/>
      <c r="O236" s="1"/>
      <c r="P236" s="1"/>
      <c r="Q236" s="1"/>
      <c r="R236" s="1"/>
      <c r="S236" s="1"/>
      <c r="T236" s="1"/>
      <c r="U236" s="1">
        <v>10</v>
      </c>
      <c r="V236" s="1">
        <v>46</v>
      </c>
      <c r="W236" s="1">
        <v>37</v>
      </c>
      <c r="X236" s="1">
        <v>3</v>
      </c>
      <c r="Y236" s="1">
        <v>6</v>
      </c>
      <c r="Z236" s="1">
        <v>180.33</v>
      </c>
      <c r="AA236" s="1">
        <v>26</v>
      </c>
      <c r="AB236" s="1">
        <v>35.18</v>
      </c>
      <c r="AC236" s="1">
        <v>12.77</v>
      </c>
      <c r="AD236" s="1"/>
      <c r="AE236" s="1">
        <v>144.85</v>
      </c>
      <c r="AF236" s="1">
        <v>192.8</v>
      </c>
      <c r="AG236" s="1">
        <v>971.42</v>
      </c>
      <c r="AH236" s="1"/>
      <c r="AI236" s="1">
        <v>3.206</v>
      </c>
      <c r="AJ236" s="1">
        <v>1.3220000000000001</v>
      </c>
      <c r="AK236" s="1"/>
      <c r="AL236" s="1">
        <v>9.032</v>
      </c>
      <c r="AM236" s="1">
        <f t="shared" si="16"/>
        <v>13.56</v>
      </c>
      <c r="AN236" s="129">
        <f t="shared" si="17"/>
        <v>303.00062383031815</v>
      </c>
      <c r="AO236" s="162"/>
      <c r="AP236" s="162"/>
    </row>
    <row r="237" spans="1:42" x14ac:dyDescent="0.2">
      <c r="A237" s="150">
        <f t="shared" si="15"/>
        <v>86</v>
      </c>
      <c r="B237" s="152">
        <v>45239</v>
      </c>
      <c r="C237" s="153" t="s">
        <v>338</v>
      </c>
      <c r="D237" s="150">
        <v>20</v>
      </c>
      <c r="E237" s="150" t="s">
        <v>148</v>
      </c>
      <c r="F237" s="154" t="s">
        <v>142</v>
      </c>
      <c r="G237" s="150" t="s">
        <v>136</v>
      </c>
      <c r="H237" s="150" t="s">
        <v>134</v>
      </c>
      <c r="I237" s="150" t="s">
        <v>183</v>
      </c>
      <c r="J237" s="150">
        <v>4</v>
      </c>
      <c r="K237" s="1">
        <v>33</v>
      </c>
      <c r="L237" s="1"/>
      <c r="M237" s="1"/>
      <c r="N237" s="1"/>
      <c r="O237" s="1"/>
      <c r="P237" s="1"/>
      <c r="Q237" s="1"/>
      <c r="R237" s="1"/>
      <c r="S237" s="1"/>
      <c r="T237" s="1"/>
      <c r="U237" s="1">
        <v>18</v>
      </c>
      <c r="V237" s="1">
        <v>86</v>
      </c>
      <c r="W237" s="1">
        <v>74</v>
      </c>
      <c r="X237" s="1">
        <v>7</v>
      </c>
      <c r="Y237" s="1">
        <v>5</v>
      </c>
      <c r="Z237" s="1">
        <v>344.2</v>
      </c>
      <c r="AA237" s="1">
        <v>54</v>
      </c>
      <c r="AB237" s="1">
        <v>66.02</v>
      </c>
      <c r="AC237" s="1">
        <v>25.15</v>
      </c>
      <c r="AD237" s="1"/>
      <c r="AE237" s="1">
        <v>275.63</v>
      </c>
      <c r="AF237" s="1">
        <v>366.79999999999995</v>
      </c>
      <c r="AG237" s="1">
        <v>1799.39</v>
      </c>
      <c r="AH237" s="1"/>
      <c r="AI237" s="1">
        <v>6.883</v>
      </c>
      <c r="AJ237" s="1">
        <v>3.0390000000000001</v>
      </c>
      <c r="AK237" s="1"/>
      <c r="AL237" s="1">
        <v>20.841999999999999</v>
      </c>
      <c r="AM237" s="1">
        <f t="shared" si="16"/>
        <v>30.763999999999999</v>
      </c>
      <c r="AN237" s="129">
        <f t="shared" si="17"/>
        <v>261.42525061746335</v>
      </c>
      <c r="AO237" s="162"/>
      <c r="AP237" s="162"/>
    </row>
    <row r="238" spans="1:42" x14ac:dyDescent="0.2">
      <c r="A238" s="150">
        <f t="shared" si="15"/>
        <v>86</v>
      </c>
      <c r="B238" s="152">
        <v>45239</v>
      </c>
      <c r="C238" s="153" t="s">
        <v>338</v>
      </c>
      <c r="D238" s="150">
        <v>20</v>
      </c>
      <c r="E238" s="150" t="s">
        <v>148</v>
      </c>
      <c r="F238" s="154" t="s">
        <v>142</v>
      </c>
      <c r="G238" s="150" t="s">
        <v>136</v>
      </c>
      <c r="H238" s="150" t="s">
        <v>134</v>
      </c>
      <c r="I238" s="150" t="s">
        <v>184</v>
      </c>
      <c r="J238" s="150">
        <v>5</v>
      </c>
      <c r="K238" s="1">
        <v>30.5</v>
      </c>
      <c r="L238" s="1"/>
      <c r="M238" s="1"/>
      <c r="N238" s="1"/>
      <c r="O238" s="1"/>
      <c r="P238" s="1"/>
      <c r="Q238" s="1"/>
      <c r="R238" s="1"/>
      <c r="S238" s="1"/>
      <c r="T238" s="1"/>
      <c r="U238" s="1">
        <v>5</v>
      </c>
      <c r="V238" s="1">
        <v>26</v>
      </c>
      <c r="W238" s="1">
        <v>20</v>
      </c>
      <c r="X238" s="1">
        <v>1</v>
      </c>
      <c r="Y238" s="1">
        <v>5</v>
      </c>
      <c r="Z238" s="1">
        <v>151.04</v>
      </c>
      <c r="AA238" s="1">
        <v>13</v>
      </c>
      <c r="AB238" s="1">
        <v>18</v>
      </c>
      <c r="AC238" s="1">
        <v>9.4600000000000009</v>
      </c>
      <c r="AD238" s="1"/>
      <c r="AE238" s="1">
        <v>132.9</v>
      </c>
      <c r="AF238" s="1">
        <v>160.36000000000001</v>
      </c>
      <c r="AG238" s="1">
        <v>496.71</v>
      </c>
      <c r="AH238" s="1"/>
      <c r="AI238" s="1">
        <v>1.698</v>
      </c>
      <c r="AJ238" s="1">
        <v>0.98499999999999999</v>
      </c>
      <c r="AK238" s="1"/>
      <c r="AL238" s="1">
        <v>8.17</v>
      </c>
      <c r="AM238" s="1">
        <f t="shared" si="16"/>
        <v>10.853</v>
      </c>
      <c r="AN238" s="129">
        <f t="shared" si="17"/>
        <v>292.52650176678446</v>
      </c>
      <c r="AO238" s="162"/>
      <c r="AP238" s="162"/>
    </row>
    <row r="239" spans="1:42" x14ac:dyDescent="0.2">
      <c r="A239" s="150">
        <f t="shared" si="15"/>
        <v>86</v>
      </c>
      <c r="B239" s="152">
        <v>45239</v>
      </c>
      <c r="C239" s="153" t="s">
        <v>338</v>
      </c>
      <c r="D239" s="150">
        <v>20</v>
      </c>
      <c r="E239" s="150" t="s">
        <v>148</v>
      </c>
      <c r="F239" s="154" t="s">
        <v>142</v>
      </c>
      <c r="G239" s="150" t="s">
        <v>136</v>
      </c>
      <c r="H239" s="150" t="s">
        <v>134</v>
      </c>
      <c r="I239" s="150" t="s">
        <v>185</v>
      </c>
      <c r="J239" s="150">
        <v>6</v>
      </c>
      <c r="K239" s="1">
        <v>31</v>
      </c>
      <c r="L239" s="1"/>
      <c r="M239" s="1"/>
      <c r="N239" s="1"/>
      <c r="O239" s="1"/>
      <c r="P239" s="1"/>
      <c r="Q239" s="1"/>
      <c r="R239" s="1">
        <v>4</v>
      </c>
      <c r="S239" s="1"/>
      <c r="T239" s="1"/>
      <c r="U239" s="1">
        <v>9</v>
      </c>
      <c r="V239" s="1">
        <v>35</v>
      </c>
      <c r="W239" s="1">
        <v>17</v>
      </c>
      <c r="X239" s="1">
        <v>13</v>
      </c>
      <c r="Y239" s="1">
        <v>5</v>
      </c>
      <c r="Z239" s="1">
        <v>222.39</v>
      </c>
      <c r="AA239" s="1">
        <v>35</v>
      </c>
      <c r="AB239" s="1">
        <v>32.340000000000003</v>
      </c>
      <c r="AC239" s="1">
        <v>13.87</v>
      </c>
      <c r="AD239" s="1"/>
      <c r="AE239" s="1">
        <v>189.61</v>
      </c>
      <c r="AF239" s="1">
        <v>235.82000000000002</v>
      </c>
      <c r="AG239" s="1">
        <v>887.93</v>
      </c>
      <c r="AH239" s="1"/>
      <c r="AI239" s="1">
        <v>3.4420000000000002</v>
      </c>
      <c r="AJ239" s="1">
        <v>1.6120000000000001</v>
      </c>
      <c r="AK239" s="1">
        <v>6.4000000000000001E-2</v>
      </c>
      <c r="AL239" s="1">
        <v>13.227</v>
      </c>
      <c r="AM239" s="1">
        <f t="shared" si="16"/>
        <v>18.344999999999999</v>
      </c>
      <c r="AN239" s="129">
        <f t="shared" si="17"/>
        <v>257.96920395119116</v>
      </c>
      <c r="AO239" s="162"/>
      <c r="AP239" s="162"/>
    </row>
    <row r="240" spans="1:42" x14ac:dyDescent="0.2">
      <c r="A240" s="150">
        <f t="shared" si="15"/>
        <v>86</v>
      </c>
      <c r="B240" s="152">
        <v>45239</v>
      </c>
      <c r="C240" s="153" t="s">
        <v>338</v>
      </c>
      <c r="D240" s="150">
        <v>20</v>
      </c>
      <c r="E240" s="150" t="s">
        <v>149</v>
      </c>
      <c r="F240" s="154" t="s">
        <v>142</v>
      </c>
      <c r="G240" s="150" t="s">
        <v>136</v>
      </c>
      <c r="H240" s="150" t="s">
        <v>135</v>
      </c>
      <c r="I240" s="150" t="s">
        <v>186</v>
      </c>
      <c r="J240" s="150">
        <v>1</v>
      </c>
      <c r="K240" s="3">
        <v>33</v>
      </c>
      <c r="L240" s="1"/>
      <c r="M240" s="1"/>
      <c r="N240" s="1"/>
      <c r="O240" s="1"/>
      <c r="P240" s="1"/>
      <c r="Q240" s="1"/>
      <c r="R240" s="1">
        <v>3</v>
      </c>
      <c r="S240" s="1"/>
      <c r="T240" s="1"/>
      <c r="U240" s="1">
        <v>8</v>
      </c>
      <c r="V240" s="1">
        <v>37</v>
      </c>
      <c r="W240" s="1">
        <v>26</v>
      </c>
      <c r="X240" s="1">
        <v>8</v>
      </c>
      <c r="Y240" s="1">
        <v>3</v>
      </c>
      <c r="Z240" s="1">
        <v>241.61</v>
      </c>
      <c r="AA240" s="1">
        <v>42</v>
      </c>
      <c r="AB240" s="1">
        <v>48.6</v>
      </c>
      <c r="AC240" s="1">
        <v>14.92</v>
      </c>
      <c r="AD240" s="1"/>
      <c r="AE240" s="1">
        <v>192.65</v>
      </c>
      <c r="AF240" s="1">
        <v>256.17</v>
      </c>
      <c r="AG240" s="1">
        <v>1260.01</v>
      </c>
      <c r="AH240" s="1"/>
      <c r="AI240" s="1">
        <v>5.2430000000000003</v>
      </c>
      <c r="AJ240" s="1">
        <v>1.9319999999999999</v>
      </c>
      <c r="AK240" s="1">
        <v>3.6999999999999998E-2</v>
      </c>
      <c r="AL240" s="1">
        <v>15.103999999999999</v>
      </c>
      <c r="AM240" s="1">
        <f t="shared" si="16"/>
        <v>22.315999999999999</v>
      </c>
      <c r="AN240" s="129">
        <f t="shared" si="17"/>
        <v>240.32233454129315</v>
      </c>
      <c r="AO240" s="162"/>
      <c r="AP240" s="162"/>
    </row>
    <row r="241" spans="1:42" x14ac:dyDescent="0.2">
      <c r="A241" s="150">
        <f t="shared" si="15"/>
        <v>86</v>
      </c>
      <c r="B241" s="152">
        <v>45239</v>
      </c>
      <c r="C241" s="153" t="s">
        <v>338</v>
      </c>
      <c r="D241" s="150">
        <v>20</v>
      </c>
      <c r="E241" s="150" t="s">
        <v>149</v>
      </c>
      <c r="F241" s="154" t="s">
        <v>142</v>
      </c>
      <c r="G241" s="150" t="s">
        <v>136</v>
      </c>
      <c r="H241" s="150" t="s">
        <v>135</v>
      </c>
      <c r="I241" s="150" t="s">
        <v>187</v>
      </c>
      <c r="J241" s="150">
        <v>2</v>
      </c>
      <c r="K241" s="3">
        <v>40</v>
      </c>
      <c r="L241" s="1"/>
      <c r="M241" s="1"/>
      <c r="N241" s="1"/>
      <c r="O241" s="1"/>
      <c r="P241" s="1"/>
      <c r="Q241" s="1"/>
      <c r="R241" s="1"/>
      <c r="S241" s="1"/>
      <c r="T241" s="1"/>
      <c r="U241" s="1">
        <v>10</v>
      </c>
      <c r="V241" s="1">
        <v>68</v>
      </c>
      <c r="W241" s="1">
        <v>60</v>
      </c>
      <c r="X241" s="1">
        <v>5</v>
      </c>
      <c r="Y241" s="1">
        <v>3</v>
      </c>
      <c r="Z241" s="1">
        <v>268.08</v>
      </c>
      <c r="AA241" s="1">
        <v>46</v>
      </c>
      <c r="AB241" s="1">
        <v>55.86</v>
      </c>
      <c r="AC241" s="1">
        <v>17.350000000000001</v>
      </c>
      <c r="AD241" s="1"/>
      <c r="AE241" s="1">
        <v>211.68</v>
      </c>
      <c r="AF241" s="1">
        <v>284.89</v>
      </c>
      <c r="AG241" s="1">
        <v>1440.25</v>
      </c>
      <c r="AH241" s="1"/>
      <c r="AI241" s="1">
        <v>5.46</v>
      </c>
      <c r="AJ241" s="1">
        <v>2.0489999999999999</v>
      </c>
      <c r="AK241" s="1"/>
      <c r="AL241" s="1">
        <v>15.273</v>
      </c>
      <c r="AM241" s="1">
        <f t="shared" si="16"/>
        <v>22.782</v>
      </c>
      <c r="AN241" s="129">
        <f t="shared" si="17"/>
        <v>263.78205128205127</v>
      </c>
      <c r="AO241" s="162"/>
      <c r="AP241" s="162"/>
    </row>
    <row r="242" spans="1:42" x14ac:dyDescent="0.2">
      <c r="A242" s="150">
        <f t="shared" si="15"/>
        <v>86</v>
      </c>
      <c r="B242" s="152">
        <v>45239</v>
      </c>
      <c r="C242" s="153" t="s">
        <v>338</v>
      </c>
      <c r="D242" s="150">
        <v>20</v>
      </c>
      <c r="E242" s="150" t="s">
        <v>149</v>
      </c>
      <c r="F242" s="154" t="s">
        <v>142</v>
      </c>
      <c r="G242" s="150" t="s">
        <v>136</v>
      </c>
      <c r="H242" s="150" t="s">
        <v>135</v>
      </c>
      <c r="I242" s="150" t="s">
        <v>188</v>
      </c>
      <c r="J242" s="150">
        <v>3</v>
      </c>
      <c r="K242" s="1">
        <v>30</v>
      </c>
      <c r="L242" s="1"/>
      <c r="M242" s="1"/>
      <c r="N242" s="1"/>
      <c r="O242" s="1"/>
      <c r="P242" s="1"/>
      <c r="Q242" s="1"/>
      <c r="R242" s="1">
        <v>3</v>
      </c>
      <c r="S242" s="1"/>
      <c r="T242" s="1"/>
      <c r="U242" s="1">
        <v>7</v>
      </c>
      <c r="V242" s="1">
        <v>28</v>
      </c>
      <c r="W242" s="1">
        <v>20</v>
      </c>
      <c r="X242" s="1">
        <v>5</v>
      </c>
      <c r="Y242" s="1">
        <v>3</v>
      </c>
      <c r="Z242" s="1">
        <v>125.83</v>
      </c>
      <c r="AA242" s="1">
        <v>41</v>
      </c>
      <c r="AB242" s="1">
        <v>29.54</v>
      </c>
      <c r="AC242" s="1">
        <v>11.42</v>
      </c>
      <c r="AD242" s="1"/>
      <c r="AE242" s="1">
        <v>95.84</v>
      </c>
      <c r="AF242" s="1">
        <v>136.80000000000001</v>
      </c>
      <c r="AG242" s="1">
        <v>920.29</v>
      </c>
      <c r="AH242" s="1"/>
      <c r="AI242" s="1">
        <v>2.8820000000000001</v>
      </c>
      <c r="AJ242" s="1">
        <v>1.0980000000000001</v>
      </c>
      <c r="AK242" s="1">
        <v>7.0000000000000001E-3</v>
      </c>
      <c r="AL242" s="1">
        <v>6.3010000000000002</v>
      </c>
      <c r="AM242" s="1">
        <f t="shared" si="16"/>
        <v>10.288</v>
      </c>
      <c r="AN242" s="129">
        <f t="shared" si="17"/>
        <v>319.32338653712696</v>
      </c>
      <c r="AO242" s="162"/>
      <c r="AP242" s="162"/>
    </row>
    <row r="243" spans="1:42" x14ac:dyDescent="0.2">
      <c r="A243" s="150">
        <f t="shared" si="15"/>
        <v>86</v>
      </c>
      <c r="B243" s="152">
        <v>45239</v>
      </c>
      <c r="C243" s="153" t="s">
        <v>338</v>
      </c>
      <c r="D243" s="150">
        <v>20</v>
      </c>
      <c r="E243" s="150" t="s">
        <v>149</v>
      </c>
      <c r="F243" s="154" t="s">
        <v>142</v>
      </c>
      <c r="G243" s="150" t="s">
        <v>136</v>
      </c>
      <c r="H243" s="150" t="s">
        <v>135</v>
      </c>
      <c r="I243" s="150" t="s">
        <v>189</v>
      </c>
      <c r="J243" s="150">
        <v>4</v>
      </c>
      <c r="K243" s="1">
        <v>38.5</v>
      </c>
      <c r="L243" s="1"/>
      <c r="M243" s="1"/>
      <c r="N243" s="1"/>
      <c r="O243" s="1"/>
      <c r="P243" s="1"/>
      <c r="Q243" s="1"/>
      <c r="R243" s="1"/>
      <c r="S243" s="1"/>
      <c r="T243" s="1"/>
      <c r="U243" s="1">
        <v>6</v>
      </c>
      <c r="V243" s="1">
        <v>40</v>
      </c>
      <c r="W243" s="1">
        <v>37</v>
      </c>
      <c r="X243" s="1">
        <v>2</v>
      </c>
      <c r="Y243" s="1">
        <v>1</v>
      </c>
      <c r="Z243" s="1">
        <v>219.55</v>
      </c>
      <c r="AA243" s="1">
        <v>43</v>
      </c>
      <c r="AB243" s="1">
        <v>52.23</v>
      </c>
      <c r="AC243" s="1">
        <v>16.48</v>
      </c>
      <c r="AD243" s="1"/>
      <c r="AE243" s="1">
        <v>166.85</v>
      </c>
      <c r="AF243" s="1">
        <v>235.56</v>
      </c>
      <c r="AG243" s="1">
        <v>1351.06</v>
      </c>
      <c r="AH243" s="1"/>
      <c r="AI243" s="1">
        <v>5.085</v>
      </c>
      <c r="AJ243" s="1">
        <v>1.988</v>
      </c>
      <c r="AK243" s="1"/>
      <c r="AL243" s="1">
        <v>12.377000000000001</v>
      </c>
      <c r="AM243" s="1">
        <f t="shared" si="16"/>
        <v>19.450000000000003</v>
      </c>
      <c r="AN243" s="129">
        <f t="shared" si="17"/>
        <v>265.69518190757128</v>
      </c>
      <c r="AO243" s="162"/>
      <c r="AP243" s="162"/>
    </row>
    <row r="244" spans="1:42" x14ac:dyDescent="0.2">
      <c r="A244" s="150">
        <f t="shared" si="15"/>
        <v>86</v>
      </c>
      <c r="B244" s="152">
        <v>45239</v>
      </c>
      <c r="C244" s="153" t="s">
        <v>338</v>
      </c>
      <c r="D244" s="150">
        <v>20</v>
      </c>
      <c r="E244" s="150" t="s">
        <v>149</v>
      </c>
      <c r="F244" s="154" t="s">
        <v>142</v>
      </c>
      <c r="G244" s="150" t="s">
        <v>136</v>
      </c>
      <c r="H244" s="150" t="s">
        <v>135</v>
      </c>
      <c r="I244" s="150" t="s">
        <v>190</v>
      </c>
      <c r="J244" s="150">
        <v>5</v>
      </c>
      <c r="K244" s="1">
        <v>32</v>
      </c>
      <c r="L244" s="1"/>
      <c r="M244" s="1"/>
      <c r="N244" s="1"/>
      <c r="O244" s="1"/>
      <c r="P244" s="1"/>
      <c r="Q244" s="1"/>
      <c r="R244" s="1"/>
      <c r="S244" s="1"/>
      <c r="T244" s="1"/>
      <c r="U244" s="1">
        <v>10</v>
      </c>
      <c r="V244" s="1">
        <v>44</v>
      </c>
      <c r="W244" s="1">
        <v>39</v>
      </c>
      <c r="X244" s="1">
        <v>2</v>
      </c>
      <c r="Y244" s="1">
        <v>3</v>
      </c>
      <c r="Z244" s="1">
        <v>179.4</v>
      </c>
      <c r="AA244" s="1">
        <v>32</v>
      </c>
      <c r="AB244" s="1">
        <v>37.94</v>
      </c>
      <c r="AC244" s="1">
        <v>12.6</v>
      </c>
      <c r="AD244" s="1"/>
      <c r="AE244" s="1">
        <v>140.47999999999999</v>
      </c>
      <c r="AF244" s="1">
        <v>191.01999999999998</v>
      </c>
      <c r="AG244" s="1">
        <v>958.45</v>
      </c>
      <c r="AH244" s="1"/>
      <c r="AI244" s="1">
        <v>3.9</v>
      </c>
      <c r="AJ244" s="1">
        <v>1.5309999999999999</v>
      </c>
      <c r="AK244" s="1"/>
      <c r="AL244" s="1">
        <v>9.8309999999999995</v>
      </c>
      <c r="AM244" s="1">
        <f t="shared" si="16"/>
        <v>15.262</v>
      </c>
      <c r="AN244" s="129">
        <f t="shared" si="17"/>
        <v>245.75641025641028</v>
      </c>
      <c r="AO244" s="162"/>
      <c r="AP244" s="162"/>
    </row>
    <row r="245" spans="1:42" x14ac:dyDescent="0.2">
      <c r="A245" s="150">
        <f t="shared" si="15"/>
        <v>86</v>
      </c>
      <c r="B245" s="152">
        <v>45239</v>
      </c>
      <c r="C245" s="153" t="s">
        <v>338</v>
      </c>
      <c r="D245" s="150">
        <v>20</v>
      </c>
      <c r="E245" s="150" t="s">
        <v>149</v>
      </c>
      <c r="F245" s="154" t="s">
        <v>142</v>
      </c>
      <c r="G245" s="150" t="s">
        <v>136</v>
      </c>
      <c r="H245" s="150" t="s">
        <v>135</v>
      </c>
      <c r="I245" s="150" t="s">
        <v>191</v>
      </c>
      <c r="J245" s="150">
        <v>6</v>
      </c>
      <c r="K245" s="1">
        <v>35</v>
      </c>
      <c r="L245" s="1"/>
      <c r="M245" s="1"/>
      <c r="N245" s="1"/>
      <c r="O245" s="1"/>
      <c r="P245" s="1"/>
      <c r="Q245" s="1"/>
      <c r="R245" s="1">
        <v>3</v>
      </c>
      <c r="S245" s="1"/>
      <c r="T245" s="1"/>
      <c r="U245" s="1">
        <v>9</v>
      </c>
      <c r="V245" s="1">
        <v>38</v>
      </c>
      <c r="W245" s="1">
        <v>26</v>
      </c>
      <c r="X245" s="1">
        <v>8</v>
      </c>
      <c r="Y245" s="1">
        <v>4</v>
      </c>
      <c r="Z245" s="1">
        <v>230.2</v>
      </c>
      <c r="AA245" s="1">
        <v>50</v>
      </c>
      <c r="AB245" s="1">
        <v>43.21</v>
      </c>
      <c r="AC245" s="1">
        <v>14.04</v>
      </c>
      <c r="AD245" s="1"/>
      <c r="AE245" s="1">
        <v>178.88</v>
      </c>
      <c r="AF245" s="1">
        <v>236.13</v>
      </c>
      <c r="AG245" s="1">
        <v>1133.8699999999999</v>
      </c>
      <c r="AH245" s="1"/>
      <c r="AI245" s="1">
        <v>4.4960000000000004</v>
      </c>
      <c r="AJ245" s="1">
        <v>1.77</v>
      </c>
      <c r="AK245" s="1">
        <v>4.7E-2</v>
      </c>
      <c r="AL245" s="1">
        <v>13.788</v>
      </c>
      <c r="AM245" s="1">
        <f t="shared" si="16"/>
        <v>20.100999999999999</v>
      </c>
      <c r="AN245" s="129">
        <f t="shared" si="17"/>
        <v>252.19528469750884</v>
      </c>
      <c r="AO245" s="162"/>
      <c r="AP245" s="162"/>
    </row>
  </sheetData>
  <phoneticPr fontId="3" type="noConversion"/>
  <conditionalFormatting sqref="AJ6:AJ101">
    <cfRule type="cellIs" dxfId="0" priority="1" operator="lessThan">
      <formula>0</formula>
    </cfRule>
  </conditionalFormatting>
  <pageMargins left="0.7" right="0.7" top="0.75" bottom="0.75" header="0.3" footer="0.3"/>
  <ignoredErrors>
    <ignoredError sqref="AM9 AM10:AM101 AM150:AM197 AM102:AM149"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13CE-CFEA-4020-BBAB-FE86F74FEC69}">
  <dimension ref="A1:AA26"/>
  <sheetViews>
    <sheetView topLeftCell="M1" workbookViewId="0">
      <selection activeCell="X12" sqref="X12"/>
    </sheetView>
  </sheetViews>
  <sheetFormatPr baseColWidth="10" defaultColWidth="8.83203125" defaultRowHeight="15" x14ac:dyDescent="0.2"/>
  <cols>
    <col min="1" max="1" width="35.1640625" hidden="1" customWidth="1"/>
    <col min="2" max="2" width="16.33203125" hidden="1" customWidth="1"/>
    <col min="3" max="4" width="12" hidden="1" customWidth="1"/>
    <col min="5" max="12" width="0" hidden="1" customWidth="1"/>
    <col min="14" max="14" width="5" style="1" bestFit="1" customWidth="1"/>
    <col min="15" max="15" width="7" style="1" bestFit="1" customWidth="1"/>
    <col min="16" max="16" width="13.5" style="1" bestFit="1" customWidth="1"/>
    <col min="17" max="17" width="9.83203125" style="1" bestFit="1" customWidth="1"/>
    <col min="18" max="18" width="17.6640625" style="1" bestFit="1" customWidth="1"/>
    <col min="19" max="19" width="13.5" style="1" bestFit="1" customWidth="1"/>
    <col min="20" max="20" width="9.83203125" style="1" bestFit="1" customWidth="1"/>
    <col min="21" max="21" width="17.6640625" style="1" bestFit="1" customWidth="1"/>
    <col min="22" max="22" width="13.5" style="1" bestFit="1" customWidth="1"/>
    <col min="23" max="23" width="9.83203125" style="1" bestFit="1" customWidth="1"/>
    <col min="24" max="24" width="17.6640625" style="1" bestFit="1" customWidth="1"/>
    <col min="25" max="25" width="13.5" style="1" bestFit="1" customWidth="1"/>
    <col min="26" max="26" width="9.83203125" style="1" bestFit="1" customWidth="1"/>
    <col min="27" max="27" width="17.6640625" style="1" bestFit="1" customWidth="1"/>
  </cols>
  <sheetData>
    <row r="1" spans="1:27" x14ac:dyDescent="0.2">
      <c r="P1" s="1" t="s">
        <v>325</v>
      </c>
      <c r="S1" s="1" t="s">
        <v>326</v>
      </c>
      <c r="V1" s="1" t="s">
        <v>327</v>
      </c>
      <c r="Y1" s="1" t="s">
        <v>328</v>
      </c>
    </row>
    <row r="2" spans="1:27" x14ac:dyDescent="0.2">
      <c r="A2" s="121" t="s">
        <v>129</v>
      </c>
      <c r="B2" t="s">
        <v>142</v>
      </c>
      <c r="O2" s="124" t="s">
        <v>21</v>
      </c>
      <c r="P2" s="124" t="s">
        <v>343</v>
      </c>
      <c r="Q2" s="142" t="s">
        <v>345</v>
      </c>
      <c r="R2" s="142" t="s">
        <v>344</v>
      </c>
      <c r="S2" s="124" t="s">
        <v>343</v>
      </c>
      <c r="T2" s="142" t="s">
        <v>345</v>
      </c>
      <c r="U2" s="142" t="s">
        <v>344</v>
      </c>
      <c r="V2" s="124" t="s">
        <v>343</v>
      </c>
      <c r="W2" s="142" t="s">
        <v>345</v>
      </c>
      <c r="X2" s="142" t="s">
        <v>344</v>
      </c>
      <c r="Y2" s="124" t="s">
        <v>343</v>
      </c>
      <c r="Z2" s="142" t="s">
        <v>345</v>
      </c>
      <c r="AA2" s="142" t="s">
        <v>344</v>
      </c>
    </row>
    <row r="3" spans="1:27" x14ac:dyDescent="0.2">
      <c r="N3" s="1">
        <v>1050</v>
      </c>
      <c r="O3" s="1" t="s">
        <v>334</v>
      </c>
      <c r="P3" s="46">
        <v>13.689298379072715</v>
      </c>
      <c r="Q3" s="143">
        <f>P3/N3</f>
        <v>1.30374270276883E-2</v>
      </c>
      <c r="R3" s="143"/>
      <c r="S3" s="46">
        <v>13.689298379072715</v>
      </c>
      <c r="T3" s="143">
        <f>S3/N3</f>
        <v>1.30374270276883E-2</v>
      </c>
      <c r="U3" s="143"/>
      <c r="V3" s="46">
        <v>13.689298379072715</v>
      </c>
      <c r="W3" s="143">
        <f>V3/N3</f>
        <v>1.30374270276883E-2</v>
      </c>
      <c r="X3" s="143"/>
      <c r="Y3" s="46">
        <v>13.689298379072715</v>
      </c>
      <c r="Z3" s="143">
        <f>Y3/N3</f>
        <v>1.30374270276883E-2</v>
      </c>
      <c r="AA3" s="143"/>
    </row>
    <row r="4" spans="1:27" x14ac:dyDescent="0.2">
      <c r="A4" s="121" t="s">
        <v>337</v>
      </c>
      <c r="B4" s="121" t="s">
        <v>313</v>
      </c>
      <c r="N4" s="1">
        <v>48</v>
      </c>
      <c r="O4" s="1" t="s">
        <v>335</v>
      </c>
      <c r="P4" s="46">
        <v>210.07072630123682</v>
      </c>
      <c r="Q4" s="143">
        <f t="shared" ref="Q4:Q6" si="0">P4/N4</f>
        <v>4.3764734646091004</v>
      </c>
      <c r="R4" s="143"/>
      <c r="S4" s="46">
        <v>201.87892643955723</v>
      </c>
      <c r="T4" s="143">
        <f t="shared" ref="T4:T6" si="1">S4/N4</f>
        <v>4.205810967490776</v>
      </c>
      <c r="U4" s="143"/>
      <c r="V4" s="46">
        <v>183.67492674693594</v>
      </c>
      <c r="W4" s="143">
        <f t="shared" ref="W4:W6" si="2">V4/N4</f>
        <v>3.8265609738944986</v>
      </c>
      <c r="X4" s="143"/>
      <c r="Y4" s="46">
        <v>172.75252693136321</v>
      </c>
      <c r="Z4" s="143">
        <f t="shared" ref="Z4:Z6" si="3">Y4/N4</f>
        <v>3.5990109777367336</v>
      </c>
      <c r="AA4" s="143"/>
    </row>
    <row r="5" spans="1:27" x14ac:dyDescent="0.2">
      <c r="A5" s="121" t="s">
        <v>65</v>
      </c>
      <c r="B5" s="1" t="s">
        <v>136</v>
      </c>
      <c r="C5" s="1" t="s">
        <v>131</v>
      </c>
      <c r="D5" s="1" t="s">
        <v>66</v>
      </c>
      <c r="N5" s="1">
        <v>25</v>
      </c>
      <c r="O5" s="1" t="s">
        <v>336</v>
      </c>
      <c r="P5" s="46">
        <v>355.26017569374608</v>
      </c>
      <c r="Q5" s="143">
        <f t="shared" si="0"/>
        <v>14.210407027749843</v>
      </c>
      <c r="R5" s="143">
        <v>9.9733333333333309</v>
      </c>
      <c r="S5" s="46">
        <v>337.18637572796212</v>
      </c>
      <c r="T5" s="143">
        <f t="shared" si="1"/>
        <v>13.487455029118484</v>
      </c>
      <c r="U5" s="143">
        <v>11.196666666666667</v>
      </c>
      <c r="V5" s="46">
        <v>297.02237580399776</v>
      </c>
      <c r="W5" s="143">
        <f t="shared" si="2"/>
        <v>11.880895032159911</v>
      </c>
      <c r="X5" s="143">
        <v>4.0783333333333331</v>
      </c>
      <c r="Y5" s="46">
        <v>272.92397584961913</v>
      </c>
      <c r="Z5" s="143">
        <f t="shared" si="3"/>
        <v>10.916959033984766</v>
      </c>
      <c r="AA5" s="143">
        <v>4.541666666666667</v>
      </c>
    </row>
    <row r="6" spans="1:27" x14ac:dyDescent="0.2">
      <c r="A6" s="70" t="s">
        <v>132</v>
      </c>
      <c r="B6" s="123">
        <v>88.878888888888881</v>
      </c>
      <c r="C6" s="123">
        <v>67.684444444444452</v>
      </c>
      <c r="D6" s="123">
        <v>78.28166666666668</v>
      </c>
      <c r="N6" s="1">
        <v>20</v>
      </c>
      <c r="O6" s="1" t="s">
        <v>342</v>
      </c>
      <c r="P6" s="46">
        <v>838.6814688867164</v>
      </c>
      <c r="Q6" s="143">
        <f t="shared" si="0"/>
        <v>41.934073444335823</v>
      </c>
      <c r="R6" s="143">
        <v>256.66333333333336</v>
      </c>
      <c r="S6" s="46">
        <v>780.02714179268969</v>
      </c>
      <c r="T6" s="143">
        <f t="shared" si="1"/>
        <v>39.001357089634482</v>
      </c>
      <c r="U6" s="143">
        <v>220.70833333333337</v>
      </c>
      <c r="V6" s="46">
        <v>649.68419269485219</v>
      </c>
      <c r="W6" s="143">
        <f t="shared" si="2"/>
        <v>32.484209634742612</v>
      </c>
      <c r="X6" s="143">
        <v>193.23333333333335</v>
      </c>
      <c r="Y6" s="46">
        <v>571.47842323614975</v>
      </c>
      <c r="Z6" s="143">
        <f t="shared" si="3"/>
        <v>28.573921161807487</v>
      </c>
      <c r="AA6" s="143">
        <v>164.39666666666668</v>
      </c>
    </row>
    <row r="7" spans="1:27" x14ac:dyDescent="0.2">
      <c r="A7" s="122" t="s">
        <v>334</v>
      </c>
      <c r="B7" t="e">
        <v>#DIV/0!</v>
      </c>
      <c r="C7" t="e">
        <v>#DIV/0!</v>
      </c>
      <c r="D7" t="e">
        <v>#DIV/0!</v>
      </c>
    </row>
    <row r="8" spans="1:27" x14ac:dyDescent="0.2">
      <c r="A8" s="122" t="s">
        <v>335</v>
      </c>
      <c r="B8">
        <v>0</v>
      </c>
      <c r="C8">
        <v>0</v>
      </c>
      <c r="D8">
        <v>0</v>
      </c>
    </row>
    <row r="9" spans="1:27" x14ac:dyDescent="0.2">
      <c r="A9" s="122" t="s">
        <v>336</v>
      </c>
      <c r="B9">
        <v>9.9733333333333309</v>
      </c>
      <c r="C9">
        <v>9.9566666666666652</v>
      </c>
      <c r="D9">
        <v>9.9649999999999981</v>
      </c>
    </row>
    <row r="10" spans="1:27" x14ac:dyDescent="0.2">
      <c r="A10" s="122" t="s">
        <v>342</v>
      </c>
      <c r="B10">
        <v>256.66333333333336</v>
      </c>
      <c r="C10">
        <v>193.09666666666669</v>
      </c>
      <c r="D10">
        <v>224.88000000000002</v>
      </c>
    </row>
    <row r="11" spans="1:27" x14ac:dyDescent="0.2">
      <c r="A11" s="70" t="s">
        <v>133</v>
      </c>
      <c r="B11" s="123">
        <v>77.301666666666677</v>
      </c>
      <c r="C11" s="123">
        <v>69.791666666666671</v>
      </c>
      <c r="D11" s="123">
        <v>73.546666666666681</v>
      </c>
    </row>
    <row r="12" spans="1:27" x14ac:dyDescent="0.2">
      <c r="A12" s="122" t="s">
        <v>334</v>
      </c>
      <c r="B12" t="e">
        <v>#DIV/0!</v>
      </c>
      <c r="C12" t="e">
        <v>#DIV/0!</v>
      </c>
      <c r="D12" t="e">
        <v>#DIV/0!</v>
      </c>
    </row>
    <row r="13" spans="1:27" x14ac:dyDescent="0.2">
      <c r="A13" s="122" t="s">
        <v>335</v>
      </c>
      <c r="B13">
        <v>0</v>
      </c>
      <c r="C13">
        <v>0</v>
      </c>
      <c r="D13">
        <v>0</v>
      </c>
    </row>
    <row r="14" spans="1:27" x14ac:dyDescent="0.2">
      <c r="A14" s="122" t="s">
        <v>336</v>
      </c>
      <c r="B14">
        <v>11.196666666666667</v>
      </c>
      <c r="C14">
        <v>6.4366666666666674</v>
      </c>
      <c r="D14">
        <v>8.8166666666666682</v>
      </c>
    </row>
    <row r="15" spans="1:27" x14ac:dyDescent="0.2">
      <c r="A15" s="122" t="s">
        <v>342</v>
      </c>
      <c r="B15">
        <v>220.70833333333337</v>
      </c>
      <c r="C15">
        <v>202.9383333333333</v>
      </c>
      <c r="D15">
        <v>211.82333333333338</v>
      </c>
    </row>
    <row r="16" spans="1:27" x14ac:dyDescent="0.2">
      <c r="A16" s="70" t="s">
        <v>134</v>
      </c>
      <c r="B16" s="123">
        <v>65.770555555555546</v>
      </c>
      <c r="C16" s="123">
        <v>66.888888888888886</v>
      </c>
      <c r="D16" s="123">
        <v>66.32972222222223</v>
      </c>
    </row>
    <row r="17" spans="1:4" x14ac:dyDescent="0.2">
      <c r="A17" s="122" t="s">
        <v>334</v>
      </c>
      <c r="B17" t="e">
        <v>#DIV/0!</v>
      </c>
      <c r="C17" t="e">
        <v>#DIV/0!</v>
      </c>
      <c r="D17" t="e">
        <v>#DIV/0!</v>
      </c>
    </row>
    <row r="18" spans="1:4" x14ac:dyDescent="0.2">
      <c r="A18" s="122" t="s">
        <v>335</v>
      </c>
      <c r="B18">
        <v>0</v>
      </c>
      <c r="C18">
        <v>0</v>
      </c>
      <c r="D18">
        <v>0</v>
      </c>
    </row>
    <row r="19" spans="1:4" x14ac:dyDescent="0.2">
      <c r="A19" s="122" t="s">
        <v>336</v>
      </c>
      <c r="B19">
        <v>4.0783333333333331</v>
      </c>
      <c r="C19">
        <v>6.1033333333333326</v>
      </c>
      <c r="D19">
        <v>5.0908333333333333</v>
      </c>
    </row>
    <row r="20" spans="1:4" x14ac:dyDescent="0.2">
      <c r="A20" s="122" t="s">
        <v>342</v>
      </c>
      <c r="B20">
        <v>193.23333333333335</v>
      </c>
      <c r="C20">
        <v>194.5633333333333</v>
      </c>
      <c r="D20">
        <v>193.89833333333334</v>
      </c>
    </row>
    <row r="21" spans="1:4" x14ac:dyDescent="0.2">
      <c r="A21" s="70" t="s">
        <v>135</v>
      </c>
      <c r="B21" s="123">
        <v>56.312777777777775</v>
      </c>
      <c r="C21" s="123">
        <v>51.010555555555555</v>
      </c>
      <c r="D21" s="123">
        <v>53.661666666666669</v>
      </c>
    </row>
    <row r="22" spans="1:4" x14ac:dyDescent="0.2">
      <c r="A22" s="122" t="s">
        <v>334</v>
      </c>
      <c r="B22" t="e">
        <v>#DIV/0!</v>
      </c>
      <c r="C22" t="e">
        <v>#DIV/0!</v>
      </c>
      <c r="D22" t="e">
        <v>#DIV/0!</v>
      </c>
    </row>
    <row r="23" spans="1:4" x14ac:dyDescent="0.2">
      <c r="A23" s="122" t="s">
        <v>335</v>
      </c>
      <c r="B23">
        <v>0</v>
      </c>
      <c r="C23">
        <v>0</v>
      </c>
      <c r="D23">
        <v>0</v>
      </c>
    </row>
    <row r="24" spans="1:4" x14ac:dyDescent="0.2">
      <c r="A24" s="122" t="s">
        <v>336</v>
      </c>
      <c r="B24">
        <v>4.541666666666667</v>
      </c>
      <c r="C24">
        <v>5.5316666666666663</v>
      </c>
      <c r="D24">
        <v>5.0366666666666662</v>
      </c>
    </row>
    <row r="25" spans="1:4" x14ac:dyDescent="0.2">
      <c r="A25" s="122" t="s">
        <v>342</v>
      </c>
      <c r="B25">
        <v>164.39666666666668</v>
      </c>
      <c r="C25">
        <v>147.5</v>
      </c>
      <c r="D25">
        <v>155.94833333333335</v>
      </c>
    </row>
    <row r="26" spans="1:4" x14ac:dyDescent="0.2">
      <c r="A26" s="70" t="s">
        <v>66</v>
      </c>
      <c r="B26">
        <v>72.065972222222229</v>
      </c>
      <c r="C26">
        <v>63.843888888888905</v>
      </c>
      <c r="D26">
        <v>67.954930555555563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45FE-563D-410C-AD76-6F2E9D594EB4}">
  <sheetPr filterMode="1"/>
  <dimension ref="C1:V80"/>
  <sheetViews>
    <sheetView workbookViewId="0">
      <selection activeCell="N89" sqref="N89"/>
    </sheetView>
  </sheetViews>
  <sheetFormatPr baseColWidth="10" defaultColWidth="8.83203125" defaultRowHeight="15" x14ac:dyDescent="0.2"/>
  <cols>
    <col min="25" max="25" width="13.1640625" bestFit="1" customWidth="1"/>
    <col min="26" max="26" width="12" bestFit="1" customWidth="1"/>
  </cols>
  <sheetData>
    <row r="1" spans="3:22" x14ac:dyDescent="0.2">
      <c r="M1" t="s">
        <v>324</v>
      </c>
    </row>
    <row r="2" spans="3:22" x14ac:dyDescent="0.2">
      <c r="M2" s="129">
        <f>SUM(M4:M80)</f>
        <v>954.0070211515748</v>
      </c>
      <c r="N2" s="129">
        <f t="shared" ref="N2:P2" si="0">SUM(N4:N80)</f>
        <v>882.85709417848864</v>
      </c>
      <c r="O2" s="129">
        <f t="shared" si="0"/>
        <v>724.74614534940804</v>
      </c>
      <c r="P2" s="129">
        <f t="shared" si="0"/>
        <v>629.87957605195982</v>
      </c>
      <c r="S2" t="s">
        <v>329</v>
      </c>
    </row>
    <row r="3" spans="3:22" x14ac:dyDescent="0.2">
      <c r="C3" s="106" t="s">
        <v>314</v>
      </c>
      <c r="D3" s="130" t="s">
        <v>315</v>
      </c>
      <c r="E3" s="131" t="s">
        <v>316</v>
      </c>
      <c r="F3" s="131" t="s">
        <v>317</v>
      </c>
      <c r="G3" s="132" t="s">
        <v>318</v>
      </c>
      <c r="H3" s="132" t="s">
        <v>319</v>
      </c>
      <c r="I3" s="132" t="s">
        <v>320</v>
      </c>
      <c r="J3" s="132" t="s">
        <v>321</v>
      </c>
      <c r="K3" s="132" t="s">
        <v>322</v>
      </c>
      <c r="L3" s="132" t="s">
        <v>323</v>
      </c>
      <c r="M3" s="132" t="s">
        <v>330</v>
      </c>
      <c r="N3" s="132" t="s">
        <v>331</v>
      </c>
      <c r="O3" s="132" t="s">
        <v>332</v>
      </c>
      <c r="P3" s="132" t="s">
        <v>333</v>
      </c>
      <c r="R3" s="132" t="s">
        <v>21</v>
      </c>
      <c r="S3" s="132" t="s">
        <v>325</v>
      </c>
      <c r="T3" s="132" t="s">
        <v>326</v>
      </c>
      <c r="U3" s="132" t="s">
        <v>327</v>
      </c>
      <c r="V3" s="132" t="s">
        <v>328</v>
      </c>
    </row>
    <row r="4" spans="3:22" x14ac:dyDescent="0.2">
      <c r="C4" s="133">
        <v>45174</v>
      </c>
      <c r="D4" s="134">
        <v>24.867132856581961</v>
      </c>
      <c r="E4" s="135">
        <v>28.194838682422542</v>
      </c>
      <c r="F4" s="136">
        <v>20.929771001579745</v>
      </c>
      <c r="G4" s="137">
        <v>66.116083723224051</v>
      </c>
      <c r="H4" s="138">
        <v>55.032450000945389</v>
      </c>
      <c r="I4" s="139">
        <v>78.513333294069113</v>
      </c>
      <c r="J4" s="139">
        <v>9.3068570430213526</v>
      </c>
      <c r="K4" s="139">
        <v>9.3068570430213526</v>
      </c>
      <c r="L4" s="140">
        <v>427.18880906320527</v>
      </c>
      <c r="M4" s="141">
        <v>13.689298379072715</v>
      </c>
      <c r="N4" s="141">
        <v>13.689298379072715</v>
      </c>
      <c r="O4" s="141">
        <v>13.689298379072715</v>
      </c>
      <c r="P4" s="141">
        <v>13.689298379072715</v>
      </c>
      <c r="R4" s="125">
        <f>C4</f>
        <v>45174</v>
      </c>
      <c r="S4" s="129">
        <f>M4</f>
        <v>13.689298379072715</v>
      </c>
      <c r="T4" s="129">
        <f t="shared" ref="T4:V4" si="1">N4</f>
        <v>13.689298379072715</v>
      </c>
      <c r="U4" s="129">
        <f t="shared" si="1"/>
        <v>13.689298379072715</v>
      </c>
      <c r="V4" s="129">
        <f t="shared" si="1"/>
        <v>13.689298379072715</v>
      </c>
    </row>
    <row r="5" spans="3:22" hidden="1" x14ac:dyDescent="0.2">
      <c r="C5" s="133">
        <v>45175</v>
      </c>
      <c r="D5" s="134">
        <v>25.896875030465925</v>
      </c>
      <c r="E5" s="135">
        <v>29.557516385318046</v>
      </c>
      <c r="F5" s="136">
        <v>21.74814816163353</v>
      </c>
      <c r="G5" s="137">
        <v>65.594792113873879</v>
      </c>
      <c r="H5" s="138">
        <v>55.680537054104121</v>
      </c>
      <c r="I5" s="139">
        <v>76.22230293333935</v>
      </c>
      <c r="J5" s="139">
        <v>10.027141751743306</v>
      </c>
      <c r="K5" s="139">
        <v>10.027141751743306</v>
      </c>
      <c r="L5" s="140">
        <v>445.08680388092222</v>
      </c>
      <c r="M5" s="141">
        <v>13.665721212359312</v>
      </c>
      <c r="N5" s="141">
        <v>13.665721212359312</v>
      </c>
      <c r="O5" s="141">
        <v>13.665721212359312</v>
      </c>
      <c r="P5" s="141">
        <v>13.665721212359312</v>
      </c>
      <c r="R5" s="125">
        <f t="shared" ref="R5:R68" si="2">C5</f>
        <v>45175</v>
      </c>
      <c r="S5" s="129">
        <f>S4+M5</f>
        <v>27.355019591432026</v>
      </c>
      <c r="T5" s="129">
        <f t="shared" ref="T5:V20" si="3">T4+N5</f>
        <v>27.355019591432026</v>
      </c>
      <c r="U5" s="129">
        <f t="shared" si="3"/>
        <v>27.355019591432026</v>
      </c>
      <c r="V5" s="129">
        <f t="shared" si="3"/>
        <v>27.355019591432026</v>
      </c>
    </row>
    <row r="6" spans="3:22" hidden="1" x14ac:dyDescent="0.2">
      <c r="C6" s="133">
        <v>45176</v>
      </c>
      <c r="D6" s="134">
        <v>25.97951395611932</v>
      </c>
      <c r="E6" s="135">
        <v>26.628070242406302</v>
      </c>
      <c r="F6" s="136">
        <v>23.515000068228851</v>
      </c>
      <c r="G6" s="137">
        <v>61.23020821122563</v>
      </c>
      <c r="H6" s="138">
        <v>59.501327310363081</v>
      </c>
      <c r="I6" s="139">
        <v>67.532257946627865</v>
      </c>
      <c r="J6" s="139">
        <v>10.799188079437249</v>
      </c>
      <c r="K6" s="139">
        <v>10.799188079437249</v>
      </c>
      <c r="L6" s="140">
        <v>438.7986116103076</v>
      </c>
      <c r="M6" s="141">
        <v>17.645242640173944</v>
      </c>
      <c r="N6" s="141">
        <v>17.126842623155706</v>
      </c>
      <c r="O6" s="141">
        <v>15.974842585337408</v>
      </c>
      <c r="P6" s="141">
        <v>15.283642562646431</v>
      </c>
      <c r="R6" s="125">
        <f t="shared" si="2"/>
        <v>45176</v>
      </c>
      <c r="S6" s="129">
        <f t="shared" ref="S6:V69" si="4">S5+M6</f>
        <v>45.000262231605973</v>
      </c>
      <c r="T6" s="129">
        <f t="shared" si="3"/>
        <v>44.481862214587736</v>
      </c>
      <c r="U6" s="129">
        <f t="shared" si="3"/>
        <v>43.329862176769431</v>
      </c>
      <c r="V6" s="129">
        <f t="shared" si="3"/>
        <v>42.63866215407846</v>
      </c>
    </row>
    <row r="7" spans="3:22" hidden="1" x14ac:dyDescent="0.2">
      <c r="C7" s="133">
        <v>45177</v>
      </c>
      <c r="D7" s="134">
        <v>26.504514112848586</v>
      </c>
      <c r="E7" s="135">
        <v>27.26044473008475</v>
      </c>
      <c r="F7" s="136">
        <v>23.804761908433726</v>
      </c>
      <c r="G7" s="137">
        <v>67.553471178148186</v>
      </c>
      <c r="H7" s="138">
        <v>65.998641223867196</v>
      </c>
      <c r="I7" s="139">
        <v>72.682089385552544</v>
      </c>
      <c r="J7" s="139">
        <v>9.3560109592746343</v>
      </c>
      <c r="K7" s="139">
        <v>9.3560109592746343</v>
      </c>
      <c r="L7" s="140">
        <v>445.68055456695583</v>
      </c>
      <c r="M7" s="141">
        <v>16.888223513250949</v>
      </c>
      <c r="N7" s="141">
        <v>16.34822349586964</v>
      </c>
      <c r="O7" s="141">
        <v>15.148223457244496</v>
      </c>
      <c r="P7" s="141">
        <v>14.428223434069404</v>
      </c>
      <c r="R7" s="125">
        <f t="shared" si="2"/>
        <v>45177</v>
      </c>
      <c r="S7" s="129">
        <f t="shared" si="4"/>
        <v>61.888485744856922</v>
      </c>
      <c r="T7" s="129">
        <f t="shared" si="3"/>
        <v>60.830085710457375</v>
      </c>
      <c r="U7" s="129">
        <f t="shared" si="3"/>
        <v>58.478085634013929</v>
      </c>
      <c r="V7" s="129">
        <f t="shared" si="3"/>
        <v>57.066885588147862</v>
      </c>
    </row>
    <row r="8" spans="3:22" hidden="1" x14ac:dyDescent="0.2">
      <c r="C8" s="133">
        <v>45178</v>
      </c>
      <c r="D8" s="134">
        <v>26.374999922106639</v>
      </c>
      <c r="E8" s="135">
        <v>27.019468948841993</v>
      </c>
      <c r="F8" s="136">
        <v>24.025806373038989</v>
      </c>
      <c r="G8" s="137">
        <v>69.198958339510398</v>
      </c>
      <c r="H8" s="138">
        <v>68.163839289450252</v>
      </c>
      <c r="I8" s="139">
        <v>72.821875014720746</v>
      </c>
      <c r="J8" s="139">
        <v>8.7037055073961369</v>
      </c>
      <c r="K8" s="139">
        <v>8.7037055073961369</v>
      </c>
      <c r="L8" s="140">
        <v>450.28819437913472</v>
      </c>
      <c r="M8" s="141">
        <v>16.640012239669598</v>
      </c>
      <c r="N8" s="141">
        <v>16.073012257050419</v>
      </c>
      <c r="O8" s="141">
        <v>14.81301229567447</v>
      </c>
      <c r="P8" s="141">
        <v>14.057012318848908</v>
      </c>
      <c r="R8" s="125">
        <f t="shared" si="2"/>
        <v>45178</v>
      </c>
      <c r="S8" s="129">
        <f t="shared" si="4"/>
        <v>78.528497984526524</v>
      </c>
      <c r="T8" s="129">
        <f t="shared" si="3"/>
        <v>76.90309796750779</v>
      </c>
      <c r="U8" s="129">
        <f t="shared" si="3"/>
        <v>73.291097929688405</v>
      </c>
      <c r="V8" s="129">
        <f t="shared" si="3"/>
        <v>71.123897906996774</v>
      </c>
    </row>
    <row r="9" spans="3:22" hidden="1" x14ac:dyDescent="0.2">
      <c r="C9" s="133">
        <v>45179</v>
      </c>
      <c r="D9" s="134">
        <v>26.960416672708465</v>
      </c>
      <c r="E9" s="135">
        <v>27.297787614357713</v>
      </c>
      <c r="F9" s="136">
        <v>25.730645175728938</v>
      </c>
      <c r="G9" s="137">
        <v>66.945486356507899</v>
      </c>
      <c r="H9" s="138">
        <v>66.22500033439961</v>
      </c>
      <c r="I9" s="139">
        <v>69.467187433886963</v>
      </c>
      <c r="J9" s="139">
        <v>9.596152419683353</v>
      </c>
      <c r="K9" s="139">
        <v>9.596152419683353</v>
      </c>
      <c r="L9" s="140">
        <v>432.14930653007787</v>
      </c>
      <c r="M9" s="141">
        <v>16.497925363744589</v>
      </c>
      <c r="N9" s="141">
        <v>15.920125398505737</v>
      </c>
      <c r="O9" s="141">
        <v>14.636125475752742</v>
      </c>
      <c r="P9" s="141">
        <v>13.865725522100941</v>
      </c>
      <c r="R9" s="125">
        <f t="shared" si="2"/>
        <v>45179</v>
      </c>
      <c r="S9" s="129">
        <f t="shared" si="4"/>
        <v>95.026423348271109</v>
      </c>
      <c r="T9" s="129">
        <f t="shared" si="3"/>
        <v>92.823223366013522</v>
      </c>
      <c r="U9" s="129">
        <f t="shared" si="3"/>
        <v>87.92722340544114</v>
      </c>
      <c r="V9" s="129">
        <f t="shared" si="3"/>
        <v>84.989623429097719</v>
      </c>
    </row>
    <row r="10" spans="3:22" hidden="1" x14ac:dyDescent="0.2">
      <c r="C10" s="133">
        <v>45180</v>
      </c>
      <c r="D10" s="134">
        <v>25.587152761096597</v>
      </c>
      <c r="E10" s="135">
        <v>26.290582938293287</v>
      </c>
      <c r="F10" s="136">
        <v>23.173846153175599</v>
      </c>
      <c r="G10" s="137">
        <v>72.522569750314517</v>
      </c>
      <c r="H10" s="138">
        <v>70.450450857584642</v>
      </c>
      <c r="I10" s="139">
        <v>79.492424207678681</v>
      </c>
      <c r="J10" s="139">
        <v>6.9897687935142274</v>
      </c>
      <c r="K10" s="139">
        <v>6.9897687935142274</v>
      </c>
      <c r="L10" s="140">
        <v>427.36805715870935</v>
      </c>
      <c r="M10" s="141">
        <v>15.801758573715139</v>
      </c>
      <c r="N10" s="141">
        <v>15.153758590733375</v>
      </c>
      <c r="O10" s="141">
        <v>13.713758628551677</v>
      </c>
      <c r="P10" s="141">
        <v>12.849758651242654</v>
      </c>
      <c r="R10" s="125">
        <f t="shared" si="2"/>
        <v>45180</v>
      </c>
      <c r="S10" s="129">
        <f t="shared" si="4"/>
        <v>110.82818192198624</v>
      </c>
      <c r="T10" s="129">
        <f t="shared" si="3"/>
        <v>107.9769819567469</v>
      </c>
      <c r="U10" s="129">
        <f t="shared" si="3"/>
        <v>101.64098203399281</v>
      </c>
      <c r="V10" s="129">
        <f t="shared" si="3"/>
        <v>97.839382080340371</v>
      </c>
    </row>
    <row r="11" spans="3:22" hidden="1" x14ac:dyDescent="0.2">
      <c r="C11" s="133">
        <v>45181</v>
      </c>
      <c r="D11" s="134">
        <v>23.921527797335472</v>
      </c>
      <c r="E11" s="135">
        <v>24.456502241821479</v>
      </c>
      <c r="F11" s="136">
        <v>22.08615393394491</v>
      </c>
      <c r="G11" s="137">
        <v>79.308680469630886</v>
      </c>
      <c r="H11" s="138">
        <v>77.657013479040359</v>
      </c>
      <c r="I11" s="139">
        <v>84.756716363966603</v>
      </c>
      <c r="J11" s="139">
        <v>4.7585878038047751</v>
      </c>
      <c r="K11" s="139">
        <v>4.7585878038047751</v>
      </c>
      <c r="L11" s="140">
        <v>419.3506947477261</v>
      </c>
      <c r="M11" s="141">
        <v>13.472369999647137</v>
      </c>
      <c r="N11" s="141">
        <v>12.581370017027467</v>
      </c>
      <c r="O11" s="141">
        <v>10.60137005565041</v>
      </c>
      <c r="P11" s="141">
        <v>9.4133700788241761</v>
      </c>
      <c r="R11" s="125">
        <f t="shared" si="2"/>
        <v>45181</v>
      </c>
      <c r="S11" s="129">
        <f t="shared" si="4"/>
        <v>124.30055192163339</v>
      </c>
      <c r="T11" s="129">
        <f t="shared" si="3"/>
        <v>120.55835197377436</v>
      </c>
      <c r="U11" s="129">
        <f t="shared" si="3"/>
        <v>112.24235208964322</v>
      </c>
      <c r="V11" s="129">
        <f t="shared" si="3"/>
        <v>107.25275215916454</v>
      </c>
    </row>
    <row r="12" spans="3:22" hidden="1" x14ac:dyDescent="0.2">
      <c r="C12" s="133">
        <v>45182</v>
      </c>
      <c r="D12" s="134">
        <v>22.492361103836174</v>
      </c>
      <c r="E12" s="135">
        <v>23.118749987967295</v>
      </c>
      <c r="F12" s="136">
        <v>20.300000009377335</v>
      </c>
      <c r="G12" s="137">
        <v>72.979861352132119</v>
      </c>
      <c r="H12" s="138">
        <v>71.766816494779789</v>
      </c>
      <c r="I12" s="139">
        <v>77.14153832427948</v>
      </c>
      <c r="J12" s="139">
        <v>5.7196110264380069</v>
      </c>
      <c r="K12" s="139">
        <v>5.7196110264380069</v>
      </c>
      <c r="L12" s="140">
        <v>403.43402752177388</v>
      </c>
      <c r="M12" s="141">
        <v>14.635618736757122</v>
      </c>
      <c r="N12" s="141">
        <v>14.036218719376297</v>
      </c>
      <c r="O12" s="141">
        <v>12.704218680752239</v>
      </c>
      <c r="P12" s="141">
        <v>11.905018657577804</v>
      </c>
      <c r="R12" s="125">
        <f t="shared" si="2"/>
        <v>45182</v>
      </c>
      <c r="S12" s="129">
        <f t="shared" si="4"/>
        <v>138.93617065839049</v>
      </c>
      <c r="T12" s="129">
        <f t="shared" si="3"/>
        <v>134.59457069315067</v>
      </c>
      <c r="U12" s="129">
        <f t="shared" si="3"/>
        <v>124.94657077039545</v>
      </c>
      <c r="V12" s="129">
        <f t="shared" si="3"/>
        <v>119.15777081674234</v>
      </c>
    </row>
    <row r="13" spans="3:22" hidden="1" x14ac:dyDescent="0.2">
      <c r="C13" s="133">
        <v>45183</v>
      </c>
      <c r="D13" s="134">
        <v>21.747569388264122</v>
      </c>
      <c r="E13" s="135">
        <v>22.302232070774924</v>
      </c>
      <c r="F13" s="136">
        <v>19.806249999476279</v>
      </c>
      <c r="G13" s="137">
        <v>71.848263850454771</v>
      </c>
      <c r="H13" s="138">
        <v>70.972197294044861</v>
      </c>
      <c r="I13" s="139">
        <v>74.853846036291756</v>
      </c>
      <c r="J13" s="139">
        <v>5.8288024420618179</v>
      </c>
      <c r="K13" s="139">
        <v>5.8288024420618179</v>
      </c>
      <c r="L13" s="140">
        <v>417.47222228008548</v>
      </c>
      <c r="M13" s="141">
        <v>14.238456093300801</v>
      </c>
      <c r="N13" s="141">
        <v>13.541856162462008</v>
      </c>
      <c r="O13" s="141">
        <v>11.993856316153559</v>
      </c>
      <c r="P13" s="141">
        <v>11.065056408368498</v>
      </c>
      <c r="R13" s="125">
        <f t="shared" si="2"/>
        <v>45183</v>
      </c>
      <c r="S13" s="129">
        <f t="shared" si="4"/>
        <v>153.17462675169131</v>
      </c>
      <c r="T13" s="129">
        <f t="shared" si="3"/>
        <v>148.13642685561268</v>
      </c>
      <c r="U13" s="129">
        <f t="shared" si="3"/>
        <v>136.94042708654902</v>
      </c>
      <c r="V13" s="129">
        <f t="shared" si="3"/>
        <v>130.22282722511085</v>
      </c>
    </row>
    <row r="14" spans="3:22" hidden="1" x14ac:dyDescent="0.2">
      <c r="C14" s="133">
        <v>45184</v>
      </c>
      <c r="D14" s="134">
        <v>21.839236102169703</v>
      </c>
      <c r="E14" s="135">
        <v>22.42168140753164</v>
      </c>
      <c r="F14" s="136">
        <v>19.716129021334201</v>
      </c>
      <c r="G14" s="137">
        <v>68.822222613432274</v>
      </c>
      <c r="H14" s="138">
        <v>67.404464755575106</v>
      </c>
      <c r="I14" s="139">
        <v>73.784375115932392</v>
      </c>
      <c r="J14" s="139">
        <v>6.5786526470163942</v>
      </c>
      <c r="K14" s="139">
        <v>6.5786526470163942</v>
      </c>
      <c r="L14" s="140">
        <v>446.94792042690608</v>
      </c>
      <c r="M14" s="141">
        <v>16.680337499874451</v>
      </c>
      <c r="N14" s="141">
        <v>16.080937516892686</v>
      </c>
      <c r="O14" s="141">
        <v>14.748937554710986</v>
      </c>
      <c r="P14" s="141">
        <v>13.949737577401969</v>
      </c>
      <c r="R14" s="125">
        <f t="shared" si="2"/>
        <v>45184</v>
      </c>
      <c r="S14" s="129">
        <f t="shared" si="4"/>
        <v>169.85496425156575</v>
      </c>
      <c r="T14" s="129">
        <f t="shared" si="3"/>
        <v>164.21736437250536</v>
      </c>
      <c r="U14" s="129">
        <f t="shared" si="3"/>
        <v>151.68936464126</v>
      </c>
      <c r="V14" s="129">
        <f t="shared" si="3"/>
        <v>144.17256480251282</v>
      </c>
    </row>
    <row r="15" spans="3:22" hidden="1" x14ac:dyDescent="0.2">
      <c r="C15" s="133">
        <v>45185</v>
      </c>
      <c r="D15" s="134">
        <v>22.728472319021368</v>
      </c>
      <c r="E15" s="135">
        <v>23.274774897603567</v>
      </c>
      <c r="F15" s="136">
        <v>20.890909100153952</v>
      </c>
      <c r="G15" s="137">
        <v>72.636110974774155</v>
      </c>
      <c r="H15" s="138">
        <v>72.047031839720418</v>
      </c>
      <c r="I15" s="139">
        <v>74.505796925162173</v>
      </c>
      <c r="J15" s="139">
        <v>6.0017751118324263</v>
      </c>
      <c r="K15" s="139">
        <v>6.0017751118324263</v>
      </c>
      <c r="L15" s="140">
        <v>453.06248839976405</v>
      </c>
      <c r="M15" s="141">
        <v>14.858347781918292</v>
      </c>
      <c r="N15" s="141">
        <v>14.226547781918294</v>
      </c>
      <c r="O15" s="141">
        <v>12.82254778191829</v>
      </c>
      <c r="P15" s="141">
        <v>11.980147781918292</v>
      </c>
      <c r="R15" s="125">
        <f t="shared" si="2"/>
        <v>45185</v>
      </c>
      <c r="S15" s="129">
        <f t="shared" si="4"/>
        <v>184.71331203348404</v>
      </c>
      <c r="T15" s="129">
        <f t="shared" si="3"/>
        <v>178.44391215442366</v>
      </c>
      <c r="U15" s="129">
        <f t="shared" si="3"/>
        <v>164.5119124231783</v>
      </c>
      <c r="V15" s="129">
        <f t="shared" si="3"/>
        <v>156.15271258443113</v>
      </c>
    </row>
    <row r="16" spans="3:22" hidden="1" x14ac:dyDescent="0.2">
      <c r="C16" s="133">
        <v>45186</v>
      </c>
      <c r="D16" s="134">
        <v>21.817361115662774</v>
      </c>
      <c r="E16" s="135">
        <v>22.217937250070978</v>
      </c>
      <c r="F16" s="136">
        <v>20.443076839154635</v>
      </c>
      <c r="G16" s="137">
        <v>79.57430553161096</v>
      </c>
      <c r="H16" s="138">
        <v>77.372727256285984</v>
      </c>
      <c r="I16" s="139">
        <v>86.697058775309401</v>
      </c>
      <c r="J16" s="139">
        <v>4.0791113255264273</v>
      </c>
      <c r="K16" s="139">
        <v>4.0791113255264273</v>
      </c>
      <c r="L16" s="140">
        <v>457.48264235411574</v>
      </c>
      <c r="M16" s="141">
        <v>12.145007571136251</v>
      </c>
      <c r="N16" s="141">
        <v>10.994807554118017</v>
      </c>
      <c r="O16" s="141">
        <v>8.4388075162997094</v>
      </c>
      <c r="P16" s="141">
        <v>6.9052074936087307</v>
      </c>
      <c r="R16" s="125">
        <f t="shared" si="2"/>
        <v>45186</v>
      </c>
      <c r="S16" s="129">
        <f t="shared" si="4"/>
        <v>196.85831960462031</v>
      </c>
      <c r="T16" s="129">
        <f t="shared" si="3"/>
        <v>189.43871970854167</v>
      </c>
      <c r="U16" s="129">
        <f t="shared" si="3"/>
        <v>172.95071993947801</v>
      </c>
      <c r="V16" s="129">
        <f t="shared" si="3"/>
        <v>163.05792007803987</v>
      </c>
    </row>
    <row r="17" spans="3:22" x14ac:dyDescent="0.2">
      <c r="C17" s="133">
        <v>45187</v>
      </c>
      <c r="D17" s="134">
        <v>22.307986143334833</v>
      </c>
      <c r="E17" s="135">
        <v>22.96513765884902</v>
      </c>
      <c r="F17" s="136">
        <v>20.26142856644783</v>
      </c>
      <c r="G17" s="137">
        <v>79.789583624298629</v>
      </c>
      <c r="H17" s="138">
        <v>77.657870762173744</v>
      </c>
      <c r="I17" s="139">
        <v>86.184722210673243</v>
      </c>
      <c r="J17" s="139">
        <v>4.3004695263100583</v>
      </c>
      <c r="K17" s="139">
        <v>4.3004695263100583</v>
      </c>
      <c r="L17" s="140">
        <v>455.20485914110549</v>
      </c>
      <c r="M17" s="141">
        <v>13.212406696616505</v>
      </c>
      <c r="N17" s="141">
        <v>12.440206731015566</v>
      </c>
      <c r="O17" s="141">
        <v>10.724206807457929</v>
      </c>
      <c r="P17" s="141">
        <v>9.6946068533233323</v>
      </c>
      <c r="R17" s="125">
        <f t="shared" si="2"/>
        <v>45187</v>
      </c>
      <c r="S17" s="129">
        <f t="shared" si="4"/>
        <v>210.07072630123682</v>
      </c>
      <c r="T17" s="129">
        <f t="shared" si="3"/>
        <v>201.87892643955723</v>
      </c>
      <c r="U17" s="129">
        <f t="shared" si="3"/>
        <v>183.67492674693594</v>
      </c>
      <c r="V17" s="129">
        <f t="shared" si="3"/>
        <v>172.75252693136321</v>
      </c>
    </row>
    <row r="18" spans="3:22" hidden="1" x14ac:dyDescent="0.2">
      <c r="C18" s="133">
        <v>45188</v>
      </c>
      <c r="D18" s="134">
        <v>20.911111074302639</v>
      </c>
      <c r="E18" s="135">
        <v>21.399536988114416</v>
      </c>
      <c r="F18" s="136">
        <v>19.445833332867295</v>
      </c>
      <c r="G18" s="137">
        <v>78.17743109142107</v>
      </c>
      <c r="H18" s="138">
        <v>76.789352574783265</v>
      </c>
      <c r="I18" s="139">
        <v>82.341666641334655</v>
      </c>
      <c r="J18" s="139">
        <v>4.1381885162147976</v>
      </c>
      <c r="K18" s="139">
        <v>4.1381885162147976</v>
      </c>
      <c r="L18" s="140">
        <v>473.77777841065534</v>
      </c>
      <c r="M18" s="141">
        <v>12.38118526674692</v>
      </c>
      <c r="N18" s="141">
        <v>11.441585163006605</v>
      </c>
      <c r="O18" s="141">
        <v>9.3535849324725788</v>
      </c>
      <c r="P18" s="141">
        <v>8.10078479415216</v>
      </c>
      <c r="R18" s="125">
        <f t="shared" si="2"/>
        <v>45188</v>
      </c>
      <c r="S18" s="129">
        <f t="shared" si="4"/>
        <v>222.45191156798373</v>
      </c>
      <c r="T18" s="129">
        <f t="shared" si="3"/>
        <v>213.32051160256384</v>
      </c>
      <c r="U18" s="129">
        <f t="shared" si="3"/>
        <v>193.02851167940852</v>
      </c>
      <c r="V18" s="129">
        <f t="shared" si="3"/>
        <v>180.85331172551537</v>
      </c>
    </row>
    <row r="19" spans="3:22" hidden="1" x14ac:dyDescent="0.2">
      <c r="C19" s="133">
        <v>45189</v>
      </c>
      <c r="D19" s="134">
        <v>21.880555582505412</v>
      </c>
      <c r="E19" s="135">
        <v>22.154629662799934</v>
      </c>
      <c r="F19" s="136">
        <v>21.058333341621928</v>
      </c>
      <c r="G19" s="137">
        <v>71.770138794740859</v>
      </c>
      <c r="H19" s="138">
        <v>71.247222153393622</v>
      </c>
      <c r="I19" s="139">
        <v>73.338888718782584</v>
      </c>
      <c r="J19" s="139">
        <v>5.6338703923183671</v>
      </c>
      <c r="K19" s="139">
        <v>5.6338703923183671</v>
      </c>
      <c r="L19" s="140">
        <v>469.35416262630849</v>
      </c>
      <c r="M19" s="141">
        <v>12.482669724378379</v>
      </c>
      <c r="N19" s="141">
        <v>11.570069706998055</v>
      </c>
      <c r="O19" s="141">
        <v>9.5420696683751167</v>
      </c>
      <c r="P19" s="141">
        <v>8.3252696452013542</v>
      </c>
      <c r="R19" s="125">
        <f t="shared" si="2"/>
        <v>45189</v>
      </c>
      <c r="S19" s="129">
        <f t="shared" si="4"/>
        <v>234.93458129236211</v>
      </c>
      <c r="T19" s="129">
        <f t="shared" si="3"/>
        <v>224.8905813095619</v>
      </c>
      <c r="U19" s="129">
        <f t="shared" si="3"/>
        <v>202.57058134778364</v>
      </c>
      <c r="V19" s="129">
        <f t="shared" si="3"/>
        <v>189.17858137071673</v>
      </c>
    </row>
    <row r="20" spans="3:22" hidden="1" x14ac:dyDescent="0.2">
      <c r="C20" s="133">
        <v>45190</v>
      </c>
      <c r="D20" s="134">
        <v>21.159027728953053</v>
      </c>
      <c r="E20" s="135">
        <v>21.756481432788743</v>
      </c>
      <c r="F20" s="136">
        <v>19.366666617446093</v>
      </c>
      <c r="G20" s="137">
        <v>81.158680590794717</v>
      </c>
      <c r="H20" s="138">
        <v>79.162963039176702</v>
      </c>
      <c r="I20" s="139">
        <v>87.145833245648845</v>
      </c>
      <c r="J20" s="139">
        <v>3.6155686184937585</v>
      </c>
      <c r="K20" s="139">
        <v>3.6155686184937585</v>
      </c>
      <c r="L20" s="140">
        <v>487.28472024827067</v>
      </c>
      <c r="M20" s="141">
        <v>11.379249769239943</v>
      </c>
      <c r="N20" s="141">
        <v>10.234449769239943</v>
      </c>
      <c r="O20" s="141">
        <v>7.6904497692399421</v>
      </c>
      <c r="P20" s="141">
        <v>6.1640497692399414</v>
      </c>
      <c r="R20" s="125">
        <f t="shared" si="2"/>
        <v>45190</v>
      </c>
      <c r="S20" s="129">
        <f t="shared" si="4"/>
        <v>246.31383106160206</v>
      </c>
      <c r="T20" s="129">
        <f t="shared" si="3"/>
        <v>235.12503107880184</v>
      </c>
      <c r="U20" s="129">
        <f t="shared" si="3"/>
        <v>210.26103111702358</v>
      </c>
      <c r="V20" s="129">
        <f t="shared" si="3"/>
        <v>195.34263113995667</v>
      </c>
    </row>
    <row r="21" spans="3:22" hidden="1" x14ac:dyDescent="0.2">
      <c r="C21" s="133">
        <v>45191</v>
      </c>
      <c r="D21" s="134">
        <v>20.334722299219219</v>
      </c>
      <c r="E21" s="135">
        <v>20.944444559121116</v>
      </c>
      <c r="F21" s="136">
        <v>18.505555519513539</v>
      </c>
      <c r="G21" s="137">
        <v>80.811458178943226</v>
      </c>
      <c r="H21" s="138">
        <v>79.204166440836346</v>
      </c>
      <c r="I21" s="139">
        <v>85.633333393263655</v>
      </c>
      <c r="J21" s="139">
        <v>3.6456356929025042</v>
      </c>
      <c r="K21" s="139">
        <v>3.6456356929025042</v>
      </c>
      <c r="L21" s="140">
        <v>487.44096887770593</v>
      </c>
      <c r="M21" s="141">
        <v>12.756236861865645</v>
      </c>
      <c r="N21" s="141">
        <v>11.913836827466096</v>
      </c>
      <c r="O21" s="141">
        <v>10.041836751022643</v>
      </c>
      <c r="P21" s="141">
        <v>8.9186367051565778</v>
      </c>
      <c r="R21" s="125">
        <f t="shared" si="2"/>
        <v>45191</v>
      </c>
      <c r="S21" s="129">
        <f t="shared" si="4"/>
        <v>259.07006792346772</v>
      </c>
      <c r="T21" s="129">
        <f t="shared" si="4"/>
        <v>247.03886790626794</v>
      </c>
      <c r="U21" s="129">
        <f t="shared" si="4"/>
        <v>220.30286786804623</v>
      </c>
      <c r="V21" s="129">
        <f t="shared" si="4"/>
        <v>204.26126784511325</v>
      </c>
    </row>
    <row r="22" spans="3:22" hidden="1" x14ac:dyDescent="0.2">
      <c r="C22" s="133">
        <v>45192</v>
      </c>
      <c r="D22" s="134">
        <v>20.604513844523396</v>
      </c>
      <c r="E22" s="135">
        <v>21.278636304430218</v>
      </c>
      <c r="F22" s="136">
        <v>18.423529415413068</v>
      </c>
      <c r="G22" s="137">
        <v>78.804514311184164</v>
      </c>
      <c r="H22" s="138">
        <v>77.26940696471317</v>
      </c>
      <c r="I22" s="139">
        <v>83.676811541287677</v>
      </c>
      <c r="J22" s="139">
        <v>4.0570033804100847</v>
      </c>
      <c r="K22" s="139">
        <v>4.0570033804100847</v>
      </c>
      <c r="L22" s="140">
        <v>478.0659719656864</v>
      </c>
      <c r="M22" s="141">
        <v>12.845704309937222</v>
      </c>
      <c r="N22" s="141">
        <v>11.997904344698389</v>
      </c>
      <c r="O22" s="141">
        <v>10.113904421945415</v>
      </c>
      <c r="P22" s="141">
        <v>8.9835044682936296</v>
      </c>
      <c r="R22" s="125">
        <f t="shared" si="2"/>
        <v>45192</v>
      </c>
      <c r="S22" s="129">
        <f t="shared" si="4"/>
        <v>271.91577223340494</v>
      </c>
      <c r="T22" s="129">
        <f t="shared" si="4"/>
        <v>259.03677225096635</v>
      </c>
      <c r="U22" s="129">
        <f t="shared" si="4"/>
        <v>230.41677228999166</v>
      </c>
      <c r="V22" s="129">
        <f t="shared" si="4"/>
        <v>213.24477231340688</v>
      </c>
    </row>
    <row r="23" spans="3:22" hidden="1" x14ac:dyDescent="0.2">
      <c r="C23" s="133">
        <v>45193</v>
      </c>
      <c r="D23" s="134">
        <v>21.182638903440374</v>
      </c>
      <c r="E23" s="135">
        <v>21.822018353406559</v>
      </c>
      <c r="F23" s="136">
        <v>19.191428616402707</v>
      </c>
      <c r="G23" s="137">
        <v>70.967013672463466</v>
      </c>
      <c r="H23" s="138">
        <v>69.361008953646817</v>
      </c>
      <c r="I23" s="139">
        <v>75.96857122534955</v>
      </c>
      <c r="J23" s="139">
        <v>5.9990945160922173</v>
      </c>
      <c r="K23" s="139">
        <v>5.9990945160922173</v>
      </c>
      <c r="L23" s="140">
        <v>469.2499953838186</v>
      </c>
      <c r="M23" s="141">
        <v>15.772884421951131</v>
      </c>
      <c r="N23" s="141">
        <v>15.162684438969855</v>
      </c>
      <c r="O23" s="141">
        <v>13.806684476789238</v>
      </c>
      <c r="P23" s="141">
        <v>12.993084499480872</v>
      </c>
      <c r="R23" s="125">
        <f t="shared" si="2"/>
        <v>45193</v>
      </c>
      <c r="S23" s="129">
        <f t="shared" si="4"/>
        <v>287.68865665535606</v>
      </c>
      <c r="T23" s="129">
        <f t="shared" si="4"/>
        <v>274.1994566899362</v>
      </c>
      <c r="U23" s="129">
        <f t="shared" si="4"/>
        <v>244.22345676678088</v>
      </c>
      <c r="V23" s="129">
        <f t="shared" si="4"/>
        <v>226.23785681288774</v>
      </c>
    </row>
    <row r="24" spans="3:22" hidden="1" x14ac:dyDescent="0.2">
      <c r="C24" s="133">
        <v>45194</v>
      </c>
      <c r="D24" s="134">
        <v>21.514583295707737</v>
      </c>
      <c r="E24" s="135">
        <v>22.051141514942074</v>
      </c>
      <c r="F24" s="136">
        <v>19.811594165094458</v>
      </c>
      <c r="G24" s="137">
        <v>75.627778003490093</v>
      </c>
      <c r="H24" s="138">
        <v>73.379166944053978</v>
      </c>
      <c r="I24" s="139">
        <v>82.373611181798509</v>
      </c>
      <c r="J24" s="139">
        <v>4.9600510107026006</v>
      </c>
      <c r="K24" s="139">
        <v>4.9600510107026006</v>
      </c>
      <c r="L24" s="140">
        <v>478.76736735494029</v>
      </c>
      <c r="M24" s="141">
        <v>14.25441982939703</v>
      </c>
      <c r="N24" s="141">
        <v>13.417419777616656</v>
      </c>
      <c r="O24" s="141">
        <v>11.557419662549155</v>
      </c>
      <c r="P24" s="141">
        <v>10.441419593508652</v>
      </c>
      <c r="R24" s="125">
        <f t="shared" si="2"/>
        <v>45194</v>
      </c>
      <c r="S24" s="129">
        <f t="shared" si="4"/>
        <v>301.94307648475308</v>
      </c>
      <c r="T24" s="129">
        <f t="shared" si="4"/>
        <v>287.61687646755286</v>
      </c>
      <c r="U24" s="129">
        <f t="shared" si="4"/>
        <v>255.78087642933005</v>
      </c>
      <c r="V24" s="129">
        <f t="shared" si="4"/>
        <v>236.67927640639638</v>
      </c>
    </row>
    <row r="25" spans="3:22" hidden="1" x14ac:dyDescent="0.2">
      <c r="C25" s="133">
        <v>45195</v>
      </c>
      <c r="D25" s="134">
        <v>21.754166750950041</v>
      </c>
      <c r="E25" s="135">
        <v>22.250685044029275</v>
      </c>
      <c r="F25" s="136">
        <v>20.178260864220345</v>
      </c>
      <c r="G25" s="137">
        <v>77.191318910436451</v>
      </c>
      <c r="H25" s="138">
        <v>75.604146781784465</v>
      </c>
      <c r="I25" s="139">
        <v>82.042253444485496</v>
      </c>
      <c r="J25" s="139">
        <v>4.7445128573127571</v>
      </c>
      <c r="K25" s="139">
        <v>4.7445128573127571</v>
      </c>
      <c r="L25" s="140">
        <v>494.03471803949066</v>
      </c>
      <c r="M25" s="141">
        <v>14.014974200301225</v>
      </c>
      <c r="N25" s="141">
        <v>13.215774165901676</v>
      </c>
      <c r="O25" s="141">
        <v>11.439774089458229</v>
      </c>
      <c r="P25" s="141">
        <v>10.374174043592159</v>
      </c>
      <c r="R25" s="125">
        <f t="shared" si="2"/>
        <v>45195</v>
      </c>
      <c r="S25" s="129">
        <f t="shared" si="4"/>
        <v>315.95805068505433</v>
      </c>
      <c r="T25" s="129">
        <f t="shared" si="4"/>
        <v>300.83265063345453</v>
      </c>
      <c r="U25" s="129">
        <f t="shared" si="4"/>
        <v>267.22065051878826</v>
      </c>
      <c r="V25" s="129">
        <f t="shared" si="4"/>
        <v>247.05345044998853</v>
      </c>
    </row>
    <row r="26" spans="3:22" hidden="1" x14ac:dyDescent="0.2">
      <c r="C26" s="133">
        <v>45196</v>
      </c>
      <c r="D26" s="134">
        <v>21.913889075247411</v>
      </c>
      <c r="E26" s="135">
        <v>22.238889137630899</v>
      </c>
      <c r="F26" s="136">
        <v>20.938888888096891</v>
      </c>
      <c r="G26" s="137">
        <v>78.2423605543338</v>
      </c>
      <c r="H26" s="138">
        <v>77.943054787217591</v>
      </c>
      <c r="I26" s="139">
        <v>79.14027785568247</v>
      </c>
      <c r="J26" s="139">
        <v>4.4989974083637874</v>
      </c>
      <c r="K26" s="139">
        <v>4.4989974083637874</v>
      </c>
      <c r="L26" s="140">
        <v>486.54166517072218</v>
      </c>
      <c r="M26" s="141">
        <v>13.637597099772359</v>
      </c>
      <c r="N26" s="141">
        <v>12.70879708239104</v>
      </c>
      <c r="O26" s="141">
        <v>10.644797043765895</v>
      </c>
      <c r="P26" s="141">
        <v>9.4063970205908021</v>
      </c>
      <c r="R26" s="125">
        <f t="shared" si="2"/>
        <v>45196</v>
      </c>
      <c r="S26" s="129">
        <f t="shared" si="4"/>
        <v>329.59564778482667</v>
      </c>
      <c r="T26" s="129">
        <f t="shared" si="4"/>
        <v>313.54144771584555</v>
      </c>
      <c r="U26" s="129">
        <f t="shared" si="4"/>
        <v>277.86544756255415</v>
      </c>
      <c r="V26" s="129">
        <f t="shared" si="4"/>
        <v>256.45984747057935</v>
      </c>
    </row>
    <row r="27" spans="3:22" hidden="1" x14ac:dyDescent="0.2">
      <c r="C27" s="133">
        <v>45197</v>
      </c>
      <c r="D27" s="134">
        <v>22.020486069910859</v>
      </c>
      <c r="E27" s="135">
        <v>22.57603679713991</v>
      </c>
      <c r="F27" s="136">
        <v>20.322535255703656</v>
      </c>
      <c r="G27" s="137">
        <v>76.539583168992479</v>
      </c>
      <c r="H27" s="138">
        <v>75.778703486616195</v>
      </c>
      <c r="I27" s="139">
        <v>78.822222216121446</v>
      </c>
      <c r="J27" s="139">
        <v>4.7437545198124944</v>
      </c>
      <c r="K27" s="139">
        <v>4.7437545198124944</v>
      </c>
      <c r="L27" s="140">
        <v>489.57638488503449</v>
      </c>
      <c r="M27" s="141">
        <v>13.158873703122266</v>
      </c>
      <c r="N27" s="141">
        <v>12.084273789301692</v>
      </c>
      <c r="O27" s="141">
        <v>9.6962739808115348</v>
      </c>
      <c r="P27" s="141">
        <v>8.2634740957174344</v>
      </c>
      <c r="R27" s="125">
        <f t="shared" si="2"/>
        <v>45197</v>
      </c>
      <c r="S27" s="129">
        <f t="shared" si="4"/>
        <v>342.75452148794892</v>
      </c>
      <c r="T27" s="129">
        <f t="shared" si="4"/>
        <v>325.62572150514723</v>
      </c>
      <c r="U27" s="129">
        <f t="shared" si="4"/>
        <v>287.56172154336571</v>
      </c>
      <c r="V27" s="129">
        <f t="shared" si="4"/>
        <v>264.72332156629676</v>
      </c>
    </row>
    <row r="28" spans="3:22" x14ac:dyDescent="0.2">
      <c r="C28" s="133">
        <v>45198</v>
      </c>
      <c r="D28" s="134">
        <v>21.548958355417565</v>
      </c>
      <c r="E28" s="135">
        <v>22.446082977490757</v>
      </c>
      <c r="F28" s="136">
        <v>18.807042256968497</v>
      </c>
      <c r="G28" s="137">
        <v>79.882291216698889</v>
      </c>
      <c r="H28" s="138">
        <v>78.658795671410743</v>
      </c>
      <c r="I28" s="139">
        <v>83.552777852563253</v>
      </c>
      <c r="J28" s="139">
        <v>4.0126011377466666</v>
      </c>
      <c r="K28" s="139">
        <v>4.0126011377466666</v>
      </c>
      <c r="L28" s="140">
        <v>504.5138927419431</v>
      </c>
      <c r="M28" s="141">
        <v>12.505654205797141</v>
      </c>
      <c r="N28" s="141">
        <v>11.560654222814881</v>
      </c>
      <c r="O28" s="141">
        <v>9.4606542606320687</v>
      </c>
      <c r="P28" s="141">
        <v>8.2006542833223826</v>
      </c>
      <c r="R28" s="125">
        <f t="shared" si="2"/>
        <v>45198</v>
      </c>
      <c r="S28" s="129">
        <f t="shared" si="4"/>
        <v>355.26017569374608</v>
      </c>
      <c r="T28" s="129">
        <f t="shared" si="4"/>
        <v>337.18637572796212</v>
      </c>
      <c r="U28" s="129">
        <f t="shared" si="4"/>
        <v>297.02237580399776</v>
      </c>
      <c r="V28" s="129">
        <f t="shared" si="4"/>
        <v>272.92397584961913</v>
      </c>
    </row>
    <row r="29" spans="3:22" hidden="1" x14ac:dyDescent="0.2">
      <c r="C29" s="133">
        <v>45199</v>
      </c>
      <c r="D29" s="134">
        <v>21.520486099806337</v>
      </c>
      <c r="E29" s="135">
        <v>22.136111108067535</v>
      </c>
      <c r="F29" s="136">
        <v>19.673611075022777</v>
      </c>
      <c r="G29" s="137">
        <v>77.237152790568487</v>
      </c>
      <c r="H29" s="138">
        <v>75.929629644385997</v>
      </c>
      <c r="I29" s="139">
        <v>81.159722229116056</v>
      </c>
      <c r="J29" s="139">
        <v>4.6617688915796283</v>
      </c>
      <c r="K29" s="139">
        <v>4.6617688915796283</v>
      </c>
      <c r="L29" s="140">
        <v>494.0138932743053</v>
      </c>
      <c r="M29" s="141">
        <v>13.80107251170384</v>
      </c>
      <c r="N29" s="141">
        <v>13.142272546102399</v>
      </c>
      <c r="O29" s="141">
        <v>11.678272622543641</v>
      </c>
      <c r="P29" s="141">
        <v>10.799872668408389</v>
      </c>
      <c r="R29" s="125">
        <f t="shared" si="2"/>
        <v>45199</v>
      </c>
      <c r="S29" s="129">
        <f t="shared" si="4"/>
        <v>369.06124820544994</v>
      </c>
      <c r="T29" s="129">
        <f t="shared" si="4"/>
        <v>350.32864827406451</v>
      </c>
      <c r="U29" s="129">
        <f t="shared" si="4"/>
        <v>308.70064842654142</v>
      </c>
      <c r="V29" s="129">
        <f t="shared" si="4"/>
        <v>283.72384851802752</v>
      </c>
    </row>
    <row r="30" spans="3:22" hidden="1" x14ac:dyDescent="0.2">
      <c r="C30" s="133">
        <v>45200</v>
      </c>
      <c r="D30" s="134">
        <v>22.918402734354331</v>
      </c>
      <c r="E30" s="135">
        <v>23.58617504453585</v>
      </c>
      <c r="F30" s="136">
        <v>20.877464828588277</v>
      </c>
      <c r="G30" s="137">
        <v>76.352777850750925</v>
      </c>
      <c r="H30" s="138">
        <v>74.300463069263472</v>
      </c>
      <c r="I30" s="139">
        <v>82.509722195213371</v>
      </c>
      <c r="J30" s="139">
        <v>5.2968673259581989</v>
      </c>
      <c r="K30" s="139">
        <v>5.2968673259581989</v>
      </c>
      <c r="L30" s="140">
        <v>499.94444526196327</v>
      </c>
      <c r="M30" s="141">
        <v>14.679763367469505</v>
      </c>
      <c r="N30" s="141">
        <v>13.983163332888902</v>
      </c>
      <c r="O30" s="141">
        <v>12.43516325604312</v>
      </c>
      <c r="P30" s="141">
        <v>11.506363209935653</v>
      </c>
      <c r="R30" s="125">
        <f t="shared" si="2"/>
        <v>45200</v>
      </c>
      <c r="S30" s="129">
        <f t="shared" si="4"/>
        <v>383.74101157291943</v>
      </c>
      <c r="T30" s="129">
        <f t="shared" si="4"/>
        <v>364.31181160695343</v>
      </c>
      <c r="U30" s="129">
        <f t="shared" si="4"/>
        <v>321.13581168258452</v>
      </c>
      <c r="V30" s="129">
        <f t="shared" si="4"/>
        <v>295.23021172796319</v>
      </c>
    </row>
    <row r="31" spans="3:22" hidden="1" x14ac:dyDescent="0.2">
      <c r="C31" s="133">
        <v>45201</v>
      </c>
      <c r="D31" s="134">
        <v>22.680034620444019</v>
      </c>
      <c r="E31" s="135">
        <v>23.137731357961993</v>
      </c>
      <c r="F31" s="136">
        <v>21.306944407890082</v>
      </c>
      <c r="G31" s="137">
        <v>80.067188135606401</v>
      </c>
      <c r="H31" s="138">
        <v>78.415047133992744</v>
      </c>
      <c r="I31" s="139">
        <v>85.023611140447258</v>
      </c>
      <c r="J31" s="139">
        <v>4.3382043504091499</v>
      </c>
      <c r="K31" s="139">
        <v>4.3382043504091499</v>
      </c>
      <c r="L31" s="140">
        <v>496.41319138394243</v>
      </c>
      <c r="M31" s="141">
        <v>13.048896793946685</v>
      </c>
      <c r="N31" s="141">
        <v>12.31989679394669</v>
      </c>
      <c r="O31" s="141">
        <v>10.699896793946689</v>
      </c>
      <c r="P31" s="141">
        <v>9.7278967939466785</v>
      </c>
      <c r="R31" s="125">
        <f t="shared" si="2"/>
        <v>45201</v>
      </c>
      <c r="S31" s="129">
        <f t="shared" si="4"/>
        <v>396.78990836686614</v>
      </c>
      <c r="T31" s="129">
        <f t="shared" si="4"/>
        <v>376.6317084009001</v>
      </c>
      <c r="U31" s="129">
        <f t="shared" si="4"/>
        <v>331.83570847653118</v>
      </c>
      <c r="V31" s="129">
        <f t="shared" si="4"/>
        <v>304.95810852190988</v>
      </c>
    </row>
    <row r="32" spans="3:22" hidden="1" x14ac:dyDescent="0.2">
      <c r="C32" s="133">
        <v>45202</v>
      </c>
      <c r="D32" s="134">
        <v>21.495833283542098</v>
      </c>
      <c r="E32" s="135">
        <v>22.280092514547196</v>
      </c>
      <c r="F32" s="136">
        <v>19.1430555905267</v>
      </c>
      <c r="G32" s="137">
        <v>80.329166532416963</v>
      </c>
      <c r="H32" s="138">
        <v>78.739351669018561</v>
      </c>
      <c r="I32" s="139">
        <v>85.098611122612354</v>
      </c>
      <c r="J32" s="139">
        <v>3.8717088944949651</v>
      </c>
      <c r="K32" s="139">
        <v>3.8717088944949651</v>
      </c>
      <c r="L32" s="140">
        <v>494.79514113571167</v>
      </c>
      <c r="M32" s="141">
        <v>11.883581833934471</v>
      </c>
      <c r="N32" s="141">
        <v>10.911581747573493</v>
      </c>
      <c r="O32" s="141">
        <v>8.7515815556602146</v>
      </c>
      <c r="P32" s="141">
        <v>7.4555814405122423</v>
      </c>
      <c r="R32" s="125">
        <f t="shared" si="2"/>
        <v>45202</v>
      </c>
      <c r="S32" s="129">
        <f t="shared" si="4"/>
        <v>408.67349020080064</v>
      </c>
      <c r="T32" s="129">
        <f t="shared" si="4"/>
        <v>387.5432901484736</v>
      </c>
      <c r="U32" s="129">
        <f t="shared" si="4"/>
        <v>340.58729003219139</v>
      </c>
      <c r="V32" s="129">
        <f t="shared" si="4"/>
        <v>312.4136899624221</v>
      </c>
    </row>
    <row r="33" spans="3:22" hidden="1" x14ac:dyDescent="0.2">
      <c r="C33" s="133">
        <v>45203</v>
      </c>
      <c r="D33" s="134">
        <v>20.818055561026004</v>
      </c>
      <c r="E33" s="135">
        <v>21.519907422322913</v>
      </c>
      <c r="F33" s="136">
        <v>18.712499977135248</v>
      </c>
      <c r="G33" s="137">
        <v>79.296875088976364</v>
      </c>
      <c r="H33" s="138">
        <v>77.882870521896592</v>
      </c>
      <c r="I33" s="139">
        <v>83.538888790215594</v>
      </c>
      <c r="J33" s="139">
        <v>4.0039233020303477</v>
      </c>
      <c r="K33" s="139">
        <v>4.0039233020303477</v>
      </c>
      <c r="L33" s="140">
        <v>489.45833108943066</v>
      </c>
      <c r="M33" s="141">
        <v>12.765844436168075</v>
      </c>
      <c r="N33" s="141">
        <v>11.885644418786761</v>
      </c>
      <c r="O33" s="141">
        <v>9.9296443801616139</v>
      </c>
      <c r="P33" s="141">
        <v>8.7560443569865249</v>
      </c>
      <c r="R33" s="125">
        <f t="shared" si="2"/>
        <v>45203</v>
      </c>
      <c r="S33" s="129">
        <f t="shared" si="4"/>
        <v>421.43933463696874</v>
      </c>
      <c r="T33" s="129">
        <f t="shared" si="4"/>
        <v>399.42893456726034</v>
      </c>
      <c r="U33" s="129">
        <f t="shared" si="4"/>
        <v>350.51693441235301</v>
      </c>
      <c r="V33" s="129">
        <f t="shared" si="4"/>
        <v>321.16973431940863</v>
      </c>
    </row>
    <row r="34" spans="3:22" hidden="1" x14ac:dyDescent="0.2">
      <c r="C34" s="133">
        <v>45204</v>
      </c>
      <c r="D34" s="134">
        <v>21.148958373287552</v>
      </c>
      <c r="E34" s="135">
        <v>21.885185249027977</v>
      </c>
      <c r="F34" s="136">
        <v>18.940277746066318</v>
      </c>
      <c r="G34" s="137">
        <v>79.075347444241231</v>
      </c>
      <c r="H34" s="138">
        <v>77.652778053375897</v>
      </c>
      <c r="I34" s="139">
        <v>83.343055616837276</v>
      </c>
      <c r="J34" s="139">
        <v>4.1595198102668549</v>
      </c>
      <c r="K34" s="139">
        <v>4.1595198102668549</v>
      </c>
      <c r="L34" s="140">
        <v>493.3055500621449</v>
      </c>
      <c r="M34" s="141">
        <v>13.288749403808371</v>
      </c>
      <c r="N34" s="141">
        <v>12.397749369227769</v>
      </c>
      <c r="O34" s="141">
        <v>10.417749292381991</v>
      </c>
      <c r="P34" s="141">
        <v>9.2297492462745279</v>
      </c>
      <c r="R34" s="125">
        <f t="shared" si="2"/>
        <v>45204</v>
      </c>
      <c r="S34" s="129">
        <f t="shared" si="4"/>
        <v>434.72808404077711</v>
      </c>
      <c r="T34" s="129">
        <f t="shared" si="4"/>
        <v>411.82668393648811</v>
      </c>
      <c r="U34" s="129">
        <f t="shared" si="4"/>
        <v>360.93468370473499</v>
      </c>
      <c r="V34" s="129">
        <f t="shared" si="4"/>
        <v>330.39948356568317</v>
      </c>
    </row>
    <row r="35" spans="3:22" hidden="1" x14ac:dyDescent="0.2">
      <c r="C35" s="133">
        <v>45205</v>
      </c>
      <c r="D35" s="134">
        <v>21.428124934608622</v>
      </c>
      <c r="E35" s="135">
        <v>22.100925837480172</v>
      </c>
      <c r="F35" s="136">
        <v>19.409722225993992</v>
      </c>
      <c r="G35" s="137">
        <v>79.06354215013927</v>
      </c>
      <c r="H35" s="138">
        <v>77.550926561972489</v>
      </c>
      <c r="I35" s="139">
        <v>83.601388914639813</v>
      </c>
      <c r="J35" s="139">
        <v>4.2505896804840617</v>
      </c>
      <c r="K35" s="139">
        <v>4.2505896804840617</v>
      </c>
      <c r="L35" s="140">
        <v>486.16319744580983</v>
      </c>
      <c r="M35" s="141">
        <v>13.557909357893891</v>
      </c>
      <c r="N35" s="141">
        <v>12.758709288733188</v>
      </c>
      <c r="O35" s="141">
        <v>10.982709135042748</v>
      </c>
      <c r="P35" s="141">
        <v>9.9171090428284838</v>
      </c>
      <c r="R35" s="125">
        <f t="shared" si="2"/>
        <v>45205</v>
      </c>
      <c r="S35" s="129">
        <f t="shared" si="4"/>
        <v>448.285993398671</v>
      </c>
      <c r="T35" s="129">
        <f t="shared" si="4"/>
        <v>424.58539322522131</v>
      </c>
      <c r="U35" s="129">
        <f t="shared" si="4"/>
        <v>371.91739283977773</v>
      </c>
      <c r="V35" s="129">
        <f t="shared" si="4"/>
        <v>340.31659260851166</v>
      </c>
    </row>
    <row r="36" spans="3:22" hidden="1" x14ac:dyDescent="0.2">
      <c r="C36" s="133">
        <v>45206</v>
      </c>
      <c r="D36" s="134">
        <v>22.158680608731888</v>
      </c>
      <c r="E36" s="135">
        <v>22.83287044743436</v>
      </c>
      <c r="F36" s="136">
        <v>20.136111092624365</v>
      </c>
      <c r="G36" s="137">
        <v>79.864235688140283</v>
      </c>
      <c r="H36" s="138">
        <v>78.157406827691403</v>
      </c>
      <c r="I36" s="139">
        <v>84.98472226948671</v>
      </c>
      <c r="J36" s="139">
        <v>4.253899438921513</v>
      </c>
      <c r="K36" s="139">
        <v>4.253899438921513</v>
      </c>
      <c r="L36" s="140">
        <v>487.94443583059143</v>
      </c>
      <c r="M36" s="141">
        <v>13.502219433034655</v>
      </c>
      <c r="N36" s="141">
        <v>12.75161934685522</v>
      </c>
      <c r="O36" s="141">
        <v>11.083619155345362</v>
      </c>
      <c r="P36" s="141">
        <v>10.082819040439441</v>
      </c>
      <c r="R36" s="125">
        <f t="shared" si="2"/>
        <v>45206</v>
      </c>
      <c r="S36" s="129">
        <f t="shared" si="4"/>
        <v>461.78821283170566</v>
      </c>
      <c r="T36" s="129">
        <f t="shared" si="4"/>
        <v>437.3370125720765</v>
      </c>
      <c r="U36" s="129">
        <f t="shared" si="4"/>
        <v>383.00101199512312</v>
      </c>
      <c r="V36" s="129">
        <f t="shared" si="4"/>
        <v>350.39941164895112</v>
      </c>
    </row>
    <row r="37" spans="3:22" hidden="1" x14ac:dyDescent="0.2">
      <c r="C37" s="133">
        <v>45207</v>
      </c>
      <c r="D37" s="134">
        <v>21.405555585487122</v>
      </c>
      <c r="E37" s="135">
        <v>22.14629633940261</v>
      </c>
      <c r="F37" s="136">
        <v>19.183333323740666</v>
      </c>
      <c r="G37" s="137">
        <v>81.477777841766354</v>
      </c>
      <c r="H37" s="138">
        <v>79.987037102130003</v>
      </c>
      <c r="I37" s="139">
        <v>85.950000060675492</v>
      </c>
      <c r="J37" s="139">
        <v>3.6443365052819945</v>
      </c>
      <c r="K37" s="139">
        <v>3.6443365052819945</v>
      </c>
      <c r="L37" s="140">
        <v>489.16318676033433</v>
      </c>
      <c r="M37" s="141">
        <v>12.14588364977025</v>
      </c>
      <c r="N37" s="141">
        <v>11.12528364977025</v>
      </c>
      <c r="O37" s="141">
        <v>8.8572836497702525</v>
      </c>
      <c r="P37" s="141">
        <v>7.4964836497702514</v>
      </c>
      <c r="R37" s="125">
        <f t="shared" si="2"/>
        <v>45207</v>
      </c>
      <c r="S37" s="129">
        <f t="shared" si="4"/>
        <v>473.93409648147593</v>
      </c>
      <c r="T37" s="129">
        <f t="shared" si="4"/>
        <v>448.46229622184677</v>
      </c>
      <c r="U37" s="129">
        <f t="shared" si="4"/>
        <v>391.85829564489336</v>
      </c>
      <c r="V37" s="129">
        <f t="shared" si="4"/>
        <v>357.89589529872137</v>
      </c>
    </row>
    <row r="38" spans="3:22" hidden="1" x14ac:dyDescent="0.2">
      <c r="C38" s="133">
        <v>45208</v>
      </c>
      <c r="D38" s="134">
        <v>21.715625030710012</v>
      </c>
      <c r="E38" s="135">
        <v>22.225000039689281</v>
      </c>
      <c r="F38" s="136">
        <v>20.187500003772147</v>
      </c>
      <c r="G38" s="137">
        <v>82.249305190056972</v>
      </c>
      <c r="H38" s="138">
        <v>80.668980960824555</v>
      </c>
      <c r="I38" s="139">
        <v>86.990277877754295</v>
      </c>
      <c r="J38" s="139">
        <v>3.6562882891088595</v>
      </c>
      <c r="K38" s="139">
        <v>3.6562882891088595</v>
      </c>
      <c r="L38" s="140">
        <v>496.87499884822967</v>
      </c>
      <c r="M38" s="141">
        <v>12.185014716444396</v>
      </c>
      <c r="N38" s="141">
        <v>11.283214716444396</v>
      </c>
      <c r="O38" s="141">
        <v>9.279214716444395</v>
      </c>
      <c r="P38" s="141">
        <v>8.0768147164443942</v>
      </c>
      <c r="R38" s="125">
        <f t="shared" si="2"/>
        <v>45208</v>
      </c>
      <c r="S38" s="129">
        <f t="shared" si="4"/>
        <v>486.11911119792035</v>
      </c>
      <c r="T38" s="129">
        <f t="shared" si="4"/>
        <v>459.74551093829115</v>
      </c>
      <c r="U38" s="129">
        <f t="shared" si="4"/>
        <v>401.13751036133777</v>
      </c>
      <c r="V38" s="129">
        <f t="shared" si="4"/>
        <v>365.97271001516577</v>
      </c>
    </row>
    <row r="39" spans="3:22" hidden="1" x14ac:dyDescent="0.2">
      <c r="C39" s="133">
        <v>45209</v>
      </c>
      <c r="D39" s="134">
        <v>22.107985993355769</v>
      </c>
      <c r="E39" s="135">
        <v>22.638425776586654</v>
      </c>
      <c r="F39" s="136">
        <v>20.516666643663129</v>
      </c>
      <c r="G39" s="137">
        <v>77.161806357557495</v>
      </c>
      <c r="H39" s="138">
        <v>77.274538121118994</v>
      </c>
      <c r="I39" s="139">
        <v>76.823611066873198</v>
      </c>
      <c r="J39" s="139">
        <v>4.8732314642245331</v>
      </c>
      <c r="K39" s="139">
        <v>4.8732314642245331</v>
      </c>
      <c r="L39" s="140">
        <v>487.17361756586223</v>
      </c>
      <c r="M39" s="141">
        <v>13.822735896646719</v>
      </c>
      <c r="N39" s="141">
        <v>13.082935879628483</v>
      </c>
      <c r="O39" s="141">
        <v>11.438935841810178</v>
      </c>
      <c r="P39" s="141">
        <v>10.452535819119198</v>
      </c>
      <c r="R39" s="125">
        <f t="shared" si="2"/>
        <v>45209</v>
      </c>
      <c r="S39" s="129">
        <f t="shared" si="4"/>
        <v>499.94184709456704</v>
      </c>
      <c r="T39" s="129">
        <f t="shared" si="4"/>
        <v>472.82844681791966</v>
      </c>
      <c r="U39" s="129">
        <f t="shared" si="4"/>
        <v>412.57644620314795</v>
      </c>
      <c r="V39" s="129">
        <f t="shared" si="4"/>
        <v>376.42524583428496</v>
      </c>
    </row>
    <row r="40" spans="3:22" hidden="1" x14ac:dyDescent="0.2">
      <c r="C40" s="133">
        <v>45210</v>
      </c>
      <c r="D40" s="134">
        <v>21.69131946174284</v>
      </c>
      <c r="E40" s="135">
        <v>22.176851881109751</v>
      </c>
      <c r="F40" s="136">
        <v>20.234722203642107</v>
      </c>
      <c r="G40" s="137">
        <v>81.957639061314097</v>
      </c>
      <c r="H40" s="138">
        <v>80.917592831914931</v>
      </c>
      <c r="I40" s="139">
        <v>85.077777749511696</v>
      </c>
      <c r="J40" s="139">
        <v>3.6342568867059231</v>
      </c>
      <c r="K40" s="139">
        <v>3.6342568867059231</v>
      </c>
      <c r="L40" s="140">
        <v>490.87499972790749</v>
      </c>
      <c r="M40" s="141">
        <v>11.907074084057882</v>
      </c>
      <c r="N40" s="141">
        <v>10.789274083876835</v>
      </c>
      <c r="O40" s="141">
        <v>8.3052740834745009</v>
      </c>
      <c r="P40" s="141">
        <v>6.8148740832331001</v>
      </c>
      <c r="R40" s="125">
        <f t="shared" si="2"/>
        <v>45210</v>
      </c>
      <c r="S40" s="129">
        <f t="shared" si="4"/>
        <v>511.84892117862489</v>
      </c>
      <c r="T40" s="129">
        <f t="shared" si="4"/>
        <v>483.61772090179647</v>
      </c>
      <c r="U40" s="129">
        <f t="shared" si="4"/>
        <v>420.88172028662245</v>
      </c>
      <c r="V40" s="129">
        <f t="shared" si="4"/>
        <v>383.24011991751809</v>
      </c>
    </row>
    <row r="41" spans="3:22" hidden="1" x14ac:dyDescent="0.2">
      <c r="C41" s="133">
        <v>45211</v>
      </c>
      <c r="D41" s="134">
        <v>20.506249998870555</v>
      </c>
      <c r="E41" s="135">
        <v>20.834259254928423</v>
      </c>
      <c r="F41" s="136">
        <v>19.522222230696933</v>
      </c>
      <c r="G41" s="137">
        <v>88.818402779093446</v>
      </c>
      <c r="H41" s="138">
        <v>87.953240770170865</v>
      </c>
      <c r="I41" s="139">
        <v>91.413888805861305</v>
      </c>
      <c r="J41" s="139">
        <v>2.0449388047065451</v>
      </c>
      <c r="K41" s="139">
        <v>2.0449388047065451</v>
      </c>
      <c r="L41" s="140">
        <v>501.84028247696529</v>
      </c>
      <c r="M41" s="141">
        <v>9.7979290737131972</v>
      </c>
      <c r="N41" s="141">
        <v>8.6315290737131942</v>
      </c>
      <c r="O41" s="141">
        <v>6.0395290737131919</v>
      </c>
      <c r="P41" s="141">
        <v>4.4843290737131936</v>
      </c>
      <c r="R41" s="125">
        <f t="shared" si="2"/>
        <v>45211</v>
      </c>
      <c r="S41" s="129">
        <f t="shared" si="4"/>
        <v>521.64685025233814</v>
      </c>
      <c r="T41" s="129">
        <f t="shared" si="4"/>
        <v>492.24924997550966</v>
      </c>
      <c r="U41" s="129">
        <f t="shared" si="4"/>
        <v>426.92124936033565</v>
      </c>
      <c r="V41" s="129">
        <f t="shared" si="4"/>
        <v>387.72444899123127</v>
      </c>
    </row>
    <row r="42" spans="3:22" hidden="1" x14ac:dyDescent="0.2">
      <c r="C42" s="133">
        <v>45212</v>
      </c>
      <c r="D42" s="134">
        <v>21.104861134569315</v>
      </c>
      <c r="E42" s="135">
        <v>21.611111142528429</v>
      </c>
      <c r="F42" s="136">
        <v>19.586111110691903</v>
      </c>
      <c r="G42" s="137">
        <v>86.206597226389277</v>
      </c>
      <c r="H42" s="138">
        <v>84.704629651002634</v>
      </c>
      <c r="I42" s="139">
        <v>90.712499952549152</v>
      </c>
      <c r="J42" s="139">
        <v>2.671982195880755</v>
      </c>
      <c r="K42" s="139">
        <v>2.671982195880755</v>
      </c>
      <c r="L42" s="140">
        <v>490.0555554851656</v>
      </c>
      <c r="M42" s="141">
        <v>10.854936566997022</v>
      </c>
      <c r="N42" s="141">
        <v>9.7101365841967962</v>
      </c>
      <c r="O42" s="141">
        <v>7.1661366224185183</v>
      </c>
      <c r="P42" s="141">
        <v>5.6397366453515563</v>
      </c>
      <c r="R42" s="125">
        <f t="shared" si="2"/>
        <v>45212</v>
      </c>
      <c r="S42" s="129">
        <f t="shared" si="4"/>
        <v>532.50178681933517</v>
      </c>
      <c r="T42" s="129">
        <f t="shared" si="4"/>
        <v>501.95938655970645</v>
      </c>
      <c r="U42" s="129">
        <f t="shared" si="4"/>
        <v>434.08738598275414</v>
      </c>
      <c r="V42" s="129">
        <f t="shared" si="4"/>
        <v>393.36418563658282</v>
      </c>
    </row>
    <row r="43" spans="3:22" hidden="1" x14ac:dyDescent="0.2">
      <c r="C43" s="133">
        <v>45213</v>
      </c>
      <c r="D43" s="134">
        <v>20.468055547349188</v>
      </c>
      <c r="E43" s="135">
        <v>21.370370375835318</v>
      </c>
      <c r="F43" s="136">
        <v>17.761111061890798</v>
      </c>
      <c r="G43" s="137">
        <v>78.836804954100955</v>
      </c>
      <c r="H43" s="138">
        <v>77.554628775350068</v>
      </c>
      <c r="I43" s="139">
        <v>82.683333490353633</v>
      </c>
      <c r="J43" s="139">
        <v>4.0201431984894747</v>
      </c>
      <c r="K43" s="139">
        <v>4.0201431984894747</v>
      </c>
      <c r="L43" s="140">
        <v>486.92708470375055</v>
      </c>
      <c r="M43" s="141">
        <v>13.866552882806912</v>
      </c>
      <c r="N43" s="141">
        <v>13.164552934586784</v>
      </c>
      <c r="O43" s="141">
        <v>11.604553049653173</v>
      </c>
      <c r="P43" s="141">
        <v>10.66855311869301</v>
      </c>
      <c r="R43" s="125">
        <f t="shared" si="2"/>
        <v>45213</v>
      </c>
      <c r="S43" s="129">
        <f t="shared" si="4"/>
        <v>546.36833970214207</v>
      </c>
      <c r="T43" s="129">
        <f t="shared" si="4"/>
        <v>515.12393949429327</v>
      </c>
      <c r="U43" s="129">
        <f t="shared" si="4"/>
        <v>445.69193903240733</v>
      </c>
      <c r="V43" s="129">
        <f t="shared" si="4"/>
        <v>404.03273875527583</v>
      </c>
    </row>
    <row r="44" spans="3:22" hidden="1" x14ac:dyDescent="0.2">
      <c r="C44" s="133">
        <v>45214</v>
      </c>
      <c r="D44" s="134">
        <v>19.646875143505699</v>
      </c>
      <c r="E44" s="135">
        <v>20.461111323313496</v>
      </c>
      <c r="F44" s="136">
        <v>17.204166604082289</v>
      </c>
      <c r="G44" s="137">
        <v>79.035763722209254</v>
      </c>
      <c r="H44" s="138">
        <v>77.906018273663321</v>
      </c>
      <c r="I44" s="139">
        <v>82.425000067847293</v>
      </c>
      <c r="J44" s="139">
        <v>3.7059091183568649</v>
      </c>
      <c r="K44" s="139">
        <v>3.7059091183568649</v>
      </c>
      <c r="L44" s="140">
        <v>497.86458030911501</v>
      </c>
      <c r="M44" s="141">
        <v>11.983304859584372</v>
      </c>
      <c r="N44" s="141">
        <v>11.081504911365236</v>
      </c>
      <c r="O44" s="141">
        <v>9.0775050264338226</v>
      </c>
      <c r="P44" s="141">
        <v>7.8751050954749795</v>
      </c>
      <c r="R44" s="125">
        <f t="shared" si="2"/>
        <v>45214</v>
      </c>
      <c r="S44" s="129">
        <f t="shared" si="4"/>
        <v>558.3516445617264</v>
      </c>
      <c r="T44" s="129">
        <f t="shared" si="4"/>
        <v>526.20544440565845</v>
      </c>
      <c r="U44" s="129">
        <f t="shared" si="4"/>
        <v>454.76944405884115</v>
      </c>
      <c r="V44" s="129">
        <f t="shared" si="4"/>
        <v>411.90784385075079</v>
      </c>
    </row>
    <row r="45" spans="3:22" hidden="1" x14ac:dyDescent="0.2">
      <c r="C45" s="133">
        <v>45215</v>
      </c>
      <c r="D45" s="134">
        <v>20.106597297996654</v>
      </c>
      <c r="E45" s="135">
        <v>21.022685307079293</v>
      </c>
      <c r="F45" s="136">
        <v>17.358333270748702</v>
      </c>
      <c r="G45" s="137">
        <v>79.436805425602827</v>
      </c>
      <c r="H45" s="138">
        <v>78.091666509167126</v>
      </c>
      <c r="I45" s="139">
        <v>83.472222174910087</v>
      </c>
      <c r="J45" s="139">
        <v>3.7599411213374103</v>
      </c>
      <c r="K45" s="139">
        <v>3.7599411213374103</v>
      </c>
      <c r="L45" s="140">
        <v>502.72916937872611</v>
      </c>
      <c r="M45" s="141">
        <v>12.433147750708731</v>
      </c>
      <c r="N45" s="141">
        <v>11.515147733327904</v>
      </c>
      <c r="O45" s="141">
        <v>9.4751476947038462</v>
      </c>
      <c r="P45" s="141">
        <v>8.251147671529413</v>
      </c>
      <c r="R45" s="125">
        <f t="shared" si="2"/>
        <v>45215</v>
      </c>
      <c r="S45" s="129">
        <f t="shared" si="4"/>
        <v>570.78479231243512</v>
      </c>
      <c r="T45" s="129">
        <f t="shared" si="4"/>
        <v>537.72059213898638</v>
      </c>
      <c r="U45" s="129">
        <f t="shared" si="4"/>
        <v>464.24459175354497</v>
      </c>
      <c r="V45" s="129">
        <f t="shared" si="4"/>
        <v>420.15899152228019</v>
      </c>
    </row>
    <row r="46" spans="3:22" hidden="1" x14ac:dyDescent="0.2">
      <c r="C46" s="133">
        <v>45216</v>
      </c>
      <c r="D46" s="134">
        <v>19.999652934134559</v>
      </c>
      <c r="E46" s="135">
        <v>20.878240956697983</v>
      </c>
      <c r="F46" s="136">
        <v>17.363888866444256</v>
      </c>
      <c r="G46" s="137">
        <v>77.1482637156127</v>
      </c>
      <c r="H46" s="138">
        <v>75.399073802713076</v>
      </c>
      <c r="I46" s="139">
        <v>82.395833454311585</v>
      </c>
      <c r="J46" s="139">
        <v>4.1613492796126801</v>
      </c>
      <c r="K46" s="139">
        <v>4.1613492796126801</v>
      </c>
      <c r="L46" s="140">
        <v>494.40972190323362</v>
      </c>
      <c r="M46" s="141">
        <v>13.855551048680642</v>
      </c>
      <c r="N46" s="141">
        <v>13.110351031299809</v>
      </c>
      <c r="O46" s="141">
        <v>11.454350992675755</v>
      </c>
      <c r="P46" s="141">
        <v>10.460750969501316</v>
      </c>
      <c r="R46" s="125">
        <f t="shared" si="2"/>
        <v>45216</v>
      </c>
      <c r="S46" s="129">
        <f t="shared" si="4"/>
        <v>584.64034336111581</v>
      </c>
      <c r="T46" s="129">
        <f t="shared" si="4"/>
        <v>550.83094317028622</v>
      </c>
      <c r="U46" s="129">
        <f t="shared" si="4"/>
        <v>475.69894274622072</v>
      </c>
      <c r="V46" s="129">
        <f t="shared" si="4"/>
        <v>430.61974249178149</v>
      </c>
    </row>
    <row r="47" spans="3:22" hidden="1" x14ac:dyDescent="0.2">
      <c r="C47" s="133">
        <v>45217</v>
      </c>
      <c r="D47" s="134">
        <v>19.943402841829563</v>
      </c>
      <c r="E47" s="135">
        <v>20.727314903368011</v>
      </c>
      <c r="F47" s="136">
        <v>17.591666657214194</v>
      </c>
      <c r="G47" s="137">
        <v>78.467708143039943</v>
      </c>
      <c r="H47" s="138">
        <v>77.172684869946707</v>
      </c>
      <c r="I47" s="139">
        <v>82.352777962319806</v>
      </c>
      <c r="J47" s="139">
        <v>3.8702583757432429</v>
      </c>
      <c r="K47" s="139">
        <v>3.8702583757432429</v>
      </c>
      <c r="L47" s="140">
        <v>494.15277711505649</v>
      </c>
      <c r="M47" s="141">
        <v>12.000579967256536</v>
      </c>
      <c r="N47" s="141">
        <v>11.185179984636859</v>
      </c>
      <c r="O47" s="141">
        <v>9.3731800232598097</v>
      </c>
      <c r="P47" s="141">
        <v>8.2859800464335773</v>
      </c>
      <c r="R47" s="125">
        <f t="shared" si="2"/>
        <v>45217</v>
      </c>
      <c r="S47" s="129">
        <f t="shared" si="4"/>
        <v>596.64092332837231</v>
      </c>
      <c r="T47" s="129">
        <f t="shared" si="4"/>
        <v>562.01612315492309</v>
      </c>
      <c r="U47" s="129">
        <f t="shared" si="4"/>
        <v>485.07212276948053</v>
      </c>
      <c r="V47" s="129">
        <f t="shared" si="4"/>
        <v>438.90572253821506</v>
      </c>
    </row>
    <row r="48" spans="3:22" hidden="1" x14ac:dyDescent="0.2">
      <c r="C48" s="133">
        <v>45218</v>
      </c>
      <c r="D48" s="134">
        <v>20.350000017741838</v>
      </c>
      <c r="E48" s="135">
        <v>21.108796323118444</v>
      </c>
      <c r="F48" s="136">
        <v>18.073611101612087</v>
      </c>
      <c r="G48" s="137">
        <v>84.240972017086605</v>
      </c>
      <c r="H48" s="138">
        <v>82.801388622064806</v>
      </c>
      <c r="I48" s="139">
        <v>88.559722202151917</v>
      </c>
      <c r="J48" s="139">
        <v>2.9409819368103824</v>
      </c>
      <c r="K48" s="139">
        <v>2.9409819368103824</v>
      </c>
      <c r="L48" s="140">
        <v>496.79166302297591</v>
      </c>
      <c r="M48" s="141">
        <v>10.907828087110936</v>
      </c>
      <c r="N48" s="141">
        <v>9.9196281216910354</v>
      </c>
      <c r="O48" s="141">
        <v>7.7236281985357094</v>
      </c>
      <c r="P48" s="141">
        <v>6.4060282446425125</v>
      </c>
      <c r="R48" s="125">
        <f t="shared" si="2"/>
        <v>45218</v>
      </c>
      <c r="S48" s="129">
        <f t="shared" si="4"/>
        <v>607.54875141548325</v>
      </c>
      <c r="T48" s="129">
        <f t="shared" si="4"/>
        <v>571.93575127661416</v>
      </c>
      <c r="U48" s="129">
        <f t="shared" si="4"/>
        <v>492.79575096801625</v>
      </c>
      <c r="V48" s="129">
        <f t="shared" si="4"/>
        <v>445.31175078285759</v>
      </c>
    </row>
    <row r="49" spans="3:22" hidden="1" x14ac:dyDescent="0.2">
      <c r="C49" s="133">
        <v>45219</v>
      </c>
      <c r="D49" s="134">
        <v>19.262152774413167</v>
      </c>
      <c r="E49" s="135">
        <v>19.84305555411181</v>
      </c>
      <c r="F49" s="136">
        <v>17.519444435317293</v>
      </c>
      <c r="G49" s="137">
        <v>87.626736100028324</v>
      </c>
      <c r="H49" s="138">
        <v>86.232407406957179</v>
      </c>
      <c r="I49" s="139">
        <v>91.809722179241646</v>
      </c>
      <c r="J49" s="139">
        <v>2.1242040823312931</v>
      </c>
      <c r="K49" s="139">
        <v>2.1242040823312931</v>
      </c>
      <c r="L49" s="140">
        <v>494.22222422686275</v>
      </c>
      <c r="M49" s="141">
        <v>9.5330016331535496</v>
      </c>
      <c r="N49" s="141">
        <v>8.3666016331535484</v>
      </c>
      <c r="O49" s="141">
        <v>5.7746016331535568</v>
      </c>
      <c r="P49" s="141">
        <v>4.2194016331535584</v>
      </c>
      <c r="R49" s="125">
        <f t="shared" si="2"/>
        <v>45219</v>
      </c>
      <c r="S49" s="129">
        <f t="shared" si="4"/>
        <v>617.08175304863676</v>
      </c>
      <c r="T49" s="129">
        <f t="shared" si="4"/>
        <v>580.30235290976771</v>
      </c>
      <c r="U49" s="129">
        <f t="shared" si="4"/>
        <v>498.57035260116982</v>
      </c>
      <c r="V49" s="129">
        <f t="shared" si="4"/>
        <v>449.53115241601114</v>
      </c>
    </row>
    <row r="50" spans="3:22" hidden="1" x14ac:dyDescent="0.2">
      <c r="C50" s="133">
        <v>45220</v>
      </c>
      <c r="D50" s="134">
        <v>19.674305493284191</v>
      </c>
      <c r="E50" s="135">
        <v>20.425462899275015</v>
      </c>
      <c r="F50" s="136">
        <v>17.420833275311697</v>
      </c>
      <c r="G50" s="137">
        <v>84.805555849933199</v>
      </c>
      <c r="H50" s="138">
        <v>83.357870761058152</v>
      </c>
      <c r="I50" s="139">
        <v>89.148611116558328</v>
      </c>
      <c r="J50" s="139">
        <v>2.7168414841687056</v>
      </c>
      <c r="K50" s="139">
        <v>2.7168414841687056</v>
      </c>
      <c r="L50" s="140">
        <v>488.14930804088908</v>
      </c>
      <c r="M50" s="141">
        <v>10.86075166229142</v>
      </c>
      <c r="N50" s="141">
        <v>9.861751662291411</v>
      </c>
      <c r="O50" s="141">
        <v>7.6417516622914059</v>
      </c>
      <c r="P50" s="141">
        <v>6.3097516622914078</v>
      </c>
      <c r="R50" s="125">
        <f t="shared" si="2"/>
        <v>45220</v>
      </c>
      <c r="S50" s="129">
        <f t="shared" si="4"/>
        <v>627.94250471092823</v>
      </c>
      <c r="T50" s="129">
        <f t="shared" si="4"/>
        <v>590.16410457205916</v>
      </c>
      <c r="U50" s="129">
        <f t="shared" si="4"/>
        <v>506.21210426346124</v>
      </c>
      <c r="V50" s="129">
        <f t="shared" si="4"/>
        <v>455.84090407830257</v>
      </c>
    </row>
    <row r="51" spans="3:22" hidden="1" x14ac:dyDescent="0.2">
      <c r="C51" s="133">
        <v>45221</v>
      </c>
      <c r="D51" s="134">
        <v>20.087847428346212</v>
      </c>
      <c r="E51" s="135">
        <v>20.946759532709766</v>
      </c>
      <c r="F51" s="136">
        <v>17.511111115255527</v>
      </c>
      <c r="G51" s="137">
        <v>81.031595935995213</v>
      </c>
      <c r="H51" s="138">
        <v>79.541664986637144</v>
      </c>
      <c r="I51" s="139">
        <v>85.501388784069476</v>
      </c>
      <c r="J51" s="139">
        <v>3.5074558737804984</v>
      </c>
      <c r="K51" s="139">
        <v>3.5074558737804984</v>
      </c>
      <c r="L51" s="140">
        <v>493.82639239260061</v>
      </c>
      <c r="M51" s="141">
        <v>12.162250489403766</v>
      </c>
      <c r="N51" s="141">
        <v>11.265850455005204</v>
      </c>
      <c r="O51" s="141">
        <v>9.2738503785639619</v>
      </c>
      <c r="P51" s="141">
        <v>8.0786503326992172</v>
      </c>
      <c r="R51" s="125">
        <f t="shared" si="2"/>
        <v>45221</v>
      </c>
      <c r="S51" s="129">
        <f t="shared" si="4"/>
        <v>640.10475520033197</v>
      </c>
      <c r="T51" s="129">
        <f t="shared" si="4"/>
        <v>601.42995502706435</v>
      </c>
      <c r="U51" s="129">
        <f t="shared" si="4"/>
        <v>515.48595464202515</v>
      </c>
      <c r="V51" s="129">
        <f t="shared" si="4"/>
        <v>463.9195544110018</v>
      </c>
    </row>
    <row r="52" spans="3:22" hidden="1" x14ac:dyDescent="0.2">
      <c r="C52" s="133">
        <v>45222</v>
      </c>
      <c r="D52" s="134">
        <v>19.814583313286228</v>
      </c>
      <c r="E52" s="135">
        <v>20.565740721523898</v>
      </c>
      <c r="F52" s="136">
        <v>17.561111088573217</v>
      </c>
      <c r="G52" s="137">
        <v>82.981944412569533</v>
      </c>
      <c r="H52" s="138">
        <v>81.784722176214444</v>
      </c>
      <c r="I52" s="139">
        <v>86.573611121634812</v>
      </c>
      <c r="J52" s="139">
        <v>3.0229941714520199</v>
      </c>
      <c r="K52" s="139">
        <v>3.0229941714520199</v>
      </c>
      <c r="L52" s="140">
        <v>498.47916342594505</v>
      </c>
      <c r="M52" s="141">
        <v>11.167119707060147</v>
      </c>
      <c r="N52" s="141">
        <v>10.130319724440476</v>
      </c>
      <c r="O52" s="141">
        <v>7.8263197630634211</v>
      </c>
      <c r="P52" s="141">
        <v>6.4439197862371875</v>
      </c>
      <c r="R52" s="125">
        <f t="shared" si="2"/>
        <v>45222</v>
      </c>
      <c r="S52" s="129">
        <f t="shared" si="4"/>
        <v>651.27187490739209</v>
      </c>
      <c r="T52" s="129">
        <f t="shared" si="4"/>
        <v>611.56027475150483</v>
      </c>
      <c r="U52" s="129">
        <f t="shared" si="4"/>
        <v>523.3122744050886</v>
      </c>
      <c r="V52" s="129">
        <f t="shared" si="4"/>
        <v>470.36347419723899</v>
      </c>
    </row>
    <row r="53" spans="3:22" hidden="1" x14ac:dyDescent="0.2">
      <c r="C53" s="133">
        <v>45223</v>
      </c>
      <c r="D53" s="134">
        <v>19.654861132042583</v>
      </c>
      <c r="E53" s="135">
        <v>20.412962986571941</v>
      </c>
      <c r="F53" s="136">
        <v>17.380555568454593</v>
      </c>
      <c r="G53" s="137">
        <v>84.306944318052558</v>
      </c>
      <c r="H53" s="138">
        <v>83.391666522669112</v>
      </c>
      <c r="I53" s="139">
        <v>87.052777704203038</v>
      </c>
      <c r="J53" s="139">
        <v>2.7587392249962646</v>
      </c>
      <c r="K53" s="139">
        <v>2.7587392249962646</v>
      </c>
      <c r="L53" s="140">
        <v>493.05554676549423</v>
      </c>
      <c r="M53" s="141">
        <v>11.301900866688849</v>
      </c>
      <c r="N53" s="141">
        <v>10.135500866688847</v>
      </c>
      <c r="O53" s="141">
        <v>7.5435008666888415</v>
      </c>
      <c r="P53" s="141">
        <v>5.9883008666888413</v>
      </c>
      <c r="R53" s="125">
        <f t="shared" si="2"/>
        <v>45223</v>
      </c>
      <c r="S53" s="129">
        <f t="shared" si="4"/>
        <v>662.5737757740809</v>
      </c>
      <c r="T53" s="129">
        <f t="shared" si="4"/>
        <v>621.69577561819369</v>
      </c>
      <c r="U53" s="129">
        <f t="shared" si="4"/>
        <v>530.85577527177747</v>
      </c>
      <c r="V53" s="129">
        <f t="shared" si="4"/>
        <v>476.35177506392785</v>
      </c>
    </row>
    <row r="54" spans="3:22" hidden="1" x14ac:dyDescent="0.2">
      <c r="C54" s="133">
        <v>45224</v>
      </c>
      <c r="D54" s="134">
        <v>19.218749988823994</v>
      </c>
      <c r="E54" s="135">
        <v>19.950925912685577</v>
      </c>
      <c r="F54" s="136">
        <v>17.022222217239232</v>
      </c>
      <c r="G54" s="137">
        <v>84.48784716682016</v>
      </c>
      <c r="H54" s="138">
        <v>83.043518453124335</v>
      </c>
      <c r="I54" s="139">
        <v>88.820833307907677</v>
      </c>
      <c r="J54" s="139">
        <v>2.6521463559739198</v>
      </c>
      <c r="K54" s="139">
        <v>2.6521463559739198</v>
      </c>
      <c r="L54" s="140">
        <v>494.09027399146464</v>
      </c>
      <c r="M54" s="141">
        <v>9.9590707476514293</v>
      </c>
      <c r="N54" s="141">
        <v>8.7926707476514228</v>
      </c>
      <c r="O54" s="141">
        <v>6.2006707476514231</v>
      </c>
      <c r="P54" s="141">
        <v>4.6454707476514265</v>
      </c>
      <c r="R54" s="125">
        <f t="shared" si="2"/>
        <v>45224</v>
      </c>
      <c r="S54" s="129">
        <f t="shared" si="4"/>
        <v>672.53284652173238</v>
      </c>
      <c r="T54" s="129">
        <f t="shared" si="4"/>
        <v>630.48844636584511</v>
      </c>
      <c r="U54" s="129">
        <f t="shared" si="4"/>
        <v>537.0564460194289</v>
      </c>
      <c r="V54" s="129">
        <f t="shared" si="4"/>
        <v>480.99724581157926</v>
      </c>
    </row>
    <row r="55" spans="3:22" hidden="1" x14ac:dyDescent="0.2">
      <c r="C55" s="133">
        <v>45225</v>
      </c>
      <c r="D55" s="134">
        <v>19.799652729825638</v>
      </c>
      <c r="E55" s="135">
        <v>20.570370319907372</v>
      </c>
      <c r="F55" s="136">
        <v>17.487499959580486</v>
      </c>
      <c r="G55" s="137">
        <v>81.57465273111471</v>
      </c>
      <c r="H55" s="138">
        <v>79.633796205503131</v>
      </c>
      <c r="I55" s="139">
        <v>87.397222307949164</v>
      </c>
      <c r="J55" s="139">
        <v>3.3104395290107798</v>
      </c>
      <c r="K55" s="139">
        <v>3.3104395290107798</v>
      </c>
      <c r="L55" s="140">
        <v>488.78471215860725</v>
      </c>
      <c r="M55" s="141">
        <v>12.120862743189964</v>
      </c>
      <c r="N55" s="141">
        <v>11.100262743189964</v>
      </c>
      <c r="O55" s="141">
        <v>8.8322627431899559</v>
      </c>
      <c r="P55" s="141">
        <v>7.4714627431899565</v>
      </c>
      <c r="R55" s="125">
        <f t="shared" si="2"/>
        <v>45225</v>
      </c>
      <c r="S55" s="129">
        <f t="shared" si="4"/>
        <v>684.65370926492233</v>
      </c>
      <c r="T55" s="129">
        <f t="shared" si="4"/>
        <v>641.58870910903511</v>
      </c>
      <c r="U55" s="129">
        <f t="shared" si="4"/>
        <v>545.88870876261888</v>
      </c>
      <c r="V55" s="129">
        <f t="shared" si="4"/>
        <v>488.46870855476919</v>
      </c>
    </row>
    <row r="56" spans="3:22" hidden="1" x14ac:dyDescent="0.2">
      <c r="C56" s="133">
        <v>45226</v>
      </c>
      <c r="D56" s="134">
        <v>19.30381945011391</v>
      </c>
      <c r="E56" s="135">
        <v>20.025925933547267</v>
      </c>
      <c r="F56" s="136">
        <v>17.137499999813869</v>
      </c>
      <c r="G56" s="137">
        <v>85.748958389852916</v>
      </c>
      <c r="H56" s="138">
        <v>85.004166732961124</v>
      </c>
      <c r="I56" s="139">
        <v>87.983333360527979</v>
      </c>
      <c r="J56" s="139">
        <v>2.4337438701927585</v>
      </c>
      <c r="K56" s="139">
        <v>2.4337438701927585</v>
      </c>
      <c r="L56" s="140">
        <v>495.97568952360234</v>
      </c>
      <c r="M56" s="141">
        <v>10.248058780171379</v>
      </c>
      <c r="N56" s="141">
        <v>9.0816587801713808</v>
      </c>
      <c r="O56" s="141">
        <v>6.4896587801713883</v>
      </c>
      <c r="P56" s="141">
        <v>4.9344587801713891</v>
      </c>
      <c r="R56" s="125">
        <f t="shared" si="2"/>
        <v>45226</v>
      </c>
      <c r="S56" s="129">
        <f t="shared" si="4"/>
        <v>694.90176804509372</v>
      </c>
      <c r="T56" s="129">
        <f t="shared" si="4"/>
        <v>650.67036788920655</v>
      </c>
      <c r="U56" s="129">
        <f t="shared" si="4"/>
        <v>552.37836754279022</v>
      </c>
      <c r="V56" s="129">
        <f t="shared" si="4"/>
        <v>493.40316733494058</v>
      </c>
    </row>
    <row r="57" spans="3:22" hidden="1" x14ac:dyDescent="0.2">
      <c r="C57" s="133">
        <v>45227</v>
      </c>
      <c r="D57" s="134">
        <v>19.649999981105722</v>
      </c>
      <c r="E57" s="135">
        <v>20.4023147986873</v>
      </c>
      <c r="F57" s="136">
        <v>17.393055528360897</v>
      </c>
      <c r="G57" s="137">
        <v>84.753125001303388</v>
      </c>
      <c r="H57" s="138">
        <v>83.691666691454628</v>
      </c>
      <c r="I57" s="139">
        <v>87.937499930849711</v>
      </c>
      <c r="J57" s="139">
        <v>2.6762465097358272</v>
      </c>
      <c r="K57" s="139">
        <v>2.6762465097358272</v>
      </c>
      <c r="L57" s="140">
        <v>491.02082498349176</v>
      </c>
      <c r="M57" s="141">
        <v>10.958737665848739</v>
      </c>
      <c r="N57" s="141">
        <v>9.8139376140688572</v>
      </c>
      <c r="O57" s="141">
        <v>7.2699374990024648</v>
      </c>
      <c r="P57" s="141">
        <v>5.7435374299626298</v>
      </c>
      <c r="R57" s="125">
        <f t="shared" si="2"/>
        <v>45227</v>
      </c>
      <c r="S57" s="129">
        <f t="shared" si="4"/>
        <v>705.86050571094245</v>
      </c>
      <c r="T57" s="129">
        <f t="shared" si="4"/>
        <v>660.48430550327544</v>
      </c>
      <c r="U57" s="129">
        <f t="shared" si="4"/>
        <v>559.6483050417927</v>
      </c>
      <c r="V57" s="129">
        <f t="shared" si="4"/>
        <v>499.14670476490323</v>
      </c>
    </row>
    <row r="58" spans="3:22" hidden="1" x14ac:dyDescent="0.2">
      <c r="C58" s="133">
        <v>45228</v>
      </c>
      <c r="D58" s="134">
        <v>19.933694053743153</v>
      </c>
      <c r="E58" s="135">
        <v>20.845208762781422</v>
      </c>
      <c r="F58" s="136">
        <v>17.376388897830154</v>
      </c>
      <c r="G58" s="137">
        <v>83.391850271324913</v>
      </c>
      <c r="H58" s="138">
        <v>81.739935521113594</v>
      </c>
      <c r="I58" s="139">
        <v>88.026388876084496</v>
      </c>
      <c r="J58" s="139">
        <v>3.0163925088427512</v>
      </c>
      <c r="K58" s="139">
        <v>3.0163925088427512</v>
      </c>
      <c r="L58" s="140">
        <v>491.751758084095</v>
      </c>
      <c r="M58" s="141">
        <v>11.833086904447445</v>
      </c>
      <c r="N58" s="141">
        <v>10.731959897148171</v>
      </c>
      <c r="O58" s="141">
        <v>8.2850109920386839</v>
      </c>
      <c r="P58" s="141">
        <v>6.8168416489729893</v>
      </c>
      <c r="R58" s="125">
        <f t="shared" si="2"/>
        <v>45228</v>
      </c>
      <c r="S58" s="129">
        <f t="shared" si="4"/>
        <v>717.69359261538989</v>
      </c>
      <c r="T58" s="129">
        <f t="shared" si="4"/>
        <v>671.21626540042359</v>
      </c>
      <c r="U58" s="129">
        <f t="shared" si="4"/>
        <v>567.93331603383137</v>
      </c>
      <c r="V58" s="129">
        <f t="shared" si="4"/>
        <v>505.9635464138762</v>
      </c>
    </row>
    <row r="59" spans="3:22" hidden="1" x14ac:dyDescent="0.2">
      <c r="C59" s="133">
        <v>45229</v>
      </c>
      <c r="D59" s="134">
        <v>19.782291623290334</v>
      </c>
      <c r="E59" s="135">
        <v>20.528240681446544</v>
      </c>
      <c r="F59" s="136">
        <v>17.54444444882169</v>
      </c>
      <c r="G59" s="137">
        <v>84.542708382239482</v>
      </c>
      <c r="H59" s="138">
        <v>83.146296402854816</v>
      </c>
      <c r="I59" s="139">
        <v>88.731944320393538</v>
      </c>
      <c r="J59" s="139">
        <v>2.7455444134069484</v>
      </c>
      <c r="K59" s="139">
        <v>2.7455444134069484</v>
      </c>
      <c r="L59" s="140">
        <v>490.36111306133819</v>
      </c>
      <c r="M59" s="141">
        <v>11.318607615408222</v>
      </c>
      <c r="N59" s="141">
        <v>10.152207615408225</v>
      </c>
      <c r="O59" s="141">
        <v>7.5602076154082249</v>
      </c>
      <c r="P59" s="141">
        <v>6.0050076154082248</v>
      </c>
      <c r="R59" s="125">
        <f t="shared" si="2"/>
        <v>45229</v>
      </c>
      <c r="S59" s="129">
        <f t="shared" si="4"/>
        <v>729.01220023079816</v>
      </c>
      <c r="T59" s="129">
        <f t="shared" si="4"/>
        <v>681.3684730158318</v>
      </c>
      <c r="U59" s="129">
        <f t="shared" si="4"/>
        <v>575.49352364923959</v>
      </c>
      <c r="V59" s="129">
        <f t="shared" si="4"/>
        <v>511.96855402928441</v>
      </c>
    </row>
    <row r="60" spans="3:22" hidden="1" x14ac:dyDescent="0.2">
      <c r="C60" s="133">
        <v>45230</v>
      </c>
      <c r="D60" s="134">
        <v>19.594444422279242</v>
      </c>
      <c r="E60" s="135">
        <v>20.543627422860197</v>
      </c>
      <c r="F60" s="136">
        <v>17.289285706582628</v>
      </c>
      <c r="G60" s="137">
        <v>84.876736064696971</v>
      </c>
      <c r="H60" s="138">
        <v>82.712254849090215</v>
      </c>
      <c r="I60" s="139">
        <v>90.133333302599297</v>
      </c>
      <c r="J60" s="139">
        <v>2.7112250933772035</v>
      </c>
      <c r="K60" s="139">
        <v>2.7112250933772035</v>
      </c>
      <c r="L60" s="140">
        <v>494.02083580221199</v>
      </c>
      <c r="M60" s="141">
        <v>10.698666135587613</v>
      </c>
      <c r="N60" s="141">
        <v>9.7266661701677126</v>
      </c>
      <c r="O60" s="141">
        <v>7.5666662470123889</v>
      </c>
      <c r="P60" s="141">
        <v>6.2706662931192003</v>
      </c>
      <c r="R60" s="125">
        <f t="shared" si="2"/>
        <v>45230</v>
      </c>
      <c r="S60" s="129">
        <f t="shared" si="4"/>
        <v>739.71086636638574</v>
      </c>
      <c r="T60" s="129">
        <f t="shared" si="4"/>
        <v>691.09513918599953</v>
      </c>
      <c r="U60" s="129">
        <f t="shared" si="4"/>
        <v>583.06018989625193</v>
      </c>
      <c r="V60" s="129">
        <f t="shared" si="4"/>
        <v>518.23922032240364</v>
      </c>
    </row>
    <row r="61" spans="3:22" hidden="1" x14ac:dyDescent="0.2">
      <c r="C61" s="133">
        <v>45231</v>
      </c>
      <c r="D61" s="134">
        <v>19.551736110970893</v>
      </c>
      <c r="E61" s="135">
        <v>20.324074073887257</v>
      </c>
      <c r="F61" s="136">
        <v>17.234722222221848</v>
      </c>
      <c r="G61" s="137">
        <v>85.340972242304375</v>
      </c>
      <c r="H61" s="138">
        <v>84.527314885921797</v>
      </c>
      <c r="I61" s="139">
        <v>87.78194431145198</v>
      </c>
      <c r="J61" s="139">
        <v>2.5774957881596303</v>
      </c>
      <c r="K61" s="139">
        <v>2.5774957881596303</v>
      </c>
      <c r="L61" s="140">
        <v>484.25347671447173</v>
      </c>
      <c r="M61" s="141">
        <v>11.068091140594884</v>
      </c>
      <c r="N61" s="141">
        <v>9.9502911405948815</v>
      </c>
      <c r="O61" s="141">
        <v>7.4662911405948797</v>
      </c>
      <c r="P61" s="141">
        <v>5.9758911405948796</v>
      </c>
      <c r="R61" s="125">
        <f t="shared" si="2"/>
        <v>45231</v>
      </c>
      <c r="S61" s="129">
        <f t="shared" si="4"/>
        <v>750.77895750698065</v>
      </c>
      <c r="T61" s="129">
        <f t="shared" si="4"/>
        <v>701.04543032659444</v>
      </c>
      <c r="U61" s="129">
        <f t="shared" si="4"/>
        <v>590.5264810368468</v>
      </c>
      <c r="V61" s="129">
        <f t="shared" si="4"/>
        <v>524.21511146299849</v>
      </c>
    </row>
    <row r="62" spans="3:22" hidden="1" x14ac:dyDescent="0.2">
      <c r="C62" s="133">
        <v>45232</v>
      </c>
      <c r="D62" s="134">
        <v>19.026388899878185</v>
      </c>
      <c r="E62" s="135">
        <v>19.711574081306793</v>
      </c>
      <c r="F62" s="136">
        <v>16.970833355592337</v>
      </c>
      <c r="G62" s="137">
        <v>84.427777720117504</v>
      </c>
      <c r="H62" s="138">
        <v>83.796296243055892</v>
      </c>
      <c r="I62" s="139">
        <v>86.322222151302242</v>
      </c>
      <c r="J62" s="139">
        <v>2.6144653204884456</v>
      </c>
      <c r="K62" s="139">
        <v>2.6144653204884456</v>
      </c>
      <c r="L62" s="140">
        <v>475.52083844407116</v>
      </c>
      <c r="M62" s="141">
        <v>9.8943585587822334</v>
      </c>
      <c r="N62" s="141">
        <v>8.7279585587822357</v>
      </c>
      <c r="O62" s="141">
        <v>6.1359585587822352</v>
      </c>
      <c r="P62" s="141">
        <v>4.5807585587822395</v>
      </c>
      <c r="R62" s="125">
        <f t="shared" si="2"/>
        <v>45232</v>
      </c>
      <c r="S62" s="129">
        <f t="shared" si="4"/>
        <v>760.67331606576283</v>
      </c>
      <c r="T62" s="129">
        <f t="shared" si="4"/>
        <v>709.77338888537668</v>
      </c>
      <c r="U62" s="129">
        <f t="shared" si="4"/>
        <v>596.66243959562905</v>
      </c>
      <c r="V62" s="129">
        <f t="shared" si="4"/>
        <v>528.79587002178073</v>
      </c>
    </row>
    <row r="63" spans="3:22" hidden="1" x14ac:dyDescent="0.2">
      <c r="C63" s="133">
        <v>45233</v>
      </c>
      <c r="D63" s="134">
        <v>19.21770833761715</v>
      </c>
      <c r="E63" s="135">
        <v>19.949537050168555</v>
      </c>
      <c r="F63" s="136">
        <v>17.02222219996295</v>
      </c>
      <c r="G63" s="137">
        <v>82.7211805141458</v>
      </c>
      <c r="H63" s="138">
        <v>81.590740670782196</v>
      </c>
      <c r="I63" s="139">
        <v>86.112500044236711</v>
      </c>
      <c r="J63" s="139">
        <v>2.9557624607527591</v>
      </c>
      <c r="K63" s="139">
        <v>2.9557624607527591</v>
      </c>
      <c r="L63" s="140">
        <v>480.66667093741955</v>
      </c>
      <c r="M63" s="141">
        <v>11.163419014519389</v>
      </c>
      <c r="N63" s="141">
        <v>10.105019066480814</v>
      </c>
      <c r="O63" s="141">
        <v>7.7530191819506484</v>
      </c>
      <c r="P63" s="141">
        <v>6.3418192512325504</v>
      </c>
      <c r="R63" s="125">
        <f t="shared" si="2"/>
        <v>45233</v>
      </c>
      <c r="S63" s="129">
        <f t="shared" si="4"/>
        <v>771.83673508028221</v>
      </c>
      <c r="T63" s="129">
        <f t="shared" si="4"/>
        <v>719.87840795185753</v>
      </c>
      <c r="U63" s="129">
        <f t="shared" si="4"/>
        <v>604.41545877757972</v>
      </c>
      <c r="V63" s="129">
        <f t="shared" si="4"/>
        <v>535.13768927301328</v>
      </c>
    </row>
    <row r="64" spans="3:22" hidden="1" x14ac:dyDescent="0.2">
      <c r="C64" s="133">
        <v>45234</v>
      </c>
      <c r="D64" s="134">
        <v>19.074652763342201</v>
      </c>
      <c r="E64" s="135">
        <v>19.774999989677891</v>
      </c>
      <c r="F64" s="136">
        <v>16.973611084335158</v>
      </c>
      <c r="G64" s="137">
        <v>83.751388923254282</v>
      </c>
      <c r="H64" s="138">
        <v>82.441666694776742</v>
      </c>
      <c r="I64" s="139">
        <v>87.680555608686703</v>
      </c>
      <c r="J64" s="139">
        <v>2.7502784982352342</v>
      </c>
      <c r="K64" s="139">
        <v>2.7502784982352342</v>
      </c>
      <c r="L64" s="140">
        <v>484.07292001772032</v>
      </c>
      <c r="M64" s="141">
        <v>10.320224049639052</v>
      </c>
      <c r="N64" s="141">
        <v>9.1538240496390522</v>
      </c>
      <c r="O64" s="141">
        <v>6.5618240496390499</v>
      </c>
      <c r="P64" s="141">
        <v>5.0066240496390515</v>
      </c>
      <c r="R64" s="125">
        <f t="shared" si="2"/>
        <v>45234</v>
      </c>
      <c r="S64" s="129">
        <f t="shared" si="4"/>
        <v>782.15695912992123</v>
      </c>
      <c r="T64" s="129">
        <f t="shared" si="4"/>
        <v>729.0322320014966</v>
      </c>
      <c r="U64" s="129">
        <f t="shared" si="4"/>
        <v>610.9772828272188</v>
      </c>
      <c r="V64" s="129">
        <f t="shared" si="4"/>
        <v>540.14431332265235</v>
      </c>
    </row>
    <row r="65" spans="3:22" hidden="1" x14ac:dyDescent="0.2">
      <c r="C65" s="133">
        <v>45235</v>
      </c>
      <c r="D65" s="134">
        <v>19.226041693302509</v>
      </c>
      <c r="E65" s="135">
        <v>19.925925956969873</v>
      </c>
      <c r="F65" s="136">
        <v>17.126388902300405</v>
      </c>
      <c r="G65" s="137">
        <v>84.779861097909787</v>
      </c>
      <c r="H65" s="138">
        <v>83.661111094983866</v>
      </c>
      <c r="I65" s="139">
        <v>88.136111106687565</v>
      </c>
      <c r="J65" s="139">
        <v>2.5986220787577183</v>
      </c>
      <c r="K65" s="139">
        <v>2.5986220787577183</v>
      </c>
      <c r="L65" s="140">
        <v>479.62847259730165</v>
      </c>
      <c r="M65" s="141">
        <v>10.114767656695728</v>
      </c>
      <c r="N65" s="141">
        <v>8.9483676566957246</v>
      </c>
      <c r="O65" s="141">
        <v>6.3563676566957241</v>
      </c>
      <c r="P65" s="141">
        <v>4.8011676566957284</v>
      </c>
      <c r="R65" s="125">
        <f t="shared" si="2"/>
        <v>45235</v>
      </c>
      <c r="S65" s="129">
        <f t="shared" si="4"/>
        <v>792.27172678661691</v>
      </c>
      <c r="T65" s="129">
        <f t="shared" si="4"/>
        <v>737.98059965819232</v>
      </c>
      <c r="U65" s="129">
        <f t="shared" si="4"/>
        <v>617.33365048391454</v>
      </c>
      <c r="V65" s="129">
        <f t="shared" si="4"/>
        <v>544.94548097934808</v>
      </c>
    </row>
    <row r="66" spans="3:22" hidden="1" x14ac:dyDescent="0.2">
      <c r="C66" s="133">
        <v>45236</v>
      </c>
      <c r="D66" s="134">
        <v>19.430555545637187</v>
      </c>
      <c r="E66" s="135">
        <v>20.23009259715645</v>
      </c>
      <c r="F66" s="136">
        <v>17.031944391079445</v>
      </c>
      <c r="G66" s="137">
        <v>82.898958395183882</v>
      </c>
      <c r="H66" s="138">
        <v>81.703703792225156</v>
      </c>
      <c r="I66" s="139">
        <v>86.484722204060162</v>
      </c>
      <c r="J66" s="139">
        <v>2.9792755214927573</v>
      </c>
      <c r="K66" s="139">
        <v>2.9792755214927573</v>
      </c>
      <c r="L66" s="140">
        <v>496.92014347898953</v>
      </c>
      <c r="M66" s="141">
        <v>12.202813539421671</v>
      </c>
      <c r="N66" s="141">
        <v>11.079613522040345</v>
      </c>
      <c r="O66" s="141">
        <v>8.5836134834151849</v>
      </c>
      <c r="P66" s="141">
        <v>7.0860134602400908</v>
      </c>
      <c r="R66" s="125">
        <f t="shared" si="2"/>
        <v>45236</v>
      </c>
      <c r="S66" s="129">
        <f t="shared" si="4"/>
        <v>804.47454032603855</v>
      </c>
      <c r="T66" s="129">
        <f t="shared" si="4"/>
        <v>749.06021318023261</v>
      </c>
      <c r="U66" s="129">
        <f t="shared" si="4"/>
        <v>625.91726396732975</v>
      </c>
      <c r="V66" s="129">
        <f t="shared" si="4"/>
        <v>552.03149443958819</v>
      </c>
    </row>
    <row r="67" spans="3:22" hidden="1" x14ac:dyDescent="0.2">
      <c r="C67" s="133">
        <v>45237</v>
      </c>
      <c r="D67" s="134">
        <v>19.586111116769469</v>
      </c>
      <c r="E67" s="135">
        <v>20.4064814964145</v>
      </c>
      <c r="F67" s="136">
        <v>17.124999977834378</v>
      </c>
      <c r="G67" s="137">
        <v>80.972222298091282</v>
      </c>
      <c r="H67" s="138">
        <v>79.037500130665975</v>
      </c>
      <c r="I67" s="139">
        <v>86.776388800367272</v>
      </c>
      <c r="J67" s="139">
        <v>3.3846558554024249</v>
      </c>
      <c r="K67" s="139">
        <v>3.3846558554024249</v>
      </c>
      <c r="L67" s="140">
        <v>489.25347693820106</v>
      </c>
      <c r="M67" s="141">
        <v>11.889876131656337</v>
      </c>
      <c r="N67" s="141">
        <v>10.961076149037163</v>
      </c>
      <c r="O67" s="141">
        <v>8.8970761876612201</v>
      </c>
      <c r="P67" s="141">
        <v>7.6586762108356554</v>
      </c>
      <c r="R67" s="125">
        <f t="shared" si="2"/>
        <v>45237</v>
      </c>
      <c r="S67" s="129">
        <f t="shared" si="4"/>
        <v>816.36441645769492</v>
      </c>
      <c r="T67" s="129">
        <f t="shared" si="4"/>
        <v>760.02128932926973</v>
      </c>
      <c r="U67" s="129">
        <f t="shared" si="4"/>
        <v>634.81434015499099</v>
      </c>
      <c r="V67" s="129">
        <f t="shared" si="4"/>
        <v>559.69017065042385</v>
      </c>
    </row>
    <row r="68" spans="3:22" hidden="1" x14ac:dyDescent="0.2">
      <c r="C68" s="133">
        <v>45238</v>
      </c>
      <c r="D68" s="134">
        <v>19.014583402169343</v>
      </c>
      <c r="E68" s="135">
        <v>19.688888959948446</v>
      </c>
      <c r="F68" s="136">
        <v>16.991666728832076</v>
      </c>
      <c r="G68" s="137">
        <v>84.864930561096813</v>
      </c>
      <c r="H68" s="138">
        <v>83.679629613455745</v>
      </c>
      <c r="I68" s="139">
        <v>88.420833404019973</v>
      </c>
      <c r="J68" s="139">
        <v>2.5534385762888321</v>
      </c>
      <c r="K68" s="139">
        <v>2.5534385762888321</v>
      </c>
      <c r="L68" s="140">
        <v>484.45833340340778</v>
      </c>
      <c r="M68" s="141">
        <v>11.080514417618195</v>
      </c>
      <c r="N68" s="141">
        <v>9.9141144176181921</v>
      </c>
      <c r="O68" s="141">
        <v>7.3221144176181916</v>
      </c>
      <c r="P68" s="141">
        <v>5.7669144176181906</v>
      </c>
      <c r="R68" s="125">
        <f t="shared" si="2"/>
        <v>45238</v>
      </c>
      <c r="S68" s="129">
        <f t="shared" si="4"/>
        <v>827.44493087531316</v>
      </c>
      <c r="T68" s="129">
        <f t="shared" si="4"/>
        <v>769.93540374688791</v>
      </c>
      <c r="U68" s="129">
        <f t="shared" si="4"/>
        <v>642.13645457260918</v>
      </c>
      <c r="V68" s="129">
        <f t="shared" si="4"/>
        <v>565.45708506804203</v>
      </c>
    </row>
    <row r="69" spans="3:22" x14ac:dyDescent="0.2">
      <c r="C69" s="133">
        <v>45239</v>
      </c>
      <c r="D69" s="134">
        <v>19.660416666655056</v>
      </c>
      <c r="E69" s="135">
        <v>20.238425934835806</v>
      </c>
      <c r="F69" s="136">
        <v>17.926388862112805</v>
      </c>
      <c r="G69" s="137">
        <v>81.947916635478848</v>
      </c>
      <c r="H69" s="138">
        <v>81.512962959936175</v>
      </c>
      <c r="I69" s="139">
        <v>83.25277766210678</v>
      </c>
      <c r="J69" s="139">
        <v>3.162428195649801</v>
      </c>
      <c r="K69" s="139">
        <v>3.162428195649801</v>
      </c>
      <c r="L69" s="140">
        <v>485.60764332859981</v>
      </c>
      <c r="M69" s="141">
        <v>11.236538011403217</v>
      </c>
      <c r="N69" s="141">
        <v>10.09173804580178</v>
      </c>
      <c r="O69" s="141">
        <v>7.5477381222430209</v>
      </c>
      <c r="P69" s="141">
        <v>6.0213381681077651</v>
      </c>
      <c r="R69" s="125">
        <f t="shared" ref="R69:R80" si="5">C69</f>
        <v>45239</v>
      </c>
      <c r="S69" s="129">
        <f t="shared" si="4"/>
        <v>838.6814688867164</v>
      </c>
      <c r="T69" s="129">
        <f t="shared" si="4"/>
        <v>780.02714179268969</v>
      </c>
      <c r="U69" s="129">
        <f t="shared" si="4"/>
        <v>649.68419269485219</v>
      </c>
      <c r="V69" s="129">
        <f t="shared" si="4"/>
        <v>571.47842323614975</v>
      </c>
    </row>
    <row r="70" spans="3:22" hidden="1" x14ac:dyDescent="0.2">
      <c r="C70" s="133">
        <v>45240</v>
      </c>
      <c r="D70" s="134">
        <v>19.80381945995077</v>
      </c>
      <c r="E70" s="135">
        <v>20.450462977739832</v>
      </c>
      <c r="F70" s="136">
        <v>17.863888906583625</v>
      </c>
      <c r="G70" s="137">
        <v>81.42187494678663</v>
      </c>
      <c r="H70" s="138">
        <v>80.598148057871967</v>
      </c>
      <c r="I70" s="139">
        <v>83.893055613530635</v>
      </c>
      <c r="J70" s="139">
        <v>3.2651148312101532</v>
      </c>
      <c r="K70" s="139">
        <v>3.2651148312101532</v>
      </c>
      <c r="L70" s="140">
        <v>501.5729183012761</v>
      </c>
      <c r="M70" s="141">
        <v>9.9351291960265193</v>
      </c>
      <c r="N70" s="141">
        <v>8.7687291960265163</v>
      </c>
      <c r="O70" s="141">
        <v>6.1767291960265123</v>
      </c>
      <c r="P70" s="141">
        <v>4.621529196026513</v>
      </c>
      <c r="R70" s="125">
        <f t="shared" si="5"/>
        <v>45240</v>
      </c>
      <c r="S70" s="129">
        <f t="shared" ref="S70:V80" si="6">S69+M70</f>
        <v>848.61659808274294</v>
      </c>
      <c r="T70" s="129">
        <f t="shared" si="6"/>
        <v>788.79587098871616</v>
      </c>
      <c r="U70" s="129">
        <f t="shared" si="6"/>
        <v>655.86092189087867</v>
      </c>
      <c r="V70" s="129">
        <f t="shared" si="6"/>
        <v>576.09995243217622</v>
      </c>
    </row>
    <row r="71" spans="3:22" hidden="1" x14ac:dyDescent="0.2">
      <c r="C71" s="133">
        <v>45241</v>
      </c>
      <c r="D71" s="134">
        <v>19.933333330015788</v>
      </c>
      <c r="E71" s="135">
        <v>20.585185200040115</v>
      </c>
      <c r="F71" s="136">
        <v>17.977777719942779</v>
      </c>
      <c r="G71" s="137">
        <v>81.415624925517719</v>
      </c>
      <c r="H71" s="138">
        <v>80.456944348255035</v>
      </c>
      <c r="I71" s="139">
        <v>84.291666657305768</v>
      </c>
      <c r="J71" s="139">
        <v>3.2957109176830457</v>
      </c>
      <c r="K71" s="139">
        <v>3.2957109176830457</v>
      </c>
      <c r="L71" s="140">
        <v>504.29513727176681</v>
      </c>
      <c r="M71" s="141">
        <v>10.784508209273447</v>
      </c>
      <c r="N71" s="141">
        <v>9.6397082436720023</v>
      </c>
      <c r="O71" s="141">
        <v>7.0957083201132471</v>
      </c>
      <c r="P71" s="141">
        <v>5.5693083659779958</v>
      </c>
      <c r="R71" s="125">
        <f t="shared" si="5"/>
        <v>45241</v>
      </c>
      <c r="S71" s="129">
        <f t="shared" si="6"/>
        <v>859.40110629201638</v>
      </c>
      <c r="T71" s="129">
        <f t="shared" si="6"/>
        <v>798.43557923238814</v>
      </c>
      <c r="U71" s="129">
        <f t="shared" si="6"/>
        <v>662.95663021099188</v>
      </c>
      <c r="V71" s="129">
        <f t="shared" si="6"/>
        <v>581.66926079815426</v>
      </c>
    </row>
    <row r="72" spans="3:22" hidden="1" x14ac:dyDescent="0.2">
      <c r="C72" s="133">
        <v>45242</v>
      </c>
      <c r="D72" s="134">
        <v>20.004861118957571</v>
      </c>
      <c r="E72" s="135">
        <v>20.688425942270577</v>
      </c>
      <c r="F72" s="136">
        <v>17.954166649018624</v>
      </c>
      <c r="G72" s="137">
        <v>80.917013842345852</v>
      </c>
      <c r="H72" s="138">
        <v>80.281944326244144</v>
      </c>
      <c r="I72" s="139">
        <v>82.82222239065095</v>
      </c>
      <c r="J72" s="139">
        <v>3.3960662545145102</v>
      </c>
      <c r="K72" s="139">
        <v>3.3960662545145102</v>
      </c>
      <c r="L72" s="140">
        <v>499.51736373869448</v>
      </c>
      <c r="M72" s="141">
        <v>10.918832246484566</v>
      </c>
      <c r="N72" s="141">
        <v>9.8172322638653871</v>
      </c>
      <c r="O72" s="141">
        <v>7.3692323024894426</v>
      </c>
      <c r="P72" s="141">
        <v>5.9004323256638775</v>
      </c>
      <c r="R72" s="125">
        <f t="shared" si="5"/>
        <v>45242</v>
      </c>
      <c r="S72" s="129">
        <f t="shared" si="6"/>
        <v>870.31993853850099</v>
      </c>
      <c r="T72" s="129">
        <f t="shared" si="6"/>
        <v>808.25281149625357</v>
      </c>
      <c r="U72" s="129">
        <f t="shared" si="6"/>
        <v>670.3258625134813</v>
      </c>
      <c r="V72" s="129">
        <f t="shared" si="6"/>
        <v>587.56969312381818</v>
      </c>
    </row>
    <row r="73" spans="3:22" hidden="1" x14ac:dyDescent="0.2">
      <c r="C73" s="133">
        <v>45243</v>
      </c>
      <c r="D73" s="134">
        <v>20.059375014341882</v>
      </c>
      <c r="E73" s="135">
        <v>20.694907431031606</v>
      </c>
      <c r="F73" s="136">
        <v>18.152777764272741</v>
      </c>
      <c r="G73" s="137">
        <v>82.97326381779385</v>
      </c>
      <c r="H73" s="138">
        <v>81.335185131897944</v>
      </c>
      <c r="I73" s="139">
        <v>87.887499875481467</v>
      </c>
      <c r="J73" s="139">
        <v>3.0464531496578062</v>
      </c>
      <c r="K73" s="139">
        <v>3.0464531496578062</v>
      </c>
      <c r="L73" s="140">
        <v>478.69444889513539</v>
      </c>
      <c r="M73" s="141">
        <v>9.8747401023035906</v>
      </c>
      <c r="N73" s="141">
        <v>8.7083401023035876</v>
      </c>
      <c r="O73" s="141">
        <v>6.1163401023035897</v>
      </c>
      <c r="P73" s="141">
        <v>4.5611401023035913</v>
      </c>
      <c r="R73" s="125">
        <f t="shared" si="5"/>
        <v>45243</v>
      </c>
      <c r="S73" s="129">
        <f t="shared" si="6"/>
        <v>880.19467864080457</v>
      </c>
      <c r="T73" s="129">
        <f t="shared" si="6"/>
        <v>816.96115159855719</v>
      </c>
      <c r="U73" s="129">
        <f t="shared" si="6"/>
        <v>676.44220261578494</v>
      </c>
      <c r="V73" s="129">
        <f t="shared" si="6"/>
        <v>592.13083322612181</v>
      </c>
    </row>
    <row r="74" spans="3:22" hidden="1" x14ac:dyDescent="0.2">
      <c r="C74" s="133">
        <v>45244</v>
      </c>
      <c r="D74" s="134">
        <v>20.651041687761005</v>
      </c>
      <c r="E74" s="135">
        <v>21.239814845858675</v>
      </c>
      <c r="F74" s="136">
        <v>18.884722213467988</v>
      </c>
      <c r="G74" s="137">
        <v>83.602430562249467</v>
      </c>
      <c r="H74" s="138">
        <v>83.162499998649935</v>
      </c>
      <c r="I74" s="139">
        <v>84.922222253048048</v>
      </c>
      <c r="J74" s="139">
        <v>3.0332692478862349</v>
      </c>
      <c r="K74" s="139">
        <v>3.0332692478862349</v>
      </c>
      <c r="L74" s="140">
        <v>488.82291738583797</v>
      </c>
      <c r="M74" s="141">
        <v>10.454327755203186</v>
      </c>
      <c r="N74" s="141">
        <v>9.2879277552031887</v>
      </c>
      <c r="O74" s="141">
        <v>6.6959277552031882</v>
      </c>
      <c r="P74" s="141">
        <v>5.140727755203188</v>
      </c>
      <c r="R74" s="125">
        <f t="shared" si="5"/>
        <v>45244</v>
      </c>
      <c r="S74" s="129">
        <f t="shared" si="6"/>
        <v>890.64900639600774</v>
      </c>
      <c r="T74" s="129">
        <f t="shared" si="6"/>
        <v>826.24907935376041</v>
      </c>
      <c r="U74" s="129">
        <f t="shared" si="6"/>
        <v>683.13813037098816</v>
      </c>
      <c r="V74" s="129">
        <f t="shared" si="6"/>
        <v>597.27156098132502</v>
      </c>
    </row>
    <row r="75" spans="3:22" hidden="1" x14ac:dyDescent="0.2">
      <c r="C75" s="133">
        <v>45245</v>
      </c>
      <c r="D75" s="134">
        <v>21.148958336627604</v>
      </c>
      <c r="E75" s="135">
        <v>21.824537051829346</v>
      </c>
      <c r="F75" s="136">
        <v>19.122222191022345</v>
      </c>
      <c r="G75" s="137">
        <v>81.711111200239415</v>
      </c>
      <c r="H75" s="138">
        <v>80.664814914420973</v>
      </c>
      <c r="I75" s="139">
        <v>84.85000005769497</v>
      </c>
      <c r="J75" s="139">
        <v>3.5014532433376901</v>
      </c>
      <c r="K75" s="139">
        <v>3.5014532433376901</v>
      </c>
      <c r="L75" s="140">
        <v>513.53125382017947</v>
      </c>
      <c r="M75" s="141">
        <v>11.376607127117357</v>
      </c>
      <c r="N75" s="141">
        <v>10.210207127117364</v>
      </c>
      <c r="O75" s="141">
        <v>7.6182071271173575</v>
      </c>
      <c r="P75" s="141">
        <v>6.0630071271173582</v>
      </c>
      <c r="R75" s="125">
        <f t="shared" si="5"/>
        <v>45245</v>
      </c>
      <c r="S75" s="129">
        <f t="shared" si="6"/>
        <v>902.02561352312512</v>
      </c>
      <c r="T75" s="129">
        <f t="shared" si="6"/>
        <v>836.45928648087772</v>
      </c>
      <c r="U75" s="129">
        <f t="shared" si="6"/>
        <v>690.75633749810549</v>
      </c>
      <c r="V75" s="129">
        <f t="shared" si="6"/>
        <v>603.33456810844234</v>
      </c>
    </row>
    <row r="76" spans="3:22" hidden="1" x14ac:dyDescent="0.2">
      <c r="C76" s="133">
        <v>45246</v>
      </c>
      <c r="D76" s="134">
        <v>20.797222222198769</v>
      </c>
      <c r="E76" s="135">
        <v>21.457870376315388</v>
      </c>
      <c r="F76" s="136">
        <v>18.815277759848929</v>
      </c>
      <c r="G76" s="137">
        <v>81.181597278601487</v>
      </c>
      <c r="H76" s="138">
        <v>80.792592666243777</v>
      </c>
      <c r="I76" s="139">
        <v>82.34861111567453</v>
      </c>
      <c r="J76" s="139">
        <v>3.4972146048547921</v>
      </c>
      <c r="K76" s="139">
        <v>3.4972146048547921</v>
      </c>
      <c r="L76" s="140">
        <v>499.52777823168594</v>
      </c>
      <c r="M76" s="141">
        <v>9.6557372723809998</v>
      </c>
      <c r="N76" s="141">
        <v>8.4893372723810021</v>
      </c>
      <c r="O76" s="141">
        <v>5.8973372723810016</v>
      </c>
      <c r="P76" s="141">
        <v>4.342137272380997</v>
      </c>
      <c r="R76" s="125">
        <f t="shared" si="5"/>
        <v>45246</v>
      </c>
      <c r="S76" s="129">
        <f t="shared" si="6"/>
        <v>911.68135079550609</v>
      </c>
      <c r="T76" s="129">
        <f t="shared" si="6"/>
        <v>844.94862375325874</v>
      </c>
      <c r="U76" s="129">
        <f t="shared" si="6"/>
        <v>696.65367477048653</v>
      </c>
      <c r="V76" s="129">
        <f t="shared" si="6"/>
        <v>607.67670538082336</v>
      </c>
    </row>
    <row r="77" spans="3:22" hidden="1" x14ac:dyDescent="0.2">
      <c r="C77" s="133">
        <v>45247</v>
      </c>
      <c r="D77" s="134">
        <v>21.03923612437066</v>
      </c>
      <c r="E77" s="135">
        <v>21.738888924387808</v>
      </c>
      <c r="F77" s="136">
        <v>18.940277724319269</v>
      </c>
      <c r="G77" s="137">
        <v>80.087500077789031</v>
      </c>
      <c r="H77" s="138">
        <v>79.4287038443493</v>
      </c>
      <c r="I77" s="139">
        <v>82.06388877810825</v>
      </c>
      <c r="J77" s="139">
        <v>3.7697262894235362</v>
      </c>
      <c r="K77" s="139">
        <v>3.7697262894235362</v>
      </c>
      <c r="L77" s="140">
        <v>510.87499707526121</v>
      </c>
      <c r="M77" s="141">
        <v>11.629583738810314</v>
      </c>
      <c r="N77" s="141">
        <v>10.527983756191146</v>
      </c>
      <c r="O77" s="141">
        <v>8.0799837948152007</v>
      </c>
      <c r="P77" s="141">
        <v>6.6111838179896365</v>
      </c>
      <c r="R77" s="125">
        <f t="shared" si="5"/>
        <v>45247</v>
      </c>
      <c r="S77" s="129">
        <f t="shared" si="6"/>
        <v>923.3109345343164</v>
      </c>
      <c r="T77" s="129">
        <f t="shared" si="6"/>
        <v>855.47660750944988</v>
      </c>
      <c r="U77" s="129">
        <f t="shared" si="6"/>
        <v>704.73365856530177</v>
      </c>
      <c r="V77" s="129">
        <f t="shared" si="6"/>
        <v>614.28788919881299</v>
      </c>
    </row>
    <row r="78" spans="3:22" hidden="1" x14ac:dyDescent="0.2">
      <c r="C78" s="133">
        <v>45248</v>
      </c>
      <c r="D78" s="134">
        <v>20.854166668785087</v>
      </c>
      <c r="E78" s="135">
        <v>21.483333350965978</v>
      </c>
      <c r="F78" s="136">
        <v>18.966666622242549</v>
      </c>
      <c r="G78" s="137">
        <v>81.187152772224707</v>
      </c>
      <c r="H78" s="138">
        <v>79.116203672706376</v>
      </c>
      <c r="I78" s="139">
        <v>87.400000070779598</v>
      </c>
      <c r="J78" s="139">
        <v>3.5431594046120307</v>
      </c>
      <c r="K78" s="139">
        <v>3.5431594046120307</v>
      </c>
      <c r="L78" s="140">
        <v>496.88889239323464</v>
      </c>
      <c r="M78" s="141">
        <v>9.3765635142337622</v>
      </c>
      <c r="N78" s="141">
        <v>8.2101635142337628</v>
      </c>
      <c r="O78" s="141">
        <v>5.6181635142337623</v>
      </c>
      <c r="P78" s="141">
        <v>4.0629635142337621</v>
      </c>
      <c r="R78" s="125">
        <f t="shared" si="5"/>
        <v>45248</v>
      </c>
      <c r="S78" s="129">
        <f t="shared" si="6"/>
        <v>932.6874980485502</v>
      </c>
      <c r="T78" s="129">
        <f t="shared" si="6"/>
        <v>863.6867710236836</v>
      </c>
      <c r="U78" s="129">
        <f t="shared" si="6"/>
        <v>710.35182207953551</v>
      </c>
      <c r="V78" s="129">
        <f t="shared" si="6"/>
        <v>618.35085271304672</v>
      </c>
    </row>
    <row r="79" spans="3:22" hidden="1" x14ac:dyDescent="0.2">
      <c r="C79" s="133">
        <v>45249</v>
      </c>
      <c r="D79" s="134">
        <v>21.232986108782569</v>
      </c>
      <c r="E79" s="135">
        <v>21.943981491710101</v>
      </c>
      <c r="F79" s="136">
        <v>19.099999959999959</v>
      </c>
      <c r="G79" s="137">
        <v>83.024652727800571</v>
      </c>
      <c r="H79" s="138">
        <v>81.733333283041958</v>
      </c>
      <c r="I79" s="139">
        <v>86.898611062076682</v>
      </c>
      <c r="J79" s="139">
        <v>3.2763646420086876</v>
      </c>
      <c r="K79" s="139">
        <v>3.2763646420086876</v>
      </c>
      <c r="L79" s="140">
        <v>481.7534716676243</v>
      </c>
      <c r="M79" s="141">
        <v>10.658716399761294</v>
      </c>
      <c r="N79" s="141">
        <v>9.6219163823804603</v>
      </c>
      <c r="O79" s="141">
        <v>7.3179163437564032</v>
      </c>
      <c r="P79" s="141">
        <v>5.9355163205819688</v>
      </c>
      <c r="R79" s="125">
        <f t="shared" si="5"/>
        <v>45249</v>
      </c>
      <c r="S79" s="129">
        <f t="shared" si="6"/>
        <v>943.34621444831146</v>
      </c>
      <c r="T79" s="129">
        <f t="shared" si="6"/>
        <v>873.30868740606411</v>
      </c>
      <c r="U79" s="129">
        <f t="shared" si="6"/>
        <v>717.66973842329196</v>
      </c>
      <c r="V79" s="129">
        <f t="shared" si="6"/>
        <v>624.28636903362872</v>
      </c>
    </row>
    <row r="80" spans="3:22" hidden="1" x14ac:dyDescent="0.2">
      <c r="C80" s="133">
        <v>45250</v>
      </c>
      <c r="D80" s="134">
        <v>20.943055547720856</v>
      </c>
      <c r="E80" s="135">
        <v>21.628240733212646</v>
      </c>
      <c r="F80" s="136">
        <v>18.887499991245512</v>
      </c>
      <c r="G80" s="137">
        <v>82.030208416593567</v>
      </c>
      <c r="H80" s="138">
        <v>81.558333401584306</v>
      </c>
      <c r="I80" s="139">
        <v>83.445833461621319</v>
      </c>
      <c r="J80" s="139">
        <v>3.383003359707383</v>
      </c>
      <c r="K80" s="139">
        <v>3.383003359707383</v>
      </c>
      <c r="L80" s="140">
        <v>497.34375599899363</v>
      </c>
      <c r="M80" s="141">
        <v>10.660806703263342</v>
      </c>
      <c r="N80" s="141">
        <v>9.5484067724245545</v>
      </c>
      <c r="O80" s="141">
        <v>7.0764069261161122</v>
      </c>
      <c r="P80" s="141">
        <v>5.5932070183310447</v>
      </c>
      <c r="R80" s="125">
        <f t="shared" si="5"/>
        <v>45250</v>
      </c>
      <c r="S80" s="129">
        <f t="shared" si="6"/>
        <v>954.0070211515748</v>
      </c>
      <c r="T80" s="129">
        <f t="shared" si="6"/>
        <v>882.85709417848864</v>
      </c>
      <c r="U80" s="129">
        <f t="shared" si="6"/>
        <v>724.74614534940804</v>
      </c>
      <c r="V80" s="129">
        <f t="shared" si="6"/>
        <v>629.87957605195982</v>
      </c>
    </row>
  </sheetData>
  <autoFilter ref="R3:V80" xr:uid="{A31F45FE-563D-410C-AD76-6F2E9D594EB4}">
    <filterColumn colId="0">
      <filters>
        <dateGroupItem year="2023" month="9" day="5" dateTimeGrouping="day"/>
        <dateGroupItem year="2023" month="9" day="18" dateTimeGrouping="day"/>
        <dateGroupItem year="2023" month="9" day="29" dateTimeGrouping="day"/>
        <dateGroupItem year="2023" month="11" day="9" dateTimeGrouping="day"/>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Info</vt:lpstr>
      <vt:lpstr>Leaf area factor</vt:lpstr>
      <vt:lpstr>Data_1st DH</vt:lpstr>
      <vt:lpstr>Data_2nd DH</vt:lpstr>
      <vt:lpstr>Data_3rd DH</vt:lpstr>
      <vt:lpstr>Data_4th DH</vt:lpstr>
      <vt:lpstr>All Data</vt:lpstr>
      <vt:lpstr>LUE_cherry</vt:lpstr>
      <vt:lpstr>Climate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Righini, Isabella</dc:creator>
  <cp:lastModifiedBy>Maree, Stef</cp:lastModifiedBy>
  <cp:lastPrinted>2023-09-18T05:53:28Z</cp:lastPrinted>
  <dcterms:created xsi:type="dcterms:W3CDTF">2023-03-15T08:52:05Z</dcterms:created>
  <dcterms:modified xsi:type="dcterms:W3CDTF">2024-06-10T15:02:20Z</dcterms:modified>
</cp:coreProperties>
</file>