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51.xml"/>
  <Override ContentType="application/vnd.openxmlformats-officedocument.drawingml.chart+xml" PartName="/xl/charts/chart16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Dashboard Sheet" sheetId="2" r:id="rId5"/>
    <sheet state="visible" name="Cleaned Data" sheetId="3" r:id="rId6"/>
    <sheet state="visible" name="Simple Moving Average" sheetId="4" r:id="rId7"/>
    <sheet state="visible" name="Weighted Moving Average" sheetId="5" r:id="rId8"/>
    <sheet state="visible" name="Trend Line" sheetId="6" r:id="rId9"/>
    <sheet state="visible" name="Exponential Smoothing" sheetId="7" r:id="rId10"/>
    <sheet state="visible" name="Exponential Smoothing with Adju" sheetId="8" r:id="rId11"/>
    <sheet state="visible" name="Holt-Winters" sheetId="9" r:id="rId12"/>
    <sheet state="visible" name="Error Plots" sheetId="10" r:id="rId13"/>
    <sheet state="visible" name="Seasonality" sheetId="11" r:id="rId14"/>
  </sheets>
  <definedNames/>
  <calcPr/>
</workbook>
</file>

<file path=xl/sharedStrings.xml><?xml version="1.0" encoding="utf-8"?>
<sst xmlns="http://schemas.openxmlformats.org/spreadsheetml/2006/main" count="1200" uniqueCount="274">
  <si>
    <t>Raw Collected Data</t>
  </si>
  <si>
    <t>S No</t>
  </si>
  <si>
    <t>Fuel</t>
  </si>
  <si>
    <t>TOTAL</t>
  </si>
  <si>
    <t>CNG ONLY</t>
  </si>
  <si>
    <t>4,21,145</t>
  </si>
  <si>
    <t>2,97,430</t>
  </si>
  <si>
    <t>1,66,328</t>
  </si>
  <si>
    <t>9,61,589</t>
  </si>
  <si>
    <t>DIESEL</t>
  </si>
  <si>
    <t>25,68,218</t>
  </si>
  <si>
    <t>23,45,606</t>
  </si>
  <si>
    <t>20,13,620</t>
  </si>
  <si>
    <t>20,25,020</t>
  </si>
  <si>
    <t>29,24,814</t>
  </si>
  <si>
    <t>1,18,77,278</t>
  </si>
  <si>
    <t>DIESEL/HYBRID</t>
  </si>
  <si>
    <t>DUAL DIESEL/BIO CNG</t>
  </si>
  <si>
    <t>DUAL DIESEL/CNG</t>
  </si>
  <si>
    <t>DUAL DIESEL/LNG</t>
  </si>
  <si>
    <t>ELECTRIC(BOV)</t>
  </si>
  <si>
    <t>15,32,344</t>
  </si>
  <si>
    <t>10,25,003</t>
  </si>
  <si>
    <t>3,31,576</t>
  </si>
  <si>
    <t>1,24,671</t>
  </si>
  <si>
    <t>1,66,881</t>
  </si>
  <si>
    <t>31,80,475</t>
  </si>
  <si>
    <t>ETHANOL</t>
  </si>
  <si>
    <t>LNG</t>
  </si>
  <si>
    <t>LPG ONLY</t>
  </si>
  <si>
    <t>METHANOL</t>
  </si>
  <si>
    <t>NOT APPLICABLE</t>
  </si>
  <si>
    <t>4,02,643</t>
  </si>
  <si>
    <t>PETROL</t>
  </si>
  <si>
    <t>1,81,38,477</t>
  </si>
  <si>
    <t>1,71,85,926</t>
  </si>
  <si>
    <t>1,58,88,229</t>
  </si>
  <si>
    <t>1,59,82,228</t>
  </si>
  <si>
    <t>2,02,95,470</t>
  </si>
  <si>
    <t>8,74,90,330</t>
  </si>
  <si>
    <t>PETROL/CNG</t>
  </si>
  <si>
    <t>5,36,677</t>
  </si>
  <si>
    <t>4,25,922</t>
  </si>
  <si>
    <t>2,70,806</t>
  </si>
  <si>
    <t>2,33,511</t>
  </si>
  <si>
    <t>4,16,682</t>
  </si>
  <si>
    <t>18,83,598</t>
  </si>
  <si>
    <t>PETROL/ETHANOL</t>
  </si>
  <si>
    <t>3,79,865</t>
  </si>
  <si>
    <t>3,79,872</t>
  </si>
  <si>
    <t>PETROL/HYBRID</t>
  </si>
  <si>
    <t>3,31,515</t>
  </si>
  <si>
    <t>1,92,591</t>
  </si>
  <si>
    <t>1,25,963</t>
  </si>
  <si>
    <t>8,12,721</t>
  </si>
  <si>
    <t>PETROL/LPG</t>
  </si>
  <si>
    <t>1,08,995</t>
  </si>
  <si>
    <t>1,84,994</t>
  </si>
  <si>
    <t>SOLAR</t>
  </si>
  <si>
    <t>STRONG HYBRID EV</t>
  </si>
  <si>
    <t>1,47,151</t>
  </si>
  <si>
    <t>31,82,474</t>
  </si>
  <si>
    <t>28,65,401</t>
  </si>
  <si>
    <t>27,52,178</t>
  </si>
  <si>
    <t>27,25,704</t>
  </si>
  <si>
    <t>1,44,50,571</t>
  </si>
  <si>
    <t>1,58,970</t>
  </si>
  <si>
    <t>1,30,248</t>
  </si>
  <si>
    <t>4,42,152</t>
  </si>
  <si>
    <t>FUEL CELL HYDROGEN</t>
  </si>
  <si>
    <t>1,14,264</t>
  </si>
  <si>
    <t>1,08,923</t>
  </si>
  <si>
    <t>1,31,028</t>
  </si>
  <si>
    <t>1,12,003</t>
  </si>
  <si>
    <t>5,55,497</t>
  </si>
  <si>
    <t>2,13,01,973</t>
  </si>
  <si>
    <t>1,97,31,563</t>
  </si>
  <si>
    <t>1,79,36,356</t>
  </si>
  <si>
    <t>1,64,70,818</t>
  </si>
  <si>
    <t>9,57,36,180</t>
  </si>
  <si>
    <t>4,59,314</t>
  </si>
  <si>
    <t>3,42,522</t>
  </si>
  <si>
    <t>3,34,236</t>
  </si>
  <si>
    <t>2,59,702</t>
  </si>
  <si>
    <t>18,12,456</t>
  </si>
  <si>
    <t>1,23,813</t>
  </si>
  <si>
    <t>4,73,158</t>
  </si>
  <si>
    <t>2024 data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</si>
  <si>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</si>
  <si>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</si>
  <si>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</si>
  <si>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</si>
  <si>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</si>
  <si>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</si>
  <si>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</si>
  <si>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</si>
  <si>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</si>
  <si>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</si>
  <si>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PLUG-IN HYBRID EV</t>
  </si>
  <si>
    <t>PURE EV</t>
  </si>
  <si>
    <t>EV</t>
  </si>
  <si>
    <t>Non-EV</t>
  </si>
  <si>
    <t>2023 data</t>
  </si>
  <si>
    <t>NOV</t>
  </si>
  <si>
    <t>DEC</t>
  </si>
  <si>
    <t xml:space="preserve">EV </t>
  </si>
  <si>
    <t>2022 data</t>
  </si>
  <si>
    <t>2021 data</t>
  </si>
  <si>
    <t>Non EV</t>
  </si>
  <si>
    <t>2020 data</t>
  </si>
  <si>
    <t>2019 data</t>
  </si>
  <si>
    <t>2018 data</t>
  </si>
  <si>
    <t>2017 data</t>
  </si>
  <si>
    <t>2016 data</t>
  </si>
  <si>
    <t>2015 data</t>
  </si>
  <si>
    <t>Period</t>
  </si>
  <si>
    <t>PETROL/ ETHANOL</t>
  </si>
  <si>
    <t>STRONG HYBRID
EV</t>
  </si>
  <si>
    <t>Final Cleaned Data that can be used for Forecasting</t>
  </si>
  <si>
    <t xml:space="preserve">Source: </t>
  </si>
  <si>
    <t>Link</t>
  </si>
  <si>
    <t>Total</t>
  </si>
  <si>
    <t>2024 Registrations Data (Month-wise)</t>
  </si>
  <si>
    <t>New Trend: Increase in the sales of Pure EV in this year</t>
  </si>
  <si>
    <t>New Trend: Increase in the sales of Strong Hybrid EV in this year</t>
  </si>
  <si>
    <t xml:space="preserve">                     MOVING AVERAGE OF 3 YEARS CALCULATED FOR 9 FUEL CATEGORIES </t>
  </si>
  <si>
    <t xml:space="preserve">YEAR </t>
  </si>
  <si>
    <t xml:space="preserve">CNG ONLY FORECASTED </t>
  </si>
  <si>
    <t xml:space="preserve">ERROR </t>
  </si>
  <si>
    <t xml:space="preserve">DIESEL </t>
  </si>
  <si>
    <t xml:space="preserve">DIESEL FORECASTED </t>
  </si>
  <si>
    <t>DIESEL/HYBRID FORECASTED</t>
  </si>
  <si>
    <t xml:space="preserve">ELECTRIC(BOV) FORECASTED </t>
  </si>
  <si>
    <t xml:space="preserve">LPG ONLY FORECASTED </t>
  </si>
  <si>
    <t xml:space="preserve">PETROL FORECASTED </t>
  </si>
  <si>
    <t xml:space="preserve">PETROL/CNG FORECASTED </t>
  </si>
  <si>
    <t xml:space="preserve">PETROL/HYBRID FORECASTED </t>
  </si>
  <si>
    <t xml:space="preserve">PETROL/LPG FORECASTED </t>
  </si>
  <si>
    <t xml:space="preserve">Mean squared error </t>
  </si>
  <si>
    <t xml:space="preserve">Root mean squared error </t>
  </si>
  <si>
    <t>Mean Absolute percentage Error</t>
  </si>
  <si>
    <t xml:space="preserve">Mean absolute deviation </t>
  </si>
  <si>
    <t>EV (Actual)</t>
  </si>
  <si>
    <t>EV (Forecasted)</t>
  </si>
  <si>
    <t xml:space="preserve">Error </t>
  </si>
  <si>
    <t>Non EV (actual)</t>
  </si>
  <si>
    <t>Non EV (forecasted)</t>
  </si>
  <si>
    <t>Mean Squared Error</t>
  </si>
  <si>
    <t>Root Mean Squared Error</t>
  </si>
  <si>
    <t>Mean absolute deviation</t>
  </si>
  <si>
    <t>Year</t>
  </si>
  <si>
    <t>Weighted Moving Avergae of 3 years calculated for the 9 fuel categories and EV v/s Non-EV Separately</t>
  </si>
  <si>
    <t>Non Electric Vehicles</t>
  </si>
  <si>
    <t>Error</t>
  </si>
  <si>
    <t>Electric Vehicles (or Hybrids)</t>
  </si>
  <si>
    <t>2024 Forecasted Value</t>
  </si>
  <si>
    <t>CNG ONLY (Actual Value)</t>
  </si>
  <si>
    <t>CNG ONLY 
(Forecasted Value)</t>
  </si>
  <si>
    <t>DIESEL
(Actual Value)</t>
  </si>
  <si>
    <t>DIESEL (Forecasted Value)</t>
  </si>
  <si>
    <t>DIESEL/HYBRID
(Actual Value)</t>
  </si>
  <si>
    <t>DIESEL/HYBRID
(Forecasted Value)</t>
  </si>
  <si>
    <t>ELECTRIC(BOV)
(Actual Value)</t>
  </si>
  <si>
    <t>ELECTRIC(BOV)
(Forecasted Value)</t>
  </si>
  <si>
    <t>LPG ONLY
(Actual Value)</t>
  </si>
  <si>
    <t>LPG ONLY
(Forecasted Value)</t>
  </si>
  <si>
    <t>PETROL
(Actual Value)</t>
  </si>
  <si>
    <t>PETROL
(Forecasted 
Value)</t>
  </si>
  <si>
    <t>PETROL/CNG
(Actual Value)</t>
  </si>
  <si>
    <t>PETROL/CNG
(Forecasted 
Value)</t>
  </si>
  <si>
    <t>PETROL/HYBRID
(Actual Value)</t>
  </si>
  <si>
    <t>PETROL/HYBRID
(Forecasted Value)</t>
  </si>
  <si>
    <t>PETROL/LPG
(Actual Value)</t>
  </si>
  <si>
    <t>PETROL/LPG
(Forecasted
 Value)</t>
  </si>
  <si>
    <t>-</t>
  </si>
  <si>
    <t>Non-EV (Actual)</t>
  </si>
  <si>
    <t>Non-EV (Forecasted)</t>
  </si>
  <si>
    <r>
      <rPr>
        <b/>
        <sz val="13.0"/>
      </rPr>
      <t xml:space="preserve">Link </t>
    </r>
    <r>
      <rPr>
        <sz val="13.0"/>
      </rPr>
      <t xml:space="preserve">: </t>
    </r>
    <r>
      <rPr>
        <color rgb="FF1155CC"/>
        <sz val="13.0"/>
        <u/>
      </rPr>
      <t>https://colab.research.google.com/drive/1nH_I_Yzc08-piPiNcYV0OBLfML9aR4wO?usp=sharing</t>
    </r>
  </si>
  <si>
    <t xml:space="preserve">                                                   EV </t>
  </si>
  <si>
    <t xml:space="preserve">Time period (x) </t>
  </si>
  <si>
    <t xml:space="preserve">y </t>
  </si>
  <si>
    <t>x^2</t>
  </si>
  <si>
    <t>x*y</t>
  </si>
  <si>
    <t xml:space="preserve">Forecast </t>
  </si>
  <si>
    <t xml:space="preserve">∑x </t>
  </si>
  <si>
    <t>∑y</t>
  </si>
  <si>
    <t>∑x^2</t>
  </si>
  <si>
    <t>∑x*y</t>
  </si>
  <si>
    <t>x̄</t>
  </si>
  <si>
    <t>ȳ</t>
  </si>
  <si>
    <t xml:space="preserve">b </t>
  </si>
  <si>
    <t>a</t>
  </si>
  <si>
    <t xml:space="preserve">RMSE </t>
  </si>
  <si>
    <t xml:space="preserve">                                                                                                                 NON EV </t>
  </si>
  <si>
    <t>Exponential Smoothing applied with different α values and calculated for the 9 fuel categories and EV v/s Non-EV Separately</t>
  </si>
  <si>
    <t>alpha</t>
  </si>
  <si>
    <t>DIESEL 
(Forecasted Value)</t>
  </si>
  <si>
    <t>PETROL
(Forecasted Value)</t>
  </si>
  <si>
    <t>PETROL/CNG
(Forecasted Value)</t>
  </si>
  <si>
    <t>PETROL/LPG
(Forecasted Value)</t>
  </si>
  <si>
    <t>Mean Absolute Deviation</t>
  </si>
  <si>
    <t>Mean Absolute Percentage Error</t>
  </si>
  <si>
    <t>EV 
(Actual)</t>
  </si>
  <si>
    <t>EV
(Forecasted)</t>
  </si>
  <si>
    <t>Non-EV 
(Forecasted)</t>
  </si>
  <si>
    <t>Exponential Smoothing with adjusted trend applied with α=0.7 and β=0.9 calculated for the 9 fuel categories and EV v/s Non-EV Separately</t>
  </si>
  <si>
    <t>beta</t>
  </si>
  <si>
    <t>CNG ONLY 
(Smoothened Forecast)</t>
  </si>
  <si>
    <t>CNG ONLY 
(Smoothened Trend)</t>
  </si>
  <si>
    <t>CNG ONLY 
(Forecsast including trend)</t>
  </si>
  <si>
    <t>DIESEL 
(Smoothened Forecast)</t>
  </si>
  <si>
    <t>DIESEL 
(Smoothened Trend)</t>
  </si>
  <si>
    <t>DIESEL 
(Forecsast including trend)</t>
  </si>
  <si>
    <t>DIESEL/HYBRID 
(Smoothened 
Forecast)</t>
  </si>
  <si>
    <t>DIESEL/HYBRID 
(Smoothened 
Trend)</t>
  </si>
  <si>
    <t>DIESEL/HYBRID 
(Forecast including 
Trend)</t>
  </si>
  <si>
    <t>ELECTRIC(BOV) 
(Smoothened Forecast)</t>
  </si>
  <si>
    <t>ELECTRIC(BOV)
(Smoothened Trend)</t>
  </si>
  <si>
    <t>ELECTRIC(BOV)
(Forecast including Trend)</t>
  </si>
  <si>
    <t>LPG ONLY
(Smoothened Forecast)</t>
  </si>
  <si>
    <t>LPG ONLY
(Smoothened Trend)</t>
  </si>
  <si>
    <t>LPG ONLY
(Forecast including Trend)</t>
  </si>
  <si>
    <t>PETROL
(Smoothened Forecast)</t>
  </si>
  <si>
    <t>PETROL
(Smoothened Trend)</t>
  </si>
  <si>
    <t>PETROL
(Forecast including Trend)</t>
  </si>
  <si>
    <t>PETROL/CNG
(Smoothened Forecast)</t>
  </si>
  <si>
    <t>PETROL/CNG
(Smoothened Trend)</t>
  </si>
  <si>
    <t>PETROL/CNG
(Forecast including Trend)</t>
  </si>
  <si>
    <t>PETROL/HYBRID
(Smoothened Forecast)</t>
  </si>
  <si>
    <t>PETROL/HYBRID
(Smoothened Trend)</t>
  </si>
  <si>
    <t>PETROL/HYBRID
(Forecast including Trend)</t>
  </si>
  <si>
    <t>PETROL/LPG
(Smoothened Forecast)</t>
  </si>
  <si>
    <t>PETROL/LPG
(Smoothened Trend)</t>
  </si>
  <si>
    <t>PETROL/LPG
(Forecast including Trend)</t>
  </si>
  <si>
    <t>EV
(Smoothened Forecast)</t>
  </si>
  <si>
    <t>EV
(Smoothened Trend)</t>
  </si>
  <si>
    <t>EV
(Forecsast including trend)</t>
  </si>
  <si>
    <t>Non-EV
(Smoothened Forecast)</t>
  </si>
  <si>
    <t>Non-EV
(Smoothened Trend)</t>
  </si>
  <si>
    <t>Non-EV
(Forecsast including trend)</t>
  </si>
  <si>
    <t>Error for EV</t>
  </si>
  <si>
    <t>Method</t>
  </si>
  <si>
    <t xml:space="preserve">Root Mean Squared Error	</t>
  </si>
  <si>
    <t>Exponential Smoothing with Adjusted Trend</t>
  </si>
  <si>
    <t xml:space="preserve">Exponential Smoothing </t>
  </si>
  <si>
    <t>Trend Line</t>
  </si>
  <si>
    <t>Weighted Moving Average</t>
  </si>
  <si>
    <t>Simple Moving Average</t>
  </si>
  <si>
    <t>Error for NON EV</t>
  </si>
  <si>
    <t>Utilizing Seasonality and Forecasting for the Period Jan-Dec (2024) and Comparing with the actual available data for the period (Jan-Oct) 2024</t>
  </si>
  <si>
    <t>Jan</t>
  </si>
  <si>
    <t>Feb</t>
  </si>
  <si>
    <t>Mar</t>
  </si>
  <si>
    <t>Apr</t>
  </si>
  <si>
    <t>May</t>
  </si>
  <si>
    <t xml:space="preserve">Jun </t>
  </si>
  <si>
    <t>Jul</t>
  </si>
  <si>
    <t>Aug</t>
  </si>
  <si>
    <t>Sep</t>
  </si>
  <si>
    <t>Oct</t>
  </si>
  <si>
    <t>Nov</t>
  </si>
  <si>
    <t>Dec</t>
  </si>
  <si>
    <t>2024 Forecast</t>
  </si>
  <si>
    <t>Monthly Average</t>
  </si>
  <si>
    <t>Avg Period Demand</t>
  </si>
  <si>
    <t>Average Monthly Demand</t>
  </si>
  <si>
    <t>Sesonlaity Index</t>
  </si>
  <si>
    <t>2024 Actual Sales</t>
  </si>
  <si>
    <t>Absolute Error</t>
  </si>
  <si>
    <t>MAD</t>
  </si>
  <si>
    <t>MSE</t>
  </si>
  <si>
    <t>RMSE</t>
  </si>
  <si>
    <t>MAPE</t>
  </si>
  <si>
    <t xml:space="preserve">2024 Forecast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</si>
</sst>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yyyy"/>
    <numFmt numFmtId="165" formatCode="0.0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00"/>
      <name val="Arial"/>
    </font>
    <font/>
    <font>
      <color rgb="FF000000"/>
      <name val="Arial"/>
    </font>
    <font>
      <color theme="1"/>
      <name val="Arial"/>
    </font>
    <font>
      <b/>
      <color theme="1"/>
      <name val="Arial"/>
      <scheme val="minor"/>
    </font>
    <font>
      <u/>
      <color rgb="FF0000FF"/>
    </font>
    <font>
      <b/>
      <color theme="1"/>
      <name val="Arial"/>
    </font>
    <font>
      <b/>
      <sz val="19.0"/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sz val="11.0"/>
      <color rgb="FF1F1F1F"/>
      <name val="&quot;Google Sans&quot;"/>
    </font>
    <font>
      <b/>
      <sz val="20.0"/>
      <color theme="1"/>
      <name val="Arial"/>
    </font>
    <font>
      <u/>
      <sz val="13.0"/>
      <color rgb="FF0000FF"/>
    </font>
    <font>
      <sz val="17.0"/>
      <color theme="1"/>
      <name val="Arial"/>
      <scheme val="minor"/>
    </font>
    <font>
      <b/>
      <sz val="15.0"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DFEFFC"/>
        <bgColor rgb="FFDFEFFC"/>
      </patternFill>
    </fill>
    <fill>
      <patternFill patternType="solid">
        <fgColor rgb="FFE9EAEA"/>
        <bgColor rgb="FFE9EAEA"/>
      </patternFill>
    </fill>
    <fill>
      <patternFill patternType="solid">
        <fgColor rgb="FFFFFFFF"/>
        <bgColor rgb="FFFFFFFF"/>
      </patternFill>
    </fill>
    <fill>
      <patternFill patternType="solid">
        <fgColor rgb="FFF2F6E7"/>
        <bgColor rgb="FFF2F6E7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theme="6"/>
        <bgColor theme="6"/>
      </patternFill>
    </fill>
  </fills>
  <borders count="10">
    <border/>
    <border>
      <left style="thin">
        <color rgb="FF037CAE"/>
      </left>
      <right style="thin">
        <color rgb="FF037CAE"/>
      </right>
    </border>
    <border>
      <left style="thin">
        <color rgb="FF037CAE"/>
      </left>
    </border>
    <border>
      <right style="thin">
        <color rgb="FF037CAE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37CAE"/>
      </left>
      <right style="thin">
        <color rgb="FF000000"/>
      </right>
    </border>
    <border>
      <left style="thin">
        <color rgb="FF037CAE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37CAE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shrinkToFit="0" wrapText="0"/>
    </xf>
    <xf borderId="2" fillId="2" fontId="2" numFmtId="0" xfId="0" applyAlignment="1" applyBorder="1" applyFont="1">
      <alignment horizontal="center" shrinkToFit="0" wrapText="0"/>
    </xf>
    <xf borderId="3" fillId="0" fontId="3" numFmtId="0" xfId="0" applyBorder="1" applyFont="1"/>
    <xf borderId="1" fillId="0" fontId="3" numFmtId="0" xfId="0" applyBorder="1" applyFont="1"/>
    <xf borderId="4" fillId="3" fontId="4" numFmtId="0" xfId="0" applyAlignment="1" applyBorder="1" applyFill="1" applyFont="1">
      <alignment horizontal="left" readingOrder="0" shrinkToFit="0" wrapText="1"/>
    </xf>
    <xf borderId="4" fillId="3" fontId="4" numFmtId="4" xfId="0" applyAlignment="1" applyBorder="1" applyFont="1" applyNumberFormat="1">
      <alignment horizontal="right" readingOrder="0" shrinkToFit="0" wrapText="0"/>
    </xf>
    <xf borderId="0" fillId="0" fontId="1" numFmtId="4" xfId="0" applyAlignment="1" applyFont="1" applyNumberFormat="1">
      <alignment readingOrder="0"/>
    </xf>
    <xf borderId="4" fillId="4" fontId="4" numFmtId="0" xfId="0" applyAlignment="1" applyBorder="1" applyFill="1" applyFont="1">
      <alignment horizontal="left" readingOrder="0" shrinkToFit="0" wrapText="1"/>
    </xf>
    <xf borderId="4" fillId="4" fontId="4" numFmtId="4" xfId="0" applyAlignment="1" applyBorder="1" applyFont="1" applyNumberFormat="1">
      <alignment horizontal="right" readingOrder="0" shrinkToFit="0" wrapText="0"/>
    </xf>
    <xf borderId="4" fillId="5" fontId="4" numFmtId="0" xfId="0" applyAlignment="1" applyBorder="1" applyFill="1" applyFont="1">
      <alignment horizontal="left" readingOrder="0" shrinkToFit="0" wrapText="1"/>
    </xf>
    <xf borderId="4" fillId="5" fontId="4" numFmtId="4" xfId="0" applyAlignment="1" applyBorder="1" applyFont="1" applyNumberFormat="1">
      <alignment horizontal="right" readingOrder="0" shrinkToFit="0" wrapText="0"/>
    </xf>
    <xf borderId="4" fillId="3" fontId="4" numFmtId="3" xfId="0" applyAlignment="1" applyBorder="1" applyFont="1" applyNumberFormat="1">
      <alignment horizontal="right" readingOrder="0" shrinkToFit="0" wrapText="0"/>
    </xf>
    <xf borderId="4" fillId="3" fontId="4" numFmtId="0" xfId="0" applyAlignment="1" applyBorder="1" applyFont="1">
      <alignment horizontal="right" readingOrder="0" shrinkToFit="0" wrapText="0"/>
    </xf>
    <xf borderId="4" fillId="4" fontId="4" numFmtId="0" xfId="0" applyAlignment="1" applyBorder="1" applyFont="1">
      <alignment horizontal="right" readingOrder="0" shrinkToFit="0" wrapText="0"/>
    </xf>
    <xf borderId="4" fillId="4" fontId="5" numFmtId="0" xfId="0" applyAlignment="1" applyBorder="1" applyFont="1">
      <alignment shrinkToFit="0" vertical="bottom" wrapText="1"/>
    </xf>
    <xf borderId="4" fillId="4" fontId="4" numFmtId="3" xfId="0" applyAlignment="1" applyBorder="1" applyFont="1" applyNumberFormat="1">
      <alignment horizontal="right" readingOrder="0" shrinkToFit="0" wrapText="0"/>
    </xf>
    <xf borderId="4" fillId="5" fontId="5" numFmtId="0" xfId="0" applyAlignment="1" applyBorder="1" applyFont="1">
      <alignment shrinkToFit="0" vertical="bottom" wrapText="1"/>
    </xf>
    <xf borderId="4" fillId="5" fontId="4" numFmtId="0" xfId="0" applyAlignment="1" applyBorder="1" applyFont="1">
      <alignment horizontal="right" readingOrder="0" shrinkToFit="0" wrapText="0"/>
    </xf>
    <xf borderId="4" fillId="5" fontId="4" numFmtId="3" xfId="0" applyAlignment="1" applyBorder="1" applyFont="1" applyNumberFormat="1">
      <alignment horizontal="right" readingOrder="0" shrinkToFit="0" wrapText="0"/>
    </xf>
    <xf borderId="0" fillId="0" fontId="1" numFmtId="0" xfId="0" applyFont="1"/>
    <xf borderId="0" fillId="0" fontId="1" numFmtId="4" xfId="0" applyFont="1" applyNumberFormat="1"/>
    <xf borderId="0" fillId="0" fontId="1" numFmtId="3" xfId="0" applyFont="1" applyNumberFormat="1"/>
    <xf borderId="2" fillId="2" fontId="2" numFmtId="4" xfId="0" applyAlignment="1" applyBorder="1" applyFont="1" applyNumberFormat="1">
      <alignment horizontal="center" shrinkToFit="0" wrapText="0"/>
    </xf>
    <xf borderId="1" fillId="2" fontId="2" numFmtId="4" xfId="0" applyAlignment="1" applyBorder="1" applyFont="1" applyNumberFormat="1">
      <alignment horizontal="center" readingOrder="0" shrinkToFit="0" wrapText="0"/>
    </xf>
    <xf borderId="5" fillId="2" fontId="2" numFmtId="0" xfId="0" applyAlignment="1" applyBorder="1" applyFont="1">
      <alignment horizontal="center" readingOrder="0" shrinkToFit="0" wrapText="0"/>
    </xf>
    <xf borderId="6" fillId="2" fontId="2" numFmtId="4" xfId="0" applyAlignment="1" applyBorder="1" applyFont="1" applyNumberFormat="1">
      <alignment horizontal="center" shrinkToFit="0" wrapText="0"/>
    </xf>
    <xf borderId="7" fillId="0" fontId="3" numFmtId="0" xfId="0" applyBorder="1" applyFont="1"/>
    <xf borderId="8" fillId="0" fontId="3" numFmtId="0" xfId="0" applyBorder="1" applyFont="1"/>
    <xf borderId="5" fillId="2" fontId="2" numFmtId="4" xfId="0" applyAlignment="1" applyBorder="1" applyFont="1" applyNumberFormat="1">
      <alignment horizontal="center" readingOrder="0" shrinkToFit="0" wrapText="0"/>
    </xf>
    <xf borderId="9" fillId="0" fontId="3" numFmtId="0" xfId="0" applyBorder="1" applyFont="1"/>
    <xf borderId="0" fillId="0" fontId="6" numFmtId="0" xfId="0" applyAlignment="1" applyFont="1">
      <alignment readingOrder="0"/>
    </xf>
    <xf borderId="4" fillId="0" fontId="2" numFmtId="0" xfId="0" applyAlignment="1" applyBorder="1" applyFont="1">
      <alignment horizontal="left" readingOrder="0" shrinkToFit="0" wrapText="1"/>
    </xf>
    <xf borderId="4" fillId="0" fontId="6" numFmtId="0" xfId="0" applyAlignment="1" applyBorder="1" applyFont="1">
      <alignment readingOrder="0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4" fillId="0" fontId="4" numFmtId="3" xfId="0" applyAlignment="1" applyBorder="1" applyFont="1" applyNumberFormat="1">
      <alignment horizontal="right" readingOrder="0" shrinkToFit="0" wrapText="0"/>
    </xf>
    <xf borderId="4" fillId="0" fontId="1" numFmtId="3" xfId="0" applyBorder="1" applyFont="1" applyNumberFormat="1"/>
    <xf borderId="0" fillId="0" fontId="4" numFmtId="0" xfId="0" applyAlignment="1" applyFont="1">
      <alignment horizontal="right" readingOrder="0" shrinkToFit="0" wrapText="0"/>
    </xf>
    <xf borderId="0" fillId="0" fontId="4" numFmtId="3" xfId="0" applyAlignment="1" applyFont="1" applyNumberFormat="1">
      <alignment horizontal="right" readingOrder="0" shrinkToFit="0" wrapText="0"/>
    </xf>
    <xf borderId="0" fillId="0" fontId="7" numFmtId="0" xfId="0" applyAlignment="1" applyFont="1">
      <alignment readingOrder="0"/>
    </xf>
    <xf borderId="4" fillId="2" fontId="8" numFmtId="0" xfId="0" applyAlignment="1" applyBorder="1" applyFont="1">
      <alignment horizontal="center" vertical="bottom"/>
    </xf>
    <xf borderId="4" fillId="2" fontId="8" numFmtId="0" xfId="0" applyAlignment="1" applyBorder="1" applyFont="1">
      <alignment horizontal="center" readingOrder="0" vertical="bottom"/>
    </xf>
    <xf borderId="4" fillId="6" fontId="5" numFmtId="0" xfId="0" applyAlignment="1" applyBorder="1" applyFill="1" applyFont="1">
      <alignment shrinkToFit="0" vertical="bottom" wrapText="1"/>
    </xf>
    <xf borderId="4" fillId="7" fontId="5" numFmtId="0" xfId="0" applyAlignment="1" applyBorder="1" applyFill="1" applyFont="1">
      <alignment shrinkToFit="0" vertical="bottom" wrapText="1"/>
    </xf>
    <xf borderId="4" fillId="8" fontId="1" numFmtId="0" xfId="0" applyAlignment="1" applyBorder="1" applyFill="1" applyFont="1">
      <alignment readingOrder="0"/>
    </xf>
    <xf borderId="4" fillId="8" fontId="1" numFmtId="0" xfId="0" applyBorder="1" applyFont="1"/>
    <xf borderId="4" fillId="0" fontId="1" numFmtId="0" xfId="0" applyAlignment="1" applyBorder="1" applyFont="1">
      <alignment readingOrder="0"/>
    </xf>
    <xf borderId="4" fillId="0" fontId="1" numFmtId="0" xfId="0" applyBorder="1" applyFont="1"/>
    <xf borderId="4" fillId="6" fontId="4" numFmtId="0" xfId="0" applyAlignment="1" applyBorder="1" applyFont="1">
      <alignment horizontal="left" readingOrder="0" shrinkToFit="0" wrapText="1"/>
    </xf>
    <xf borderId="4" fillId="6" fontId="4" numFmtId="3" xfId="0" applyAlignment="1" applyBorder="1" applyFont="1" applyNumberFormat="1">
      <alignment horizontal="right" readingOrder="0" shrinkToFit="0" wrapText="0"/>
    </xf>
    <xf borderId="4" fillId="6" fontId="4" numFmtId="0" xfId="0" applyAlignment="1" applyBorder="1" applyFont="1">
      <alignment horizontal="right" readingOrder="0" shrinkToFit="0" wrapText="0"/>
    </xf>
    <xf borderId="4" fillId="7" fontId="4" numFmtId="0" xfId="0" applyAlignment="1" applyBorder="1" applyFont="1">
      <alignment horizontal="left" readingOrder="0" shrinkToFit="0" wrapText="1"/>
    </xf>
    <xf borderId="4" fillId="7" fontId="4" numFmtId="0" xfId="0" applyAlignment="1" applyBorder="1" applyFont="1">
      <alignment horizontal="right" readingOrder="0" shrinkToFit="0" wrapText="0"/>
    </xf>
    <xf borderId="4" fillId="7" fontId="4" numFmtId="3" xfId="0" applyAlignment="1" applyBorder="1" applyFont="1" applyNumberFormat="1">
      <alignment horizontal="right" readingOrder="0" shrinkToFit="0" wrapText="0"/>
    </xf>
    <xf borderId="4" fillId="8" fontId="4" numFmtId="0" xfId="0" applyAlignment="1" applyBorder="1" applyFont="1">
      <alignment horizontal="left" readingOrder="0" shrinkToFit="0" wrapText="1"/>
    </xf>
    <xf borderId="0" fillId="8" fontId="1" numFmtId="0" xfId="0" applyAlignment="1" applyFont="1">
      <alignment readingOrder="0"/>
    </xf>
    <xf borderId="0" fillId="8" fontId="1" numFmtId="3" xfId="0" applyFont="1" applyNumberFormat="1"/>
    <xf borderId="0" fillId="8" fontId="1" numFmtId="0" xfId="0" applyFont="1"/>
    <xf borderId="0" fillId="0" fontId="9" numFmtId="0" xfId="0" applyAlignment="1" applyFont="1">
      <alignment readingOrder="0"/>
    </xf>
    <xf borderId="4" fillId="6" fontId="8" numFmtId="0" xfId="0" applyAlignment="1" applyBorder="1" applyFont="1">
      <alignment horizontal="center" readingOrder="0" shrinkToFit="0" vertical="bottom" wrapText="1"/>
    </xf>
    <xf borderId="4" fillId="0" fontId="8" numFmtId="0" xfId="0" applyAlignment="1" applyBorder="1" applyFont="1">
      <alignment horizontal="center" readingOrder="0" shrinkToFit="0" vertical="bottom" wrapText="1"/>
    </xf>
    <xf borderId="4" fillId="9" fontId="10" numFmtId="0" xfId="0" applyAlignment="1" applyBorder="1" applyFill="1" applyFont="1">
      <alignment horizontal="center" readingOrder="0"/>
    </xf>
    <xf borderId="4" fillId="4" fontId="8" numFmtId="0" xfId="0" applyAlignment="1" applyBorder="1" applyFont="1">
      <alignment horizontal="center" readingOrder="0" shrinkToFit="0" vertical="bottom" wrapText="1"/>
    </xf>
    <xf borderId="4" fillId="9" fontId="8" numFmtId="0" xfId="0" applyAlignment="1" applyBorder="1" applyFont="1">
      <alignment horizontal="center" readingOrder="0" shrinkToFit="0" vertical="bottom" wrapText="1"/>
    </xf>
    <xf borderId="4" fillId="7" fontId="8" numFmtId="0" xfId="0" applyAlignment="1" applyBorder="1" applyFont="1">
      <alignment horizontal="center" readingOrder="0" shrinkToFit="0" vertical="bottom" wrapText="1"/>
    </xf>
    <xf borderId="4" fillId="9" fontId="6" numFmtId="0" xfId="0" applyAlignment="1" applyBorder="1" applyFont="1">
      <alignment horizontal="center" readingOrder="0"/>
    </xf>
    <xf borderId="4" fillId="9" fontId="6" numFmtId="1" xfId="0" applyAlignment="1" applyBorder="1" applyFont="1" applyNumberFormat="1">
      <alignment horizontal="center" readingOrder="0"/>
    </xf>
    <xf borderId="4" fillId="0" fontId="6" numFmtId="0" xfId="0" applyAlignment="1" applyBorder="1" applyFont="1">
      <alignment horizontal="center" readingOrder="0"/>
    </xf>
    <xf borderId="4" fillId="0" fontId="1" numFmtId="1" xfId="0" applyAlignment="1" applyBorder="1" applyFont="1" applyNumberFormat="1">
      <alignment readingOrder="0"/>
    </xf>
    <xf borderId="4" fillId="9" fontId="11" numFmtId="1" xfId="0" applyBorder="1" applyFont="1" applyNumberFormat="1"/>
    <xf borderId="4" fillId="4" fontId="5" numFmtId="0" xfId="0" applyAlignment="1" applyBorder="1" applyFont="1">
      <alignment shrinkToFit="0" vertical="bottom" wrapText="1"/>
    </xf>
    <xf borderId="4" fillId="9" fontId="1" numFmtId="1" xfId="0" applyBorder="1" applyFont="1" applyNumberFormat="1"/>
    <xf borderId="4" fillId="9" fontId="5" numFmtId="0" xfId="0" applyAlignment="1" applyBorder="1" applyFont="1">
      <alignment shrinkToFit="0" vertical="bottom" wrapText="1"/>
    </xf>
    <xf borderId="4" fillId="9" fontId="11" numFmtId="0" xfId="0" applyAlignment="1" applyBorder="1" applyFont="1">
      <alignment readingOrder="0"/>
    </xf>
    <xf borderId="4" fillId="9" fontId="1" numFmtId="0" xfId="0" applyAlignment="1" applyBorder="1" applyFont="1">
      <alignment readingOrder="0"/>
    </xf>
    <xf borderId="0" fillId="0" fontId="1" numFmtId="1" xfId="0" applyFont="1" applyNumberFormat="1"/>
    <xf borderId="0" fillId="0" fontId="1" numFmtId="165" xfId="0" applyFont="1" applyNumberFormat="1"/>
    <xf borderId="0" fillId="0" fontId="1" numFmtId="10" xfId="0" applyFont="1" applyNumberFormat="1"/>
    <xf borderId="0" fillId="0" fontId="10" numFmtId="0" xfId="0" applyAlignment="1" applyFont="1">
      <alignment horizontal="center" readingOrder="0"/>
    </xf>
    <xf borderId="4" fillId="10" fontId="5" numFmtId="1" xfId="0" applyAlignment="1" applyBorder="1" applyFill="1" applyFont="1" applyNumberFormat="1">
      <alignment shrinkToFit="0" vertical="bottom" wrapText="1"/>
    </xf>
    <xf borderId="4" fillId="0" fontId="5" numFmtId="1" xfId="0" applyAlignment="1" applyBorder="1" applyFont="1" applyNumberFormat="1">
      <alignment shrinkToFit="0" vertical="bottom" wrapText="1"/>
    </xf>
    <xf borderId="0" fillId="0" fontId="11" numFmtId="1" xfId="0" applyFont="1" applyNumberFormat="1"/>
    <xf borderId="0" fillId="0" fontId="11" numFmtId="0" xfId="0" applyAlignment="1" applyFont="1">
      <alignment readingOrder="0"/>
    </xf>
    <xf borderId="0" fillId="4" fontId="12" numFmtId="0" xfId="0" applyAlignment="1" applyFont="1">
      <alignment readingOrder="0"/>
    </xf>
    <xf borderId="4" fillId="11" fontId="8" numFmtId="0" xfId="0" applyAlignment="1" applyBorder="1" applyFill="1" applyFont="1">
      <alignment horizontal="center" readingOrder="0" vertical="bottom"/>
    </xf>
    <xf borderId="0" fillId="11" fontId="8" numFmtId="0" xfId="0" applyAlignment="1" applyFont="1">
      <alignment horizontal="center" readingOrder="0" vertical="bottom"/>
    </xf>
    <xf borderId="0" fillId="6" fontId="5" numFmtId="0" xfId="0" applyAlignment="1" applyFont="1">
      <alignment shrinkToFit="0" vertical="bottom" wrapText="1"/>
    </xf>
    <xf borderId="0" fillId="7" fontId="5" numFmtId="0" xfId="0" applyAlignment="1" applyFont="1">
      <alignment shrinkToFit="0" vertical="bottom" wrapText="1"/>
    </xf>
    <xf borderId="4" fillId="11" fontId="6" numFmtId="0" xfId="0" applyAlignment="1" applyBorder="1" applyFont="1">
      <alignment horizontal="center" readingOrder="0"/>
    </xf>
    <xf borderId="4" fillId="11" fontId="6" numFmtId="0" xfId="0" applyAlignment="1" applyBorder="1" applyFont="1">
      <alignment horizontal="center"/>
    </xf>
    <xf borderId="4" fillId="11" fontId="8" numFmtId="0" xfId="0" applyAlignment="1" applyBorder="1" applyFont="1">
      <alignment horizontal="center" vertical="bottom"/>
    </xf>
    <xf borderId="4" fillId="11" fontId="8" numFmtId="0" xfId="0" applyAlignment="1" applyBorder="1" applyFont="1">
      <alignment horizontal="center" vertical="bottom"/>
    </xf>
    <xf borderId="0" fillId="0" fontId="6" numFmtId="0" xfId="0" applyAlignment="1" applyFont="1">
      <alignment horizontal="center" readingOrder="0"/>
    </xf>
    <xf borderId="4" fillId="7" fontId="1" numFmtId="0" xfId="0" applyAlignment="1" applyBorder="1" applyFont="1">
      <alignment readingOrder="0"/>
    </xf>
    <xf borderId="4" fillId="7" fontId="1" numFmtId="0" xfId="0" applyBorder="1" applyFont="1"/>
    <xf borderId="4" fillId="7" fontId="5" numFmtId="0" xfId="0" applyAlignment="1" applyBorder="1" applyFont="1">
      <alignment horizontal="right" vertical="bottom"/>
    </xf>
    <xf borderId="4" fillId="6" fontId="1" numFmtId="0" xfId="0" applyAlignment="1" applyBorder="1" applyFont="1">
      <alignment readingOrder="0"/>
    </xf>
    <xf borderId="4" fillId="6" fontId="1" numFmtId="0" xfId="0" applyBorder="1" applyFont="1"/>
    <xf borderId="4" fillId="6" fontId="5" numFmtId="0" xfId="0" applyAlignment="1" applyBorder="1" applyFont="1">
      <alignment horizontal="right" vertical="bottom"/>
    </xf>
    <xf borderId="0" fillId="0" fontId="5" numFmtId="0" xfId="0" applyAlignment="1" applyFont="1">
      <alignment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6" fontId="5" numFmtId="0" xfId="0" applyAlignment="1" applyFont="1">
      <alignment readingOrder="0" shrinkToFit="0" vertical="bottom" wrapText="1"/>
    </xf>
    <xf borderId="0" fillId="9" fontId="5" numFmtId="0" xfId="0" applyAlignment="1" applyFont="1">
      <alignment readingOrder="0" shrinkToFit="0" vertical="bottom" wrapText="1"/>
    </xf>
    <xf borderId="0" fillId="7" fontId="5" numFmtId="0" xfId="0" applyAlignment="1" applyFont="1">
      <alignment readingOrder="0" shrinkToFit="0" vertical="bottom" wrapText="1"/>
    </xf>
    <xf borderId="4" fillId="10" fontId="5" numFmtId="1" xfId="0" applyAlignment="1" applyBorder="1" applyFont="1" applyNumberFormat="1">
      <alignment readingOrder="0" shrinkToFit="0" vertical="bottom" wrapText="1"/>
    </xf>
    <xf borderId="0" fillId="0" fontId="8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0" fillId="0" fontId="6" numFmtId="1" xfId="0" applyAlignment="1" applyFont="1" applyNumberFormat="1">
      <alignment horizontal="center" readingOrder="0"/>
    </xf>
    <xf borderId="4" fillId="0" fontId="1" numFmtId="1" xfId="0" applyBorder="1" applyFont="1" applyNumberFormat="1"/>
    <xf borderId="0" fillId="0" fontId="14" numFmtId="0" xfId="0" applyAlignment="1" applyFont="1">
      <alignment readingOrder="0"/>
    </xf>
    <xf borderId="0" fillId="4" fontId="8" numFmtId="0" xfId="0" applyAlignment="1" applyFont="1">
      <alignment horizontal="center" vertical="bottom"/>
    </xf>
    <xf borderId="0" fillId="4" fontId="5" numFmtId="0" xfId="0" applyAlignment="1" applyFont="1">
      <alignment horizontal="right" vertical="bottom"/>
    </xf>
    <xf borderId="0" fillId="12" fontId="15" numFmtId="0" xfId="0" applyAlignment="1" applyFill="1" applyFont="1">
      <alignment readingOrder="0"/>
    </xf>
    <xf borderId="0" fillId="4" fontId="1" numFmtId="0" xfId="0" applyFont="1"/>
    <xf borderId="0" fillId="12" fontId="1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0" fontId="5" numFmtId="1" xfId="0" applyAlignment="1" applyFont="1" applyNumberFormat="1">
      <alignment horizontal="right" vertical="bottom"/>
    </xf>
    <xf borderId="0" fillId="2" fontId="8" numFmtId="0" xfId="0" applyAlignment="1" applyFont="1">
      <alignment horizontal="center" readingOrder="0" vertical="bottom"/>
    </xf>
    <xf borderId="0" fillId="4" fontId="10" numFmtId="0" xfId="0" applyAlignment="1" applyFont="1">
      <alignment horizontal="center" readingOrder="0"/>
    </xf>
    <xf borderId="4" fillId="4" fontId="5" numFmtId="1" xfId="0" applyAlignment="1" applyBorder="1" applyFont="1" applyNumberFormat="1">
      <alignment shrinkToFit="0" vertical="bottom" wrapText="1"/>
    </xf>
    <xf borderId="0" fillId="4" fontId="11" numFmtId="1" xfId="0" applyFont="1" applyNumberFormat="1"/>
    <xf borderId="0" fillId="4" fontId="11" numFmtId="0" xfId="0" applyAlignment="1" applyFont="1">
      <alignment readingOrder="0"/>
    </xf>
    <xf borderId="4" fillId="13" fontId="1" numFmtId="1" xfId="0" applyAlignment="1" applyBorder="1" applyFill="1" applyFont="1" applyNumberFormat="1">
      <alignment readingOrder="0"/>
    </xf>
    <xf borderId="4" fillId="4" fontId="5" numFmtId="1" xfId="0" applyAlignment="1" applyBorder="1" applyFont="1" applyNumberFormat="1">
      <alignment readingOrder="0" shrinkToFit="0" vertical="bottom" wrapText="1"/>
    </xf>
    <xf borderId="4" fillId="9" fontId="1" numFmtId="1" xfId="0" applyAlignment="1" applyBorder="1" applyFont="1" applyNumberFormat="1">
      <alignment readingOrder="0"/>
    </xf>
    <xf borderId="0" fillId="0" fontId="8" numFmtId="0" xfId="0" applyAlignment="1" applyFont="1">
      <alignment horizontal="center" readingOrder="0" vertical="bottom"/>
    </xf>
    <xf borderId="0" fillId="0" fontId="5" numFmtId="0" xfId="0" applyAlignment="1" applyFont="1">
      <alignment readingOrder="0" shrinkToFit="0" vertical="bottom" wrapText="1"/>
    </xf>
    <xf borderId="0" fillId="0" fontId="5" numFmtId="1" xfId="0" applyAlignment="1" applyFont="1" applyNumberFormat="1">
      <alignment readingOrder="0" shrinkToFit="0" vertical="bottom" wrapText="1"/>
    </xf>
    <xf borderId="0" fillId="0" fontId="5" numFmtId="0" xfId="0" applyAlignment="1" applyFont="1">
      <alignment horizontal="right" readingOrder="0" vertical="bottom"/>
    </xf>
    <xf borderId="0" fillId="0" fontId="16" numFmtId="0" xfId="0" applyAlignment="1" applyFont="1">
      <alignment readingOrder="0"/>
    </xf>
    <xf borderId="0" fillId="8" fontId="6" numFmtId="0" xfId="0" applyAlignment="1" applyFont="1">
      <alignment readingOrder="0"/>
    </xf>
    <xf borderId="4" fillId="8" fontId="6" numFmtId="0" xfId="0" applyAlignment="1" applyBorder="1" applyFont="1">
      <alignment readingOrder="0"/>
    </xf>
    <xf borderId="4" fillId="7" fontId="6" numFmtId="0" xfId="0" applyAlignment="1" applyBorder="1" applyFont="1">
      <alignment readingOrder="0"/>
    </xf>
    <xf borderId="4" fillId="0" fontId="1" numFmtId="2" xfId="0" applyBorder="1" applyFont="1" applyNumberFormat="1"/>
    <xf borderId="4" fillId="0" fontId="1" numFmtId="10" xfId="0" applyBorder="1" applyFont="1" applyNumberFormat="1"/>
    <xf borderId="4" fillId="6" fontId="6" numFmtId="0" xfId="0" applyAlignment="1" applyBorder="1" applyFont="1">
      <alignment readingOrder="0"/>
    </xf>
    <xf borderId="4" fillId="0" fontId="1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'Simple Moving Average'!$C$17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'Simple Moving Average'!$B$18:$B$27</c:f>
            </c:strRef>
          </c:cat>
          <c:val>
            <c:numRef>
              <c:f>'Simple Moving Average'!$C$18:$C$27</c:f>
              <c:numCache/>
            </c:numRef>
          </c:val>
          <c:smooth val="0"/>
        </c:ser>
        <c:ser>
          <c:idx val="1"/>
          <c:order val="1"/>
          <c:tx>
            <c:strRef>
              <c:f>'Simple Moving Average'!$D$17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'Simple Moving Average'!$B$18:$B$27</c:f>
            </c:strRef>
          </c:cat>
          <c:val>
            <c:numRef>
              <c:f>'Simple Moving Average'!$D$18:$D$27</c:f>
              <c:numCache/>
            </c:numRef>
          </c:val>
          <c:smooth val="0"/>
        </c:ser>
        <c:axId val="350800332"/>
        <c:axId val="349345818"/>
      </c:lineChart>
      <c:catAx>
        <c:axId val="350800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345818"/>
      </c:catAx>
      <c:valAx>
        <c:axId val="349345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800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'Weighted Moving Average'!$B$23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'Weighted Moving Average'!$A$24:$A$33</c:f>
            </c:strRef>
          </c:cat>
          <c:val>
            <c:numRef>
              <c:f>'Weighted Moving Average'!$B$24:$B$33</c:f>
              <c:numCache/>
            </c:numRef>
          </c:val>
          <c:smooth val="0"/>
        </c:ser>
        <c:ser>
          <c:idx val="1"/>
          <c:order val="1"/>
          <c:tx>
            <c:v>CNG ONLY (Forecasted Value)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'Weighted Moving Average'!$A$24:$A$33</c:f>
            </c:strRef>
          </c:cat>
          <c:val>
            <c:numRef>
              <c:f>'Weighted Moving Average'!$C$24:$C$33</c:f>
              <c:numCache/>
            </c:numRef>
          </c:val>
          <c:smooth val="0"/>
        </c:ser>
        <c:axId val="528986515"/>
        <c:axId val="1659787627"/>
      </c:lineChart>
      <c:catAx>
        <c:axId val="528986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787627"/>
      </c:catAx>
      <c:valAx>
        <c:axId val="1659787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986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 Diesel (actual)
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'Weighted Moving Average'!$A$24:$A$33</c:f>
            </c:strRef>
          </c:cat>
          <c:val>
            <c:numRef>
              <c:f>'Weighted Moving Average'!$F$24:$F$33</c:f>
              <c:numCache/>
            </c:numRef>
          </c:val>
          <c:smooth val="0"/>
        </c:ser>
        <c:ser>
          <c:idx val="1"/>
          <c:order val="1"/>
          <c:tx>
            <c:strRef>
              <c:f>'Weighted Moving Average'!$G$23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'Weighted Moving Average'!$A$24:$A$33</c:f>
            </c:strRef>
          </c:cat>
          <c:val>
            <c:numRef>
              <c:f>'Weighted Moving Average'!$G$24:$G$33</c:f>
              <c:numCache/>
            </c:numRef>
          </c:val>
          <c:smooth val="0"/>
        </c:ser>
        <c:axId val="1532238441"/>
        <c:axId val="2010002693"/>
      </c:lineChart>
      <c:catAx>
        <c:axId val="1532238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002693"/>
      </c:catAx>
      <c:valAx>
        <c:axId val="2010002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238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LPG ONLY 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'Weighted Moving Average'!$A$24:$A$33</c:f>
            </c:strRef>
          </c:cat>
          <c:val>
            <c:numRef>
              <c:f>'Weighted Moving Average'!$R$24:$R$33</c:f>
              <c:numCache/>
            </c:numRef>
          </c:val>
          <c:smooth val="0"/>
        </c:ser>
        <c:ser>
          <c:idx val="1"/>
          <c:order val="1"/>
          <c:tx>
            <c:v>LPG ONLY (Forecasted Value)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'Weighted Moving Average'!$A$24:$A$33</c:f>
            </c:strRef>
          </c:cat>
          <c:val>
            <c:numRef>
              <c:f>'Weighted Moving Average'!$S$24:$S$33</c:f>
              <c:numCache/>
            </c:numRef>
          </c:val>
          <c:smooth val="0"/>
        </c:ser>
        <c:axId val="343026788"/>
        <c:axId val="1038413385"/>
      </c:lineChart>
      <c:catAx>
        <c:axId val="343026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413385"/>
      </c:catAx>
      <c:valAx>
        <c:axId val="1038413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LPG ONLY
(Actual Value)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0267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DIESEL/HYBRID 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'Weighted Moving Average'!$A$24:$A$33</c:f>
            </c:strRef>
          </c:cat>
          <c:val>
            <c:numRef>
              <c:f>'Weighted Moving Average'!$J$24:$J$33</c:f>
              <c:numCache/>
            </c:numRef>
          </c:val>
          <c:smooth val="0"/>
        </c:ser>
        <c:ser>
          <c:idx val="1"/>
          <c:order val="1"/>
          <c:tx>
            <c:v>DIESEL/HYBRID (Forecasted Value)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'Weighted Moving Average'!$A$24:$A$33</c:f>
            </c:strRef>
          </c:cat>
          <c:val>
            <c:numRef>
              <c:f>'Weighted Moving Average'!$K$24:$K$33</c:f>
              <c:numCache/>
            </c:numRef>
          </c:val>
          <c:smooth val="0"/>
        </c:ser>
        <c:axId val="895123537"/>
        <c:axId val="367999418"/>
      </c:lineChart>
      <c:catAx>
        <c:axId val="895123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999418"/>
      </c:catAx>
      <c:valAx>
        <c:axId val="367999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DIESEL/HYBRID
(Actual Value)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123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ELECTRIC(BOV) (Actual Value ) 
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'Weighted Moving Average'!$A$24:$A$33</c:f>
            </c:strRef>
          </c:cat>
          <c:val>
            <c:numRef>
              <c:f>'Weighted Moving Average'!$N$24:$N$33</c:f>
              <c:numCache/>
            </c:numRef>
          </c:val>
          <c:smooth val="0"/>
        </c:ser>
        <c:ser>
          <c:idx val="1"/>
          <c:order val="1"/>
          <c:tx>
            <c:v>ELECTRIC(BOV) (Forecasted Value)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'Weighted Moving Average'!$A$24:$A$33</c:f>
            </c:strRef>
          </c:cat>
          <c:val>
            <c:numRef>
              <c:f>'Weighted Moving Average'!$O$24:$O$33</c:f>
              <c:numCache/>
            </c:numRef>
          </c:val>
          <c:smooth val="0"/>
        </c:ser>
        <c:axId val="1378719656"/>
        <c:axId val="194057428"/>
      </c:lineChart>
      <c:catAx>
        <c:axId val="137871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57428"/>
      </c:catAx>
      <c:valAx>
        <c:axId val="194057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ELECTRIC(BOV)
(Actual Value)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719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PETROL (actual )
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'Weighted Moving Average'!$A$24:$A$33</c:f>
            </c:strRef>
          </c:cat>
          <c:val>
            <c:numRef>
              <c:f>'Weighted Moving Average'!$V$24:$V$33</c:f>
              <c:numCache/>
            </c:numRef>
          </c:val>
          <c:smooth val="0"/>
        </c:ser>
        <c:ser>
          <c:idx val="1"/>
          <c:order val="1"/>
          <c:tx>
            <c:v>PETROL(Forecasted)
(Forecasted 
Value)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'Weighted Moving Average'!$A$24:$A$33</c:f>
            </c:strRef>
          </c:cat>
          <c:val>
            <c:numRef>
              <c:f>'Weighted Moving Average'!$W$24:$W$33</c:f>
              <c:numCache/>
            </c:numRef>
          </c:val>
          <c:smooth val="0"/>
        </c:ser>
        <c:axId val="1597443650"/>
        <c:axId val="234813768"/>
      </c:lineChart>
      <c:catAx>
        <c:axId val="1597443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813768"/>
      </c:catAx>
      <c:valAx>
        <c:axId val="234813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PETROL
(Actual Value)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443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PETROL/CNG 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'Weighted Moving Average'!$A$24:$A$33</c:f>
            </c:strRef>
          </c:cat>
          <c:val>
            <c:numRef>
              <c:f>'Weighted Moving Average'!$Z$24:$Z$33</c:f>
              <c:numCache/>
            </c:numRef>
          </c:val>
          <c:smooth val="0"/>
        </c:ser>
        <c:ser>
          <c:idx val="1"/>
          <c:order val="1"/>
          <c:tx>
            <c:v>PETROL/CNG (Forecasted Value)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'Weighted Moving Average'!$A$24:$A$33</c:f>
            </c:strRef>
          </c:cat>
          <c:val>
            <c:numRef>
              <c:f>'Weighted Moving Average'!$AA$24:$AA$33</c:f>
              <c:numCache/>
            </c:numRef>
          </c:val>
          <c:smooth val="0"/>
        </c:ser>
        <c:axId val="1141029223"/>
        <c:axId val="1002942962"/>
      </c:lineChart>
      <c:catAx>
        <c:axId val="1141029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942962"/>
      </c:catAx>
      <c:valAx>
        <c:axId val="1002942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PETROL/CNG
(Actual Value)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0292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PETROL/HYBRID 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'Weighted Moving Average'!$A$24:$A$33</c:f>
            </c:strRef>
          </c:cat>
          <c:val>
            <c:numRef>
              <c:f>'Weighted Moving Average'!$AD$24:$AD$33</c:f>
              <c:numCache/>
            </c:numRef>
          </c:val>
          <c:smooth val="0"/>
        </c:ser>
        <c:ser>
          <c:idx val="1"/>
          <c:order val="1"/>
          <c:tx>
            <c:v>PETROL/HYBRID (Forecasted Value)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'Weighted Moving Average'!$A$24:$A$33</c:f>
            </c:strRef>
          </c:cat>
          <c:val>
            <c:numRef>
              <c:f>'Weighted Moving Average'!$AE$24:$AE$33</c:f>
              <c:numCache/>
            </c:numRef>
          </c:val>
          <c:smooth val="0"/>
        </c:ser>
        <c:axId val="804190330"/>
        <c:axId val="1956511484"/>
      </c:lineChart>
      <c:catAx>
        <c:axId val="804190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511484"/>
      </c:catAx>
      <c:valAx>
        <c:axId val="1956511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PETROL/HYBRID
(Actual Value)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190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PETROL/LPG 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'Weighted Moving Average'!$A$24:$A$33</c:f>
            </c:strRef>
          </c:cat>
          <c:val>
            <c:numRef>
              <c:f>'Weighted Moving Average'!$AH$24:$AH$33</c:f>
              <c:numCache/>
            </c:numRef>
          </c:val>
          <c:smooth val="0"/>
        </c:ser>
        <c:ser>
          <c:idx val="1"/>
          <c:order val="1"/>
          <c:tx>
            <c:v>PETROL/LPG (Forecasted
 Value)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'Weighted Moving Average'!$A$24:$A$33</c:f>
            </c:strRef>
          </c:cat>
          <c:val>
            <c:numRef>
              <c:f>'Weighted Moving Average'!$AI$24:$AI$33</c:f>
              <c:numCache/>
            </c:numRef>
          </c:val>
          <c:smooth val="0"/>
        </c:ser>
        <c:axId val="1342581498"/>
        <c:axId val="338246994"/>
      </c:lineChart>
      <c:catAx>
        <c:axId val="1342581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246994"/>
      </c:catAx>
      <c:valAx>
        <c:axId val="338246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PETROL/LPG
(Actual Value)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581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'Weighted Moving Average'!$B$40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'Weighted Moving Average'!$A$41:$A$50</c:f>
            </c:strRef>
          </c:cat>
          <c:val>
            <c:numRef>
              <c:f>'Weighted Moving Average'!$B$41:$B$50</c:f>
              <c:numCache/>
            </c:numRef>
          </c:val>
          <c:smooth val="0"/>
        </c:ser>
        <c:ser>
          <c:idx val="1"/>
          <c:order val="1"/>
          <c:tx>
            <c:strRef>
              <c:f>'Weighted Moving Average'!$C$40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'Weighted Moving Average'!$A$41:$A$50</c:f>
            </c:strRef>
          </c:cat>
          <c:val>
            <c:numRef>
              <c:f>'Weighted Moving Average'!$C$41:$C$50</c:f>
              <c:numCache/>
            </c:numRef>
          </c:val>
          <c:smooth val="0"/>
        </c:ser>
        <c:axId val="1931650679"/>
        <c:axId val="1933681646"/>
      </c:lineChart>
      <c:catAx>
        <c:axId val="1931650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681646"/>
      </c:catAx>
      <c:valAx>
        <c:axId val="1933681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EV (Actual)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650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'Simple Moving Average'!$H$17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'Simple Moving Average'!$B$18:$B$27</c:f>
            </c:strRef>
          </c:cat>
          <c:val>
            <c:numRef>
              <c:f>'Simple Moving Average'!$H$18:$H$27</c:f>
              <c:numCache/>
            </c:numRef>
          </c:val>
          <c:smooth val="0"/>
        </c:ser>
        <c:ser>
          <c:idx val="1"/>
          <c:order val="1"/>
          <c:tx>
            <c:strRef>
              <c:f>'Simple Moving Average'!$I$17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'Simple Moving Average'!$B$18:$B$27</c:f>
            </c:strRef>
          </c:cat>
          <c:val>
            <c:numRef>
              <c:f>'Simple Moving Average'!$I$18:$I$27</c:f>
              <c:numCache/>
            </c:numRef>
          </c:val>
          <c:smooth val="0"/>
        </c:ser>
        <c:axId val="285955265"/>
        <c:axId val="1775986123"/>
      </c:lineChart>
      <c:catAx>
        <c:axId val="285955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986123"/>
      </c:catAx>
      <c:valAx>
        <c:axId val="1775986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955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'Weighted Moving Average'!$F$40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'Weighted Moving Average'!$A$41:$A$50</c:f>
            </c:strRef>
          </c:cat>
          <c:val>
            <c:numRef>
              <c:f>'Weighted Moving Average'!$F$41:$F$50</c:f>
              <c:numCache/>
            </c:numRef>
          </c:val>
          <c:smooth val="0"/>
        </c:ser>
        <c:ser>
          <c:idx val="1"/>
          <c:order val="1"/>
          <c:tx>
            <c:strRef>
              <c:f>'Weighted Moving Average'!$G$40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'Weighted Moving Average'!$A$41:$A$50</c:f>
            </c:strRef>
          </c:cat>
          <c:val>
            <c:numRef>
              <c:f>'Weighted Moving Average'!$G$41:$G$50</c:f>
              <c:numCache/>
            </c:numRef>
          </c:val>
          <c:smooth val="0"/>
        </c:ser>
        <c:axId val="746491010"/>
        <c:axId val="732918087"/>
      </c:lineChart>
      <c:catAx>
        <c:axId val="746491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918087"/>
      </c:catAx>
      <c:valAx>
        <c:axId val="732918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Non-EV (Actual)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4910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 Sales Volume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'Trend Line'!$A$4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'Trend Line'!$B$3:$M$3</c:f>
            </c:strRef>
          </c:cat>
          <c:val>
            <c:numRef>
              <c:f>'Trend Line'!$B$4:$M$4</c:f>
              <c:numCache/>
            </c:numRef>
          </c:val>
          <c:smooth val="0"/>
        </c:ser>
        <c:axId val="1930273170"/>
        <c:axId val="1819076624"/>
      </c:lineChart>
      <c:catAx>
        <c:axId val="1930273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076624"/>
      </c:catAx>
      <c:valAx>
        <c:axId val="1819076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 Volume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273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 Sales Volume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'Trend Line'!$A$4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'Trend Line'!$B$3:$M$3</c:f>
            </c:strRef>
          </c:cat>
          <c:val>
            <c:numRef>
              <c:f>'Trend Line'!$B$4:$M$4</c:f>
              <c:numCache/>
            </c:numRef>
          </c:val>
          <c:smooth val="0"/>
        </c:ser>
        <c:axId val="1869686820"/>
        <c:axId val="1397596489"/>
      </c:lineChart>
      <c:catAx>
        <c:axId val="1869686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596489"/>
      </c:catAx>
      <c:valAx>
        <c:axId val="1397596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 Volume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686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 Sales Volume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'Trend Line'!$A$4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'Trend Line'!$B$3:$M$3</c:f>
            </c:strRef>
          </c:cat>
          <c:val>
            <c:numRef>
              <c:f>'Trend Line'!$B$4:$M$4</c:f>
              <c:numCache/>
            </c:numRef>
          </c:val>
          <c:smooth val="0"/>
        </c:ser>
        <c:axId val="360914726"/>
        <c:axId val="984003041"/>
      </c:lineChart>
      <c:catAx>
        <c:axId val="360914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003041"/>
      </c:catAx>
      <c:valAx>
        <c:axId val="984003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 Volume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914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Non-EV Sales Volume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'Trend Line'!$A$5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'Trend Line'!$B$3:$M$3</c:f>
            </c:strRef>
          </c:cat>
          <c:val>
            <c:numRef>
              <c:f>'Trend Line'!$B$5:$M$5</c:f>
              <c:numCache/>
            </c:numRef>
          </c:val>
          <c:smooth val="0"/>
        </c:ser>
        <c:axId val="937099000"/>
        <c:axId val="848994940"/>
      </c:lineChart>
      <c:catAx>
        <c:axId val="93709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994940"/>
      </c:catAx>
      <c:valAx>
        <c:axId val="848994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 Volume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0990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Non-EV Sales Volume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'Trend Line'!$A$5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'Trend Line'!$B$3:$M$3</c:f>
            </c:strRef>
          </c:cat>
          <c:val>
            <c:numRef>
              <c:f>'Trend Line'!$B$5:$M$5</c:f>
              <c:numCache/>
            </c:numRef>
          </c:val>
          <c:smooth val="0"/>
        </c:ser>
        <c:axId val="507900911"/>
        <c:axId val="1805977832"/>
      </c:lineChart>
      <c:catAx>
        <c:axId val="507900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977832"/>
      </c:catAx>
      <c:valAx>
        <c:axId val="1805977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 Volume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900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Non-EV Sales Volume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'Trend Line'!$A$5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'Trend Line'!$B$3:$M$3</c:f>
            </c:strRef>
          </c:cat>
          <c:val>
            <c:numRef>
              <c:f>'Trend Line'!$B$5:$M$5</c:f>
              <c:numCache/>
            </c:numRef>
          </c:val>
          <c:smooth val="0"/>
        </c:ser>
        <c:axId val="751258324"/>
        <c:axId val="434373490"/>
      </c:lineChart>
      <c:catAx>
        <c:axId val="751258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373490"/>
      </c:catAx>
      <c:valAx>
        <c:axId val="434373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 Volume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258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 Actual v/s Forecast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'Trend Line'!$B$54:$B$62</c:f>
            </c:strRef>
          </c:cat>
          <c:val>
            <c:numRef>
              <c:f>'Trend Line'!$E$54:$E$62</c:f>
              <c:numCache/>
            </c:numRef>
          </c:val>
          <c:smooth val="0"/>
        </c:ser>
        <c:ser>
          <c:idx val="1"/>
          <c:order val="1"/>
          <c:tx>
            <c:strRef>
              <c:f>'Trend Line'!$J$53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'Trend Line'!$B$54:$B$62</c:f>
            </c:strRef>
          </c:cat>
          <c:val>
            <c:numRef>
              <c:f>'Trend Line'!$J$54:$J$62</c:f>
              <c:numCache/>
            </c:numRef>
          </c:val>
          <c:smooth val="0"/>
        </c:ser>
        <c:axId val="1670569743"/>
        <c:axId val="970499283"/>
      </c:lineChart>
      <c:catAx>
        <c:axId val="1670569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499283"/>
      </c:catAx>
      <c:valAx>
        <c:axId val="970499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569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Non-EV Actual v/s Forecast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'Trend Line'!$B$78:$B$86</c:f>
            </c:strRef>
          </c:cat>
          <c:val>
            <c:numRef>
              <c:f>'Trend Line'!$E$78:$E$86</c:f>
              <c:numCache/>
            </c:numRef>
          </c:val>
          <c:smooth val="0"/>
        </c:ser>
        <c:ser>
          <c:idx val="1"/>
          <c:order val="1"/>
          <c:tx>
            <c:strRef>
              <c:f>'Trend Line'!$J$77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'Trend Line'!$B$78:$B$86</c:f>
            </c:strRef>
          </c:cat>
          <c:val>
            <c:numRef>
              <c:f>'Trend Line'!$J$78:$J$86</c:f>
              <c:numCache/>
            </c:numRef>
          </c:val>
          <c:smooth val="0"/>
        </c:ser>
        <c:axId val="1969643564"/>
        <c:axId val="670568079"/>
      </c:lineChart>
      <c:catAx>
        <c:axId val="1969643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568079"/>
      </c:catAx>
      <c:valAx>
        <c:axId val="670568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643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'Exponential Smoothing'!$B$23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'Exponential Smoothing'!$A$24:$A$33</c:f>
            </c:strRef>
          </c:cat>
          <c:val>
            <c:numRef>
              <c:f>'Exponential Smoothing'!$B$24:$B$33</c:f>
              <c:numCache/>
            </c:numRef>
          </c:val>
          <c:smooth val="1"/>
        </c:ser>
        <c:ser>
          <c:idx val="1"/>
          <c:order val="1"/>
          <c:tx>
            <c:v>CNG ONLY (Forecasted Value)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'Exponential Smoothing'!$A$24:$A$33</c:f>
            </c:strRef>
          </c:cat>
          <c:val>
            <c:numRef>
              <c:f>'Exponential Smoothing'!$C$24:$C$33</c:f>
              <c:numCache/>
            </c:numRef>
          </c:val>
          <c:smooth val="1"/>
        </c:ser>
        <c:axId val="678767002"/>
        <c:axId val="102359209"/>
      </c:lineChart>
      <c:catAx>
        <c:axId val="678767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59209"/>
      </c:catAx>
      <c:valAx>
        <c:axId val="102359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767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'Simple Moving Average'!$L$17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'Simple Moving Average'!$B$18:$B$27</c:f>
            </c:strRef>
          </c:cat>
          <c:val>
            <c:numRef>
              <c:f>'Simple Moving Average'!$L$18:$L$27</c:f>
              <c:numCache/>
            </c:numRef>
          </c:val>
          <c:smooth val="0"/>
        </c:ser>
        <c:ser>
          <c:idx val="1"/>
          <c:order val="1"/>
          <c:tx>
            <c:strRef>
              <c:f>'Simple Moving Average'!$M$17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'Simple Moving Average'!$B$18:$B$27</c:f>
            </c:strRef>
          </c:cat>
          <c:val>
            <c:numRef>
              <c:f>'Simple Moving Average'!$M$18:$M$24</c:f>
              <c:numCache/>
            </c:numRef>
          </c:val>
          <c:smooth val="0"/>
        </c:ser>
        <c:axId val="1427454762"/>
        <c:axId val="1498023817"/>
      </c:lineChart>
      <c:catAx>
        <c:axId val="1427454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023817"/>
      </c:catAx>
      <c:valAx>
        <c:axId val="1498023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454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DIESEL 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'Exponential Smoothing'!$A$24:$A$33</c:f>
            </c:strRef>
          </c:cat>
          <c:val>
            <c:numRef>
              <c:f>'Exponential Smoothing'!$F$24:$F$33</c:f>
              <c:numCache/>
            </c:numRef>
          </c:val>
          <c:smooth val="0"/>
        </c:ser>
        <c:ser>
          <c:idx val="1"/>
          <c:order val="1"/>
          <c:tx>
            <c:v>DIESEL (Forecasted Value)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'Exponential Smoothing'!$A$24:$A$33</c:f>
            </c:strRef>
          </c:cat>
          <c:val>
            <c:numRef>
              <c:f>'Exponential Smoothing'!$G$24:$G$33</c:f>
              <c:numCache/>
            </c:numRef>
          </c:val>
          <c:smooth val="0"/>
        </c:ser>
        <c:axId val="249962296"/>
        <c:axId val="1373692337"/>
      </c:lineChart>
      <c:catAx>
        <c:axId val="24996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692337"/>
      </c:catAx>
      <c:valAx>
        <c:axId val="1373692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96229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DIESEL/HYBRID 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'Exponential Smoothing'!$A$24:$A$33</c:f>
            </c:strRef>
          </c:cat>
          <c:val>
            <c:numRef>
              <c:f>'Exponential Smoothing'!$J$24:$J$33</c:f>
              <c:numCache/>
            </c:numRef>
          </c:val>
          <c:smooth val="0"/>
        </c:ser>
        <c:ser>
          <c:idx val="1"/>
          <c:order val="1"/>
          <c:tx>
            <c:v>DIESEL/HYBRID (Forecasted Value)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'Exponential Smoothing'!$A$24:$A$33</c:f>
            </c:strRef>
          </c:cat>
          <c:val>
            <c:numRef>
              <c:f>'Exponential Smoothing'!$K$24:$K$33</c:f>
              <c:numCache/>
            </c:numRef>
          </c:val>
          <c:smooth val="0"/>
        </c:ser>
        <c:axId val="2102831522"/>
        <c:axId val="1935446361"/>
      </c:lineChart>
      <c:catAx>
        <c:axId val="2102831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446361"/>
      </c:catAx>
      <c:valAx>
        <c:axId val="1935446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831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ELECTRIC(BOV) 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'Exponential Smoothing'!$A$24:$A$33</c:f>
            </c:strRef>
          </c:cat>
          <c:val>
            <c:numRef>
              <c:f>'Exponential Smoothing'!$N$24:$N$33</c:f>
              <c:numCache/>
            </c:numRef>
          </c:val>
          <c:smooth val="0"/>
        </c:ser>
        <c:ser>
          <c:idx val="1"/>
          <c:order val="1"/>
          <c:tx>
            <c:v>ELECTRIC(BOV) (Forecasted Value)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'Exponential Smoothing'!$A$24:$A$33</c:f>
            </c:strRef>
          </c:cat>
          <c:val>
            <c:numRef>
              <c:f>'Exponential Smoothing'!$O$24:$O$33</c:f>
              <c:numCache/>
            </c:numRef>
          </c:val>
          <c:smooth val="0"/>
        </c:ser>
        <c:axId val="1334618591"/>
        <c:axId val="1950951399"/>
      </c:lineChart>
      <c:catAx>
        <c:axId val="133461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951399"/>
      </c:catAx>
      <c:valAx>
        <c:axId val="1950951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6185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LPG ONLY 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'Exponential Smoothing'!$A$24:$A$33</c:f>
            </c:strRef>
          </c:cat>
          <c:val>
            <c:numRef>
              <c:f>'Exponential Smoothing'!$R$24:$R$33</c:f>
              <c:numCache/>
            </c:numRef>
          </c:val>
          <c:smooth val="0"/>
        </c:ser>
        <c:ser>
          <c:idx val="1"/>
          <c:order val="1"/>
          <c:tx>
            <c:v>LPG ONLY (Forecasted Value)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'Exponential Smoothing'!$A$24:$A$33</c:f>
            </c:strRef>
          </c:cat>
          <c:val>
            <c:numRef>
              <c:f>'Exponential Smoothing'!$S$24:$S$33</c:f>
              <c:numCache/>
            </c:numRef>
          </c:val>
          <c:smooth val="0"/>
        </c:ser>
        <c:axId val="1355837207"/>
        <c:axId val="1338083082"/>
      </c:lineChart>
      <c:catAx>
        <c:axId val="1355837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083082"/>
      </c:catAx>
      <c:valAx>
        <c:axId val="1338083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837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PETROL 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'Exponential Smoothing'!$A$24:$A$33</c:f>
            </c:strRef>
          </c:cat>
          <c:val>
            <c:numRef>
              <c:f>'Exponential Smoothing'!$V$24:$V$33</c:f>
              <c:numCache/>
            </c:numRef>
          </c:val>
          <c:smooth val="0"/>
        </c:ser>
        <c:ser>
          <c:idx val="1"/>
          <c:order val="1"/>
          <c:tx>
            <c:v>PETROL (Forecasted Value)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'Exponential Smoothing'!$A$24:$A$33</c:f>
            </c:strRef>
          </c:cat>
          <c:val>
            <c:numRef>
              <c:f>'Exponential Smoothing'!$W$24:$W$33</c:f>
              <c:numCache/>
            </c:numRef>
          </c:val>
          <c:smooth val="0"/>
        </c:ser>
        <c:axId val="1639432290"/>
        <c:axId val="240763388"/>
      </c:lineChart>
      <c:catAx>
        <c:axId val="1639432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763388"/>
      </c:catAx>
      <c:valAx>
        <c:axId val="240763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432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PETROL/CNG 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'Exponential Smoothing'!$A$24:$A$33</c:f>
            </c:strRef>
          </c:cat>
          <c:val>
            <c:numRef>
              <c:f>'Exponential Smoothing'!$Z$24:$Z$33</c:f>
              <c:numCache/>
            </c:numRef>
          </c:val>
          <c:smooth val="0"/>
        </c:ser>
        <c:ser>
          <c:idx val="1"/>
          <c:order val="1"/>
          <c:tx>
            <c:v>PETROL/CNG (Forecasted Value)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'Exponential Smoothing'!$A$24:$A$33</c:f>
            </c:strRef>
          </c:cat>
          <c:val>
            <c:numRef>
              <c:f>'Exponential Smoothing'!$AA$24:$AA$33</c:f>
              <c:numCache/>
            </c:numRef>
          </c:val>
          <c:smooth val="0"/>
        </c:ser>
        <c:axId val="1376321513"/>
        <c:axId val="513246182"/>
      </c:lineChart>
      <c:catAx>
        <c:axId val="1376321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246182"/>
      </c:catAx>
      <c:valAx>
        <c:axId val="513246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321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PETROL/HYBRID 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'Exponential Smoothing'!$A$24:$A$32</c:f>
            </c:strRef>
          </c:cat>
          <c:val>
            <c:numRef>
              <c:f>'Exponential Smoothing'!$AD$24:$AD$33</c:f>
              <c:numCache/>
            </c:numRef>
          </c:val>
          <c:smooth val="0"/>
        </c:ser>
        <c:ser>
          <c:idx val="1"/>
          <c:order val="1"/>
          <c:tx>
            <c:v>PETROL/HYBRID (Forecasted Value)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'Exponential Smoothing'!$A$24:$A$32</c:f>
            </c:strRef>
          </c:cat>
          <c:val>
            <c:numRef>
              <c:f>'Exponential Smoothing'!$AE$24:$AE$33</c:f>
              <c:numCache/>
            </c:numRef>
          </c:val>
          <c:smooth val="0"/>
        </c:ser>
        <c:axId val="1288965989"/>
        <c:axId val="2015361148"/>
      </c:lineChart>
      <c:catAx>
        <c:axId val="1288965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361148"/>
      </c:catAx>
      <c:valAx>
        <c:axId val="2015361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965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PETROL/LPG 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'Exponential Smoothing'!$A$24:$A$33</c:f>
            </c:strRef>
          </c:cat>
          <c:val>
            <c:numRef>
              <c:f>'Exponential Smoothing'!$AH$24:$AH$33</c:f>
              <c:numCache/>
            </c:numRef>
          </c:val>
          <c:smooth val="0"/>
        </c:ser>
        <c:ser>
          <c:idx val="1"/>
          <c:order val="1"/>
          <c:tx>
            <c:v>PETROL/LPG (Forecasted Value)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'Exponential Smoothing'!$A$24:$A$33</c:f>
            </c:strRef>
          </c:cat>
          <c:val>
            <c:numRef>
              <c:f>'Exponential Smoothing'!$AI$24:$AI$33</c:f>
              <c:numCache/>
            </c:numRef>
          </c:val>
          <c:smooth val="0"/>
        </c:ser>
        <c:axId val="1849761042"/>
        <c:axId val="1287054607"/>
      </c:lineChart>
      <c:catAx>
        <c:axId val="1849761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054607"/>
      </c:catAx>
      <c:valAx>
        <c:axId val="1287054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761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EV (Actual)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'Exponential Smoothing'!$A$41:$A$50</c:f>
            </c:strRef>
          </c:cat>
          <c:val>
            <c:numRef>
              <c:f>'Exponential Smoothing'!$B$41:$B$50</c:f>
              <c:numCache/>
            </c:numRef>
          </c:val>
          <c:smooth val="0"/>
        </c:ser>
        <c:ser>
          <c:idx val="1"/>
          <c:order val="1"/>
          <c:tx>
            <c:v>EV (Forecasted)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'Exponential Smoothing'!$A$41:$A$50</c:f>
            </c:strRef>
          </c:cat>
          <c:val>
            <c:numRef>
              <c:f>'Exponential Smoothing'!$C$41:$C$50</c:f>
              <c:numCache/>
            </c:numRef>
          </c:val>
          <c:smooth val="0"/>
        </c:ser>
        <c:axId val="946368855"/>
        <c:axId val="288788244"/>
      </c:lineChart>
      <c:catAx>
        <c:axId val="946368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788244"/>
      </c:catAx>
      <c:valAx>
        <c:axId val="288788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368855"/>
      </c:valAx>
    </c:plotArea>
    <c:legend>
      <c:legendPos val="r"/>
      <c:layout>
        <c:manualLayout>
          <c:xMode val="edge"/>
          <c:yMode val="edge"/>
          <c:x val="0.3288476562500001"/>
          <c:y val="0.0473045822102425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'Exponential Smoothing'!$F$40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'Exponential Smoothing'!$A$41:$A$50</c:f>
            </c:strRef>
          </c:cat>
          <c:val>
            <c:numRef>
              <c:f>'Exponential Smoothing'!$F$41:$F$50</c:f>
              <c:numCache/>
            </c:numRef>
          </c:val>
          <c:smooth val="0"/>
        </c:ser>
        <c:ser>
          <c:idx val="1"/>
          <c:order val="1"/>
          <c:tx>
            <c:v>Non-EV (Forecasted)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'Exponential Smoothing'!$A$41:$A$50</c:f>
            </c:strRef>
          </c:cat>
          <c:val>
            <c:numRef>
              <c:f>'Exponential Smoothing'!$G$41:$G$50</c:f>
              <c:numCache/>
            </c:numRef>
          </c:val>
          <c:smooth val="0"/>
        </c:ser>
        <c:axId val="33093506"/>
        <c:axId val="930584413"/>
      </c:lineChart>
      <c:catAx>
        <c:axId val="33093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0584413"/>
      </c:catAx>
      <c:valAx>
        <c:axId val="930584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93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'Simple Moving Average'!$P$17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'Simple Moving Average'!$B$18:$B$27</c:f>
            </c:strRef>
          </c:cat>
          <c:val>
            <c:numRef>
              <c:f>'Simple Moving Average'!$P$18:$P$27</c:f>
              <c:numCache/>
            </c:numRef>
          </c:val>
          <c:smooth val="0"/>
        </c:ser>
        <c:ser>
          <c:idx val="1"/>
          <c:order val="1"/>
          <c:tx>
            <c:strRef>
              <c:f>'Simple Moving Average'!$Q$17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'Simple Moving Average'!$B$18:$B$27</c:f>
            </c:strRef>
          </c:cat>
          <c:val>
            <c:numRef>
              <c:f>'Simple Moving Average'!$Q$18:$Q$27</c:f>
              <c:numCache/>
            </c:numRef>
          </c:val>
          <c:smooth val="0"/>
        </c:ser>
        <c:axId val="340490427"/>
        <c:axId val="426782192"/>
      </c:lineChart>
      <c:catAx>
        <c:axId val="340490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782192"/>
      </c:catAx>
      <c:valAx>
        <c:axId val="426782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490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'Exponential Smoothing with Adju'!$B$25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Adju'!$B$26:$B$35</c:f>
              <c:numCache/>
            </c:numRef>
          </c:val>
          <c:smooth val="0"/>
        </c:ser>
        <c:ser>
          <c:idx val="1"/>
          <c:order val="1"/>
          <c:tx>
            <c:v>CNG ONLY (Smoothened Forecast)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Adju'!$C$26:$C$35</c:f>
              <c:numCache/>
            </c:numRef>
          </c:val>
          <c:smooth val="0"/>
        </c:ser>
        <c:ser>
          <c:idx val="2"/>
          <c:order val="2"/>
          <c:tx>
            <c:v>CNG ONLY (Forecsast including trend)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Adju'!$E$26:$E$35</c:f>
              <c:numCache/>
            </c:numRef>
          </c:val>
          <c:smooth val="0"/>
        </c:ser>
        <c:axId val="1756837715"/>
        <c:axId val="975471895"/>
      </c:lineChart>
      <c:catAx>
        <c:axId val="1756837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471895"/>
      </c:catAx>
      <c:valAx>
        <c:axId val="975471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837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DIESEL 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Adju'!$H$26:$H$35</c:f>
              <c:numCache/>
            </c:numRef>
          </c:val>
          <c:smooth val="0"/>
        </c:ser>
        <c:ser>
          <c:idx val="1"/>
          <c:order val="1"/>
          <c:tx>
            <c:v>DIESEL (Smoothened Forecast)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Adju'!$I$26:$I$35</c:f>
              <c:numCache/>
            </c:numRef>
          </c:val>
          <c:smooth val="0"/>
        </c:ser>
        <c:ser>
          <c:idx val="2"/>
          <c:order val="2"/>
          <c:tx>
            <c:v>DIESEL (Forecsast including trend)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Adju'!$K$26:$K$35</c:f>
              <c:numCache/>
            </c:numRef>
          </c:val>
          <c:smooth val="0"/>
        </c:ser>
        <c:axId val="1136819542"/>
        <c:axId val="821470382"/>
      </c:lineChart>
      <c:catAx>
        <c:axId val="1136819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470382"/>
      </c:catAx>
      <c:valAx>
        <c:axId val="821470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819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DIESEL/HYBRID 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Adju'!$N$26:$N$35</c:f>
              <c:numCache/>
            </c:numRef>
          </c:val>
          <c:smooth val="0"/>
        </c:ser>
        <c:ser>
          <c:idx val="1"/>
          <c:order val="1"/>
          <c:tx>
            <c:v>DIESEL/HYBRID (Smoothened Forecast)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Adju'!$O$26:$O$35</c:f>
              <c:numCache/>
            </c:numRef>
          </c:val>
          <c:smooth val="0"/>
        </c:ser>
        <c:ser>
          <c:idx val="2"/>
          <c:order val="2"/>
          <c:tx>
            <c:v>DIESEL/HYBRID (Forecast including Trend)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Adju'!$Q$26:$Q$35</c:f>
              <c:numCache/>
            </c:numRef>
          </c:val>
          <c:smooth val="0"/>
        </c:ser>
        <c:axId val="2096117969"/>
        <c:axId val="1516018184"/>
      </c:lineChart>
      <c:catAx>
        <c:axId val="2096117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018184"/>
      </c:catAx>
      <c:valAx>
        <c:axId val="1516018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117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ELECTRIC(BOV) 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Adju'!$T$26:$T$35</c:f>
              <c:numCache/>
            </c:numRef>
          </c:val>
          <c:smooth val="0"/>
        </c:ser>
        <c:ser>
          <c:idx val="1"/>
          <c:order val="1"/>
          <c:tx>
            <c:v>ELECTRIC(BOV) (Smoothened Forecast)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Adju'!$U$26:$U$35</c:f>
              <c:numCache/>
            </c:numRef>
          </c:val>
          <c:smooth val="0"/>
        </c:ser>
        <c:ser>
          <c:idx val="2"/>
          <c:order val="2"/>
          <c:tx>
            <c:v>ELECTRIC(BOV) (Forecast including Trend)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Adju'!$W$26:$W$35</c:f>
              <c:numCache/>
            </c:numRef>
          </c:val>
          <c:smooth val="0"/>
        </c:ser>
        <c:axId val="469139271"/>
        <c:axId val="1056142415"/>
      </c:lineChart>
      <c:catAx>
        <c:axId val="469139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142415"/>
      </c:catAx>
      <c:valAx>
        <c:axId val="1056142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139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LPG ONLY 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Adju'!$Z$26:$Z$35</c:f>
              <c:numCache/>
            </c:numRef>
          </c:val>
          <c:smooth val="0"/>
        </c:ser>
        <c:ser>
          <c:idx val="1"/>
          <c:order val="1"/>
          <c:tx>
            <c:v>LPG ONLY (Smoothened Forecast)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Adju'!$AA$26:$AA$35</c:f>
              <c:numCache/>
            </c:numRef>
          </c:val>
          <c:smooth val="0"/>
        </c:ser>
        <c:ser>
          <c:idx val="2"/>
          <c:order val="2"/>
          <c:tx>
            <c:v>LPG ONLY (Forecast including Trend)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Adju'!$AC$26:$AC$35</c:f>
              <c:numCache/>
            </c:numRef>
          </c:val>
          <c:smooth val="0"/>
        </c:ser>
        <c:axId val="252813582"/>
        <c:axId val="1590744619"/>
      </c:lineChart>
      <c:catAx>
        <c:axId val="252813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744619"/>
      </c:catAx>
      <c:valAx>
        <c:axId val="1590744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8135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PETROL 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Adju'!$AF$26:$AF$35</c:f>
              <c:numCache/>
            </c:numRef>
          </c:val>
          <c:smooth val="0"/>
        </c:ser>
        <c:ser>
          <c:idx val="1"/>
          <c:order val="1"/>
          <c:tx>
            <c:v>PETROL (Smoothened Forecast)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Adju'!$AG$26:$AG$35</c:f>
              <c:numCache/>
            </c:numRef>
          </c:val>
          <c:smooth val="0"/>
        </c:ser>
        <c:ser>
          <c:idx val="2"/>
          <c:order val="2"/>
          <c:tx>
            <c:v>PETROL (Forecast including Trend)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Adju'!$AI$26:$AI$35</c:f>
              <c:numCache/>
            </c:numRef>
          </c:val>
          <c:smooth val="0"/>
        </c:ser>
        <c:axId val="308987203"/>
        <c:axId val="298015397"/>
      </c:lineChart>
      <c:catAx>
        <c:axId val="308987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015397"/>
      </c:catAx>
      <c:valAx>
        <c:axId val="298015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987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PETROL/CNG 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Adju'!$AL$26:$AL$35</c:f>
              <c:numCache/>
            </c:numRef>
          </c:val>
          <c:smooth val="0"/>
        </c:ser>
        <c:ser>
          <c:idx val="1"/>
          <c:order val="1"/>
          <c:tx>
            <c:v>PETROL/CNG (Smoothened Forecast)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Adju'!$AM$26:$AM$35</c:f>
              <c:numCache/>
            </c:numRef>
          </c:val>
          <c:smooth val="0"/>
        </c:ser>
        <c:ser>
          <c:idx val="2"/>
          <c:order val="2"/>
          <c:tx>
            <c:v>PETROL/CNG (Forecast including Trend)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Adju'!$AO$26:$AO$35</c:f>
              <c:numCache/>
            </c:numRef>
          </c:val>
          <c:smooth val="0"/>
        </c:ser>
        <c:axId val="1503988807"/>
        <c:axId val="1098799635"/>
      </c:lineChart>
      <c:catAx>
        <c:axId val="1503988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799635"/>
      </c:catAx>
      <c:valAx>
        <c:axId val="1098799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988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PETROL/HYBRID 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Adju'!$AR$26:$AR$35</c:f>
              <c:numCache/>
            </c:numRef>
          </c:val>
          <c:smooth val="0"/>
        </c:ser>
        <c:ser>
          <c:idx val="1"/>
          <c:order val="1"/>
          <c:tx>
            <c:v>PETROL/HYBRID (Smoothened Forecast)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Adju'!$AS$26:$AS$35</c:f>
              <c:numCache/>
            </c:numRef>
          </c:val>
          <c:smooth val="0"/>
        </c:ser>
        <c:ser>
          <c:idx val="2"/>
          <c:order val="2"/>
          <c:tx>
            <c:v>PETROL/HYBRID (Forecast including Trend)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Adju'!$AU$26:$AU$35</c:f>
              <c:numCache/>
            </c:numRef>
          </c:val>
          <c:smooth val="0"/>
        </c:ser>
        <c:axId val="1417163533"/>
        <c:axId val="509583532"/>
      </c:lineChart>
      <c:catAx>
        <c:axId val="1417163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583532"/>
      </c:catAx>
      <c:valAx>
        <c:axId val="509583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163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PETROL/LPG (Actual Value)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Adju'!$AX$26:$AX$35</c:f>
              <c:numCache/>
            </c:numRef>
          </c:val>
          <c:smooth val="0"/>
        </c:ser>
        <c:ser>
          <c:idx val="1"/>
          <c:order val="1"/>
          <c:tx>
            <c:v>PETROL/LPG (Smoothened Forecast)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Adju'!$AY$26:$AY$35</c:f>
              <c:numCache/>
            </c:numRef>
          </c:val>
          <c:smooth val="0"/>
        </c:ser>
        <c:ser>
          <c:idx val="2"/>
          <c:order val="2"/>
          <c:tx>
            <c:v>PETROL/LPG (Forecast including Trend)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'Exponential Smoothing with Adju'!$A$26:$A$35</c:f>
            </c:strRef>
          </c:cat>
          <c:val>
            <c:numRef>
              <c:f>'Exponential Smoothing with Adju'!$BA$26:$BA$35</c:f>
              <c:numCache/>
            </c:numRef>
          </c:val>
          <c:smooth val="0"/>
        </c:ser>
        <c:axId val="1017569143"/>
        <c:axId val="433818915"/>
      </c:lineChart>
      <c:catAx>
        <c:axId val="1017569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818915"/>
      </c:catAx>
      <c:valAx>
        <c:axId val="433818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569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EV (Actual)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'Exponential Smoothing with Adju'!$A$47:$A$56</c:f>
            </c:strRef>
          </c:cat>
          <c:val>
            <c:numRef>
              <c:f>'Exponential Smoothing with Adju'!$B$47:$B$56</c:f>
              <c:numCache/>
            </c:numRef>
          </c:val>
          <c:smooth val="0"/>
        </c:ser>
        <c:ser>
          <c:idx val="1"/>
          <c:order val="1"/>
          <c:tx>
            <c:v>EV (Smoothened Forecast)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'Exponential Smoothing with Adju'!$A$47:$A$56</c:f>
            </c:strRef>
          </c:cat>
          <c:val>
            <c:numRef>
              <c:f>'Exponential Smoothing with Adju'!$C$47:$C$56</c:f>
              <c:numCache/>
            </c:numRef>
          </c:val>
          <c:smooth val="0"/>
        </c:ser>
        <c:ser>
          <c:idx val="2"/>
          <c:order val="2"/>
          <c:tx>
            <c:v>EV (Forecsast including trend)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'Exponential Smoothing with Adju'!$A$47:$A$56</c:f>
            </c:strRef>
          </c:cat>
          <c:val>
            <c:numRef>
              <c:f>'Exponential Smoothing with Adju'!$E$47:$E$56</c:f>
              <c:numCache/>
            </c:numRef>
          </c:val>
          <c:smooth val="0"/>
        </c:ser>
        <c:axId val="317783197"/>
        <c:axId val="1180498816"/>
      </c:lineChart>
      <c:catAx>
        <c:axId val="317783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498816"/>
      </c:catAx>
      <c:valAx>
        <c:axId val="1180498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783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'Simple Moving Average'!$T$17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'Simple Moving Average'!$B$18:$B$27</c:f>
            </c:strRef>
          </c:cat>
          <c:val>
            <c:numRef>
              <c:f>'Simple Moving Average'!$T$18:$T$27</c:f>
              <c:numCache/>
            </c:numRef>
          </c:val>
          <c:smooth val="0"/>
        </c:ser>
        <c:ser>
          <c:idx val="1"/>
          <c:order val="1"/>
          <c:tx>
            <c:strRef>
              <c:f>'Simple Moving Average'!$U$17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'Simple Moving Average'!$B$18:$B$27</c:f>
            </c:strRef>
          </c:cat>
          <c:val>
            <c:numRef>
              <c:f>'Simple Moving Average'!$U$18:$U$27</c:f>
              <c:numCache/>
            </c:numRef>
          </c:val>
          <c:smooth val="0"/>
        </c:ser>
        <c:axId val="1007025488"/>
        <c:axId val="1420088616"/>
      </c:lineChart>
      <c:catAx>
        <c:axId val="100702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088616"/>
      </c:catAx>
      <c:valAx>
        <c:axId val="1420088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025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'Exponential Smoothing with Adju'!$H$46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'Exponential Smoothing with Adju'!$A$47:$A$56</c:f>
            </c:strRef>
          </c:cat>
          <c:val>
            <c:numRef>
              <c:f>'Exponential Smoothing with Adju'!$H$47:$H$56</c:f>
              <c:numCache/>
            </c:numRef>
          </c:val>
          <c:smooth val="0"/>
        </c:ser>
        <c:ser>
          <c:idx val="1"/>
          <c:order val="1"/>
          <c:tx>
            <c:v>Non-EV (Smoothened Forecast)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'Exponential Smoothing with Adju'!$A$47:$A$56</c:f>
            </c:strRef>
          </c:cat>
          <c:val>
            <c:numRef>
              <c:f>'Exponential Smoothing with Adju'!$I$47:$I$56</c:f>
              <c:numCache/>
            </c:numRef>
          </c:val>
          <c:smooth val="0"/>
        </c:ser>
        <c:ser>
          <c:idx val="2"/>
          <c:order val="2"/>
          <c:tx>
            <c:v>Non-EV (Forecsast including trend)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'Exponential Smoothing with Adju'!$A$47:$A$56</c:f>
            </c:strRef>
          </c:cat>
          <c:val>
            <c:numRef>
              <c:f>'Exponential Smoothing with Adju'!$K$47:$K$56</c:f>
              <c:numCache/>
            </c:numRef>
          </c:val>
          <c:smooth val="0"/>
        </c:ser>
        <c:axId val="1058113207"/>
        <c:axId val="750976913"/>
      </c:lineChart>
      <c:catAx>
        <c:axId val="1058113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976913"/>
      </c:catAx>
      <c:valAx>
        <c:axId val="750976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113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Absolute Deviation vs. Method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'Error Plots'!$B$3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'Error Plots'!$A$4:$A$8</c:f>
            </c:strRef>
          </c:cat>
          <c:val>
            <c:numRef>
              <c:f>'Error Plots'!$B$4:$B$8</c:f>
              <c:numCache/>
            </c:numRef>
          </c:val>
        </c:ser>
        <c:axId val="536406718"/>
        <c:axId val="2005562335"/>
      </c:barChart>
      <c:catAx>
        <c:axId val="536406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Method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562335"/>
      </c:catAx>
      <c:valAx>
        <c:axId val="2005562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Absolute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406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Root Mean Squared Error	 vs. Method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'Error Plots'!$C$3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'Error Plots'!$A$4:$A$8</c:f>
            </c:strRef>
          </c:cat>
          <c:val>
            <c:numRef>
              <c:f>'Error Plots'!$C$4:$C$8</c:f>
              <c:numCache/>
            </c:numRef>
          </c:val>
        </c:ser>
        <c:axId val="1211754590"/>
        <c:axId val="854568850"/>
      </c:barChart>
      <c:catAx>
        <c:axId val="1211754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Method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568850"/>
      </c:catAx>
      <c:valAx>
        <c:axId val="854568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Root Mean Squared Error	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754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Absolute Percentage Error vs. Method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'Error Plots'!$D$3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'Error Plots'!$A$4:$A$8</c:f>
            </c:strRef>
          </c:cat>
          <c:val>
            <c:numRef>
              <c:f>'Error Plots'!$D$4:$D$8</c:f>
              <c:numCache/>
            </c:numRef>
          </c:val>
        </c:ser>
        <c:axId val="15839090"/>
        <c:axId val="424297073"/>
      </c:barChart>
      <c:catAx>
        <c:axId val="15839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Method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297073"/>
      </c:catAx>
      <c:valAx>
        <c:axId val="424297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Absolute Percentage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9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Absolute Deviation vs. Method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'Error Plots'!$B$35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'Error Plots'!$A$36:$A$40</c:f>
            </c:strRef>
          </c:cat>
          <c:val>
            <c:numRef>
              <c:f>'Error Plots'!$B$36:$B$40</c:f>
              <c:numCache/>
            </c:numRef>
          </c:val>
        </c:ser>
        <c:axId val="114602456"/>
        <c:axId val="603682488"/>
      </c:barChart>
      <c:catAx>
        <c:axId val="11460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Method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682488"/>
      </c:catAx>
      <c:valAx>
        <c:axId val="603682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Absolute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02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Root Mean Squared Error	 vs. Method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'Error Plots'!$C$35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'Error Plots'!$A$36:$A$40</c:f>
            </c:strRef>
          </c:cat>
          <c:val>
            <c:numRef>
              <c:f>'Error Plots'!$C$36:$C$40</c:f>
              <c:numCache/>
            </c:numRef>
          </c:val>
        </c:ser>
        <c:axId val="1125299580"/>
        <c:axId val="1160577263"/>
      </c:barChart>
      <c:catAx>
        <c:axId val="1125299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Method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577263"/>
      </c:catAx>
      <c:valAx>
        <c:axId val="1160577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Root Mean Squared Error	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299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Absolute Percentage Error vs. Method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'Error Plots'!$D$35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'Error Plots'!$A$36:$A$40</c:f>
            </c:strRef>
          </c:cat>
          <c:val>
            <c:numRef>
              <c:f>'Error Plots'!$D$36:$D$40</c:f>
              <c:numCache/>
            </c:numRef>
          </c:val>
        </c:ser>
        <c:axId val="386016575"/>
        <c:axId val="509150198"/>
      </c:barChart>
      <c:catAx>
        <c:axId val="386016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Method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150198"/>
      </c:catAx>
      <c:valAx>
        <c:axId val="509150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Absolute Percentage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016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'Simple Moving Average'!$X$17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'Simple Moving Average'!$B$18:$B$27</c:f>
            </c:strRef>
          </c:cat>
          <c:val>
            <c:numRef>
              <c:f>'Simple Moving Average'!$X$18:$X$27</c:f>
              <c:numCache/>
            </c:numRef>
          </c:val>
          <c:smooth val="0"/>
        </c:ser>
        <c:ser>
          <c:idx val="1"/>
          <c:order val="1"/>
          <c:tx>
            <c:strRef>
              <c:f>'Simple Moving Average'!$Y$17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'Simple Moving Average'!$B$18:$B$27</c:f>
            </c:strRef>
          </c:cat>
          <c:val>
            <c:numRef>
              <c:f>'Simple Moving Average'!$Y$18:$Y$27</c:f>
              <c:numCache/>
            </c:numRef>
          </c:val>
          <c:smooth val="0"/>
        </c:ser>
        <c:axId val="1584209920"/>
        <c:axId val="864718849"/>
      </c:lineChart>
      <c:catAx>
        <c:axId val="15842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718849"/>
      </c:catAx>
      <c:valAx>
        <c:axId val="864718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209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'Simple Moving Average'!$AF$17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'Simple Moving Average'!$B$18:$B$27</c:f>
            </c:strRef>
          </c:cat>
          <c:val>
            <c:numRef>
              <c:f>'Simple Moving Average'!$AF$18:$AF$27</c:f>
              <c:numCache/>
            </c:numRef>
          </c:val>
          <c:smooth val="0"/>
        </c:ser>
        <c:ser>
          <c:idx val="1"/>
          <c:order val="1"/>
          <c:tx>
            <c:strRef>
              <c:f>'Simple Moving Average'!$AG$17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'Simple Moving Average'!$B$18:$B$27</c:f>
            </c:strRef>
          </c:cat>
          <c:val>
            <c:numRef>
              <c:f>'Simple Moving Average'!$AG$18:$AG$27</c:f>
              <c:numCache/>
            </c:numRef>
          </c:val>
          <c:smooth val="0"/>
        </c:ser>
        <c:axId val="773422896"/>
        <c:axId val="1391185828"/>
      </c:lineChart>
      <c:catAx>
        <c:axId val="77342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185828"/>
      </c:catAx>
      <c:valAx>
        <c:axId val="1391185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422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'Simple Moving Average'!$C$34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'Simple Moving Average'!$B$35:$B$44</c:f>
            </c:strRef>
          </c:cat>
          <c:val>
            <c:numRef>
              <c:f>'Simple Moving Average'!$C$35:$C$44</c:f>
              <c:numCache/>
            </c:numRef>
          </c:val>
          <c:smooth val="0"/>
        </c:ser>
        <c:ser>
          <c:idx val="1"/>
          <c:order val="1"/>
          <c:tx>
            <c:strRef>
              <c:f>'Simple Moving Average'!$D$34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'Simple Moving Average'!$B$35:$B$44</c:f>
            </c:strRef>
          </c:cat>
          <c:val>
            <c:numRef>
              <c:f>'Simple Moving Average'!$D$35:$D$44</c:f>
              <c:numCache/>
            </c:numRef>
          </c:val>
          <c:smooth val="0"/>
        </c:ser>
        <c:axId val="1063954450"/>
        <c:axId val="2110739740"/>
      </c:lineChart>
      <c:catAx>
        <c:axId val="1063954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739740"/>
      </c:catAx>
      <c:valAx>
        <c:axId val="2110739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954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'Simple Moving Average'!$G$34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'Simple Moving Average'!$B$35:$B$44</c:f>
            </c:strRef>
          </c:cat>
          <c:val>
            <c:numRef>
              <c:f>'Simple Moving Average'!$G$35:$G$44</c:f>
              <c:numCache/>
            </c:numRef>
          </c:val>
          <c:smooth val="0"/>
        </c:ser>
        <c:ser>
          <c:idx val="1"/>
          <c:order val="1"/>
          <c:tx>
            <c:strRef>
              <c:f>'Simple Moving Average'!$H$34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'Simple Moving Average'!$B$35:$B$44</c:f>
            </c:strRef>
          </c:cat>
          <c:val>
            <c:numRef>
              <c:f>'Simple Moving Average'!$H$35:$H$44</c:f>
              <c:numCache/>
            </c:numRef>
          </c:val>
          <c:smooth val="0"/>
        </c:ser>
        <c:axId val="1541480449"/>
        <c:axId val="297150938"/>
      </c:lineChart>
      <c:catAx>
        <c:axId val="1541480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150938"/>
      </c:catAx>
      <c:valAx>
        <c:axId val="297150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480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Relationship Id="rId6" Type="http://schemas.openxmlformats.org/officeDocument/2006/relationships/chart" Target="../charts/chart5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1" Type="http://schemas.openxmlformats.org/officeDocument/2006/relationships/chart" Target="../charts/chart20.xml"/><Relationship Id="rId10" Type="http://schemas.openxmlformats.org/officeDocument/2006/relationships/chart" Target="../charts/chart19.xml"/><Relationship Id="rId9" Type="http://schemas.openxmlformats.org/officeDocument/2006/relationships/chart" Target="../charts/chart18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9" Type="http://schemas.openxmlformats.org/officeDocument/2006/relationships/image" Target="../media/image1.png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1" Type="http://schemas.openxmlformats.org/officeDocument/2006/relationships/chart" Target="../charts/chart39.xml"/><Relationship Id="rId10" Type="http://schemas.openxmlformats.org/officeDocument/2006/relationships/chart" Target="../charts/chart38.xml"/><Relationship Id="rId9" Type="http://schemas.openxmlformats.org/officeDocument/2006/relationships/chart" Target="../charts/chart37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11" Type="http://schemas.openxmlformats.org/officeDocument/2006/relationships/chart" Target="../charts/chart50.xml"/><Relationship Id="rId10" Type="http://schemas.openxmlformats.org/officeDocument/2006/relationships/chart" Target="../charts/chart49.xml"/><Relationship Id="rId9" Type="http://schemas.openxmlformats.org/officeDocument/2006/relationships/chart" Target="../charts/chart48.xml"/><Relationship Id="rId5" Type="http://schemas.openxmlformats.org/officeDocument/2006/relationships/chart" Target="../charts/chart44.xml"/><Relationship Id="rId6" Type="http://schemas.openxmlformats.org/officeDocument/2006/relationships/chart" Target="../charts/chart45.xml"/><Relationship Id="rId7" Type="http://schemas.openxmlformats.org/officeDocument/2006/relationships/chart" Target="../charts/chart46.xml"/><Relationship Id="rId8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9525</xdr:rowOff>
    </xdr:from>
    <xdr:ext cx="5400675" cy="3343275"/>
    <xdr:graphicFrame>
      <xdr:nvGraphicFramePr>
        <xdr:cNvPr id="51" name="Chart 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1304925</xdr:colOff>
      <xdr:row>10</xdr:row>
      <xdr:rowOff>9525</xdr:rowOff>
    </xdr:from>
    <xdr:ext cx="5400675" cy="3343275"/>
    <xdr:graphicFrame>
      <xdr:nvGraphicFramePr>
        <xdr:cNvPr id="52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361950</xdr:colOff>
      <xdr:row>10</xdr:row>
      <xdr:rowOff>9525</xdr:rowOff>
    </xdr:from>
    <xdr:ext cx="5400675" cy="3343275"/>
    <xdr:graphicFrame>
      <xdr:nvGraphicFramePr>
        <xdr:cNvPr id="53" name="Chart 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9525</xdr:rowOff>
    </xdr:from>
    <xdr:ext cx="5400675" cy="3343275"/>
    <xdr:graphicFrame>
      <xdr:nvGraphicFramePr>
        <xdr:cNvPr id="54" name="Chart 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1323975</xdr:colOff>
      <xdr:row>41</xdr:row>
      <xdr:rowOff>9525</xdr:rowOff>
    </xdr:from>
    <xdr:ext cx="5448300" cy="3343275"/>
    <xdr:graphicFrame>
      <xdr:nvGraphicFramePr>
        <xdr:cNvPr id="55" name="Chart 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447675</xdr:colOff>
      <xdr:row>41</xdr:row>
      <xdr:rowOff>9525</xdr:rowOff>
    </xdr:from>
    <xdr:ext cx="5448300" cy="3343275"/>
    <xdr:graphicFrame>
      <xdr:nvGraphicFramePr>
        <xdr:cNvPr id="56" name="Chart 5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49</xdr:row>
      <xdr:rowOff>190500</xdr:rowOff>
    </xdr:from>
    <xdr:ext cx="5105400" cy="3162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790575</xdr:colOff>
      <xdr:row>49</xdr:row>
      <xdr:rowOff>190500</xdr:rowOff>
    </xdr:from>
    <xdr:ext cx="5105400" cy="3162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923925</xdr:colOff>
      <xdr:row>49</xdr:row>
      <xdr:rowOff>190500</xdr:rowOff>
    </xdr:from>
    <xdr:ext cx="5105400" cy="3162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381000</xdr:colOff>
      <xdr:row>49</xdr:row>
      <xdr:rowOff>190500</xdr:rowOff>
    </xdr:from>
    <xdr:ext cx="5105400" cy="3162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22</xdr:col>
      <xdr:colOff>847725</xdr:colOff>
      <xdr:row>49</xdr:row>
      <xdr:rowOff>190500</xdr:rowOff>
    </xdr:from>
    <xdr:ext cx="5105400" cy="31623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28</xdr:col>
      <xdr:colOff>352425</xdr:colOff>
      <xdr:row>49</xdr:row>
      <xdr:rowOff>190500</xdr:rowOff>
    </xdr:from>
    <xdr:ext cx="5105400" cy="3162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33</xdr:col>
      <xdr:colOff>819150</xdr:colOff>
      <xdr:row>49</xdr:row>
      <xdr:rowOff>190500</xdr:rowOff>
    </xdr:from>
    <xdr:ext cx="5105400" cy="31623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0</xdr:colOff>
      <xdr:row>67</xdr:row>
      <xdr:rowOff>57150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</xdr:col>
      <xdr:colOff>190500</xdr:colOff>
      <xdr:row>67</xdr:row>
      <xdr:rowOff>57150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55</xdr:row>
      <xdr:rowOff>38100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114300</xdr:colOff>
      <xdr:row>55</xdr:row>
      <xdr:rowOff>85725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352425</xdr:colOff>
      <xdr:row>55</xdr:row>
      <xdr:rowOff>38100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1019175</xdr:colOff>
      <xdr:row>55</xdr:row>
      <xdr:rowOff>38100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609600</xdr:colOff>
      <xdr:row>55</xdr:row>
      <xdr:rowOff>38100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26</xdr:col>
      <xdr:colOff>838200</xdr:colOff>
      <xdr:row>55</xdr:row>
      <xdr:rowOff>38100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76200</xdr:colOff>
      <xdr:row>73</xdr:row>
      <xdr:rowOff>200025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171450</xdr:colOff>
      <xdr:row>74</xdr:row>
      <xdr:rowOff>180975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1428750</xdr:colOff>
      <xdr:row>74</xdr:row>
      <xdr:rowOff>180975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16</xdr:col>
      <xdr:colOff>85725</xdr:colOff>
      <xdr:row>76</xdr:row>
      <xdr:rowOff>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21</xdr:col>
      <xdr:colOff>800100</xdr:colOff>
      <xdr:row>76</xdr:row>
      <xdr:rowOff>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638175</xdr:colOff>
      <xdr:row>8</xdr:row>
      <xdr:rowOff>95250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876300</xdr:colOff>
      <xdr:row>8</xdr:row>
      <xdr:rowOff>95250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76200</xdr:colOff>
      <xdr:row>8</xdr:row>
      <xdr:rowOff>95250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638175</xdr:colOff>
      <xdr:row>28</xdr:row>
      <xdr:rowOff>28575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876300</xdr:colOff>
      <xdr:row>27</xdr:row>
      <xdr:rowOff>180975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76200</xdr:colOff>
      <xdr:row>27</xdr:row>
      <xdr:rowOff>180975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419100</xdr:colOff>
      <xdr:row>98</xdr:row>
      <xdr:rowOff>114300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933450</xdr:colOff>
      <xdr:row>98</xdr:row>
      <xdr:rowOff>114300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962025</xdr:colOff>
      <xdr:row>61</xdr:row>
      <xdr:rowOff>19050</xdr:rowOff>
    </xdr:from>
    <xdr:ext cx="4524375" cy="2609850"/>
    <xdr:pic>
      <xdr:nvPicPr>
        <xdr:cNvPr id="0" name="image1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69</xdr:row>
      <xdr:rowOff>190500</xdr:rowOff>
    </xdr:from>
    <xdr:ext cx="4800600" cy="2971800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152400</xdr:colOff>
      <xdr:row>69</xdr:row>
      <xdr:rowOff>190500</xdr:rowOff>
    </xdr:from>
    <xdr:ext cx="4800600" cy="2971800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714375</xdr:colOff>
      <xdr:row>69</xdr:row>
      <xdr:rowOff>190500</xdr:rowOff>
    </xdr:from>
    <xdr:ext cx="4800600" cy="2971800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0</xdr:colOff>
      <xdr:row>69</xdr:row>
      <xdr:rowOff>190500</xdr:rowOff>
    </xdr:from>
    <xdr:ext cx="4800600" cy="2971800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561975</xdr:colOff>
      <xdr:row>69</xdr:row>
      <xdr:rowOff>190500</xdr:rowOff>
    </xdr:from>
    <xdr:ext cx="4800600" cy="2971800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22</xdr:col>
      <xdr:colOff>1076325</xdr:colOff>
      <xdr:row>69</xdr:row>
      <xdr:rowOff>190500</xdr:rowOff>
    </xdr:from>
    <xdr:ext cx="4857750" cy="2971800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27</xdr:col>
      <xdr:colOff>152400</xdr:colOff>
      <xdr:row>69</xdr:row>
      <xdr:rowOff>190500</xdr:rowOff>
    </xdr:from>
    <xdr:ext cx="4857750" cy="2971800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31</xdr:col>
      <xdr:colOff>571500</xdr:colOff>
      <xdr:row>69</xdr:row>
      <xdr:rowOff>190500</xdr:rowOff>
    </xdr:from>
    <xdr:ext cx="4857750" cy="2971800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36</xdr:col>
      <xdr:colOff>219075</xdr:colOff>
      <xdr:row>69</xdr:row>
      <xdr:rowOff>190500</xdr:rowOff>
    </xdr:from>
    <xdr:ext cx="4752975" cy="2971800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</xdr:col>
      <xdr:colOff>0</xdr:colOff>
      <xdr:row>86</xdr:row>
      <xdr:rowOff>152400</xdr:rowOff>
    </xdr:from>
    <xdr:ext cx="571500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6</xdr:col>
      <xdr:colOff>133350</xdr:colOff>
      <xdr:row>86</xdr:row>
      <xdr:rowOff>152400</xdr:rowOff>
    </xdr:from>
    <xdr:ext cx="5715000" cy="35337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61</xdr:row>
      <xdr:rowOff>190500</xdr:rowOff>
    </xdr:from>
    <xdr:ext cx="4857750" cy="3009900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133350</xdr:colOff>
      <xdr:row>61</xdr:row>
      <xdr:rowOff>190500</xdr:rowOff>
    </xdr:from>
    <xdr:ext cx="4857750" cy="3009900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333375</xdr:colOff>
      <xdr:row>61</xdr:row>
      <xdr:rowOff>190500</xdr:rowOff>
    </xdr:from>
    <xdr:ext cx="4857750" cy="3009900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971550</xdr:colOff>
      <xdr:row>61</xdr:row>
      <xdr:rowOff>190500</xdr:rowOff>
    </xdr:from>
    <xdr:ext cx="4857750" cy="3009900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20</xdr:col>
      <xdr:colOff>38100</xdr:colOff>
      <xdr:row>61</xdr:row>
      <xdr:rowOff>190500</xdr:rowOff>
    </xdr:from>
    <xdr:ext cx="4857750" cy="3009900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23</xdr:col>
      <xdr:colOff>123825</xdr:colOff>
      <xdr:row>61</xdr:row>
      <xdr:rowOff>190500</xdr:rowOff>
    </xdr:from>
    <xdr:ext cx="4857750" cy="3009900"/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27</xdr:col>
      <xdr:colOff>314325</xdr:colOff>
      <xdr:row>61</xdr:row>
      <xdr:rowOff>190500</xdr:rowOff>
    </xdr:from>
    <xdr:ext cx="4857750" cy="3009900"/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31</xdr:col>
      <xdr:colOff>409575</xdr:colOff>
      <xdr:row>61</xdr:row>
      <xdr:rowOff>190500</xdr:rowOff>
    </xdr:from>
    <xdr:ext cx="4857750" cy="3009900"/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34</xdr:col>
      <xdr:colOff>1200150</xdr:colOff>
      <xdr:row>61</xdr:row>
      <xdr:rowOff>190500</xdr:rowOff>
    </xdr:from>
    <xdr:ext cx="4857750" cy="3009900"/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</xdr:col>
      <xdr:colOff>0</xdr:colOff>
      <xdr:row>79</xdr:row>
      <xdr:rowOff>180975</xdr:rowOff>
    </xdr:from>
    <xdr:ext cx="5715000" cy="3533775"/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7</xdr:col>
      <xdr:colOff>47625</xdr:colOff>
      <xdr:row>79</xdr:row>
      <xdr:rowOff>180975</xdr:rowOff>
    </xdr:from>
    <xdr:ext cx="5715000" cy="3533775"/>
    <xdr:graphicFrame>
      <xdr:nvGraphicFramePr>
        <xdr:cNvPr id="50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vahan.parivahan.gov.in/vahan4dashboard/vahan/vahan/view/reportview.xhtml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colab.research.google.com/drive/1nH_I_Yzc08-piPiNcYV0OBLfML9aR4wO?usp=sharing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8.88"/>
    <col customWidth="1" min="2" max="2" width="19.88"/>
    <col customWidth="1" min="4" max="4" width="18.88"/>
    <col customWidth="1" min="7" max="7" width="18.75"/>
    <col customWidth="1" min="10" max="10" width="19.5"/>
  </cols>
  <sheetData>
    <row r="3">
      <c r="A3" s="1" t="s">
        <v>0</v>
      </c>
    </row>
    <row r="5">
      <c r="A5" s="2" t="s">
        <v>1</v>
      </c>
      <c r="B5" s="2" t="s">
        <v>2</v>
      </c>
      <c r="C5" s="3"/>
      <c r="G5" s="4"/>
      <c r="H5" s="2" t="s">
        <v>3</v>
      </c>
    </row>
    <row r="6">
      <c r="A6" s="5"/>
      <c r="B6" s="5"/>
      <c r="C6" s="2">
        <v>2023.0</v>
      </c>
      <c r="D6" s="2">
        <v>2022.0</v>
      </c>
      <c r="E6" s="2">
        <v>2021.0</v>
      </c>
      <c r="F6" s="2">
        <v>2020.0</v>
      </c>
      <c r="G6" s="2">
        <v>2019.0</v>
      </c>
      <c r="H6" s="5"/>
    </row>
    <row r="7">
      <c r="A7" s="6">
        <v>1.0</v>
      </c>
      <c r="B7" s="6" t="s">
        <v>4</v>
      </c>
      <c r="C7" s="7" t="s">
        <v>5</v>
      </c>
      <c r="D7" s="7" t="s">
        <v>6</v>
      </c>
      <c r="E7" s="7" t="s">
        <v>7</v>
      </c>
      <c r="F7" s="7">
        <v>43227.0</v>
      </c>
      <c r="G7" s="7">
        <v>33459.0</v>
      </c>
      <c r="H7" s="7" t="s">
        <v>8</v>
      </c>
      <c r="J7" s="8"/>
      <c r="K7" s="8"/>
      <c r="L7" s="8"/>
      <c r="M7" s="8"/>
      <c r="N7" s="8"/>
      <c r="O7" s="8"/>
    </row>
    <row r="8">
      <c r="A8" s="9">
        <v>2.0</v>
      </c>
      <c r="B8" s="9" t="s">
        <v>9</v>
      </c>
      <c r="C8" s="10" t="s">
        <v>10</v>
      </c>
      <c r="D8" s="10" t="s">
        <v>11</v>
      </c>
      <c r="E8" s="10" t="s">
        <v>12</v>
      </c>
      <c r="F8" s="10" t="s">
        <v>13</v>
      </c>
      <c r="G8" s="10" t="s">
        <v>14</v>
      </c>
      <c r="H8" s="10" t="s">
        <v>15</v>
      </c>
      <c r="J8" s="8"/>
      <c r="K8" s="8"/>
      <c r="L8" s="8"/>
      <c r="M8" s="8"/>
      <c r="N8" s="8"/>
      <c r="O8" s="8"/>
    </row>
    <row r="9">
      <c r="A9" s="6">
        <v>3.0</v>
      </c>
      <c r="B9" s="6" t="s">
        <v>16</v>
      </c>
      <c r="C9" s="7">
        <v>2462.0</v>
      </c>
      <c r="D9" s="7">
        <v>737.0</v>
      </c>
      <c r="E9" s="7">
        <v>35.0</v>
      </c>
      <c r="F9" s="7">
        <v>2917.0</v>
      </c>
      <c r="G9" s="7">
        <v>39104.0</v>
      </c>
      <c r="H9" s="7">
        <v>45255.0</v>
      </c>
      <c r="J9" s="8"/>
      <c r="K9" s="8"/>
      <c r="L9" s="8"/>
      <c r="M9" s="8"/>
      <c r="N9" s="8"/>
      <c r="O9" s="8"/>
    </row>
    <row r="10">
      <c r="A10" s="9">
        <v>4.0</v>
      </c>
      <c r="B10" s="9" t="s">
        <v>17</v>
      </c>
      <c r="C10" s="10">
        <v>0.0</v>
      </c>
      <c r="D10" s="10">
        <v>0.0</v>
      </c>
      <c r="E10" s="10">
        <v>0.0</v>
      </c>
      <c r="F10" s="10">
        <v>1.0</v>
      </c>
      <c r="G10" s="10">
        <v>0.0</v>
      </c>
      <c r="H10" s="10">
        <v>1.0</v>
      </c>
      <c r="J10" s="8"/>
      <c r="K10" s="8"/>
      <c r="L10" s="8"/>
      <c r="M10" s="8"/>
      <c r="N10" s="8"/>
      <c r="O10" s="8"/>
    </row>
    <row r="11">
      <c r="A11" s="6">
        <v>5.0</v>
      </c>
      <c r="B11" s="6" t="s">
        <v>18</v>
      </c>
      <c r="C11" s="7">
        <v>0.0</v>
      </c>
      <c r="D11" s="7">
        <v>5.0</v>
      </c>
      <c r="E11" s="7">
        <v>14.0</v>
      </c>
      <c r="F11" s="7">
        <v>0.0</v>
      </c>
      <c r="G11" s="7">
        <v>9.0</v>
      </c>
      <c r="H11" s="7">
        <v>28.0</v>
      </c>
      <c r="J11" s="8"/>
      <c r="K11" s="8"/>
      <c r="L11" s="8"/>
      <c r="M11" s="8"/>
      <c r="N11" s="8"/>
      <c r="O11" s="8"/>
    </row>
    <row r="12">
      <c r="A12" s="9">
        <v>6.0</v>
      </c>
      <c r="B12" s="9" t="s">
        <v>19</v>
      </c>
      <c r="C12" s="10">
        <v>0.0</v>
      </c>
      <c r="D12" s="10">
        <v>1.0</v>
      </c>
      <c r="E12" s="10">
        <v>0.0</v>
      </c>
      <c r="F12" s="10">
        <v>0.0</v>
      </c>
      <c r="G12" s="10">
        <v>0.0</v>
      </c>
      <c r="H12" s="10">
        <v>1.0</v>
      </c>
      <c r="J12" s="8"/>
      <c r="K12" s="8"/>
      <c r="L12" s="8"/>
      <c r="M12" s="8"/>
      <c r="N12" s="8"/>
      <c r="O12" s="8"/>
    </row>
    <row r="13">
      <c r="A13" s="6">
        <v>7.0</v>
      </c>
      <c r="B13" s="6" t="s">
        <v>20</v>
      </c>
      <c r="C13" s="7" t="s">
        <v>21</v>
      </c>
      <c r="D13" s="7" t="s">
        <v>22</v>
      </c>
      <c r="E13" s="7" t="s">
        <v>23</v>
      </c>
      <c r="F13" s="7" t="s">
        <v>24</v>
      </c>
      <c r="G13" s="7" t="s">
        <v>25</v>
      </c>
      <c r="H13" s="7" t="s">
        <v>26</v>
      </c>
      <c r="J13" s="8"/>
      <c r="K13" s="8"/>
      <c r="L13" s="8"/>
      <c r="M13" s="8"/>
      <c r="N13" s="8"/>
      <c r="O13" s="8"/>
    </row>
    <row r="14">
      <c r="A14" s="9">
        <v>8.0</v>
      </c>
      <c r="B14" s="9" t="s">
        <v>27</v>
      </c>
      <c r="C14" s="10">
        <v>0.0</v>
      </c>
      <c r="D14" s="10">
        <v>2.0</v>
      </c>
      <c r="E14" s="10">
        <v>0.0</v>
      </c>
      <c r="F14" s="10">
        <v>3.0</v>
      </c>
      <c r="G14" s="10">
        <v>9.0</v>
      </c>
      <c r="H14" s="10">
        <v>14.0</v>
      </c>
      <c r="J14" s="8"/>
      <c r="K14" s="8"/>
      <c r="L14" s="8"/>
      <c r="M14" s="8"/>
      <c r="N14" s="8"/>
      <c r="O14" s="8"/>
    </row>
    <row r="15">
      <c r="A15" s="6">
        <v>9.0</v>
      </c>
      <c r="B15" s="6" t="s">
        <v>28</v>
      </c>
      <c r="C15" s="7">
        <v>244.0</v>
      </c>
      <c r="D15" s="7">
        <v>20.0</v>
      </c>
      <c r="E15" s="7">
        <v>3.0</v>
      </c>
      <c r="F15" s="7">
        <v>5.0</v>
      </c>
      <c r="G15" s="7">
        <v>11.0</v>
      </c>
      <c r="H15" s="7">
        <v>283.0</v>
      </c>
      <c r="J15" s="8"/>
      <c r="K15" s="8"/>
      <c r="L15" s="8"/>
      <c r="M15" s="8"/>
      <c r="N15" s="8"/>
      <c r="O15" s="8"/>
    </row>
    <row r="16">
      <c r="A16" s="9">
        <v>10.0</v>
      </c>
      <c r="B16" s="9" t="s">
        <v>29</v>
      </c>
      <c r="C16" s="10">
        <v>26812.0</v>
      </c>
      <c r="D16" s="10">
        <v>14404.0</v>
      </c>
      <c r="E16" s="10">
        <v>13408.0</v>
      </c>
      <c r="F16" s="10">
        <v>9910.0</v>
      </c>
      <c r="G16" s="10">
        <v>3866.0</v>
      </c>
      <c r="H16" s="10">
        <v>68400.0</v>
      </c>
      <c r="J16" s="8"/>
      <c r="K16" s="8"/>
      <c r="L16" s="8"/>
      <c r="M16" s="8"/>
      <c r="N16" s="8"/>
      <c r="O16" s="8"/>
    </row>
    <row r="17">
      <c r="A17" s="6">
        <v>11.0</v>
      </c>
      <c r="B17" s="6" t="s">
        <v>30</v>
      </c>
      <c r="C17" s="7">
        <v>0.0</v>
      </c>
      <c r="D17" s="7">
        <v>0.0</v>
      </c>
      <c r="E17" s="7">
        <v>2.0</v>
      </c>
      <c r="F17" s="7">
        <v>2.0</v>
      </c>
      <c r="G17" s="7">
        <v>2.0</v>
      </c>
      <c r="H17" s="7">
        <v>6.0</v>
      </c>
      <c r="J17" s="8"/>
      <c r="K17" s="8"/>
      <c r="L17" s="8"/>
      <c r="M17" s="8"/>
      <c r="N17" s="8"/>
      <c r="O17" s="8"/>
    </row>
    <row r="18">
      <c r="A18" s="9">
        <v>12.0</v>
      </c>
      <c r="B18" s="9" t="s">
        <v>31</v>
      </c>
      <c r="C18" s="10">
        <v>66359.0</v>
      </c>
      <c r="D18" s="10">
        <v>80451.0</v>
      </c>
      <c r="E18" s="10">
        <v>82507.0</v>
      </c>
      <c r="F18" s="10">
        <v>84047.0</v>
      </c>
      <c r="G18" s="10">
        <v>89279.0</v>
      </c>
      <c r="H18" s="10" t="s">
        <v>32</v>
      </c>
      <c r="J18" s="8"/>
      <c r="K18" s="8"/>
      <c r="L18" s="8"/>
      <c r="M18" s="8"/>
      <c r="N18" s="8"/>
      <c r="O18" s="8"/>
    </row>
    <row r="19">
      <c r="A19" s="6">
        <v>13.0</v>
      </c>
      <c r="B19" s="6" t="s">
        <v>33</v>
      </c>
      <c r="C19" s="7" t="s">
        <v>34</v>
      </c>
      <c r="D19" s="7" t="s">
        <v>35</v>
      </c>
      <c r="E19" s="7" t="s">
        <v>36</v>
      </c>
      <c r="F19" s="7" t="s">
        <v>37</v>
      </c>
      <c r="G19" s="7" t="s">
        <v>38</v>
      </c>
      <c r="H19" s="7" t="s">
        <v>39</v>
      </c>
      <c r="J19" s="8"/>
      <c r="K19" s="8"/>
      <c r="L19" s="8"/>
      <c r="M19" s="8"/>
      <c r="N19" s="8"/>
      <c r="O19" s="8"/>
    </row>
    <row r="20">
      <c r="A20" s="9">
        <v>14.0</v>
      </c>
      <c r="B20" s="9" t="s">
        <v>40</v>
      </c>
      <c r="C20" s="10" t="s">
        <v>41</v>
      </c>
      <c r="D20" s="10" t="s">
        <v>42</v>
      </c>
      <c r="E20" s="10" t="s">
        <v>43</v>
      </c>
      <c r="F20" s="10" t="s">
        <v>44</v>
      </c>
      <c r="G20" s="10" t="s">
        <v>45</v>
      </c>
      <c r="H20" s="10" t="s">
        <v>46</v>
      </c>
      <c r="J20" s="8"/>
      <c r="K20" s="8"/>
      <c r="L20" s="8"/>
      <c r="M20" s="8"/>
      <c r="N20" s="8"/>
      <c r="O20" s="8"/>
    </row>
    <row r="21">
      <c r="A21" s="6">
        <v>15.0</v>
      </c>
      <c r="B21" s="6" t="s">
        <v>47</v>
      </c>
      <c r="C21" s="7" t="s">
        <v>48</v>
      </c>
      <c r="D21" s="7">
        <v>1.0</v>
      </c>
      <c r="E21" s="7">
        <v>0.0</v>
      </c>
      <c r="F21" s="7">
        <v>4.0</v>
      </c>
      <c r="G21" s="7">
        <v>2.0</v>
      </c>
      <c r="H21" s="7" t="s">
        <v>49</v>
      </c>
      <c r="J21" s="8"/>
      <c r="K21" s="8"/>
      <c r="L21" s="8"/>
      <c r="M21" s="8"/>
      <c r="N21" s="8"/>
      <c r="O21" s="8"/>
    </row>
    <row r="22">
      <c r="A22" s="9">
        <v>16.0</v>
      </c>
      <c r="B22" s="9" t="s">
        <v>50</v>
      </c>
      <c r="C22" s="10" t="s">
        <v>51</v>
      </c>
      <c r="D22" s="10" t="s">
        <v>52</v>
      </c>
      <c r="E22" s="10" t="s">
        <v>53</v>
      </c>
      <c r="F22" s="10">
        <v>86363.0</v>
      </c>
      <c r="G22" s="10">
        <v>76289.0</v>
      </c>
      <c r="H22" s="10" t="s">
        <v>54</v>
      </c>
      <c r="J22" s="8"/>
      <c r="K22" s="8"/>
      <c r="L22" s="8"/>
      <c r="M22" s="8"/>
      <c r="N22" s="8"/>
      <c r="O22" s="8"/>
    </row>
    <row r="23">
      <c r="A23" s="6">
        <v>17.0</v>
      </c>
      <c r="B23" s="6" t="s">
        <v>55</v>
      </c>
      <c r="C23" s="7">
        <v>4693.0</v>
      </c>
      <c r="D23" s="7">
        <v>11544.0</v>
      </c>
      <c r="E23" s="7">
        <v>19833.0</v>
      </c>
      <c r="F23" s="7">
        <v>39929.0</v>
      </c>
      <c r="G23" s="7" t="s">
        <v>56</v>
      </c>
      <c r="H23" s="7" t="s">
        <v>57</v>
      </c>
      <c r="J23" s="8"/>
      <c r="K23" s="8"/>
      <c r="L23" s="8"/>
      <c r="M23" s="8"/>
      <c r="N23" s="8"/>
      <c r="O23" s="8"/>
    </row>
    <row r="24">
      <c r="A24" s="9">
        <v>18.0</v>
      </c>
      <c r="B24" s="9" t="s">
        <v>58</v>
      </c>
      <c r="C24" s="10">
        <v>0.0</v>
      </c>
      <c r="D24" s="10">
        <v>0.0</v>
      </c>
      <c r="E24" s="10">
        <v>1.0</v>
      </c>
      <c r="F24" s="10">
        <v>0.0</v>
      </c>
      <c r="G24" s="10">
        <v>1.0</v>
      </c>
      <c r="H24" s="10">
        <v>2.0</v>
      </c>
      <c r="J24" s="8"/>
      <c r="K24" s="8"/>
      <c r="L24" s="8"/>
      <c r="M24" s="8"/>
      <c r="N24" s="8"/>
      <c r="O24" s="8"/>
    </row>
    <row r="25">
      <c r="A25" s="11">
        <v>19.0</v>
      </c>
      <c r="B25" s="11" t="s">
        <v>59</v>
      </c>
      <c r="C25" s="12">
        <v>1.0</v>
      </c>
      <c r="D25" s="12">
        <v>0.0</v>
      </c>
      <c r="E25" s="12">
        <v>0.0</v>
      </c>
      <c r="F25" s="12">
        <v>0.0</v>
      </c>
      <c r="G25" s="12">
        <v>0.0</v>
      </c>
      <c r="H25" s="12">
        <v>1.0</v>
      </c>
      <c r="J25" s="8"/>
      <c r="K25" s="8"/>
      <c r="L25" s="8"/>
      <c r="M25" s="8"/>
      <c r="N25" s="8"/>
      <c r="O25" s="8"/>
    </row>
    <row r="28">
      <c r="A28" s="2" t="s">
        <v>1</v>
      </c>
      <c r="B28" s="2" t="s">
        <v>2</v>
      </c>
      <c r="C28" s="3"/>
      <c r="G28" s="4"/>
      <c r="H28" s="2" t="s">
        <v>3</v>
      </c>
    </row>
    <row r="29">
      <c r="A29" s="5"/>
      <c r="B29" s="5"/>
      <c r="C29" s="2">
        <v>2019.0</v>
      </c>
      <c r="D29" s="2">
        <v>2018.0</v>
      </c>
      <c r="E29" s="2">
        <v>2017.0</v>
      </c>
      <c r="F29" s="2">
        <v>2016.0</v>
      </c>
      <c r="G29" s="2">
        <v>2015.0</v>
      </c>
      <c r="H29" s="5"/>
    </row>
    <row r="30">
      <c r="A30" s="6">
        <v>1.0</v>
      </c>
      <c r="B30" s="6" t="s">
        <v>4</v>
      </c>
      <c r="C30" s="13">
        <v>33459.0</v>
      </c>
      <c r="D30" s="13">
        <v>31429.0</v>
      </c>
      <c r="E30" s="13">
        <v>26150.0</v>
      </c>
      <c r="F30" s="13">
        <v>29888.0</v>
      </c>
      <c r="G30" s="13">
        <v>26225.0</v>
      </c>
      <c r="H30" s="14" t="s">
        <v>60</v>
      </c>
    </row>
    <row r="31">
      <c r="A31" s="9">
        <v>2.0</v>
      </c>
      <c r="B31" s="9" t="s">
        <v>9</v>
      </c>
      <c r="C31" s="15" t="s">
        <v>14</v>
      </c>
      <c r="D31" s="15" t="s">
        <v>61</v>
      </c>
      <c r="E31" s="15" t="s">
        <v>62</v>
      </c>
      <c r="F31" s="15" t="s">
        <v>63</v>
      </c>
      <c r="G31" s="15" t="s">
        <v>64</v>
      </c>
      <c r="H31" s="15" t="s">
        <v>65</v>
      </c>
    </row>
    <row r="32">
      <c r="A32" s="6">
        <v>3.0</v>
      </c>
      <c r="B32" s="6" t="s">
        <v>16</v>
      </c>
      <c r="C32" s="13">
        <v>39104.0</v>
      </c>
      <c r="D32" s="13">
        <v>59540.0</v>
      </c>
      <c r="E32" s="13">
        <v>48477.0</v>
      </c>
      <c r="F32" s="13">
        <v>11347.0</v>
      </c>
      <c r="G32" s="14">
        <v>502.0</v>
      </c>
      <c r="H32" s="14" t="s">
        <v>66</v>
      </c>
    </row>
    <row r="33">
      <c r="A33" s="9">
        <v>4.0</v>
      </c>
      <c r="B33" s="16" t="s">
        <v>17</v>
      </c>
      <c r="C33" s="13">
        <v>0.0</v>
      </c>
      <c r="D33" s="13">
        <v>0.0</v>
      </c>
      <c r="E33" s="13">
        <v>0.0</v>
      </c>
      <c r="F33" s="13">
        <v>0.0</v>
      </c>
      <c r="G33" s="14">
        <v>0.0</v>
      </c>
      <c r="H33" s="14"/>
    </row>
    <row r="34">
      <c r="A34" s="6">
        <v>5.0</v>
      </c>
      <c r="B34" s="9" t="s">
        <v>18</v>
      </c>
      <c r="C34" s="15">
        <v>9.0</v>
      </c>
      <c r="D34" s="15">
        <v>6.0</v>
      </c>
      <c r="E34" s="15">
        <v>4.0</v>
      </c>
      <c r="F34" s="15">
        <v>14.0</v>
      </c>
      <c r="G34" s="15">
        <v>4.0</v>
      </c>
      <c r="H34" s="15">
        <v>37.0</v>
      </c>
    </row>
    <row r="35">
      <c r="A35" s="9">
        <v>6.0</v>
      </c>
      <c r="B35" s="16" t="s">
        <v>19</v>
      </c>
      <c r="C35" s="15">
        <v>0.0</v>
      </c>
      <c r="D35" s="15">
        <v>0.0</v>
      </c>
      <c r="E35" s="15">
        <v>0.0</v>
      </c>
      <c r="F35" s="15">
        <v>0.0</v>
      </c>
      <c r="G35" s="15">
        <v>0.0</v>
      </c>
      <c r="H35" s="15"/>
    </row>
    <row r="36">
      <c r="A36" s="6">
        <v>7.0</v>
      </c>
      <c r="B36" s="6" t="s">
        <v>20</v>
      </c>
      <c r="C36" s="14" t="s">
        <v>25</v>
      </c>
      <c r="D36" s="14" t="s">
        <v>67</v>
      </c>
      <c r="E36" s="13">
        <v>87395.0</v>
      </c>
      <c r="F36" s="13">
        <v>49832.0</v>
      </c>
      <c r="G36" s="13">
        <v>7796.0</v>
      </c>
      <c r="H36" s="14" t="s">
        <v>68</v>
      </c>
    </row>
    <row r="37">
      <c r="A37" s="9">
        <v>8.0</v>
      </c>
      <c r="B37" s="9" t="s">
        <v>27</v>
      </c>
      <c r="C37" s="15">
        <v>9.0</v>
      </c>
      <c r="D37" s="15">
        <v>17.0</v>
      </c>
      <c r="E37" s="15">
        <v>22.0</v>
      </c>
      <c r="F37" s="15">
        <v>3.0</v>
      </c>
      <c r="G37" s="15">
        <v>0.0</v>
      </c>
      <c r="H37" s="15">
        <v>51.0</v>
      </c>
    </row>
    <row r="38">
      <c r="A38" s="6">
        <v>9.0</v>
      </c>
      <c r="B38" s="6" t="s">
        <v>69</v>
      </c>
      <c r="C38" s="14">
        <v>0.0</v>
      </c>
      <c r="D38" s="14">
        <v>0.0</v>
      </c>
      <c r="E38" s="14">
        <v>1.0</v>
      </c>
      <c r="F38" s="14">
        <v>0.0</v>
      </c>
      <c r="G38" s="14">
        <v>1.0</v>
      </c>
      <c r="H38" s="14">
        <v>2.0</v>
      </c>
    </row>
    <row r="39">
      <c r="A39" s="9">
        <v>10.0</v>
      </c>
      <c r="B39" s="9" t="s">
        <v>28</v>
      </c>
      <c r="C39" s="15">
        <v>11.0</v>
      </c>
      <c r="D39" s="15">
        <v>1.0</v>
      </c>
      <c r="E39" s="15">
        <v>1.0</v>
      </c>
      <c r="F39" s="15">
        <v>5.0</v>
      </c>
      <c r="G39" s="15">
        <v>2.0</v>
      </c>
      <c r="H39" s="15">
        <v>20.0</v>
      </c>
    </row>
    <row r="40">
      <c r="A40" s="6">
        <v>11.0</v>
      </c>
      <c r="B40" s="6" t="s">
        <v>29</v>
      </c>
      <c r="C40" s="13">
        <v>3866.0</v>
      </c>
      <c r="D40" s="13">
        <v>4068.0</v>
      </c>
      <c r="E40" s="13">
        <v>3814.0</v>
      </c>
      <c r="F40" s="13">
        <v>3976.0</v>
      </c>
      <c r="G40" s="13">
        <v>3337.0</v>
      </c>
      <c r="H40" s="13">
        <v>19061.0</v>
      </c>
    </row>
    <row r="41">
      <c r="A41" s="9">
        <v>12.0</v>
      </c>
      <c r="B41" s="9" t="s">
        <v>30</v>
      </c>
      <c r="C41" s="15">
        <v>2.0</v>
      </c>
      <c r="D41" s="15">
        <v>0.0</v>
      </c>
      <c r="E41" s="15">
        <v>0.0</v>
      </c>
      <c r="F41" s="15">
        <v>0.0</v>
      </c>
      <c r="G41" s="15">
        <v>0.0</v>
      </c>
      <c r="H41" s="15">
        <v>2.0</v>
      </c>
    </row>
    <row r="42">
      <c r="A42" s="6">
        <v>13.0</v>
      </c>
      <c r="B42" s="6" t="s">
        <v>31</v>
      </c>
      <c r="C42" s="13">
        <v>89279.0</v>
      </c>
      <c r="D42" s="14" t="s">
        <v>70</v>
      </c>
      <c r="E42" s="14" t="s">
        <v>71</v>
      </c>
      <c r="F42" s="14" t="s">
        <v>72</v>
      </c>
      <c r="G42" s="14" t="s">
        <v>73</v>
      </c>
      <c r="H42" s="14" t="s">
        <v>74</v>
      </c>
    </row>
    <row r="43">
      <c r="A43" s="9">
        <v>14.0</v>
      </c>
      <c r="B43" s="9" t="s">
        <v>33</v>
      </c>
      <c r="C43" s="15" t="s">
        <v>38</v>
      </c>
      <c r="D43" s="15" t="s">
        <v>75</v>
      </c>
      <c r="E43" s="15" t="s">
        <v>76</v>
      </c>
      <c r="F43" s="15" t="s">
        <v>77</v>
      </c>
      <c r="G43" s="15" t="s">
        <v>78</v>
      </c>
      <c r="H43" s="15" t="s">
        <v>79</v>
      </c>
    </row>
    <row r="44">
      <c r="A44" s="6">
        <v>15.0</v>
      </c>
      <c r="B44" s="6" t="s">
        <v>40</v>
      </c>
      <c r="C44" s="14" t="s">
        <v>45</v>
      </c>
      <c r="D44" s="14" t="s">
        <v>80</v>
      </c>
      <c r="E44" s="14" t="s">
        <v>81</v>
      </c>
      <c r="F44" s="14" t="s">
        <v>82</v>
      </c>
      <c r="G44" s="14" t="s">
        <v>83</v>
      </c>
      <c r="H44" s="14" t="s">
        <v>84</v>
      </c>
    </row>
    <row r="45">
      <c r="A45" s="9">
        <v>16.0</v>
      </c>
      <c r="B45" s="9" t="s">
        <v>47</v>
      </c>
      <c r="C45" s="15">
        <v>2.0</v>
      </c>
      <c r="D45" s="15">
        <v>1.0</v>
      </c>
      <c r="E45" s="15">
        <v>2.0</v>
      </c>
      <c r="F45" s="15">
        <v>1.0</v>
      </c>
      <c r="G45" s="15">
        <v>4.0</v>
      </c>
      <c r="H45" s="15">
        <v>10.0</v>
      </c>
    </row>
    <row r="46">
      <c r="A46" s="6">
        <v>17.0</v>
      </c>
      <c r="B46" s="6" t="s">
        <v>50</v>
      </c>
      <c r="C46" s="13">
        <v>76289.0</v>
      </c>
      <c r="D46" s="13">
        <v>11758.0</v>
      </c>
      <c r="E46" s="14">
        <v>707.0</v>
      </c>
      <c r="F46" s="14">
        <v>528.0</v>
      </c>
      <c r="G46" s="14">
        <v>92.0</v>
      </c>
      <c r="H46" s="13">
        <v>89374.0</v>
      </c>
    </row>
    <row r="47">
      <c r="A47" s="9">
        <v>18.0</v>
      </c>
      <c r="B47" s="9" t="s">
        <v>55</v>
      </c>
      <c r="C47" s="15" t="s">
        <v>56</v>
      </c>
      <c r="D47" s="15" t="s">
        <v>85</v>
      </c>
      <c r="E47" s="17">
        <v>87934.0</v>
      </c>
      <c r="F47" s="17">
        <v>82483.0</v>
      </c>
      <c r="G47" s="17">
        <v>69933.0</v>
      </c>
      <c r="H47" s="15" t="s">
        <v>86</v>
      </c>
    </row>
    <row r="48">
      <c r="A48" s="6">
        <v>19.0</v>
      </c>
      <c r="B48" s="6" t="s">
        <v>58</v>
      </c>
      <c r="C48" s="14">
        <v>1.0</v>
      </c>
      <c r="D48" s="14">
        <v>64.0</v>
      </c>
      <c r="E48" s="14">
        <v>140.0</v>
      </c>
      <c r="F48" s="14">
        <v>236.0</v>
      </c>
      <c r="G48" s="14">
        <v>203.0</v>
      </c>
      <c r="H48" s="14">
        <v>644.0</v>
      </c>
    </row>
    <row r="49">
      <c r="A49" s="9">
        <v>20.0</v>
      </c>
      <c r="B49" s="18" t="s">
        <v>59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</row>
    <row r="53">
      <c r="A53" s="1" t="s">
        <v>87</v>
      </c>
    </row>
    <row r="54">
      <c r="A54" s="2" t="s">
        <v>1</v>
      </c>
      <c r="B54" s="2" t="s">
        <v>2</v>
      </c>
      <c r="C54" s="3"/>
      <c r="L54" s="4"/>
      <c r="M54" s="2" t="s">
        <v>3</v>
      </c>
    </row>
    <row r="55">
      <c r="A55" s="5"/>
      <c r="B55" s="5"/>
      <c r="C55" s="2" t="s">
        <v>88</v>
      </c>
      <c r="D55" s="2" t="s">
        <v>89</v>
      </c>
      <c r="E55" s="2" t="s">
        <v>90</v>
      </c>
      <c r="F55" s="2" t="s">
        <v>91</v>
      </c>
      <c r="G55" s="2" t="s">
        <v>92</v>
      </c>
      <c r="H55" s="2" t="s">
        <v>93</v>
      </c>
      <c r="I55" s="2" t="s">
        <v>94</v>
      </c>
      <c r="J55" s="2" t="s">
        <v>95</v>
      </c>
      <c r="K55" s="2" t="s">
        <v>96</v>
      </c>
      <c r="L55" s="2" t="s">
        <v>97</v>
      </c>
      <c r="M55" s="5"/>
    </row>
    <row r="56">
      <c r="A56" s="6">
        <v>1.0</v>
      </c>
      <c r="B56" s="6" t="s">
        <v>4</v>
      </c>
      <c r="C56" s="13">
        <v>39523.0</v>
      </c>
      <c r="D56" s="13">
        <v>37382.0</v>
      </c>
      <c r="E56" s="13">
        <v>36306.0</v>
      </c>
      <c r="F56" s="13">
        <v>32891.0</v>
      </c>
      <c r="G56" s="13">
        <v>37092.0</v>
      </c>
      <c r="H56" s="13">
        <v>35416.0</v>
      </c>
      <c r="I56" s="13">
        <v>39442.0</v>
      </c>
      <c r="J56" s="13">
        <v>41529.0</v>
      </c>
      <c r="K56" s="13">
        <v>41149.0</v>
      </c>
      <c r="L56" s="13">
        <v>20051.0</v>
      </c>
      <c r="M56" s="8">
        <v>360781.0</v>
      </c>
    </row>
    <row r="57">
      <c r="A57" s="9">
        <v>2.0</v>
      </c>
      <c r="B57" s="9" t="s">
        <v>9</v>
      </c>
      <c r="C57" s="15">
        <v>246262.0</v>
      </c>
      <c r="D57" s="15">
        <v>230150.0</v>
      </c>
      <c r="E57" s="15">
        <v>231373.0</v>
      </c>
      <c r="F57" s="15">
        <v>209416.0</v>
      </c>
      <c r="G57" s="15">
        <v>208899.0</v>
      </c>
      <c r="H57" s="15">
        <v>197528.0</v>
      </c>
      <c r="I57" s="15">
        <v>221069.0</v>
      </c>
      <c r="J57" s="15">
        <v>198623.0</v>
      </c>
      <c r="K57" s="15">
        <v>188945.0</v>
      </c>
      <c r="L57" s="17">
        <v>83452.0</v>
      </c>
      <c r="M57" s="8">
        <v>2015717.0</v>
      </c>
    </row>
    <row r="58">
      <c r="A58" s="6">
        <v>3.0</v>
      </c>
      <c r="B58" s="6" t="s">
        <v>16</v>
      </c>
      <c r="C58" s="14">
        <v>442.0</v>
      </c>
      <c r="D58" s="14">
        <v>402.0</v>
      </c>
      <c r="E58" s="14">
        <v>579.0</v>
      </c>
      <c r="F58" s="14">
        <v>628.0</v>
      </c>
      <c r="G58" s="14">
        <v>461.0</v>
      </c>
      <c r="H58" s="14">
        <v>343.0</v>
      </c>
      <c r="I58" s="14">
        <v>370.0</v>
      </c>
      <c r="J58" s="14">
        <v>340.0</v>
      </c>
      <c r="K58" s="14">
        <v>353.0</v>
      </c>
      <c r="L58" s="14">
        <v>174.0</v>
      </c>
      <c r="M58" s="8">
        <v>4092.0</v>
      </c>
    </row>
    <row r="59">
      <c r="A59" s="9">
        <v>4.0</v>
      </c>
      <c r="B59" s="9" t="s">
        <v>19</v>
      </c>
      <c r="C59" s="15">
        <v>0.0</v>
      </c>
      <c r="D59" s="15">
        <v>0.0</v>
      </c>
      <c r="E59" s="15">
        <v>0.0</v>
      </c>
      <c r="F59" s="15">
        <v>0.0</v>
      </c>
      <c r="G59" s="15">
        <v>20.0</v>
      </c>
      <c r="H59" s="15">
        <v>1.0</v>
      </c>
      <c r="I59" s="15">
        <v>0.0</v>
      </c>
      <c r="J59" s="15">
        <v>0.0</v>
      </c>
      <c r="K59" s="15">
        <v>0.0</v>
      </c>
      <c r="L59" s="15">
        <v>0.0</v>
      </c>
      <c r="M59" s="8">
        <v>21.0</v>
      </c>
    </row>
    <row r="60">
      <c r="A60" s="6">
        <v>5.0</v>
      </c>
      <c r="B60" s="6" t="s">
        <v>20</v>
      </c>
      <c r="C60" s="14">
        <v>145061.0</v>
      </c>
      <c r="D60" s="14">
        <v>141737.0</v>
      </c>
      <c r="E60" s="14">
        <v>209841.0</v>
      </c>
      <c r="F60" s="14">
        <v>113375.0</v>
      </c>
      <c r="G60" s="14">
        <v>123932.0</v>
      </c>
      <c r="H60" s="14">
        <v>109445.0</v>
      </c>
      <c r="I60" s="14">
        <v>128623.0</v>
      </c>
      <c r="J60" s="14">
        <v>107058.0</v>
      </c>
      <c r="K60" s="13">
        <v>97178.0</v>
      </c>
      <c r="L60" s="13">
        <v>36387.0</v>
      </c>
      <c r="M60" s="8">
        <v>1212637.0</v>
      </c>
    </row>
    <row r="61">
      <c r="A61" s="9">
        <v>6.0</v>
      </c>
      <c r="B61" s="9" t="s">
        <v>69</v>
      </c>
      <c r="C61" s="15">
        <v>0.0</v>
      </c>
      <c r="D61" s="15">
        <v>0.0</v>
      </c>
      <c r="E61" s="15">
        <v>1.0</v>
      </c>
      <c r="F61" s="15">
        <v>6.0</v>
      </c>
      <c r="G61" s="15">
        <v>4.0</v>
      </c>
      <c r="H61" s="15">
        <v>0.0</v>
      </c>
      <c r="I61" s="15">
        <v>2.0</v>
      </c>
      <c r="J61" s="15">
        <v>0.0</v>
      </c>
      <c r="K61" s="15">
        <v>0.0</v>
      </c>
      <c r="L61" s="15">
        <v>0.0</v>
      </c>
      <c r="M61" s="8">
        <v>13.0</v>
      </c>
    </row>
    <row r="62">
      <c r="A62" s="6">
        <v>7.0</v>
      </c>
      <c r="B62" s="6" t="s">
        <v>28</v>
      </c>
      <c r="C62" s="14">
        <v>0.0</v>
      </c>
      <c r="D62" s="14">
        <v>38.0</v>
      </c>
      <c r="E62" s="14">
        <v>41.0</v>
      </c>
      <c r="F62" s="14">
        <v>42.0</v>
      </c>
      <c r="G62" s="14">
        <v>45.0</v>
      </c>
      <c r="H62" s="14">
        <v>39.0</v>
      </c>
      <c r="I62" s="14">
        <v>16.0</v>
      </c>
      <c r="J62" s="14">
        <v>29.0</v>
      </c>
      <c r="K62" s="14">
        <v>48.0</v>
      </c>
      <c r="L62" s="14">
        <v>38.0</v>
      </c>
      <c r="M62" s="8">
        <v>336.0</v>
      </c>
    </row>
    <row r="63">
      <c r="A63" s="9">
        <v>8.0</v>
      </c>
      <c r="B63" s="9" t="s">
        <v>29</v>
      </c>
      <c r="C63" s="17">
        <v>2555.0</v>
      </c>
      <c r="D63" s="17">
        <v>2655.0</v>
      </c>
      <c r="E63" s="17">
        <v>2734.0</v>
      </c>
      <c r="F63" s="17">
        <v>2115.0</v>
      </c>
      <c r="G63" s="17">
        <v>2453.0</v>
      </c>
      <c r="H63" s="17">
        <v>2476.0</v>
      </c>
      <c r="I63" s="17">
        <v>2964.0</v>
      </c>
      <c r="J63" s="17">
        <v>3348.0</v>
      </c>
      <c r="K63" s="17">
        <v>2986.0</v>
      </c>
      <c r="L63" s="17">
        <v>1052.0</v>
      </c>
      <c r="M63" s="8">
        <v>25338.0</v>
      </c>
    </row>
    <row r="64">
      <c r="A64" s="6">
        <v>9.0</v>
      </c>
      <c r="B64" s="6" t="s">
        <v>31</v>
      </c>
      <c r="C64" s="13">
        <v>6085.0</v>
      </c>
      <c r="D64" s="13">
        <v>6295.0</v>
      </c>
      <c r="E64" s="13">
        <v>5683.0</v>
      </c>
      <c r="F64" s="13">
        <v>4765.0</v>
      </c>
      <c r="G64" s="13">
        <v>4799.0</v>
      </c>
      <c r="H64" s="13">
        <v>4265.0</v>
      </c>
      <c r="I64" s="13">
        <v>4147.0</v>
      </c>
      <c r="J64" s="13">
        <v>4234.0</v>
      </c>
      <c r="K64" s="13">
        <v>3846.0</v>
      </c>
      <c r="L64" s="13">
        <v>2092.0</v>
      </c>
      <c r="M64" s="8">
        <v>46211.0</v>
      </c>
    </row>
    <row r="65">
      <c r="A65" s="9">
        <v>10.0</v>
      </c>
      <c r="B65" s="9" t="s">
        <v>33</v>
      </c>
      <c r="C65" s="15">
        <v>1560037.0</v>
      </c>
      <c r="D65" s="15">
        <v>1500039.0</v>
      </c>
      <c r="E65" s="15">
        <v>1525426.0</v>
      </c>
      <c r="F65" s="15">
        <v>1718697.0</v>
      </c>
      <c r="G65" s="15">
        <v>1577388.0</v>
      </c>
      <c r="H65" s="15">
        <v>1408316.0</v>
      </c>
      <c r="I65" s="15">
        <v>1464497.0</v>
      </c>
      <c r="J65" s="15">
        <v>1367900.0</v>
      </c>
      <c r="K65" s="15">
        <v>1209037.0</v>
      </c>
      <c r="L65" s="15">
        <v>645535.0</v>
      </c>
      <c r="M65" s="8">
        <v>1.3976872E7</v>
      </c>
    </row>
    <row r="66">
      <c r="A66" s="6">
        <v>11.0</v>
      </c>
      <c r="B66" s="6" t="s">
        <v>40</v>
      </c>
      <c r="C66" s="13">
        <v>67754.0</v>
      </c>
      <c r="D66" s="13">
        <v>51929.0</v>
      </c>
      <c r="E66" s="13">
        <v>52017.0</v>
      </c>
      <c r="F66" s="13">
        <v>58120.0</v>
      </c>
      <c r="G66" s="13">
        <v>56674.0</v>
      </c>
      <c r="H66" s="13">
        <v>51779.0</v>
      </c>
      <c r="I66" s="13">
        <v>59270.0</v>
      </c>
      <c r="J66" s="13">
        <v>58127.0</v>
      </c>
      <c r="K66" s="13">
        <v>51156.0</v>
      </c>
      <c r="L66" s="13">
        <v>34031.0</v>
      </c>
      <c r="M66" s="8">
        <v>540857.0</v>
      </c>
    </row>
    <row r="67">
      <c r="A67" s="9">
        <v>12.0</v>
      </c>
      <c r="B67" s="9" t="s">
        <v>47</v>
      </c>
      <c r="C67" s="17">
        <v>57164.0</v>
      </c>
      <c r="D67" s="17">
        <v>52609.0</v>
      </c>
      <c r="E67" s="17">
        <v>52074.0</v>
      </c>
      <c r="F67" s="17">
        <v>55668.0</v>
      </c>
      <c r="G67" s="17">
        <v>54344.0</v>
      </c>
      <c r="H67" s="17">
        <v>49999.0</v>
      </c>
      <c r="I67" s="17">
        <v>54554.0</v>
      </c>
      <c r="J67" s="17">
        <v>51974.0</v>
      </c>
      <c r="K67" s="17">
        <v>49984.0</v>
      </c>
      <c r="L67" s="17">
        <v>23095.0</v>
      </c>
      <c r="M67" s="8">
        <v>501465.0</v>
      </c>
    </row>
    <row r="68">
      <c r="A68" s="6">
        <v>13.0</v>
      </c>
      <c r="B68" s="6" t="s">
        <v>50</v>
      </c>
      <c r="C68" s="13">
        <v>31317.0</v>
      </c>
      <c r="D68" s="13">
        <v>30513.0</v>
      </c>
      <c r="E68" s="13">
        <v>27221.0</v>
      </c>
      <c r="F68" s="13">
        <v>26793.0</v>
      </c>
      <c r="G68" s="13">
        <v>23133.0</v>
      </c>
      <c r="H68" s="13">
        <v>20647.0</v>
      </c>
      <c r="I68" s="13">
        <v>22424.0</v>
      </c>
      <c r="J68" s="13">
        <v>21219.0</v>
      </c>
      <c r="K68" s="13">
        <v>19283.0</v>
      </c>
      <c r="L68" s="13">
        <v>11043.0</v>
      </c>
      <c r="M68" s="8">
        <v>233593.0</v>
      </c>
    </row>
    <row r="69">
      <c r="A69" s="9">
        <v>14.0</v>
      </c>
      <c r="B69" s="9" t="s">
        <v>55</v>
      </c>
      <c r="C69" s="15">
        <v>267.0</v>
      </c>
      <c r="D69" s="15">
        <v>192.0</v>
      </c>
      <c r="E69" s="15">
        <v>219.0</v>
      </c>
      <c r="F69" s="15">
        <v>256.0</v>
      </c>
      <c r="G69" s="15">
        <v>219.0</v>
      </c>
      <c r="H69" s="15">
        <v>257.0</v>
      </c>
      <c r="I69" s="15">
        <v>284.0</v>
      </c>
      <c r="J69" s="15">
        <v>150.0</v>
      </c>
      <c r="K69" s="15">
        <v>31.0</v>
      </c>
      <c r="L69" s="15">
        <v>0.0</v>
      </c>
      <c r="M69" s="8">
        <v>1875.0</v>
      </c>
    </row>
    <row r="70">
      <c r="A70" s="6">
        <v>15.0</v>
      </c>
      <c r="B70" s="6" t="s">
        <v>98</v>
      </c>
      <c r="C70" s="14">
        <v>0.0</v>
      </c>
      <c r="D70" s="14">
        <v>0.0</v>
      </c>
      <c r="E70" s="14">
        <v>0.0</v>
      </c>
      <c r="F70" s="14">
        <v>0.0</v>
      </c>
      <c r="G70" s="14">
        <v>1.0</v>
      </c>
      <c r="H70" s="14">
        <v>0.0</v>
      </c>
      <c r="I70" s="14">
        <v>2.0</v>
      </c>
      <c r="J70" s="14">
        <v>1.0</v>
      </c>
      <c r="K70" s="14">
        <v>9.0</v>
      </c>
      <c r="L70" s="14">
        <v>2.0</v>
      </c>
      <c r="M70" s="8">
        <v>15.0</v>
      </c>
    </row>
    <row r="71">
      <c r="A71" s="9">
        <v>16.0</v>
      </c>
      <c r="B71" s="9" t="s">
        <v>99</v>
      </c>
      <c r="C71" s="15">
        <v>0.0</v>
      </c>
      <c r="D71" s="15">
        <v>0.0</v>
      </c>
      <c r="E71" s="17">
        <v>3225.0</v>
      </c>
      <c r="F71" s="17">
        <v>2515.0</v>
      </c>
      <c r="G71" s="17">
        <v>16714.0</v>
      </c>
      <c r="H71" s="17">
        <v>30672.0</v>
      </c>
      <c r="I71" s="17">
        <v>51480.0</v>
      </c>
      <c r="J71" s="17">
        <v>50069.0</v>
      </c>
      <c r="K71" s="17">
        <v>62740.0</v>
      </c>
      <c r="L71" s="17">
        <v>29699.0</v>
      </c>
      <c r="M71" s="8">
        <v>247114.0</v>
      </c>
    </row>
    <row r="72">
      <c r="A72" s="6">
        <v>17.0</v>
      </c>
      <c r="B72" s="6" t="s">
        <v>58</v>
      </c>
      <c r="C72" s="14">
        <v>0.0</v>
      </c>
      <c r="D72" s="14">
        <v>1.0</v>
      </c>
      <c r="E72" s="14">
        <v>0.0</v>
      </c>
      <c r="F72" s="14">
        <v>0.0</v>
      </c>
      <c r="G72" s="14">
        <v>0.0</v>
      </c>
      <c r="H72" s="14">
        <v>0.0</v>
      </c>
      <c r="I72" s="14">
        <v>0.0</v>
      </c>
      <c r="J72" s="14">
        <v>0.0</v>
      </c>
      <c r="K72" s="14">
        <v>0.0</v>
      </c>
      <c r="L72" s="14">
        <v>0.0</v>
      </c>
      <c r="M72" s="8">
        <v>1.0</v>
      </c>
    </row>
    <row r="73">
      <c r="A73" s="11">
        <v>18.0</v>
      </c>
      <c r="B73" s="11" t="s">
        <v>59</v>
      </c>
      <c r="C73" s="19">
        <v>0.0</v>
      </c>
      <c r="D73" s="19">
        <v>1.0</v>
      </c>
      <c r="E73" s="20">
        <v>1700.0</v>
      </c>
      <c r="F73" s="20">
        <v>3080.0</v>
      </c>
      <c r="G73" s="20">
        <v>3499.0</v>
      </c>
      <c r="H73" s="20">
        <v>4213.0</v>
      </c>
      <c r="I73" s="20">
        <v>6968.0</v>
      </c>
      <c r="J73" s="20">
        <v>7655.0</v>
      </c>
      <c r="K73" s="20">
        <v>6577.0</v>
      </c>
      <c r="L73" s="20">
        <v>3068.0</v>
      </c>
      <c r="M73" s="8">
        <v>36761.0</v>
      </c>
    </row>
    <row r="74">
      <c r="B74" s="1" t="s">
        <v>100</v>
      </c>
      <c r="C74" s="21">
        <f t="shared" ref="C74:M74" si="1">SUM(C58,C60,C68,C70,C71,C73)</f>
        <v>176820</v>
      </c>
      <c r="D74" s="21">
        <f t="shared" si="1"/>
        <v>172653</v>
      </c>
      <c r="E74" s="21">
        <f t="shared" si="1"/>
        <v>242566</v>
      </c>
      <c r="F74" s="21">
        <f t="shared" si="1"/>
        <v>146391</v>
      </c>
      <c r="G74" s="21">
        <f t="shared" si="1"/>
        <v>167740</v>
      </c>
      <c r="H74" s="21">
        <f t="shared" si="1"/>
        <v>165320</v>
      </c>
      <c r="I74" s="21">
        <f t="shared" si="1"/>
        <v>209867</v>
      </c>
      <c r="J74" s="21">
        <f t="shared" si="1"/>
        <v>186342</v>
      </c>
      <c r="K74" s="21">
        <f t="shared" si="1"/>
        <v>186140</v>
      </c>
      <c r="L74" s="21">
        <f t="shared" si="1"/>
        <v>80373</v>
      </c>
      <c r="M74" s="22">
        <f t="shared" si="1"/>
        <v>1734212</v>
      </c>
    </row>
    <row r="75">
      <c r="B75" s="1" t="s">
        <v>101</v>
      </c>
      <c r="C75" s="23">
        <f t="shared" ref="C75:M75" si="2">SUM(C56,C57,C59,C61:C63,C65:C67,C69,C72)</f>
        <v>1973562</v>
      </c>
      <c r="D75" s="23">
        <f t="shared" si="2"/>
        <v>1874995</v>
      </c>
      <c r="E75" s="23">
        <f t="shared" si="2"/>
        <v>1900191</v>
      </c>
      <c r="F75" s="23">
        <f t="shared" si="2"/>
        <v>2077211</v>
      </c>
      <c r="G75" s="23">
        <f t="shared" si="2"/>
        <v>1937138</v>
      </c>
      <c r="H75" s="23">
        <f t="shared" si="2"/>
        <v>1745811</v>
      </c>
      <c r="I75" s="23">
        <f t="shared" si="2"/>
        <v>1842098</v>
      </c>
      <c r="J75" s="23">
        <f t="shared" si="2"/>
        <v>1721680</v>
      </c>
      <c r="K75" s="23">
        <f t="shared" si="2"/>
        <v>1543336</v>
      </c>
      <c r="L75" s="23">
        <f t="shared" si="2"/>
        <v>807254</v>
      </c>
      <c r="M75" s="22">
        <f t="shared" si="2"/>
        <v>17423276</v>
      </c>
    </row>
    <row r="77">
      <c r="A77" s="1" t="s">
        <v>102</v>
      </c>
    </row>
    <row r="78">
      <c r="A78" s="2" t="s">
        <v>1</v>
      </c>
      <c r="B78" s="2" t="s">
        <v>2</v>
      </c>
      <c r="C78" s="3"/>
      <c r="N78" s="4"/>
      <c r="O78" s="2" t="s">
        <v>3</v>
      </c>
    </row>
    <row r="79">
      <c r="A79" s="5"/>
      <c r="B79" s="5"/>
      <c r="C79" s="2" t="s">
        <v>88</v>
      </c>
      <c r="D79" s="2" t="s">
        <v>89</v>
      </c>
      <c r="E79" s="2" t="s">
        <v>90</v>
      </c>
      <c r="F79" s="2" t="s">
        <v>91</v>
      </c>
      <c r="G79" s="2" t="s">
        <v>92</v>
      </c>
      <c r="H79" s="2" t="s">
        <v>93</v>
      </c>
      <c r="I79" s="2" t="s">
        <v>94</v>
      </c>
      <c r="J79" s="2" t="s">
        <v>95</v>
      </c>
      <c r="K79" s="2" t="s">
        <v>96</v>
      </c>
      <c r="L79" s="2" t="s">
        <v>97</v>
      </c>
      <c r="M79" s="2" t="s">
        <v>103</v>
      </c>
      <c r="N79" s="2" t="s">
        <v>104</v>
      </c>
      <c r="O79" s="5"/>
    </row>
    <row r="80">
      <c r="A80" s="6">
        <v>1.0</v>
      </c>
      <c r="B80" s="6" t="s">
        <v>4</v>
      </c>
      <c r="C80" s="7">
        <v>31201.0</v>
      </c>
      <c r="D80" s="7">
        <v>31306.0</v>
      </c>
      <c r="E80" s="7">
        <v>34390.0</v>
      </c>
      <c r="F80" s="7">
        <v>29925.0</v>
      </c>
      <c r="G80" s="7">
        <v>31103.0</v>
      </c>
      <c r="H80" s="7">
        <v>35389.0</v>
      </c>
      <c r="I80" s="7">
        <v>36178.0</v>
      </c>
      <c r="J80" s="7">
        <v>38473.0</v>
      </c>
      <c r="K80" s="7">
        <v>39408.0</v>
      </c>
      <c r="L80" s="7">
        <v>42012.0</v>
      </c>
      <c r="M80" s="7">
        <v>39842.0</v>
      </c>
      <c r="N80" s="7">
        <v>31921.0</v>
      </c>
      <c r="O80" s="7">
        <v>421148.0</v>
      </c>
    </row>
    <row r="81">
      <c r="A81" s="9">
        <v>2.0</v>
      </c>
      <c r="B81" s="9" t="s">
        <v>9</v>
      </c>
      <c r="C81" s="10">
        <v>220685.0</v>
      </c>
      <c r="D81" s="10">
        <v>208160.0</v>
      </c>
      <c r="E81" s="10">
        <v>239409.0</v>
      </c>
      <c r="F81" s="10">
        <v>197550.0</v>
      </c>
      <c r="G81" s="10">
        <v>208143.0</v>
      </c>
      <c r="H81" s="10">
        <v>230468.0</v>
      </c>
      <c r="I81" s="10">
        <v>219906.0</v>
      </c>
      <c r="J81" s="10">
        <v>209622.0</v>
      </c>
      <c r="K81" s="10">
        <v>198144.0</v>
      </c>
      <c r="L81" s="10">
        <v>217449.0</v>
      </c>
      <c r="M81" s="10">
        <v>213540.0</v>
      </c>
      <c r="N81" s="10">
        <v>205243.0</v>
      </c>
      <c r="O81" s="10">
        <v>2568319.0</v>
      </c>
    </row>
    <row r="82">
      <c r="A82" s="6">
        <v>3.0</v>
      </c>
      <c r="B82" s="6" t="s">
        <v>16</v>
      </c>
      <c r="C82" s="7">
        <v>162.0</v>
      </c>
      <c r="D82" s="7">
        <v>146.0</v>
      </c>
      <c r="E82" s="7">
        <v>121.0</v>
      </c>
      <c r="F82" s="7">
        <v>121.0</v>
      </c>
      <c r="G82" s="7">
        <v>135.0</v>
      </c>
      <c r="H82" s="7">
        <v>139.0</v>
      </c>
      <c r="I82" s="7">
        <v>135.0</v>
      </c>
      <c r="J82" s="7">
        <v>142.0</v>
      </c>
      <c r="K82" s="7">
        <v>296.0</v>
      </c>
      <c r="L82" s="7">
        <v>366.0</v>
      </c>
      <c r="M82" s="7">
        <v>307.0</v>
      </c>
      <c r="N82" s="7">
        <v>392.0</v>
      </c>
      <c r="O82" s="7">
        <v>2462.0</v>
      </c>
    </row>
    <row r="83">
      <c r="A83" s="9">
        <v>4.0</v>
      </c>
      <c r="B83" s="9" t="s">
        <v>20</v>
      </c>
      <c r="C83" s="10">
        <v>102885.0</v>
      </c>
      <c r="D83" s="10">
        <v>107218.0</v>
      </c>
      <c r="E83" s="10">
        <v>140920.0</v>
      </c>
      <c r="F83" s="10">
        <v>111361.0</v>
      </c>
      <c r="G83" s="10">
        <v>158467.0</v>
      </c>
      <c r="H83" s="10">
        <v>102646.0</v>
      </c>
      <c r="I83" s="10">
        <v>116623.0</v>
      </c>
      <c r="J83" s="10">
        <v>127208.0</v>
      </c>
      <c r="K83" s="10">
        <v>128555.0</v>
      </c>
      <c r="L83" s="10">
        <v>140373.0</v>
      </c>
      <c r="M83" s="10">
        <v>154152.0</v>
      </c>
      <c r="N83" s="10">
        <v>141956.0</v>
      </c>
      <c r="O83" s="10">
        <v>1532364.0</v>
      </c>
    </row>
    <row r="84">
      <c r="A84" s="6">
        <v>5.0</v>
      </c>
      <c r="B84" s="6" t="s">
        <v>28</v>
      </c>
      <c r="C84" s="7">
        <v>0.0</v>
      </c>
      <c r="D84" s="7">
        <v>13.0</v>
      </c>
      <c r="E84" s="7">
        <v>23.0</v>
      </c>
      <c r="F84" s="7">
        <v>11.0</v>
      </c>
      <c r="G84" s="7">
        <v>22.0</v>
      </c>
      <c r="H84" s="7">
        <v>13.0</v>
      </c>
      <c r="I84" s="7">
        <v>4.0</v>
      </c>
      <c r="J84" s="7">
        <v>54.0</v>
      </c>
      <c r="K84" s="7">
        <v>8.0</v>
      </c>
      <c r="L84" s="7">
        <v>40.0</v>
      </c>
      <c r="M84" s="7">
        <v>49.0</v>
      </c>
      <c r="N84" s="7">
        <v>7.0</v>
      </c>
      <c r="O84" s="7">
        <v>244.0</v>
      </c>
    </row>
    <row r="85">
      <c r="A85" s="9">
        <v>6.0</v>
      </c>
      <c r="B85" s="9" t="s">
        <v>29</v>
      </c>
      <c r="C85" s="10">
        <v>1636.0</v>
      </c>
      <c r="D85" s="10">
        <v>1947.0</v>
      </c>
      <c r="E85" s="10">
        <v>1698.0</v>
      </c>
      <c r="F85" s="10">
        <v>1545.0</v>
      </c>
      <c r="G85" s="10">
        <v>1998.0</v>
      </c>
      <c r="H85" s="10">
        <v>2167.0</v>
      </c>
      <c r="I85" s="10">
        <v>2282.0</v>
      </c>
      <c r="J85" s="10">
        <v>2453.0</v>
      </c>
      <c r="K85" s="10">
        <v>2540.0</v>
      </c>
      <c r="L85" s="10">
        <v>3223.0</v>
      </c>
      <c r="M85" s="10">
        <v>2931.0</v>
      </c>
      <c r="N85" s="10">
        <v>2390.0</v>
      </c>
      <c r="O85" s="10">
        <v>26810.0</v>
      </c>
    </row>
    <row r="86">
      <c r="A86" s="6">
        <v>7.0</v>
      </c>
      <c r="B86" s="6" t="s">
        <v>31</v>
      </c>
      <c r="C86" s="7">
        <v>5725.0</v>
      </c>
      <c r="D86" s="7">
        <v>5951.0</v>
      </c>
      <c r="E86" s="7">
        <v>5974.0</v>
      </c>
      <c r="F86" s="7">
        <v>5471.0</v>
      </c>
      <c r="G86" s="7">
        <v>5263.0</v>
      </c>
      <c r="H86" s="7">
        <v>5718.0</v>
      </c>
      <c r="I86" s="7">
        <v>5159.0</v>
      </c>
      <c r="J86" s="7">
        <v>5454.0</v>
      </c>
      <c r="K86" s="7">
        <v>4643.0</v>
      </c>
      <c r="L86" s="7">
        <v>5607.0</v>
      </c>
      <c r="M86" s="7">
        <v>5001.0</v>
      </c>
      <c r="N86" s="7">
        <v>6395.0</v>
      </c>
      <c r="O86" s="7">
        <v>66361.0</v>
      </c>
    </row>
    <row r="87">
      <c r="A87" s="9">
        <v>8.0</v>
      </c>
      <c r="B87" s="9" t="s">
        <v>33</v>
      </c>
      <c r="C87" s="10">
        <v>1418616.0</v>
      </c>
      <c r="D87" s="10">
        <v>1384562.0</v>
      </c>
      <c r="E87" s="10">
        <v>1561652.0</v>
      </c>
      <c r="F87" s="10">
        <v>1321954.0</v>
      </c>
      <c r="G87" s="10">
        <v>1547276.0</v>
      </c>
      <c r="H87" s="10">
        <v>1410871.0</v>
      </c>
      <c r="I87" s="10">
        <v>1308916.0</v>
      </c>
      <c r="J87" s="10">
        <v>1340281.0</v>
      </c>
      <c r="K87" s="10">
        <v>1402785.0</v>
      </c>
      <c r="L87" s="10">
        <v>1600638.0</v>
      </c>
      <c r="M87" s="10">
        <v>2326783.0</v>
      </c>
      <c r="N87" s="10">
        <v>1512516.0</v>
      </c>
      <c r="O87" s="10">
        <v>1.813685E7</v>
      </c>
    </row>
    <row r="88">
      <c r="A88" s="6">
        <v>9.0</v>
      </c>
      <c r="B88" s="6" t="s">
        <v>40</v>
      </c>
      <c r="C88" s="7">
        <v>44837.0</v>
      </c>
      <c r="D88" s="7">
        <v>29937.0</v>
      </c>
      <c r="E88" s="7">
        <v>34210.0</v>
      </c>
      <c r="F88" s="7">
        <v>33052.0</v>
      </c>
      <c r="G88" s="7">
        <v>38455.0</v>
      </c>
      <c r="H88" s="7">
        <v>42714.0</v>
      </c>
      <c r="I88" s="7">
        <v>44171.0</v>
      </c>
      <c r="J88" s="7">
        <v>50835.0</v>
      </c>
      <c r="K88" s="7">
        <v>55306.0</v>
      </c>
      <c r="L88" s="7">
        <v>60262.0</v>
      </c>
      <c r="M88" s="7">
        <v>60100.0</v>
      </c>
      <c r="N88" s="7">
        <v>44644.0</v>
      </c>
      <c r="O88" s="7">
        <v>538523.0</v>
      </c>
    </row>
    <row r="89">
      <c r="A89" s="9">
        <v>10.0</v>
      </c>
      <c r="B89" s="9" t="s">
        <v>47</v>
      </c>
      <c r="C89" s="10">
        <v>0.0</v>
      </c>
      <c r="D89" s="10">
        <v>716.0</v>
      </c>
      <c r="E89" s="10">
        <v>12752.0</v>
      </c>
      <c r="F89" s="10">
        <v>18140.0</v>
      </c>
      <c r="G89" s="10">
        <v>25680.0</v>
      </c>
      <c r="H89" s="10">
        <v>31861.0</v>
      </c>
      <c r="I89" s="10">
        <v>36253.0</v>
      </c>
      <c r="J89" s="10">
        <v>44691.0</v>
      </c>
      <c r="K89" s="10">
        <v>46476.0</v>
      </c>
      <c r="L89" s="10">
        <v>53503.0</v>
      </c>
      <c r="M89" s="10">
        <v>62558.0</v>
      </c>
      <c r="N89" s="10">
        <v>47242.0</v>
      </c>
      <c r="O89" s="10">
        <v>379872.0</v>
      </c>
    </row>
    <row r="90">
      <c r="A90" s="6">
        <v>11.0</v>
      </c>
      <c r="B90" s="6" t="s">
        <v>50</v>
      </c>
      <c r="C90" s="7">
        <v>30276.0</v>
      </c>
      <c r="D90" s="7">
        <v>31548.0</v>
      </c>
      <c r="E90" s="7">
        <v>38000.0</v>
      </c>
      <c r="F90" s="7">
        <v>27885.0</v>
      </c>
      <c r="G90" s="7">
        <v>26164.0</v>
      </c>
      <c r="H90" s="7">
        <v>26433.0</v>
      </c>
      <c r="I90" s="7">
        <v>23184.0</v>
      </c>
      <c r="J90" s="7">
        <v>25675.0</v>
      </c>
      <c r="K90" s="7">
        <v>26799.0</v>
      </c>
      <c r="L90" s="7">
        <v>27377.0</v>
      </c>
      <c r="M90" s="7">
        <v>26168.0</v>
      </c>
      <c r="N90" s="7">
        <v>21905.0</v>
      </c>
      <c r="O90" s="7">
        <v>331414.0</v>
      </c>
    </row>
    <row r="91">
      <c r="A91" s="9">
        <v>12.0</v>
      </c>
      <c r="B91" s="9" t="s">
        <v>55</v>
      </c>
      <c r="C91" s="10">
        <v>841.0</v>
      </c>
      <c r="D91" s="10">
        <v>768.0</v>
      </c>
      <c r="E91" s="10">
        <v>856.0</v>
      </c>
      <c r="F91" s="10">
        <v>494.0</v>
      </c>
      <c r="G91" s="10">
        <v>377.0</v>
      </c>
      <c r="H91" s="10">
        <v>367.0</v>
      </c>
      <c r="I91" s="10">
        <v>266.0</v>
      </c>
      <c r="J91" s="10">
        <v>253.0</v>
      </c>
      <c r="K91" s="10">
        <v>221.0</v>
      </c>
      <c r="L91" s="10">
        <v>215.0</v>
      </c>
      <c r="M91" s="10">
        <v>185.0</v>
      </c>
      <c r="N91" s="10">
        <v>133.0</v>
      </c>
      <c r="O91" s="10">
        <v>4976.0</v>
      </c>
    </row>
    <row r="92">
      <c r="A92" s="6">
        <v>13.0</v>
      </c>
      <c r="B92" s="6" t="s">
        <v>59</v>
      </c>
      <c r="C92" s="7">
        <v>0.0</v>
      </c>
      <c r="D92" s="7">
        <v>0.0</v>
      </c>
      <c r="E92" s="7">
        <v>0.0</v>
      </c>
      <c r="F92" s="7">
        <v>0.0</v>
      </c>
      <c r="G92" s="7">
        <v>0.0</v>
      </c>
      <c r="H92" s="7">
        <v>0.0</v>
      </c>
      <c r="I92" s="7">
        <v>0.0</v>
      </c>
      <c r="J92" s="7">
        <v>1.0</v>
      </c>
      <c r="K92" s="7">
        <v>0.0</v>
      </c>
      <c r="L92" s="7">
        <v>0.0</v>
      </c>
      <c r="M92" s="7">
        <v>0.0</v>
      </c>
      <c r="N92" s="7">
        <v>0.0</v>
      </c>
      <c r="O92" s="7">
        <v>1.0</v>
      </c>
    </row>
    <row r="93">
      <c r="B93" s="1" t="s">
        <v>105</v>
      </c>
      <c r="C93" s="22">
        <f t="shared" ref="C93:O93" si="3">SUM(C82,C83,C90,C92)</f>
        <v>133323</v>
      </c>
      <c r="D93" s="22">
        <f t="shared" si="3"/>
        <v>138912</v>
      </c>
      <c r="E93" s="22">
        <f t="shared" si="3"/>
        <v>179041</v>
      </c>
      <c r="F93" s="22">
        <f t="shared" si="3"/>
        <v>139367</v>
      </c>
      <c r="G93" s="22">
        <f t="shared" si="3"/>
        <v>184766</v>
      </c>
      <c r="H93" s="22">
        <f t="shared" si="3"/>
        <v>129218</v>
      </c>
      <c r="I93" s="22">
        <f t="shared" si="3"/>
        <v>139942</v>
      </c>
      <c r="J93" s="22">
        <f t="shared" si="3"/>
        <v>153026</v>
      </c>
      <c r="K93" s="22">
        <f t="shared" si="3"/>
        <v>155650</v>
      </c>
      <c r="L93" s="22">
        <f t="shared" si="3"/>
        <v>168116</v>
      </c>
      <c r="M93" s="22">
        <f t="shared" si="3"/>
        <v>180627</v>
      </c>
      <c r="N93" s="22">
        <f t="shared" si="3"/>
        <v>164253</v>
      </c>
      <c r="O93" s="22">
        <f t="shared" si="3"/>
        <v>1866241</v>
      </c>
    </row>
    <row r="94">
      <c r="B94" s="1" t="s">
        <v>101</v>
      </c>
      <c r="C94" s="22">
        <f t="shared" ref="C94:O94" si="4">SUM(C80,C81,C84,C85,C87,C88,C89,C91)</f>
        <v>1717816</v>
      </c>
      <c r="D94" s="22">
        <f t="shared" si="4"/>
        <v>1657409</v>
      </c>
      <c r="E94" s="22">
        <f t="shared" si="4"/>
        <v>1884990</v>
      </c>
      <c r="F94" s="22">
        <f t="shared" si="4"/>
        <v>1602671</v>
      </c>
      <c r="G94" s="22">
        <f t="shared" si="4"/>
        <v>1853054</v>
      </c>
      <c r="H94" s="22">
        <f t="shared" si="4"/>
        <v>1753850</v>
      </c>
      <c r="I94" s="22">
        <f t="shared" si="4"/>
        <v>1647976</v>
      </c>
      <c r="J94" s="22">
        <f t="shared" si="4"/>
        <v>1686662</v>
      </c>
      <c r="K94" s="22">
        <f t="shared" si="4"/>
        <v>1744888</v>
      </c>
      <c r="L94" s="22">
        <f t="shared" si="4"/>
        <v>1977342</v>
      </c>
      <c r="M94" s="22">
        <f t="shared" si="4"/>
        <v>2705988</v>
      </c>
      <c r="N94" s="22">
        <f t="shared" si="4"/>
        <v>1844096</v>
      </c>
      <c r="O94" s="22">
        <f t="shared" si="4"/>
        <v>22076742</v>
      </c>
    </row>
    <row r="95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</row>
    <row r="96">
      <c r="A96" s="1" t="s">
        <v>106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>
      <c r="A97" s="2" t="s">
        <v>1</v>
      </c>
      <c r="B97" s="2" t="s">
        <v>2</v>
      </c>
      <c r="C97" s="24"/>
      <c r="N97" s="4"/>
      <c r="O97" s="25" t="s">
        <v>3</v>
      </c>
    </row>
    <row r="98">
      <c r="A98" s="5"/>
      <c r="B98" s="5"/>
      <c r="C98" s="25" t="s">
        <v>88</v>
      </c>
      <c r="D98" s="25" t="s">
        <v>89</v>
      </c>
      <c r="E98" s="25" t="s">
        <v>90</v>
      </c>
      <c r="F98" s="25" t="s">
        <v>91</v>
      </c>
      <c r="G98" s="25" t="s">
        <v>92</v>
      </c>
      <c r="H98" s="25" t="s">
        <v>93</v>
      </c>
      <c r="I98" s="25" t="s">
        <v>94</v>
      </c>
      <c r="J98" s="25" t="s">
        <v>95</v>
      </c>
      <c r="K98" s="25" t="s">
        <v>96</v>
      </c>
      <c r="L98" s="25" t="s">
        <v>97</v>
      </c>
      <c r="M98" s="25" t="s">
        <v>103</v>
      </c>
      <c r="N98" s="25" t="s">
        <v>104</v>
      </c>
      <c r="O98" s="5"/>
    </row>
    <row r="99">
      <c r="A99" s="6">
        <v>1.0</v>
      </c>
      <c r="B99" s="6" t="s">
        <v>4</v>
      </c>
      <c r="C99" s="7">
        <v>23559.0</v>
      </c>
      <c r="D99" s="7">
        <v>20916.0</v>
      </c>
      <c r="E99" s="7">
        <v>25304.0</v>
      </c>
      <c r="F99" s="7">
        <v>23880.0</v>
      </c>
      <c r="G99" s="7">
        <v>19473.0</v>
      </c>
      <c r="H99" s="7">
        <v>19871.0</v>
      </c>
      <c r="I99" s="7">
        <v>21454.0</v>
      </c>
      <c r="J99" s="7">
        <v>24377.0</v>
      </c>
      <c r="K99" s="7">
        <v>26998.0</v>
      </c>
      <c r="L99" s="7">
        <v>31081.0</v>
      </c>
      <c r="M99" s="7">
        <v>33336.0</v>
      </c>
      <c r="N99" s="7">
        <v>27185.0</v>
      </c>
      <c r="O99" s="7">
        <v>297434.0</v>
      </c>
    </row>
    <row r="100">
      <c r="A100" s="9">
        <v>2.0</v>
      </c>
      <c r="B100" s="9" t="s">
        <v>9</v>
      </c>
      <c r="C100" s="10">
        <v>180371.0</v>
      </c>
      <c r="D100" s="10">
        <v>172084.0</v>
      </c>
      <c r="E100" s="10">
        <v>214685.0</v>
      </c>
      <c r="F100" s="10">
        <v>189903.0</v>
      </c>
      <c r="G100" s="10">
        <v>184178.0</v>
      </c>
      <c r="H100" s="10">
        <v>193231.0</v>
      </c>
      <c r="I100" s="10">
        <v>198581.0</v>
      </c>
      <c r="J100" s="10">
        <v>192295.0</v>
      </c>
      <c r="K100" s="10">
        <v>189998.0</v>
      </c>
      <c r="L100" s="10">
        <v>205641.0</v>
      </c>
      <c r="M100" s="10">
        <v>221979.0</v>
      </c>
      <c r="N100" s="10">
        <v>202868.0</v>
      </c>
      <c r="O100" s="10">
        <v>2345814.0</v>
      </c>
    </row>
    <row r="101">
      <c r="A101" s="11">
        <v>3.0</v>
      </c>
      <c r="B101" s="11" t="s">
        <v>16</v>
      </c>
      <c r="C101" s="12">
        <v>3.0</v>
      </c>
      <c r="D101" s="12">
        <v>4.0</v>
      </c>
      <c r="E101" s="12">
        <v>3.0</v>
      </c>
      <c r="F101" s="12">
        <v>4.0</v>
      </c>
      <c r="G101" s="12">
        <v>23.0</v>
      </c>
      <c r="H101" s="12">
        <v>57.0</v>
      </c>
      <c r="I101" s="12">
        <v>80.0</v>
      </c>
      <c r="J101" s="12">
        <v>123.0</v>
      </c>
      <c r="K101" s="12">
        <v>74.0</v>
      </c>
      <c r="L101" s="12">
        <v>104.0</v>
      </c>
      <c r="M101" s="12">
        <v>116.0</v>
      </c>
      <c r="N101" s="12">
        <v>146.0</v>
      </c>
      <c r="O101" s="12">
        <v>737.0</v>
      </c>
    </row>
    <row r="102">
      <c r="A102" s="9">
        <v>4.0</v>
      </c>
      <c r="B102" s="9" t="s">
        <v>18</v>
      </c>
      <c r="C102" s="10">
        <v>3.0</v>
      </c>
      <c r="D102" s="10">
        <v>0.0</v>
      </c>
      <c r="E102" s="10">
        <v>0.0</v>
      </c>
      <c r="F102" s="10">
        <v>0.0</v>
      </c>
      <c r="G102" s="10">
        <v>0.0</v>
      </c>
      <c r="H102" s="10">
        <v>1.0</v>
      </c>
      <c r="I102" s="10">
        <v>0.0</v>
      </c>
      <c r="J102" s="10">
        <v>0.0</v>
      </c>
      <c r="K102" s="10">
        <v>0.0</v>
      </c>
      <c r="L102" s="10">
        <v>1.0</v>
      </c>
      <c r="M102" s="10">
        <v>0.0</v>
      </c>
      <c r="N102" s="10">
        <v>0.0</v>
      </c>
      <c r="O102" s="10">
        <v>5.0</v>
      </c>
    </row>
    <row r="103">
      <c r="A103" s="6">
        <v>5.0</v>
      </c>
      <c r="B103" s="6" t="s">
        <v>19</v>
      </c>
      <c r="C103" s="7">
        <v>0.0</v>
      </c>
      <c r="D103" s="7">
        <v>0.0</v>
      </c>
      <c r="E103" s="7">
        <v>0.0</v>
      </c>
      <c r="F103" s="7">
        <v>0.0</v>
      </c>
      <c r="G103" s="7">
        <v>0.0</v>
      </c>
      <c r="H103" s="7">
        <v>0.0</v>
      </c>
      <c r="I103" s="7">
        <v>0.0</v>
      </c>
      <c r="J103" s="7">
        <v>0.0</v>
      </c>
      <c r="K103" s="7">
        <v>1.0</v>
      </c>
      <c r="L103" s="7">
        <v>0.0</v>
      </c>
      <c r="M103" s="7">
        <v>0.0</v>
      </c>
      <c r="N103" s="7">
        <v>0.0</v>
      </c>
      <c r="O103" s="7">
        <v>1.0</v>
      </c>
    </row>
    <row r="104">
      <c r="A104" s="9">
        <v>6.0</v>
      </c>
      <c r="B104" s="9" t="s">
        <v>20</v>
      </c>
      <c r="C104" s="10">
        <v>51490.0</v>
      </c>
      <c r="D104" s="10">
        <v>58097.0</v>
      </c>
      <c r="E104" s="10">
        <v>83101.0</v>
      </c>
      <c r="F104" s="10">
        <v>77613.0</v>
      </c>
      <c r="G104" s="10">
        <v>69917.0</v>
      </c>
      <c r="H104" s="10">
        <v>75884.0</v>
      </c>
      <c r="I104" s="10">
        <v>80877.0</v>
      </c>
      <c r="J104" s="10">
        <v>89012.0</v>
      </c>
      <c r="K104" s="10">
        <v>94913.0</v>
      </c>
      <c r="L104" s="10">
        <v>117500.0</v>
      </c>
      <c r="M104" s="10">
        <v>121594.0</v>
      </c>
      <c r="N104" s="10">
        <v>105005.0</v>
      </c>
      <c r="O104" s="10">
        <v>1025003.0</v>
      </c>
    </row>
    <row r="105">
      <c r="A105" s="6">
        <v>7.0</v>
      </c>
      <c r="B105" s="6" t="s">
        <v>27</v>
      </c>
      <c r="C105" s="7">
        <v>0.0</v>
      </c>
      <c r="D105" s="7">
        <v>0.0</v>
      </c>
      <c r="E105" s="7">
        <v>1.0</v>
      </c>
      <c r="F105" s="7">
        <v>1.0</v>
      </c>
      <c r="G105" s="7">
        <v>0.0</v>
      </c>
      <c r="H105" s="7">
        <v>0.0</v>
      </c>
      <c r="I105" s="7">
        <v>0.0</v>
      </c>
      <c r="J105" s="7">
        <v>0.0</v>
      </c>
      <c r="K105" s="7">
        <v>0.0</v>
      </c>
      <c r="L105" s="7">
        <v>0.0</v>
      </c>
      <c r="M105" s="7">
        <v>0.0</v>
      </c>
      <c r="N105" s="7">
        <v>0.0</v>
      </c>
      <c r="O105" s="7">
        <v>2.0</v>
      </c>
    </row>
    <row r="106">
      <c r="A106" s="9">
        <v>8.0</v>
      </c>
      <c r="B106" s="9" t="s">
        <v>28</v>
      </c>
      <c r="C106" s="10">
        <v>0.0</v>
      </c>
      <c r="D106" s="10">
        <v>0.0</v>
      </c>
      <c r="E106" s="10">
        <v>0.0</v>
      </c>
      <c r="F106" s="10">
        <v>0.0</v>
      </c>
      <c r="G106" s="10">
        <v>0.0</v>
      </c>
      <c r="H106" s="10">
        <v>0.0</v>
      </c>
      <c r="I106" s="10">
        <v>0.0</v>
      </c>
      <c r="J106" s="10">
        <v>0.0</v>
      </c>
      <c r="K106" s="10">
        <v>0.0</v>
      </c>
      <c r="L106" s="10">
        <v>0.0</v>
      </c>
      <c r="M106" s="10">
        <v>10.0</v>
      </c>
      <c r="N106" s="10">
        <v>10.0</v>
      </c>
      <c r="O106" s="10">
        <v>20.0</v>
      </c>
    </row>
    <row r="107">
      <c r="A107" s="6">
        <v>9.0</v>
      </c>
      <c r="B107" s="6" t="s">
        <v>29</v>
      </c>
      <c r="C107" s="7">
        <v>1242.0</v>
      </c>
      <c r="D107" s="7">
        <v>1017.0</v>
      </c>
      <c r="E107" s="7">
        <v>1277.0</v>
      </c>
      <c r="F107" s="7">
        <v>1010.0</v>
      </c>
      <c r="G107" s="7">
        <v>765.0</v>
      </c>
      <c r="H107" s="7">
        <v>993.0</v>
      </c>
      <c r="I107" s="7">
        <v>861.0</v>
      </c>
      <c r="J107" s="7">
        <v>1123.0</v>
      </c>
      <c r="K107" s="7">
        <v>1380.0</v>
      </c>
      <c r="L107" s="7">
        <v>1549.0</v>
      </c>
      <c r="M107" s="7">
        <v>1797.0</v>
      </c>
      <c r="N107" s="7">
        <v>1390.0</v>
      </c>
      <c r="O107" s="7">
        <v>14404.0</v>
      </c>
    </row>
    <row r="108">
      <c r="A108" s="9">
        <v>10.0</v>
      </c>
      <c r="B108" s="9" t="s">
        <v>31</v>
      </c>
      <c r="C108" s="10">
        <v>6611.0</v>
      </c>
      <c r="D108" s="10">
        <v>7382.0</v>
      </c>
      <c r="E108" s="10">
        <v>8651.0</v>
      </c>
      <c r="F108" s="10">
        <v>5632.0</v>
      </c>
      <c r="G108" s="10">
        <v>6295.0</v>
      </c>
      <c r="H108" s="10">
        <v>7092.0</v>
      </c>
      <c r="I108" s="10">
        <v>6453.0</v>
      </c>
      <c r="J108" s="10">
        <v>5408.0</v>
      </c>
      <c r="K108" s="10">
        <v>6601.0</v>
      </c>
      <c r="L108" s="10">
        <v>6241.0</v>
      </c>
      <c r="M108" s="10">
        <v>7314.0</v>
      </c>
      <c r="N108" s="10">
        <v>6777.0</v>
      </c>
      <c r="O108" s="10">
        <v>80457.0</v>
      </c>
    </row>
    <row r="109">
      <c r="A109" s="6">
        <v>11.0</v>
      </c>
      <c r="B109" s="6" t="s">
        <v>33</v>
      </c>
      <c r="C109" s="7">
        <v>1319816.0</v>
      </c>
      <c r="D109" s="7">
        <v>1243030.0</v>
      </c>
      <c r="E109" s="7">
        <v>1422874.0</v>
      </c>
      <c r="F109" s="7">
        <v>1464050.0</v>
      </c>
      <c r="G109" s="7">
        <v>1509825.0</v>
      </c>
      <c r="H109" s="7">
        <v>1363964.0</v>
      </c>
      <c r="I109" s="7">
        <v>1260822.0</v>
      </c>
      <c r="J109" s="7">
        <v>1313938.0</v>
      </c>
      <c r="K109" s="7">
        <v>1200180.0</v>
      </c>
      <c r="L109" s="7">
        <v>1867824.0</v>
      </c>
      <c r="M109" s="7">
        <v>1967443.0</v>
      </c>
      <c r="N109" s="7">
        <v>1250295.0</v>
      </c>
      <c r="O109" s="7">
        <v>1.7184061E7</v>
      </c>
    </row>
    <row r="110">
      <c r="A110" s="9">
        <v>12.0</v>
      </c>
      <c r="B110" s="9" t="s">
        <v>40</v>
      </c>
      <c r="C110" s="10">
        <v>31001.0</v>
      </c>
      <c r="D110" s="10">
        <v>34079.0</v>
      </c>
      <c r="E110" s="10">
        <v>39020.0</v>
      </c>
      <c r="F110" s="10">
        <v>36632.0</v>
      </c>
      <c r="G110" s="10">
        <v>34994.0</v>
      </c>
      <c r="H110" s="10">
        <v>35629.0</v>
      </c>
      <c r="I110" s="10">
        <v>34706.0</v>
      </c>
      <c r="J110" s="10">
        <v>35034.0</v>
      </c>
      <c r="K110" s="10">
        <v>31130.0</v>
      </c>
      <c r="L110" s="10">
        <v>44233.0</v>
      </c>
      <c r="M110" s="10">
        <v>38266.0</v>
      </c>
      <c r="N110" s="10">
        <v>33146.0</v>
      </c>
      <c r="O110" s="10">
        <v>427870.0</v>
      </c>
    </row>
    <row r="111">
      <c r="A111" s="6">
        <v>13.0</v>
      </c>
      <c r="B111" s="6" t="s">
        <v>47</v>
      </c>
      <c r="C111" s="7">
        <v>0.0</v>
      </c>
      <c r="D111" s="7">
        <v>0.0</v>
      </c>
      <c r="E111" s="7">
        <v>0.0</v>
      </c>
      <c r="F111" s="7">
        <v>0.0</v>
      </c>
      <c r="G111" s="7">
        <v>0.0</v>
      </c>
      <c r="H111" s="7">
        <v>0.0</v>
      </c>
      <c r="I111" s="7">
        <v>0.0</v>
      </c>
      <c r="J111" s="7">
        <v>0.0</v>
      </c>
      <c r="K111" s="7">
        <v>0.0</v>
      </c>
      <c r="L111" s="7">
        <v>0.0</v>
      </c>
      <c r="M111" s="7">
        <v>1.0</v>
      </c>
      <c r="N111" s="7">
        <v>0.0</v>
      </c>
      <c r="O111" s="7">
        <v>1.0</v>
      </c>
    </row>
    <row r="112">
      <c r="A112" s="9">
        <v>14.0</v>
      </c>
      <c r="B112" s="9" t="s">
        <v>50</v>
      </c>
      <c r="C112" s="10">
        <v>10982.0</v>
      </c>
      <c r="D112" s="10">
        <v>9571.0</v>
      </c>
      <c r="E112" s="10">
        <v>8314.0</v>
      </c>
      <c r="F112" s="10">
        <v>7278.0</v>
      </c>
      <c r="G112" s="10">
        <v>15703.0</v>
      </c>
      <c r="H112" s="10">
        <v>12570.0</v>
      </c>
      <c r="I112" s="10">
        <v>12309.0</v>
      </c>
      <c r="J112" s="10">
        <v>18602.0</v>
      </c>
      <c r="K112" s="10">
        <v>19341.0</v>
      </c>
      <c r="L112" s="10">
        <v>27429.0</v>
      </c>
      <c r="M112" s="10">
        <v>25847.0</v>
      </c>
      <c r="N112" s="10">
        <v>24539.0</v>
      </c>
      <c r="O112" s="10">
        <v>192485.0</v>
      </c>
    </row>
    <row r="113">
      <c r="A113" s="6">
        <v>15.0</v>
      </c>
      <c r="B113" s="6" t="s">
        <v>55</v>
      </c>
      <c r="C113" s="7">
        <v>1212.0</v>
      </c>
      <c r="D113" s="7">
        <v>886.0</v>
      </c>
      <c r="E113" s="7">
        <v>1150.0</v>
      </c>
      <c r="F113" s="7">
        <v>1078.0</v>
      </c>
      <c r="G113" s="7">
        <v>1065.0</v>
      </c>
      <c r="H113" s="7">
        <v>1053.0</v>
      </c>
      <c r="I113" s="7">
        <v>990.0</v>
      </c>
      <c r="J113" s="7">
        <v>1002.0</v>
      </c>
      <c r="K113" s="7">
        <v>931.0</v>
      </c>
      <c r="L113" s="7">
        <v>1054.0</v>
      </c>
      <c r="M113" s="7">
        <v>695.0</v>
      </c>
      <c r="N113" s="7">
        <v>579.0</v>
      </c>
      <c r="O113" s="7">
        <v>11695.0</v>
      </c>
    </row>
    <row r="114">
      <c r="B114" s="1" t="s">
        <v>100</v>
      </c>
      <c r="C114" s="22">
        <f t="shared" ref="C114:O114" si="5">SUM(C101,C104,C112)</f>
        <v>62475</v>
      </c>
      <c r="D114" s="22">
        <f t="shared" si="5"/>
        <v>67672</v>
      </c>
      <c r="E114" s="22">
        <f t="shared" si="5"/>
        <v>91418</v>
      </c>
      <c r="F114" s="22">
        <f t="shared" si="5"/>
        <v>84895</v>
      </c>
      <c r="G114" s="22">
        <f t="shared" si="5"/>
        <v>85643</v>
      </c>
      <c r="H114" s="22">
        <f t="shared" si="5"/>
        <v>88511</v>
      </c>
      <c r="I114" s="22">
        <f t="shared" si="5"/>
        <v>93266</v>
      </c>
      <c r="J114" s="22">
        <f t="shared" si="5"/>
        <v>107737</v>
      </c>
      <c r="K114" s="22">
        <f t="shared" si="5"/>
        <v>114328</v>
      </c>
      <c r="L114" s="22">
        <f t="shared" si="5"/>
        <v>145033</v>
      </c>
      <c r="M114" s="22">
        <f t="shared" si="5"/>
        <v>147557</v>
      </c>
      <c r="N114" s="22">
        <f t="shared" si="5"/>
        <v>129690</v>
      </c>
      <c r="O114" s="22">
        <f t="shared" si="5"/>
        <v>1218225</v>
      </c>
    </row>
    <row r="115">
      <c r="B115" s="1" t="s">
        <v>101</v>
      </c>
      <c r="C115" s="22">
        <f t="shared" ref="C115:O115" si="6">SUM(C99:C113) - C108 - C114</f>
        <v>1557204</v>
      </c>
      <c r="D115" s="22">
        <f t="shared" si="6"/>
        <v>1472012</v>
      </c>
      <c r="E115" s="22">
        <f t="shared" si="6"/>
        <v>1704311</v>
      </c>
      <c r="F115" s="22">
        <f t="shared" si="6"/>
        <v>1716554</v>
      </c>
      <c r="G115" s="22">
        <f t="shared" si="6"/>
        <v>1750300</v>
      </c>
      <c r="H115" s="22">
        <f t="shared" si="6"/>
        <v>1614742</v>
      </c>
      <c r="I115" s="22">
        <f t="shared" si="6"/>
        <v>1517414</v>
      </c>
      <c r="J115" s="22">
        <f t="shared" si="6"/>
        <v>1567769</v>
      </c>
      <c r="K115" s="22">
        <f t="shared" si="6"/>
        <v>1450618</v>
      </c>
      <c r="L115" s="22">
        <f t="shared" si="6"/>
        <v>2151383</v>
      </c>
      <c r="M115" s="22">
        <f t="shared" si="6"/>
        <v>2263527</v>
      </c>
      <c r="N115" s="22">
        <f t="shared" si="6"/>
        <v>1515473</v>
      </c>
      <c r="O115" s="22">
        <f t="shared" si="6"/>
        <v>20281307</v>
      </c>
    </row>
    <row r="11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</row>
    <row r="117">
      <c r="A117" s="1" t="s">
        <v>107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>
      <c r="A118" s="26" t="s">
        <v>1</v>
      </c>
      <c r="B118" s="26" t="s">
        <v>2</v>
      </c>
      <c r="C118" s="27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9"/>
      <c r="O118" s="30" t="s">
        <v>3</v>
      </c>
    </row>
    <row r="119">
      <c r="A119" s="31"/>
      <c r="B119" s="31"/>
      <c r="C119" s="25" t="s">
        <v>88</v>
      </c>
      <c r="D119" s="25" t="s">
        <v>89</v>
      </c>
      <c r="E119" s="25" t="s">
        <v>90</v>
      </c>
      <c r="F119" s="25" t="s">
        <v>91</v>
      </c>
      <c r="G119" s="25" t="s">
        <v>92</v>
      </c>
      <c r="H119" s="25" t="s">
        <v>93</v>
      </c>
      <c r="I119" s="25" t="s">
        <v>94</v>
      </c>
      <c r="J119" s="25" t="s">
        <v>95</v>
      </c>
      <c r="K119" s="25" t="s">
        <v>96</v>
      </c>
      <c r="L119" s="25" t="s">
        <v>97</v>
      </c>
      <c r="M119" s="25" t="s">
        <v>103</v>
      </c>
      <c r="N119" s="25" t="s">
        <v>104</v>
      </c>
      <c r="O119" s="31"/>
    </row>
    <row r="120">
      <c r="A120" s="6">
        <v>1.0</v>
      </c>
      <c r="B120" s="6" t="s">
        <v>4</v>
      </c>
      <c r="C120" s="7">
        <v>6071.0</v>
      </c>
      <c r="D120" s="7">
        <v>10963.0</v>
      </c>
      <c r="E120" s="7">
        <v>13620.0</v>
      </c>
      <c r="F120" s="7">
        <v>8514.0</v>
      </c>
      <c r="G120" s="7">
        <v>2242.0</v>
      </c>
      <c r="H120" s="7">
        <v>7086.0</v>
      </c>
      <c r="I120" s="7">
        <v>13900.0</v>
      </c>
      <c r="J120" s="7">
        <v>16269.0</v>
      </c>
      <c r="K120" s="7">
        <v>20901.0</v>
      </c>
      <c r="L120" s="7">
        <v>21949.0</v>
      </c>
      <c r="M120" s="7">
        <v>22785.0</v>
      </c>
      <c r="N120" s="7">
        <v>22039.0</v>
      </c>
      <c r="O120" s="7">
        <v>166339.0</v>
      </c>
    </row>
    <row r="121">
      <c r="A121" s="9">
        <v>2.0</v>
      </c>
      <c r="B121" s="9" t="s">
        <v>9</v>
      </c>
      <c r="C121" s="10">
        <v>195629.0</v>
      </c>
      <c r="D121" s="10">
        <v>192725.0</v>
      </c>
      <c r="E121" s="10">
        <v>220114.0</v>
      </c>
      <c r="F121" s="10">
        <v>140004.0</v>
      </c>
      <c r="G121" s="10">
        <v>57688.0</v>
      </c>
      <c r="H121" s="10">
        <v>145612.0</v>
      </c>
      <c r="I121" s="10">
        <v>209471.0</v>
      </c>
      <c r="J121" s="10">
        <v>192111.0</v>
      </c>
      <c r="K121" s="10">
        <v>168236.0</v>
      </c>
      <c r="L121" s="10">
        <v>152996.0</v>
      </c>
      <c r="M121" s="10">
        <v>158652.0</v>
      </c>
      <c r="N121" s="10">
        <v>180591.0</v>
      </c>
      <c r="O121" s="10">
        <v>2013829.0</v>
      </c>
    </row>
    <row r="122">
      <c r="A122" s="6">
        <v>3.0</v>
      </c>
      <c r="B122" s="6" t="s">
        <v>16</v>
      </c>
      <c r="C122" s="7">
        <v>8.0</v>
      </c>
      <c r="D122" s="7">
        <v>5.0</v>
      </c>
      <c r="E122" s="7">
        <v>0.0</v>
      </c>
      <c r="F122" s="7">
        <v>4.0</v>
      </c>
      <c r="G122" s="7">
        <v>2.0</v>
      </c>
      <c r="H122" s="7">
        <v>3.0</v>
      </c>
      <c r="I122" s="7">
        <v>3.0</v>
      </c>
      <c r="J122" s="7">
        <v>5.0</v>
      </c>
      <c r="K122" s="7">
        <v>0.0</v>
      </c>
      <c r="L122" s="7">
        <v>1.0</v>
      </c>
      <c r="M122" s="7">
        <v>2.0</v>
      </c>
      <c r="N122" s="7">
        <v>2.0</v>
      </c>
      <c r="O122" s="7">
        <v>35.0</v>
      </c>
    </row>
    <row r="123">
      <c r="A123" s="9">
        <v>4.0</v>
      </c>
      <c r="B123" s="9" t="s">
        <v>18</v>
      </c>
      <c r="C123" s="10">
        <v>0.0</v>
      </c>
      <c r="D123" s="10">
        <v>0.0</v>
      </c>
      <c r="E123" s="10">
        <v>0.0</v>
      </c>
      <c r="F123" s="10">
        <v>5.0</v>
      </c>
      <c r="G123" s="10">
        <v>1.0</v>
      </c>
      <c r="H123" s="10">
        <v>4.0</v>
      </c>
      <c r="I123" s="10">
        <v>1.0</v>
      </c>
      <c r="J123" s="10">
        <v>2.0</v>
      </c>
      <c r="K123" s="10">
        <v>0.0</v>
      </c>
      <c r="L123" s="10">
        <v>0.0</v>
      </c>
      <c r="M123" s="10">
        <v>0.0</v>
      </c>
      <c r="N123" s="10">
        <v>1.0</v>
      </c>
      <c r="O123" s="10">
        <v>14.0</v>
      </c>
    </row>
    <row r="124">
      <c r="A124" s="6">
        <v>5.0</v>
      </c>
      <c r="B124" s="6" t="s">
        <v>20</v>
      </c>
      <c r="C124" s="7">
        <v>17031.0</v>
      </c>
      <c r="D124" s="7">
        <v>20067.0</v>
      </c>
      <c r="E124" s="7">
        <v>28108.0</v>
      </c>
      <c r="F124" s="7">
        <v>15024.0</v>
      </c>
      <c r="G124" s="7">
        <v>3605.0</v>
      </c>
      <c r="H124" s="7">
        <v>12332.0</v>
      </c>
      <c r="I124" s="7">
        <v>28167.0</v>
      </c>
      <c r="J124" s="7">
        <v>30833.0</v>
      </c>
      <c r="K124" s="7">
        <v>36602.0</v>
      </c>
      <c r="L124" s="7">
        <v>40960.0</v>
      </c>
      <c r="M124" s="7">
        <v>45092.0</v>
      </c>
      <c r="N124" s="7">
        <v>53756.0</v>
      </c>
      <c r="O124" s="7">
        <v>331577.0</v>
      </c>
    </row>
    <row r="125">
      <c r="A125" s="9">
        <v>6.0</v>
      </c>
      <c r="B125" s="9" t="s">
        <v>28</v>
      </c>
      <c r="C125" s="10">
        <v>0.0</v>
      </c>
      <c r="D125" s="10">
        <v>0.0</v>
      </c>
      <c r="E125" s="10">
        <v>0.0</v>
      </c>
      <c r="F125" s="10">
        <v>0.0</v>
      </c>
      <c r="G125" s="10">
        <v>0.0</v>
      </c>
      <c r="H125" s="10">
        <v>0.0</v>
      </c>
      <c r="I125" s="10">
        <v>0.0</v>
      </c>
      <c r="J125" s="10">
        <v>0.0</v>
      </c>
      <c r="K125" s="10">
        <v>0.0</v>
      </c>
      <c r="L125" s="10">
        <v>0.0</v>
      </c>
      <c r="M125" s="10">
        <v>0.0</v>
      </c>
      <c r="N125" s="10">
        <v>3.0</v>
      </c>
      <c r="O125" s="10">
        <v>3.0</v>
      </c>
    </row>
    <row r="126">
      <c r="A126" s="6">
        <v>7.0</v>
      </c>
      <c r="B126" s="6" t="s">
        <v>29</v>
      </c>
      <c r="C126" s="7">
        <v>1080.0</v>
      </c>
      <c r="D126" s="7">
        <v>889.0</v>
      </c>
      <c r="E126" s="7">
        <v>764.0</v>
      </c>
      <c r="F126" s="7">
        <v>1319.0</v>
      </c>
      <c r="G126" s="7">
        <v>319.0</v>
      </c>
      <c r="H126" s="7">
        <v>476.0</v>
      </c>
      <c r="I126" s="7">
        <v>1324.0</v>
      </c>
      <c r="J126" s="7">
        <v>1405.0</v>
      </c>
      <c r="K126" s="7">
        <v>1497.0</v>
      </c>
      <c r="L126" s="7">
        <v>1271.0</v>
      </c>
      <c r="M126" s="7">
        <v>1663.0</v>
      </c>
      <c r="N126" s="7">
        <v>1402.0</v>
      </c>
      <c r="O126" s="7">
        <v>13409.0</v>
      </c>
    </row>
    <row r="127">
      <c r="A127" s="9">
        <v>8.0</v>
      </c>
      <c r="B127" s="9" t="s">
        <v>30</v>
      </c>
      <c r="C127" s="10">
        <v>0.0</v>
      </c>
      <c r="D127" s="10">
        <v>1.0</v>
      </c>
      <c r="E127" s="10">
        <v>0.0</v>
      </c>
      <c r="F127" s="10">
        <v>0.0</v>
      </c>
      <c r="G127" s="10">
        <v>0.0</v>
      </c>
      <c r="H127" s="10">
        <v>0.0</v>
      </c>
      <c r="I127" s="10">
        <v>1.0</v>
      </c>
      <c r="J127" s="10">
        <v>0.0</v>
      </c>
      <c r="K127" s="10">
        <v>0.0</v>
      </c>
      <c r="L127" s="10">
        <v>0.0</v>
      </c>
      <c r="M127" s="10">
        <v>0.0</v>
      </c>
      <c r="N127" s="10">
        <v>0.0</v>
      </c>
      <c r="O127" s="10">
        <v>2.0</v>
      </c>
    </row>
    <row r="128">
      <c r="A128" s="6">
        <v>9.0</v>
      </c>
      <c r="B128" s="6" t="s">
        <v>31</v>
      </c>
      <c r="C128" s="7">
        <v>8284.0</v>
      </c>
      <c r="D128" s="7">
        <v>8098.0</v>
      </c>
      <c r="E128" s="7">
        <v>10158.0</v>
      </c>
      <c r="F128" s="7">
        <v>5661.0</v>
      </c>
      <c r="G128" s="7">
        <v>1800.0</v>
      </c>
      <c r="H128" s="7">
        <v>4159.0</v>
      </c>
      <c r="I128" s="7">
        <v>6982.0</v>
      </c>
      <c r="J128" s="7">
        <v>7505.0</v>
      </c>
      <c r="K128" s="7">
        <v>7578.0</v>
      </c>
      <c r="L128" s="7">
        <v>7869.0</v>
      </c>
      <c r="M128" s="7">
        <v>6620.0</v>
      </c>
      <c r="N128" s="7">
        <v>7801.0</v>
      </c>
      <c r="O128" s="7">
        <v>82515.0</v>
      </c>
    </row>
    <row r="129">
      <c r="A129" s="9">
        <v>10.0</v>
      </c>
      <c r="B129" s="9" t="s">
        <v>33</v>
      </c>
      <c r="C129" s="10">
        <v>1589644.0</v>
      </c>
      <c r="D129" s="10">
        <v>1431609.0</v>
      </c>
      <c r="E129" s="10">
        <v>1557343.0</v>
      </c>
      <c r="F129" s="10">
        <v>1116060.0</v>
      </c>
      <c r="G129" s="10">
        <v>519627.0</v>
      </c>
      <c r="H129" s="10">
        <v>1211920.0</v>
      </c>
      <c r="I129" s="10">
        <v>1469362.0</v>
      </c>
      <c r="J129" s="10">
        <v>1273974.0</v>
      </c>
      <c r="K129" s="10">
        <v>1193419.0</v>
      </c>
      <c r="L129" s="10">
        <v>1293505.0</v>
      </c>
      <c r="M129" s="10">
        <v>1764641.0</v>
      </c>
      <c r="N129" s="10">
        <v>1465141.0</v>
      </c>
      <c r="O129" s="10">
        <v>1.5886245E7</v>
      </c>
    </row>
    <row r="130">
      <c r="A130" s="6">
        <v>11.0</v>
      </c>
      <c r="B130" s="6" t="s">
        <v>40</v>
      </c>
      <c r="C130" s="7">
        <v>31023.0</v>
      </c>
      <c r="D130" s="7">
        <v>26568.0</v>
      </c>
      <c r="E130" s="7">
        <v>29562.0</v>
      </c>
      <c r="F130" s="7">
        <v>17330.0</v>
      </c>
      <c r="G130" s="7">
        <v>9781.0</v>
      </c>
      <c r="H130" s="7">
        <v>16256.0</v>
      </c>
      <c r="I130" s="7">
        <v>29355.0</v>
      </c>
      <c r="J130" s="7">
        <v>27838.0</v>
      </c>
      <c r="K130" s="7">
        <v>22374.0</v>
      </c>
      <c r="L130" s="7">
        <v>19822.0</v>
      </c>
      <c r="M130" s="7">
        <v>20677.0</v>
      </c>
      <c r="N130" s="7">
        <v>22470.0</v>
      </c>
      <c r="O130" s="7">
        <v>273056.0</v>
      </c>
    </row>
    <row r="131">
      <c r="A131" s="9">
        <v>12.0</v>
      </c>
      <c r="B131" s="9" t="s">
        <v>50</v>
      </c>
      <c r="C131" s="10">
        <v>13138.0</v>
      </c>
      <c r="D131" s="10">
        <v>10915.0</v>
      </c>
      <c r="E131" s="10">
        <v>12491.0</v>
      </c>
      <c r="F131" s="10">
        <v>8143.0</v>
      </c>
      <c r="G131" s="10">
        <v>2952.0</v>
      </c>
      <c r="H131" s="10">
        <v>7576.0</v>
      </c>
      <c r="I131" s="10">
        <v>12886.0</v>
      </c>
      <c r="J131" s="10">
        <v>12161.0</v>
      </c>
      <c r="K131" s="10">
        <v>10601.0</v>
      </c>
      <c r="L131" s="10">
        <v>12847.0</v>
      </c>
      <c r="M131" s="10">
        <v>12046.0</v>
      </c>
      <c r="N131" s="10">
        <v>10089.0</v>
      </c>
      <c r="O131" s="10">
        <v>125845.0</v>
      </c>
    </row>
    <row r="132">
      <c r="A132" s="6">
        <v>13.0</v>
      </c>
      <c r="B132" s="6" t="s">
        <v>55</v>
      </c>
      <c r="C132" s="7">
        <v>2877.0</v>
      </c>
      <c r="D132" s="7">
        <v>3265.0</v>
      </c>
      <c r="E132" s="7">
        <v>3865.0</v>
      </c>
      <c r="F132" s="7">
        <v>1255.0</v>
      </c>
      <c r="G132" s="7">
        <v>233.0</v>
      </c>
      <c r="H132" s="7">
        <v>910.0</v>
      </c>
      <c r="I132" s="7">
        <v>1443.0</v>
      </c>
      <c r="J132" s="7">
        <v>1435.0</v>
      </c>
      <c r="K132" s="7">
        <v>1321.0</v>
      </c>
      <c r="L132" s="7">
        <v>1050.0</v>
      </c>
      <c r="M132" s="7">
        <v>1186.0</v>
      </c>
      <c r="N132" s="7">
        <v>1140.0</v>
      </c>
      <c r="O132" s="7">
        <v>19980.0</v>
      </c>
    </row>
    <row r="133">
      <c r="A133" s="9">
        <v>14.0</v>
      </c>
      <c r="B133" s="9" t="s">
        <v>58</v>
      </c>
      <c r="C133" s="10">
        <v>0.0</v>
      </c>
      <c r="D133" s="10">
        <v>0.0</v>
      </c>
      <c r="E133" s="10">
        <v>0.0</v>
      </c>
      <c r="F133" s="10">
        <v>0.0</v>
      </c>
      <c r="G133" s="10">
        <v>0.0</v>
      </c>
      <c r="H133" s="10">
        <v>0.0</v>
      </c>
      <c r="I133" s="10">
        <v>0.0</v>
      </c>
      <c r="J133" s="10">
        <v>0.0</v>
      </c>
      <c r="K133" s="10">
        <v>0.0</v>
      </c>
      <c r="L133" s="10">
        <v>0.0</v>
      </c>
      <c r="M133" s="10">
        <v>1.0</v>
      </c>
      <c r="N133" s="10">
        <v>0.0</v>
      </c>
      <c r="O133" s="10">
        <v>1.0</v>
      </c>
    </row>
    <row r="134">
      <c r="B134" s="1" t="s">
        <v>100</v>
      </c>
      <c r="C134" s="22">
        <f t="shared" ref="C134:O134" si="7">Sum(C124,C122,C131)</f>
        <v>30177</v>
      </c>
      <c r="D134" s="22">
        <f t="shared" si="7"/>
        <v>30987</v>
      </c>
      <c r="E134" s="22">
        <f t="shared" si="7"/>
        <v>40599</v>
      </c>
      <c r="F134" s="22">
        <f t="shared" si="7"/>
        <v>23171</v>
      </c>
      <c r="G134" s="22">
        <f t="shared" si="7"/>
        <v>6559</v>
      </c>
      <c r="H134" s="22">
        <f t="shared" si="7"/>
        <v>19911</v>
      </c>
      <c r="I134" s="22">
        <f t="shared" si="7"/>
        <v>41056</v>
      </c>
      <c r="J134" s="22">
        <f t="shared" si="7"/>
        <v>42999</v>
      </c>
      <c r="K134" s="22">
        <f t="shared" si="7"/>
        <v>47203</v>
      </c>
      <c r="L134" s="22">
        <f t="shared" si="7"/>
        <v>53808</v>
      </c>
      <c r="M134" s="22">
        <f t="shared" si="7"/>
        <v>57140</v>
      </c>
      <c r="N134" s="22">
        <f t="shared" si="7"/>
        <v>63847</v>
      </c>
      <c r="O134" s="22">
        <f t="shared" si="7"/>
        <v>457457</v>
      </c>
    </row>
    <row r="135">
      <c r="B135" s="1" t="s">
        <v>108</v>
      </c>
      <c r="C135" s="22">
        <f t="shared" ref="C135:O135" si="8">SUM(C120:C133)-C134-C128</f>
        <v>1826324</v>
      </c>
      <c r="D135" s="22">
        <f t="shared" si="8"/>
        <v>1666020</v>
      </c>
      <c r="E135" s="22">
        <f t="shared" si="8"/>
        <v>1825268</v>
      </c>
      <c r="F135" s="22">
        <f t="shared" si="8"/>
        <v>1284487</v>
      </c>
      <c r="G135" s="22">
        <f t="shared" si="8"/>
        <v>589891</v>
      </c>
      <c r="H135" s="22">
        <f t="shared" si="8"/>
        <v>1382264</v>
      </c>
      <c r="I135" s="22">
        <f t="shared" si="8"/>
        <v>1724857</v>
      </c>
      <c r="J135" s="22">
        <f t="shared" si="8"/>
        <v>1513034</v>
      </c>
      <c r="K135" s="22">
        <f t="shared" si="8"/>
        <v>1407748</v>
      </c>
      <c r="L135" s="22">
        <f t="shared" si="8"/>
        <v>1490593</v>
      </c>
      <c r="M135" s="22">
        <f t="shared" si="8"/>
        <v>1969605</v>
      </c>
      <c r="N135" s="22">
        <f t="shared" si="8"/>
        <v>1692787</v>
      </c>
      <c r="O135" s="22">
        <f t="shared" si="8"/>
        <v>18372878</v>
      </c>
    </row>
    <row r="13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>
      <c r="A137" s="1" t="s">
        <v>109</v>
      </c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</row>
    <row r="138">
      <c r="A138" s="2" t="s">
        <v>1</v>
      </c>
      <c r="B138" s="2" t="s">
        <v>2</v>
      </c>
      <c r="C138" s="24"/>
      <c r="N138" s="4"/>
      <c r="O138" s="25" t="s">
        <v>3</v>
      </c>
    </row>
    <row r="139">
      <c r="A139" s="5"/>
      <c r="B139" s="5"/>
      <c r="C139" s="25" t="s">
        <v>88</v>
      </c>
      <c r="D139" s="25" t="s">
        <v>89</v>
      </c>
      <c r="E139" s="25" t="s">
        <v>90</v>
      </c>
      <c r="F139" s="25" t="s">
        <v>91</v>
      </c>
      <c r="G139" s="25" t="s">
        <v>92</v>
      </c>
      <c r="H139" s="25" t="s">
        <v>93</v>
      </c>
      <c r="I139" s="25" t="s">
        <v>94</v>
      </c>
      <c r="J139" s="25" t="s">
        <v>95</v>
      </c>
      <c r="K139" s="25" t="s">
        <v>96</v>
      </c>
      <c r="L139" s="25" t="s">
        <v>97</v>
      </c>
      <c r="M139" s="25" t="s">
        <v>103</v>
      </c>
      <c r="N139" s="25" t="s">
        <v>104</v>
      </c>
      <c r="O139" s="5"/>
    </row>
    <row r="140">
      <c r="A140" s="6">
        <v>1.0</v>
      </c>
      <c r="B140" s="6" t="s">
        <v>4</v>
      </c>
      <c r="C140" s="7">
        <v>3156.0</v>
      </c>
      <c r="D140" s="7">
        <v>3634.0</v>
      </c>
      <c r="E140" s="7">
        <v>6922.0</v>
      </c>
      <c r="F140" s="7">
        <v>1988.0</v>
      </c>
      <c r="G140" s="7">
        <v>190.0</v>
      </c>
      <c r="H140" s="7">
        <v>1866.0</v>
      </c>
      <c r="I140" s="7">
        <v>2445.0</v>
      </c>
      <c r="J140" s="7">
        <v>2894.0</v>
      </c>
      <c r="K140" s="7">
        <v>4152.0</v>
      </c>
      <c r="L140" s="7">
        <v>5004.0</v>
      </c>
      <c r="M140" s="7">
        <v>6117.0</v>
      </c>
      <c r="N140" s="7">
        <v>4873.0</v>
      </c>
      <c r="O140" s="7">
        <v>43241.0</v>
      </c>
    </row>
    <row r="141">
      <c r="A141" s="9">
        <v>2.0</v>
      </c>
      <c r="B141" s="9" t="s">
        <v>9</v>
      </c>
      <c r="C141" s="10">
        <v>275020.0</v>
      </c>
      <c r="D141" s="10">
        <v>261867.0</v>
      </c>
      <c r="E141" s="10">
        <v>306160.0</v>
      </c>
      <c r="F141" s="10">
        <v>47270.0</v>
      </c>
      <c r="G141" s="10">
        <v>18578.0</v>
      </c>
      <c r="H141" s="10">
        <v>94843.0</v>
      </c>
      <c r="I141" s="10">
        <v>149109.0</v>
      </c>
      <c r="J141" s="10">
        <v>148788.0</v>
      </c>
      <c r="K141" s="10">
        <v>173264.0</v>
      </c>
      <c r="L141" s="10">
        <v>169707.0</v>
      </c>
      <c r="M141" s="10">
        <v>179423.0</v>
      </c>
      <c r="N141" s="10">
        <v>201273.0</v>
      </c>
      <c r="O141" s="10">
        <v>2025302.0</v>
      </c>
    </row>
    <row r="142">
      <c r="A142" s="6">
        <v>3.0</v>
      </c>
      <c r="B142" s="6" t="s">
        <v>16</v>
      </c>
      <c r="C142" s="7">
        <v>1394.0</v>
      </c>
      <c r="D142" s="7">
        <v>743.0</v>
      </c>
      <c r="E142" s="7">
        <v>589.0</v>
      </c>
      <c r="F142" s="7">
        <v>113.0</v>
      </c>
      <c r="G142" s="7">
        <v>0.0</v>
      </c>
      <c r="H142" s="7">
        <v>3.0</v>
      </c>
      <c r="I142" s="7">
        <v>1.0</v>
      </c>
      <c r="J142" s="7">
        <v>3.0</v>
      </c>
      <c r="K142" s="7">
        <v>42.0</v>
      </c>
      <c r="L142" s="7">
        <v>14.0</v>
      </c>
      <c r="M142" s="7">
        <v>6.0</v>
      </c>
      <c r="N142" s="7">
        <v>9.0</v>
      </c>
      <c r="O142" s="7">
        <v>2917.0</v>
      </c>
    </row>
    <row r="143">
      <c r="A143" s="9">
        <v>4.0</v>
      </c>
      <c r="B143" s="9" t="s">
        <v>17</v>
      </c>
      <c r="C143" s="10">
        <v>1.0</v>
      </c>
      <c r="D143" s="10">
        <v>0.0</v>
      </c>
      <c r="E143" s="10">
        <v>0.0</v>
      </c>
      <c r="F143" s="10">
        <v>0.0</v>
      </c>
      <c r="G143" s="10">
        <v>0.0</v>
      </c>
      <c r="H143" s="10">
        <v>0.0</v>
      </c>
      <c r="I143" s="10">
        <v>0.0</v>
      </c>
      <c r="J143" s="10">
        <v>0.0</v>
      </c>
      <c r="K143" s="10">
        <v>0.0</v>
      </c>
      <c r="L143" s="10">
        <v>0.0</v>
      </c>
      <c r="M143" s="10">
        <v>0.0</v>
      </c>
      <c r="N143" s="10">
        <v>0.0</v>
      </c>
      <c r="O143" s="10">
        <v>1.0</v>
      </c>
    </row>
    <row r="144">
      <c r="A144" s="6">
        <v>5.0</v>
      </c>
      <c r="B144" s="6" t="s">
        <v>20</v>
      </c>
      <c r="C144" s="7">
        <v>16855.0</v>
      </c>
      <c r="D144" s="7">
        <v>16572.0</v>
      </c>
      <c r="E144" s="7">
        <v>14066.0</v>
      </c>
      <c r="F144" s="7">
        <v>975.0</v>
      </c>
      <c r="G144" s="7">
        <v>1310.0</v>
      </c>
      <c r="H144" s="7">
        <v>6490.0</v>
      </c>
      <c r="I144" s="7">
        <v>7799.0</v>
      </c>
      <c r="J144" s="7">
        <v>8557.0</v>
      </c>
      <c r="K144" s="7">
        <v>11349.0</v>
      </c>
      <c r="L144" s="7">
        <v>11460.0</v>
      </c>
      <c r="M144" s="7">
        <v>13385.0</v>
      </c>
      <c r="N144" s="7">
        <v>15854.0</v>
      </c>
      <c r="O144" s="7">
        <v>124672.0</v>
      </c>
    </row>
    <row r="145">
      <c r="A145" s="9">
        <v>6.0</v>
      </c>
      <c r="B145" s="9" t="s">
        <v>27</v>
      </c>
      <c r="C145" s="10">
        <v>0.0</v>
      </c>
      <c r="D145" s="10">
        <v>1.0</v>
      </c>
      <c r="E145" s="10">
        <v>0.0</v>
      </c>
      <c r="F145" s="10">
        <v>0.0</v>
      </c>
      <c r="G145" s="10">
        <v>0.0</v>
      </c>
      <c r="H145" s="10">
        <v>1.0</v>
      </c>
      <c r="I145" s="10">
        <v>0.0</v>
      </c>
      <c r="J145" s="10">
        <v>1.0</v>
      </c>
      <c r="K145" s="10">
        <v>0.0</v>
      </c>
      <c r="L145" s="10">
        <v>0.0</v>
      </c>
      <c r="M145" s="10">
        <v>0.0</v>
      </c>
      <c r="N145" s="10">
        <v>0.0</v>
      </c>
      <c r="O145" s="10">
        <v>3.0</v>
      </c>
    </row>
    <row r="146">
      <c r="A146" s="6">
        <v>7.0</v>
      </c>
      <c r="B146" s="6" t="s">
        <v>28</v>
      </c>
      <c r="C146" s="7">
        <v>3.0</v>
      </c>
      <c r="D146" s="7">
        <v>2.0</v>
      </c>
      <c r="E146" s="7">
        <v>1.0</v>
      </c>
      <c r="F146" s="7">
        <v>0.0</v>
      </c>
      <c r="G146" s="7">
        <v>0.0</v>
      </c>
      <c r="H146" s="7">
        <v>0.0</v>
      </c>
      <c r="I146" s="7">
        <v>0.0</v>
      </c>
      <c r="J146" s="7">
        <v>0.0</v>
      </c>
      <c r="K146" s="7">
        <v>0.0</v>
      </c>
      <c r="L146" s="7">
        <v>0.0</v>
      </c>
      <c r="M146" s="7">
        <v>0.0</v>
      </c>
      <c r="N146" s="7">
        <v>0.0</v>
      </c>
      <c r="O146" s="7">
        <v>6.0</v>
      </c>
    </row>
    <row r="147">
      <c r="A147" s="9">
        <v>8.0</v>
      </c>
      <c r="B147" s="9" t="s">
        <v>29</v>
      </c>
      <c r="C147" s="10">
        <v>176.0</v>
      </c>
      <c r="D147" s="10">
        <v>338.0</v>
      </c>
      <c r="E147" s="10">
        <v>1231.0</v>
      </c>
      <c r="F147" s="10">
        <v>76.0</v>
      </c>
      <c r="G147" s="10">
        <v>193.0</v>
      </c>
      <c r="H147" s="10">
        <v>785.0</v>
      </c>
      <c r="I147" s="10">
        <v>909.0</v>
      </c>
      <c r="J147" s="10">
        <v>895.0</v>
      </c>
      <c r="K147" s="10">
        <v>1332.0</v>
      </c>
      <c r="L147" s="10">
        <v>1313.0</v>
      </c>
      <c r="M147" s="10">
        <v>1341.0</v>
      </c>
      <c r="N147" s="10">
        <v>1321.0</v>
      </c>
      <c r="O147" s="10">
        <v>9910.0</v>
      </c>
    </row>
    <row r="148">
      <c r="A148" s="6">
        <v>9.0</v>
      </c>
      <c r="B148" s="6" t="s">
        <v>30</v>
      </c>
      <c r="C148" s="7">
        <v>0.0</v>
      </c>
      <c r="D148" s="7">
        <v>1.0</v>
      </c>
      <c r="E148" s="7">
        <v>0.0</v>
      </c>
      <c r="F148" s="7">
        <v>0.0</v>
      </c>
      <c r="G148" s="7">
        <v>0.0</v>
      </c>
      <c r="H148" s="7">
        <v>0.0</v>
      </c>
      <c r="I148" s="7">
        <v>1.0</v>
      </c>
      <c r="J148" s="7">
        <v>0.0</v>
      </c>
      <c r="K148" s="7">
        <v>0.0</v>
      </c>
      <c r="L148" s="7">
        <v>0.0</v>
      </c>
      <c r="M148" s="7">
        <v>0.0</v>
      </c>
      <c r="N148" s="7">
        <v>0.0</v>
      </c>
      <c r="O148" s="7">
        <v>2.0</v>
      </c>
    </row>
    <row r="149">
      <c r="A149" s="9">
        <v>10.0</v>
      </c>
      <c r="B149" s="9" t="s">
        <v>31</v>
      </c>
      <c r="C149" s="10">
        <v>8644.0</v>
      </c>
      <c r="D149" s="10">
        <v>8529.0</v>
      </c>
      <c r="E149" s="10">
        <v>8422.0</v>
      </c>
      <c r="F149" s="10">
        <v>553.0</v>
      </c>
      <c r="G149" s="10">
        <v>2005.0</v>
      </c>
      <c r="H149" s="10">
        <v>6773.0</v>
      </c>
      <c r="I149" s="10">
        <v>7157.0</v>
      </c>
      <c r="J149" s="10">
        <v>7089.0</v>
      </c>
      <c r="K149" s="10">
        <v>8747.0</v>
      </c>
      <c r="L149" s="10">
        <v>8935.0</v>
      </c>
      <c r="M149" s="10">
        <v>8444.0</v>
      </c>
      <c r="N149" s="10">
        <v>8758.0</v>
      </c>
      <c r="O149" s="10">
        <v>84056.0</v>
      </c>
    </row>
    <row r="150">
      <c r="A150" s="6">
        <v>11.0</v>
      </c>
      <c r="B150" s="6" t="s">
        <v>33</v>
      </c>
      <c r="C150" s="7">
        <v>1639170.0</v>
      </c>
      <c r="D150" s="7">
        <v>1621327.0</v>
      </c>
      <c r="E150" s="7">
        <v>2213633.0</v>
      </c>
      <c r="F150" s="7">
        <v>429417.0</v>
      </c>
      <c r="G150" s="7">
        <v>217901.0</v>
      </c>
      <c r="H150" s="7">
        <v>1013284.0</v>
      </c>
      <c r="I150" s="7">
        <v>1142338.0</v>
      </c>
      <c r="J150" s="7">
        <v>1207580.0</v>
      </c>
      <c r="K150" s="7">
        <v>1337599.0</v>
      </c>
      <c r="L150" s="7">
        <v>1432278.0</v>
      </c>
      <c r="M150" s="7">
        <v>1875878.0</v>
      </c>
      <c r="N150" s="7">
        <v>1850183.0</v>
      </c>
      <c r="O150" s="7">
        <v>1.5980588E7</v>
      </c>
    </row>
    <row r="151">
      <c r="A151" s="9">
        <v>12.0</v>
      </c>
      <c r="B151" s="9" t="s">
        <v>40</v>
      </c>
      <c r="C151" s="10">
        <v>42629.0</v>
      </c>
      <c r="D151" s="10">
        <v>33362.0</v>
      </c>
      <c r="E151" s="10">
        <v>25894.0</v>
      </c>
      <c r="F151" s="10">
        <v>3427.0</v>
      </c>
      <c r="G151" s="10">
        <v>1467.0</v>
      </c>
      <c r="H151" s="10">
        <v>8704.0</v>
      </c>
      <c r="I151" s="10">
        <v>12927.0</v>
      </c>
      <c r="J151" s="10">
        <v>16567.0</v>
      </c>
      <c r="K151" s="10">
        <v>16861.0</v>
      </c>
      <c r="L151" s="10">
        <v>23301.0</v>
      </c>
      <c r="M151" s="10">
        <v>25507.0</v>
      </c>
      <c r="N151" s="10">
        <v>24679.0</v>
      </c>
      <c r="O151" s="10">
        <v>235325.0</v>
      </c>
    </row>
    <row r="152">
      <c r="A152" s="6">
        <v>13.0</v>
      </c>
      <c r="B152" s="6" t="s">
        <v>47</v>
      </c>
      <c r="C152" s="7">
        <v>0.0</v>
      </c>
      <c r="D152" s="7">
        <v>1.0</v>
      </c>
      <c r="E152" s="7">
        <v>1.0</v>
      </c>
      <c r="F152" s="7">
        <v>0.0</v>
      </c>
      <c r="G152" s="7">
        <v>0.0</v>
      </c>
      <c r="H152" s="7">
        <v>0.0</v>
      </c>
      <c r="I152" s="7">
        <v>1.0</v>
      </c>
      <c r="J152" s="7">
        <v>0.0</v>
      </c>
      <c r="K152" s="7">
        <v>0.0</v>
      </c>
      <c r="L152" s="7">
        <v>0.0</v>
      </c>
      <c r="M152" s="7">
        <v>0.0</v>
      </c>
      <c r="N152" s="7">
        <v>1.0</v>
      </c>
      <c r="O152" s="7">
        <v>4.0</v>
      </c>
    </row>
    <row r="153">
      <c r="A153" s="9">
        <v>14.0</v>
      </c>
      <c r="B153" s="9" t="s">
        <v>50</v>
      </c>
      <c r="C153" s="10">
        <v>5900.0</v>
      </c>
      <c r="D153" s="10">
        <v>5208.0</v>
      </c>
      <c r="E153" s="10">
        <v>7617.0</v>
      </c>
      <c r="F153" s="10">
        <v>437.0</v>
      </c>
      <c r="G153" s="10">
        <v>1671.0</v>
      </c>
      <c r="H153" s="10">
        <v>6411.0</v>
      </c>
      <c r="I153" s="10">
        <v>6459.0</v>
      </c>
      <c r="J153" s="10">
        <v>8164.0</v>
      </c>
      <c r="K153" s="10">
        <v>9286.0</v>
      </c>
      <c r="L153" s="10">
        <v>10600.0</v>
      </c>
      <c r="M153" s="10">
        <v>12388.0</v>
      </c>
      <c r="N153" s="10">
        <v>12180.0</v>
      </c>
      <c r="O153" s="10">
        <v>86321.0</v>
      </c>
    </row>
    <row r="154">
      <c r="A154" s="6">
        <v>15.0</v>
      </c>
      <c r="B154" s="6" t="s">
        <v>55</v>
      </c>
      <c r="C154" s="7">
        <v>9721.0</v>
      </c>
      <c r="D154" s="7">
        <v>9644.0</v>
      </c>
      <c r="E154" s="7">
        <v>8914.0</v>
      </c>
      <c r="F154" s="7">
        <v>796.0</v>
      </c>
      <c r="G154" s="7">
        <v>240.0</v>
      </c>
      <c r="H154" s="7">
        <v>723.0</v>
      </c>
      <c r="I154" s="7">
        <v>1157.0</v>
      </c>
      <c r="J154" s="7">
        <v>1105.0</v>
      </c>
      <c r="K154" s="7">
        <v>2298.0</v>
      </c>
      <c r="L154" s="7">
        <v>1701.0</v>
      </c>
      <c r="M154" s="7">
        <v>1779.0</v>
      </c>
      <c r="N154" s="7">
        <v>1922.0</v>
      </c>
      <c r="O154" s="7">
        <v>40000.0</v>
      </c>
    </row>
    <row r="155">
      <c r="B155" s="1" t="s">
        <v>100</v>
      </c>
      <c r="C155" s="22">
        <f t="shared" ref="C155:O155" si="9">SUM(C142,C144,C153)</f>
        <v>24149</v>
      </c>
      <c r="D155" s="22">
        <f t="shared" si="9"/>
        <v>22523</v>
      </c>
      <c r="E155" s="22">
        <f t="shared" si="9"/>
        <v>22272</v>
      </c>
      <c r="F155" s="22">
        <f t="shared" si="9"/>
        <v>1525</v>
      </c>
      <c r="G155" s="22">
        <f t="shared" si="9"/>
        <v>2981</v>
      </c>
      <c r="H155" s="22">
        <f t="shared" si="9"/>
        <v>12904</v>
      </c>
      <c r="I155" s="22">
        <f t="shared" si="9"/>
        <v>14259</v>
      </c>
      <c r="J155" s="22">
        <f t="shared" si="9"/>
        <v>16724</v>
      </c>
      <c r="K155" s="22">
        <f t="shared" si="9"/>
        <v>20677</v>
      </c>
      <c r="L155" s="22">
        <f t="shared" si="9"/>
        <v>22074</v>
      </c>
      <c r="M155" s="22">
        <f t="shared" si="9"/>
        <v>25779</v>
      </c>
      <c r="N155" s="22">
        <f t="shared" si="9"/>
        <v>28043</v>
      </c>
      <c r="O155" s="22">
        <f t="shared" si="9"/>
        <v>213910</v>
      </c>
    </row>
    <row r="156">
      <c r="B156" s="1" t="s">
        <v>108</v>
      </c>
      <c r="C156" s="22">
        <f t="shared" ref="C156:O156" si="10">SUM(C140:C154) - C155 - C149</f>
        <v>1969876</v>
      </c>
      <c r="D156" s="22">
        <f t="shared" si="10"/>
        <v>1930177</v>
      </c>
      <c r="E156" s="22">
        <f t="shared" si="10"/>
        <v>2562756</v>
      </c>
      <c r="F156" s="22">
        <f t="shared" si="10"/>
        <v>482974</v>
      </c>
      <c r="G156" s="22">
        <f t="shared" si="10"/>
        <v>238569</v>
      </c>
      <c r="H156" s="22">
        <f t="shared" si="10"/>
        <v>1120206</v>
      </c>
      <c r="I156" s="22">
        <f t="shared" si="10"/>
        <v>1308887</v>
      </c>
      <c r="J156" s="22">
        <f t="shared" si="10"/>
        <v>1377830</v>
      </c>
      <c r="K156" s="22">
        <f t="shared" si="10"/>
        <v>1535506</v>
      </c>
      <c r="L156" s="22">
        <f t="shared" si="10"/>
        <v>1633304</v>
      </c>
      <c r="M156" s="22">
        <f t="shared" si="10"/>
        <v>2090045</v>
      </c>
      <c r="N156" s="22">
        <f t="shared" si="10"/>
        <v>2084252</v>
      </c>
      <c r="O156" s="22">
        <f t="shared" si="10"/>
        <v>18334382</v>
      </c>
    </row>
    <row r="157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>
      <c r="A158" s="1" t="s">
        <v>110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>
      <c r="A159" s="2" t="s">
        <v>1</v>
      </c>
      <c r="B159" s="2" t="s">
        <v>2</v>
      </c>
      <c r="C159" s="24"/>
      <c r="N159" s="4"/>
      <c r="O159" s="25" t="s">
        <v>3</v>
      </c>
    </row>
    <row r="160">
      <c r="A160" s="5"/>
      <c r="B160" s="5"/>
      <c r="C160" s="25" t="s">
        <v>88</v>
      </c>
      <c r="D160" s="25" t="s">
        <v>89</v>
      </c>
      <c r="E160" s="25" t="s">
        <v>90</v>
      </c>
      <c r="F160" s="25" t="s">
        <v>91</v>
      </c>
      <c r="G160" s="25" t="s">
        <v>92</v>
      </c>
      <c r="H160" s="25" t="s">
        <v>93</v>
      </c>
      <c r="I160" s="25" t="s">
        <v>94</v>
      </c>
      <c r="J160" s="25" t="s">
        <v>95</v>
      </c>
      <c r="K160" s="25" t="s">
        <v>96</v>
      </c>
      <c r="L160" s="25" t="s">
        <v>97</v>
      </c>
      <c r="M160" s="25" t="s">
        <v>103</v>
      </c>
      <c r="N160" s="25" t="s">
        <v>104</v>
      </c>
      <c r="O160" s="5"/>
    </row>
    <row r="161">
      <c r="A161" s="6">
        <v>1.0</v>
      </c>
      <c r="B161" s="6" t="s">
        <v>4</v>
      </c>
      <c r="C161" s="7">
        <v>3185.0</v>
      </c>
      <c r="D161" s="7">
        <v>2783.0</v>
      </c>
      <c r="E161" s="7">
        <v>3015.0</v>
      </c>
      <c r="F161" s="7">
        <v>3097.0</v>
      </c>
      <c r="G161" s="7">
        <v>2793.0</v>
      </c>
      <c r="H161" s="7">
        <v>2431.0</v>
      </c>
      <c r="I161" s="7">
        <v>2891.0</v>
      </c>
      <c r="J161" s="7">
        <v>2688.0</v>
      </c>
      <c r="K161" s="7">
        <v>2497.0</v>
      </c>
      <c r="L161" s="7">
        <v>2813.0</v>
      </c>
      <c r="M161" s="7">
        <v>2975.0</v>
      </c>
      <c r="N161" s="7">
        <v>2303.0</v>
      </c>
      <c r="O161" s="7">
        <v>33471.0</v>
      </c>
    </row>
    <row r="162">
      <c r="A162" s="9">
        <v>2.0</v>
      </c>
      <c r="B162" s="9" t="s">
        <v>9</v>
      </c>
      <c r="C162" s="10">
        <v>286564.0</v>
      </c>
      <c r="D162" s="10">
        <v>258437.0</v>
      </c>
      <c r="E162" s="10">
        <v>277755.0</v>
      </c>
      <c r="F162" s="10">
        <v>239962.0</v>
      </c>
      <c r="G162" s="10">
        <v>240599.0</v>
      </c>
      <c r="H162" s="10">
        <v>223076.0</v>
      </c>
      <c r="I162" s="10">
        <v>250987.0</v>
      </c>
      <c r="J162" s="10">
        <v>225916.0</v>
      </c>
      <c r="K162" s="10">
        <v>198253.0</v>
      </c>
      <c r="L162" s="10">
        <v>233831.0</v>
      </c>
      <c r="M162" s="10">
        <v>260969.0</v>
      </c>
      <c r="N162" s="10">
        <v>228961.0</v>
      </c>
      <c r="O162" s="10">
        <v>2925310.0</v>
      </c>
    </row>
    <row r="163">
      <c r="A163" s="6">
        <v>3.0</v>
      </c>
      <c r="B163" s="6" t="s">
        <v>16</v>
      </c>
      <c r="C163" s="7">
        <v>7912.0</v>
      </c>
      <c r="D163" s="7">
        <v>6193.0</v>
      </c>
      <c r="E163" s="7">
        <v>6189.0</v>
      </c>
      <c r="F163" s="7">
        <v>4809.0</v>
      </c>
      <c r="G163" s="7">
        <v>3790.0</v>
      </c>
      <c r="H163" s="7">
        <v>2156.0</v>
      </c>
      <c r="I163" s="7">
        <v>1712.0</v>
      </c>
      <c r="J163" s="7">
        <v>1273.0</v>
      </c>
      <c r="K163" s="7">
        <v>1072.0</v>
      </c>
      <c r="L163" s="7">
        <v>1486.0</v>
      </c>
      <c r="M163" s="7">
        <v>1536.0</v>
      </c>
      <c r="N163" s="7">
        <v>974.0</v>
      </c>
      <c r="O163" s="7">
        <v>39102.0</v>
      </c>
    </row>
    <row r="164">
      <c r="A164" s="9">
        <v>4.0</v>
      </c>
      <c r="B164" s="9" t="s">
        <v>18</v>
      </c>
      <c r="C164" s="10">
        <v>0.0</v>
      </c>
      <c r="D164" s="10">
        <v>1.0</v>
      </c>
      <c r="E164" s="10">
        <v>3.0</v>
      </c>
      <c r="F164" s="10">
        <v>1.0</v>
      </c>
      <c r="G164" s="10">
        <v>0.0</v>
      </c>
      <c r="H164" s="10">
        <v>1.0</v>
      </c>
      <c r="I164" s="10">
        <v>0.0</v>
      </c>
      <c r="J164" s="10">
        <v>0.0</v>
      </c>
      <c r="K164" s="10">
        <v>2.0</v>
      </c>
      <c r="L164" s="10">
        <v>0.0</v>
      </c>
      <c r="M164" s="10">
        <v>0.0</v>
      </c>
      <c r="N164" s="10">
        <v>0.0</v>
      </c>
      <c r="O164" s="10">
        <v>8.0</v>
      </c>
    </row>
    <row r="165">
      <c r="A165" s="6">
        <v>5.0</v>
      </c>
      <c r="B165" s="6" t="s">
        <v>20</v>
      </c>
      <c r="C165" s="7">
        <v>13376.0</v>
      </c>
      <c r="D165" s="7">
        <v>12231.0</v>
      </c>
      <c r="E165" s="7">
        <v>15158.0</v>
      </c>
      <c r="F165" s="7">
        <v>11212.0</v>
      </c>
      <c r="G165" s="7">
        <v>10095.0</v>
      </c>
      <c r="H165" s="7">
        <v>11161.0</v>
      </c>
      <c r="I165" s="7">
        <v>12481.0</v>
      </c>
      <c r="J165" s="7">
        <v>13261.0</v>
      </c>
      <c r="K165" s="7">
        <v>16144.0</v>
      </c>
      <c r="L165" s="7">
        <v>15719.0</v>
      </c>
      <c r="M165" s="7">
        <v>19008.0</v>
      </c>
      <c r="N165" s="7">
        <v>17033.0</v>
      </c>
      <c r="O165" s="7">
        <v>166879.0</v>
      </c>
    </row>
    <row r="166">
      <c r="A166" s="9">
        <v>6.0</v>
      </c>
      <c r="B166" s="9" t="s">
        <v>27</v>
      </c>
      <c r="C166" s="10">
        <v>0.0</v>
      </c>
      <c r="D166" s="10">
        <v>0.0</v>
      </c>
      <c r="E166" s="10">
        <v>0.0</v>
      </c>
      <c r="F166" s="10">
        <v>1.0</v>
      </c>
      <c r="G166" s="10">
        <v>2.0</v>
      </c>
      <c r="H166" s="10">
        <v>2.0</v>
      </c>
      <c r="I166" s="10">
        <v>1.0</v>
      </c>
      <c r="J166" s="10">
        <v>0.0</v>
      </c>
      <c r="K166" s="10">
        <v>2.0</v>
      </c>
      <c r="L166" s="10">
        <v>0.0</v>
      </c>
      <c r="M166" s="10">
        <v>0.0</v>
      </c>
      <c r="N166" s="10">
        <v>1.0</v>
      </c>
      <c r="O166" s="10">
        <v>9.0</v>
      </c>
    </row>
    <row r="167">
      <c r="A167" s="6">
        <v>7.0</v>
      </c>
      <c r="B167" s="6" t="s">
        <v>28</v>
      </c>
      <c r="C167" s="7">
        <v>0.0</v>
      </c>
      <c r="D167" s="7">
        <v>0.0</v>
      </c>
      <c r="E167" s="7">
        <v>0.0</v>
      </c>
      <c r="F167" s="7">
        <v>0.0</v>
      </c>
      <c r="G167" s="7">
        <v>0.0</v>
      </c>
      <c r="H167" s="7">
        <v>0.0</v>
      </c>
      <c r="I167" s="7">
        <v>1.0</v>
      </c>
      <c r="J167" s="7">
        <v>0.0</v>
      </c>
      <c r="K167" s="7">
        <v>3.0</v>
      </c>
      <c r="L167" s="7">
        <v>2.0</v>
      </c>
      <c r="M167" s="7">
        <v>4.0</v>
      </c>
      <c r="N167" s="7">
        <v>1.0</v>
      </c>
      <c r="O167" s="7">
        <v>11.0</v>
      </c>
    </row>
    <row r="168">
      <c r="A168" s="9">
        <v>8.0</v>
      </c>
      <c r="B168" s="9" t="s">
        <v>29</v>
      </c>
      <c r="C168" s="10">
        <v>345.0</v>
      </c>
      <c r="D168" s="10">
        <v>575.0</v>
      </c>
      <c r="E168" s="10">
        <v>578.0</v>
      </c>
      <c r="F168" s="10">
        <v>647.0</v>
      </c>
      <c r="G168" s="10">
        <v>241.0</v>
      </c>
      <c r="H168" s="10">
        <v>216.0</v>
      </c>
      <c r="I168" s="10">
        <v>234.0</v>
      </c>
      <c r="J168" s="10">
        <v>218.0</v>
      </c>
      <c r="K168" s="10">
        <v>213.0</v>
      </c>
      <c r="L168" s="10">
        <v>53.0</v>
      </c>
      <c r="M168" s="10">
        <v>264.0</v>
      </c>
      <c r="N168" s="10">
        <v>282.0</v>
      </c>
      <c r="O168" s="10">
        <v>3866.0</v>
      </c>
    </row>
    <row r="169">
      <c r="A169" s="6">
        <v>9.0</v>
      </c>
      <c r="B169" s="6" t="s">
        <v>30</v>
      </c>
      <c r="C169" s="7">
        <v>0.0</v>
      </c>
      <c r="D169" s="7">
        <v>0.0</v>
      </c>
      <c r="E169" s="7">
        <v>0.0</v>
      </c>
      <c r="F169" s="7">
        <v>0.0</v>
      </c>
      <c r="G169" s="7">
        <v>0.0</v>
      </c>
      <c r="H169" s="7">
        <v>0.0</v>
      </c>
      <c r="I169" s="7">
        <v>0.0</v>
      </c>
      <c r="J169" s="7">
        <v>0.0</v>
      </c>
      <c r="K169" s="7">
        <v>0.0</v>
      </c>
      <c r="L169" s="7">
        <v>0.0</v>
      </c>
      <c r="M169" s="7">
        <v>1.0</v>
      </c>
      <c r="N169" s="7">
        <v>1.0</v>
      </c>
      <c r="O169" s="7">
        <v>2.0</v>
      </c>
    </row>
    <row r="170">
      <c r="A170" s="9">
        <v>10.0</v>
      </c>
      <c r="B170" s="9" t="s">
        <v>31</v>
      </c>
      <c r="C170" s="10">
        <v>9257.0</v>
      </c>
      <c r="D170" s="10">
        <v>9820.0</v>
      </c>
      <c r="E170" s="10">
        <v>9541.0</v>
      </c>
      <c r="F170" s="10">
        <v>6687.0</v>
      </c>
      <c r="G170" s="10">
        <v>6939.0</v>
      </c>
      <c r="H170" s="10">
        <v>5636.0</v>
      </c>
      <c r="I170" s="10">
        <v>6509.0</v>
      </c>
      <c r="J170" s="10">
        <v>6091.0</v>
      </c>
      <c r="K170" s="10">
        <v>5642.0</v>
      </c>
      <c r="L170" s="10">
        <v>6928.0</v>
      </c>
      <c r="M170" s="10">
        <v>7826.0</v>
      </c>
      <c r="N170" s="10">
        <v>8394.0</v>
      </c>
      <c r="O170" s="10">
        <v>89270.0</v>
      </c>
    </row>
    <row r="171">
      <c r="A171" s="6">
        <v>11.0</v>
      </c>
      <c r="B171" s="6" t="s">
        <v>33</v>
      </c>
      <c r="C171" s="7">
        <v>1752953.0</v>
      </c>
      <c r="D171" s="7">
        <v>1561083.0</v>
      </c>
      <c r="E171" s="7">
        <v>1728099.0</v>
      </c>
      <c r="F171" s="7">
        <v>1659265.0</v>
      </c>
      <c r="G171" s="7">
        <v>1763593.0</v>
      </c>
      <c r="H171" s="7">
        <v>1635558.0</v>
      </c>
      <c r="I171" s="7">
        <v>1713755.0</v>
      </c>
      <c r="J171" s="7">
        <v>1516789.0</v>
      </c>
      <c r="K171" s="7">
        <v>1387666.0</v>
      </c>
      <c r="L171" s="7">
        <v>1805573.0</v>
      </c>
      <c r="M171" s="7">
        <v>2179921.0</v>
      </c>
      <c r="N171" s="7">
        <v>1590242.0</v>
      </c>
      <c r="O171" s="7">
        <v>2.0294497E7</v>
      </c>
    </row>
    <row r="172">
      <c r="A172" s="9">
        <v>12.0</v>
      </c>
      <c r="B172" s="9" t="s">
        <v>40</v>
      </c>
      <c r="C172" s="10">
        <v>39521.0</v>
      </c>
      <c r="D172" s="10">
        <v>34632.0</v>
      </c>
      <c r="E172" s="10">
        <v>33345.0</v>
      </c>
      <c r="F172" s="10">
        <v>34910.0</v>
      </c>
      <c r="G172" s="10">
        <v>35555.0</v>
      </c>
      <c r="H172" s="10">
        <v>30154.0</v>
      </c>
      <c r="I172" s="10">
        <v>34629.0</v>
      </c>
      <c r="J172" s="10">
        <v>32295.0</v>
      </c>
      <c r="K172" s="10">
        <v>28200.0</v>
      </c>
      <c r="L172" s="10">
        <v>41870.0</v>
      </c>
      <c r="M172" s="10">
        <v>40885.0</v>
      </c>
      <c r="N172" s="10">
        <v>31870.0</v>
      </c>
      <c r="O172" s="10">
        <v>417866.0</v>
      </c>
    </row>
    <row r="173">
      <c r="A173" s="6">
        <v>13.0</v>
      </c>
      <c r="B173" s="6" t="s">
        <v>47</v>
      </c>
      <c r="C173" s="7">
        <v>0.0</v>
      </c>
      <c r="D173" s="7">
        <v>0.0</v>
      </c>
      <c r="E173" s="7">
        <v>0.0</v>
      </c>
      <c r="F173" s="7">
        <v>0.0</v>
      </c>
      <c r="G173" s="7">
        <v>1.0</v>
      </c>
      <c r="H173" s="7">
        <v>0.0</v>
      </c>
      <c r="I173" s="7">
        <v>1.0</v>
      </c>
      <c r="J173" s="7">
        <v>0.0</v>
      </c>
      <c r="K173" s="7">
        <v>0.0</v>
      </c>
      <c r="L173" s="7">
        <v>0.0</v>
      </c>
      <c r="M173" s="7">
        <v>0.0</v>
      </c>
      <c r="N173" s="7">
        <v>0.0</v>
      </c>
      <c r="O173" s="7">
        <v>2.0</v>
      </c>
    </row>
    <row r="174">
      <c r="A174" s="9">
        <v>14.0</v>
      </c>
      <c r="B174" s="9" t="s">
        <v>50</v>
      </c>
      <c r="C174" s="10">
        <v>6686.0</v>
      </c>
      <c r="D174" s="10">
        <v>5517.0</v>
      </c>
      <c r="E174" s="10">
        <v>6175.0</v>
      </c>
      <c r="F174" s="10">
        <v>6552.0</v>
      </c>
      <c r="G174" s="10">
        <v>6695.0</v>
      </c>
      <c r="H174" s="10">
        <v>6124.0</v>
      </c>
      <c r="I174" s="10">
        <v>5777.0</v>
      </c>
      <c r="J174" s="10">
        <v>5677.0</v>
      </c>
      <c r="K174" s="10">
        <v>5800.0</v>
      </c>
      <c r="L174" s="10">
        <v>8669.0</v>
      </c>
      <c r="M174" s="10">
        <v>7170.0</v>
      </c>
      <c r="N174" s="10">
        <v>5410.0</v>
      </c>
      <c r="O174" s="10">
        <v>76252.0</v>
      </c>
    </row>
    <row r="175">
      <c r="A175" s="6">
        <v>15.0</v>
      </c>
      <c r="B175" s="6" t="s">
        <v>55</v>
      </c>
      <c r="C175" s="7">
        <v>9805.0</v>
      </c>
      <c r="D175" s="7">
        <v>9749.0</v>
      </c>
      <c r="E175" s="7">
        <v>10247.0</v>
      </c>
      <c r="F175" s="7">
        <v>8859.0</v>
      </c>
      <c r="G175" s="7">
        <v>9256.0</v>
      </c>
      <c r="H175" s="7">
        <v>8016.0</v>
      </c>
      <c r="I175" s="7">
        <v>9787.0</v>
      </c>
      <c r="J175" s="7">
        <v>8584.0</v>
      </c>
      <c r="K175" s="7">
        <v>8333.0</v>
      </c>
      <c r="L175" s="7">
        <v>8799.0</v>
      </c>
      <c r="M175" s="7">
        <v>10093.0</v>
      </c>
      <c r="N175" s="7">
        <v>7541.0</v>
      </c>
      <c r="O175" s="7">
        <v>109069.0</v>
      </c>
    </row>
    <row r="176">
      <c r="A176" s="9">
        <v>16.0</v>
      </c>
      <c r="B176" s="9" t="s">
        <v>58</v>
      </c>
      <c r="C176" s="10">
        <v>0.0</v>
      </c>
      <c r="D176" s="10">
        <v>0.0</v>
      </c>
      <c r="E176" s="10">
        <v>0.0</v>
      </c>
      <c r="F176" s="10">
        <v>0.0</v>
      </c>
      <c r="G176" s="10">
        <v>0.0</v>
      </c>
      <c r="H176" s="10">
        <v>0.0</v>
      </c>
      <c r="I176" s="10">
        <v>0.0</v>
      </c>
      <c r="J176" s="10">
        <v>0.0</v>
      </c>
      <c r="K176" s="10">
        <v>1.0</v>
      </c>
      <c r="L176" s="10">
        <v>0.0</v>
      </c>
      <c r="M176" s="10">
        <v>0.0</v>
      </c>
      <c r="N176" s="10">
        <v>0.0</v>
      </c>
      <c r="O176" s="10">
        <v>1.0</v>
      </c>
    </row>
    <row r="177">
      <c r="B177" s="1" t="s">
        <v>100</v>
      </c>
      <c r="C177" s="22">
        <f t="shared" ref="C177:O177" si="11">SUM(C163,C165,C174)</f>
        <v>27974</v>
      </c>
      <c r="D177" s="22">
        <f t="shared" si="11"/>
        <v>23941</v>
      </c>
      <c r="E177" s="22">
        <f t="shared" si="11"/>
        <v>27522</v>
      </c>
      <c r="F177" s="22">
        <f t="shared" si="11"/>
        <v>22573</v>
      </c>
      <c r="G177" s="22">
        <f t="shared" si="11"/>
        <v>20580</v>
      </c>
      <c r="H177" s="22">
        <f t="shared" si="11"/>
        <v>19441</v>
      </c>
      <c r="I177" s="22">
        <f t="shared" si="11"/>
        <v>19970</v>
      </c>
      <c r="J177" s="22">
        <f t="shared" si="11"/>
        <v>20211</v>
      </c>
      <c r="K177" s="22">
        <f t="shared" si="11"/>
        <v>23016</v>
      </c>
      <c r="L177" s="22">
        <f t="shared" si="11"/>
        <v>25874</v>
      </c>
      <c r="M177" s="22">
        <f t="shared" si="11"/>
        <v>27714</v>
      </c>
      <c r="N177" s="22">
        <f t="shared" si="11"/>
        <v>23417</v>
      </c>
      <c r="O177" s="22">
        <f t="shared" si="11"/>
        <v>282233</v>
      </c>
    </row>
    <row r="178">
      <c r="B178" s="1" t="s">
        <v>108</v>
      </c>
      <c r="C178" s="22">
        <f t="shared" ref="C178:O178" si="12">SUM(C161:C176)-C177-C170</f>
        <v>2092373</v>
      </c>
      <c r="D178" s="22">
        <f t="shared" si="12"/>
        <v>1867260</v>
      </c>
      <c r="E178" s="22">
        <f t="shared" si="12"/>
        <v>2053042</v>
      </c>
      <c r="F178" s="22">
        <f t="shared" si="12"/>
        <v>1946742</v>
      </c>
      <c r="G178" s="22">
        <f t="shared" si="12"/>
        <v>2052040</v>
      </c>
      <c r="H178" s="22">
        <f t="shared" si="12"/>
        <v>1899454</v>
      </c>
      <c r="I178" s="22">
        <f t="shared" si="12"/>
        <v>2012286</v>
      </c>
      <c r="J178" s="22">
        <f t="shared" si="12"/>
        <v>1786490</v>
      </c>
      <c r="K178" s="22">
        <f t="shared" si="12"/>
        <v>1625170</v>
      </c>
      <c r="L178" s="22">
        <f t="shared" si="12"/>
        <v>2092941</v>
      </c>
      <c r="M178" s="22">
        <f t="shared" si="12"/>
        <v>2495112</v>
      </c>
      <c r="N178" s="22">
        <f t="shared" si="12"/>
        <v>1861202</v>
      </c>
      <c r="O178" s="22">
        <f t="shared" si="12"/>
        <v>23784112</v>
      </c>
    </row>
    <row r="179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>
      <c r="A180" s="1" t="s">
        <v>111</v>
      </c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>
      <c r="A181" s="2" t="s">
        <v>1</v>
      </c>
      <c r="B181" s="2" t="s">
        <v>2</v>
      </c>
      <c r="C181" s="24"/>
      <c r="N181" s="4"/>
      <c r="O181" s="25" t="s">
        <v>3</v>
      </c>
    </row>
    <row r="182">
      <c r="A182" s="5"/>
      <c r="B182" s="5"/>
      <c r="C182" s="25" t="s">
        <v>88</v>
      </c>
      <c r="D182" s="25" t="s">
        <v>89</v>
      </c>
      <c r="E182" s="25" t="s">
        <v>90</v>
      </c>
      <c r="F182" s="25" t="s">
        <v>91</v>
      </c>
      <c r="G182" s="25" t="s">
        <v>92</v>
      </c>
      <c r="H182" s="25" t="s">
        <v>93</v>
      </c>
      <c r="I182" s="25" t="s">
        <v>94</v>
      </c>
      <c r="J182" s="25" t="s">
        <v>95</v>
      </c>
      <c r="K182" s="25" t="s">
        <v>96</v>
      </c>
      <c r="L182" s="25" t="s">
        <v>97</v>
      </c>
      <c r="M182" s="25" t="s">
        <v>103</v>
      </c>
      <c r="N182" s="25" t="s">
        <v>104</v>
      </c>
      <c r="O182" s="5"/>
    </row>
    <row r="183">
      <c r="A183" s="6">
        <v>1.0</v>
      </c>
      <c r="B183" s="6" t="s">
        <v>4</v>
      </c>
      <c r="C183" s="7">
        <v>2827.0</v>
      </c>
      <c r="D183" s="7">
        <v>2543.0</v>
      </c>
      <c r="E183" s="7">
        <v>2630.0</v>
      </c>
      <c r="F183" s="7">
        <v>2852.0</v>
      </c>
      <c r="G183" s="7">
        <v>2617.0</v>
      </c>
      <c r="H183" s="7">
        <v>2321.0</v>
      </c>
      <c r="I183" s="7">
        <v>2289.0</v>
      </c>
      <c r="J183" s="7">
        <v>2336.0</v>
      </c>
      <c r="K183" s="7">
        <v>2564.0</v>
      </c>
      <c r="L183" s="7">
        <v>2993.0</v>
      </c>
      <c r="M183" s="7">
        <v>2704.0</v>
      </c>
      <c r="N183" s="7">
        <v>2776.0</v>
      </c>
      <c r="O183" s="7">
        <v>31452.0</v>
      </c>
    </row>
    <row r="184">
      <c r="A184" s="9">
        <v>2.0</v>
      </c>
      <c r="B184" s="9" t="s">
        <v>9</v>
      </c>
      <c r="C184" s="10">
        <v>282988.0</v>
      </c>
      <c r="D184" s="10">
        <v>259896.0</v>
      </c>
      <c r="E184" s="10">
        <v>298292.0</v>
      </c>
      <c r="F184" s="10">
        <v>272510.0</v>
      </c>
      <c r="G184" s="10">
        <v>268847.0</v>
      </c>
      <c r="H184" s="10">
        <v>253955.0</v>
      </c>
      <c r="I184" s="10">
        <v>274866.0</v>
      </c>
      <c r="J184" s="10">
        <v>249197.0</v>
      </c>
      <c r="K184" s="10">
        <v>236851.0</v>
      </c>
      <c r="L184" s="10">
        <v>264122.0</v>
      </c>
      <c r="M184" s="10">
        <v>260626.0</v>
      </c>
      <c r="N184" s="10">
        <v>260611.0</v>
      </c>
      <c r="O184" s="10">
        <v>3182761.0</v>
      </c>
    </row>
    <row r="185">
      <c r="A185" s="6">
        <v>3.0</v>
      </c>
      <c r="B185" s="6" t="s">
        <v>16</v>
      </c>
      <c r="C185" s="7">
        <v>5553.0</v>
      </c>
      <c r="D185" s="7">
        <v>4858.0</v>
      </c>
      <c r="E185" s="7">
        <v>5500.0</v>
      </c>
      <c r="F185" s="7">
        <v>5002.0</v>
      </c>
      <c r="G185" s="7">
        <v>5307.0</v>
      </c>
      <c r="H185" s="7">
        <v>4784.0</v>
      </c>
      <c r="I185" s="7">
        <v>4867.0</v>
      </c>
      <c r="J185" s="7">
        <v>4784.0</v>
      </c>
      <c r="K185" s="7">
        <v>4388.0</v>
      </c>
      <c r="L185" s="7">
        <v>4623.0</v>
      </c>
      <c r="M185" s="7">
        <v>4763.0</v>
      </c>
      <c r="N185" s="7">
        <v>5119.0</v>
      </c>
      <c r="O185" s="7">
        <v>59548.0</v>
      </c>
    </row>
    <row r="186">
      <c r="A186" s="9">
        <v>4.0</v>
      </c>
      <c r="B186" s="9" t="s">
        <v>18</v>
      </c>
      <c r="C186" s="10">
        <v>0.0</v>
      </c>
      <c r="D186" s="10">
        <v>1.0</v>
      </c>
      <c r="E186" s="10">
        <v>1.0</v>
      </c>
      <c r="F186" s="10">
        <v>0.0</v>
      </c>
      <c r="G186" s="10">
        <v>0.0</v>
      </c>
      <c r="H186" s="10">
        <v>0.0</v>
      </c>
      <c r="I186" s="10">
        <v>0.0</v>
      </c>
      <c r="J186" s="10">
        <v>0.0</v>
      </c>
      <c r="K186" s="10">
        <v>0.0</v>
      </c>
      <c r="L186" s="10">
        <v>1.0</v>
      </c>
      <c r="M186" s="10">
        <v>2.0</v>
      </c>
      <c r="N186" s="10">
        <v>0.0</v>
      </c>
      <c r="O186" s="10">
        <v>5.0</v>
      </c>
    </row>
    <row r="187">
      <c r="A187" s="6">
        <v>5.0</v>
      </c>
      <c r="B187" s="6" t="s">
        <v>20</v>
      </c>
      <c r="C187" s="7">
        <v>9003.0</v>
      </c>
      <c r="D187" s="7">
        <v>7373.0</v>
      </c>
      <c r="E187" s="7">
        <v>7695.0</v>
      </c>
      <c r="F187" s="7">
        <v>7332.0</v>
      </c>
      <c r="G187" s="7">
        <v>8265.0</v>
      </c>
      <c r="H187" s="7">
        <v>8825.0</v>
      </c>
      <c r="I187" s="7">
        <v>11397.0</v>
      </c>
      <c r="J187" s="7">
        <v>11791.0</v>
      </c>
      <c r="K187" s="7">
        <v>13588.0</v>
      </c>
      <c r="L187" s="7">
        <v>14990.0</v>
      </c>
      <c r="M187" s="7">
        <v>14112.0</v>
      </c>
      <c r="N187" s="7">
        <v>15877.0</v>
      </c>
      <c r="O187" s="7">
        <v>130248.0</v>
      </c>
    </row>
    <row r="188">
      <c r="A188" s="9">
        <v>6.0</v>
      </c>
      <c r="B188" s="9" t="s">
        <v>27</v>
      </c>
      <c r="C188" s="10">
        <v>6.0</v>
      </c>
      <c r="D188" s="10">
        <v>1.0</v>
      </c>
      <c r="E188" s="10">
        <v>0.0</v>
      </c>
      <c r="F188" s="10">
        <v>5.0</v>
      </c>
      <c r="G188" s="10">
        <v>0.0</v>
      </c>
      <c r="H188" s="10">
        <v>1.0</v>
      </c>
      <c r="I188" s="10">
        <v>1.0</v>
      </c>
      <c r="J188" s="10">
        <v>1.0</v>
      </c>
      <c r="K188" s="10">
        <v>0.0</v>
      </c>
      <c r="L188" s="10">
        <v>1.0</v>
      </c>
      <c r="M188" s="10">
        <v>0.0</v>
      </c>
      <c r="N188" s="10">
        <v>1.0</v>
      </c>
      <c r="O188" s="10">
        <v>17.0</v>
      </c>
    </row>
    <row r="189">
      <c r="A189" s="6">
        <v>7.0</v>
      </c>
      <c r="B189" s="6" t="s">
        <v>28</v>
      </c>
      <c r="C189" s="7">
        <v>0.0</v>
      </c>
      <c r="D189" s="7">
        <v>0.0</v>
      </c>
      <c r="E189" s="7">
        <v>0.0</v>
      </c>
      <c r="F189" s="7">
        <v>0.0</v>
      </c>
      <c r="G189" s="7">
        <v>0.0</v>
      </c>
      <c r="H189" s="7">
        <v>1.0</v>
      </c>
      <c r="I189" s="7">
        <v>0.0</v>
      </c>
      <c r="J189" s="7">
        <v>0.0</v>
      </c>
      <c r="K189" s="7">
        <v>0.0</v>
      </c>
      <c r="L189" s="7">
        <v>0.0</v>
      </c>
      <c r="M189" s="7">
        <v>0.0</v>
      </c>
      <c r="N189" s="7">
        <v>0.0</v>
      </c>
      <c r="O189" s="7">
        <v>1.0</v>
      </c>
    </row>
    <row r="190">
      <c r="A190" s="9">
        <v>8.0</v>
      </c>
      <c r="B190" s="9" t="s">
        <v>29</v>
      </c>
      <c r="C190" s="10">
        <v>227.0</v>
      </c>
      <c r="D190" s="10">
        <v>266.0</v>
      </c>
      <c r="E190" s="10">
        <v>331.0</v>
      </c>
      <c r="F190" s="10">
        <v>484.0</v>
      </c>
      <c r="G190" s="10">
        <v>379.0</v>
      </c>
      <c r="H190" s="10">
        <v>284.0</v>
      </c>
      <c r="I190" s="10">
        <v>224.0</v>
      </c>
      <c r="J190" s="10">
        <v>445.0</v>
      </c>
      <c r="K190" s="10">
        <v>393.0</v>
      </c>
      <c r="L190" s="10">
        <v>372.0</v>
      </c>
      <c r="M190" s="10">
        <v>267.0</v>
      </c>
      <c r="N190" s="10">
        <v>397.0</v>
      </c>
      <c r="O190" s="10">
        <v>4069.0</v>
      </c>
    </row>
    <row r="191">
      <c r="A191" s="6">
        <v>9.0</v>
      </c>
      <c r="B191" s="6" t="s">
        <v>31</v>
      </c>
      <c r="C191" s="7">
        <v>10341.0</v>
      </c>
      <c r="D191" s="7">
        <v>9467.0</v>
      </c>
      <c r="E191" s="7">
        <v>10411.0</v>
      </c>
      <c r="F191" s="7">
        <v>10906.0</v>
      </c>
      <c r="G191" s="7">
        <v>9913.0</v>
      </c>
      <c r="H191" s="7">
        <v>8903.0</v>
      </c>
      <c r="I191" s="7">
        <v>8572.0</v>
      </c>
      <c r="J191" s="7">
        <v>7660.0</v>
      </c>
      <c r="K191" s="7">
        <v>7394.0</v>
      </c>
      <c r="L191" s="7">
        <v>9425.0</v>
      </c>
      <c r="M191" s="7">
        <v>9614.0</v>
      </c>
      <c r="N191" s="7">
        <v>11647.0</v>
      </c>
      <c r="O191" s="7">
        <v>114253.0</v>
      </c>
    </row>
    <row r="192">
      <c r="A192" s="9">
        <v>10.0</v>
      </c>
      <c r="B192" s="9" t="s">
        <v>33</v>
      </c>
      <c r="C192" s="10">
        <v>1746671.0</v>
      </c>
      <c r="D192" s="10">
        <v>1573470.0</v>
      </c>
      <c r="E192" s="10">
        <v>1829911.0</v>
      </c>
      <c r="F192" s="10">
        <v>1787146.0</v>
      </c>
      <c r="G192" s="10">
        <v>1971916.0</v>
      </c>
      <c r="H192" s="10">
        <v>1776782.0</v>
      </c>
      <c r="I192" s="10">
        <v>1774253.0</v>
      </c>
      <c r="J192" s="10">
        <v>1638487.0</v>
      </c>
      <c r="K192" s="10">
        <v>1610375.0</v>
      </c>
      <c r="L192" s="10">
        <v>1674885.0</v>
      </c>
      <c r="M192" s="10">
        <v>2064033.0</v>
      </c>
      <c r="N192" s="10">
        <v>1853049.0</v>
      </c>
      <c r="O192" s="10">
        <v>2.1300978E7</v>
      </c>
    </row>
    <row r="193">
      <c r="A193" s="6">
        <v>11.0</v>
      </c>
      <c r="B193" s="6" t="s">
        <v>40</v>
      </c>
      <c r="C193" s="7">
        <v>44460.0</v>
      </c>
      <c r="D193" s="7">
        <v>40233.0</v>
      </c>
      <c r="E193" s="7">
        <v>40622.0</v>
      </c>
      <c r="F193" s="7">
        <v>40171.0</v>
      </c>
      <c r="G193" s="7">
        <v>39575.0</v>
      </c>
      <c r="H193" s="7">
        <v>36615.0</v>
      </c>
      <c r="I193" s="7">
        <v>37133.0</v>
      </c>
      <c r="J193" s="7">
        <v>36109.0</v>
      </c>
      <c r="K193" s="7">
        <v>34243.0</v>
      </c>
      <c r="L193" s="7">
        <v>37235.0</v>
      </c>
      <c r="M193" s="7">
        <v>38359.0</v>
      </c>
      <c r="N193" s="7">
        <v>35607.0</v>
      </c>
      <c r="O193" s="7">
        <v>460362.0</v>
      </c>
    </row>
    <row r="194">
      <c r="A194" s="9">
        <v>12.0</v>
      </c>
      <c r="B194" s="9" t="s">
        <v>47</v>
      </c>
      <c r="C194" s="10">
        <v>0.0</v>
      </c>
      <c r="D194" s="10">
        <v>0.0</v>
      </c>
      <c r="E194" s="10">
        <v>0.0</v>
      </c>
      <c r="F194" s="10">
        <v>0.0</v>
      </c>
      <c r="G194" s="10">
        <v>0.0</v>
      </c>
      <c r="H194" s="10">
        <v>0.0</v>
      </c>
      <c r="I194" s="10">
        <v>0.0</v>
      </c>
      <c r="J194" s="10">
        <v>1.0</v>
      </c>
      <c r="K194" s="10">
        <v>0.0</v>
      </c>
      <c r="L194" s="10">
        <v>0.0</v>
      </c>
      <c r="M194" s="10">
        <v>0.0</v>
      </c>
      <c r="N194" s="10">
        <v>0.0</v>
      </c>
      <c r="O194" s="10">
        <v>1.0</v>
      </c>
    </row>
    <row r="195">
      <c r="A195" s="6">
        <v>13.0</v>
      </c>
      <c r="B195" s="6" t="s">
        <v>50</v>
      </c>
      <c r="C195" s="7">
        <v>34.0</v>
      </c>
      <c r="D195" s="7">
        <v>39.0</v>
      </c>
      <c r="E195" s="7">
        <v>69.0</v>
      </c>
      <c r="F195" s="7">
        <v>81.0</v>
      </c>
      <c r="G195" s="7">
        <v>56.0</v>
      </c>
      <c r="H195" s="7">
        <v>87.0</v>
      </c>
      <c r="I195" s="7">
        <v>51.0</v>
      </c>
      <c r="J195" s="7">
        <v>244.0</v>
      </c>
      <c r="K195" s="7">
        <v>1663.0</v>
      </c>
      <c r="L195" s="7">
        <v>2399.0</v>
      </c>
      <c r="M195" s="7">
        <v>2755.0</v>
      </c>
      <c r="N195" s="7">
        <v>4283.0</v>
      </c>
      <c r="O195" s="7">
        <v>11761.0</v>
      </c>
    </row>
    <row r="196">
      <c r="A196" s="9">
        <v>14.0</v>
      </c>
      <c r="B196" s="9" t="s">
        <v>55</v>
      </c>
      <c r="C196" s="10">
        <v>8888.0</v>
      </c>
      <c r="D196" s="10">
        <v>9578.0</v>
      </c>
      <c r="E196" s="10">
        <v>10266.0</v>
      </c>
      <c r="F196" s="10">
        <v>9857.0</v>
      </c>
      <c r="G196" s="10">
        <v>10424.0</v>
      </c>
      <c r="H196" s="10">
        <v>10570.0</v>
      </c>
      <c r="I196" s="10">
        <v>11605.0</v>
      </c>
      <c r="J196" s="10">
        <v>10917.0</v>
      </c>
      <c r="K196" s="10">
        <v>11214.0</v>
      </c>
      <c r="L196" s="10">
        <v>11140.0</v>
      </c>
      <c r="M196" s="10">
        <v>10318.0</v>
      </c>
      <c r="N196" s="10">
        <v>9125.0</v>
      </c>
      <c r="O196" s="10">
        <v>123902.0</v>
      </c>
    </row>
    <row r="197">
      <c r="A197" s="6">
        <v>15.0</v>
      </c>
      <c r="B197" s="6" t="s">
        <v>58</v>
      </c>
      <c r="C197" s="7">
        <v>14.0</v>
      </c>
      <c r="D197" s="7">
        <v>6.0</v>
      </c>
      <c r="E197" s="7">
        <v>2.0</v>
      </c>
      <c r="F197" s="7">
        <v>6.0</v>
      </c>
      <c r="G197" s="7">
        <v>4.0</v>
      </c>
      <c r="H197" s="7">
        <v>3.0</v>
      </c>
      <c r="I197" s="7">
        <v>4.0</v>
      </c>
      <c r="J197" s="7">
        <v>6.0</v>
      </c>
      <c r="K197" s="7">
        <v>5.0</v>
      </c>
      <c r="L197" s="7">
        <v>2.0</v>
      </c>
      <c r="M197" s="7">
        <v>4.0</v>
      </c>
      <c r="N197" s="7">
        <v>8.0</v>
      </c>
      <c r="O197" s="7">
        <v>64.0</v>
      </c>
    </row>
    <row r="198">
      <c r="B198" s="1" t="s">
        <v>100</v>
      </c>
      <c r="C198" s="22">
        <f t="shared" ref="C198:O198" si="13">sum(C185,C187,C195)</f>
        <v>14590</v>
      </c>
      <c r="D198" s="22">
        <f t="shared" si="13"/>
        <v>12270</v>
      </c>
      <c r="E198" s="22">
        <f t="shared" si="13"/>
        <v>13264</v>
      </c>
      <c r="F198" s="22">
        <f t="shared" si="13"/>
        <v>12415</v>
      </c>
      <c r="G198" s="22">
        <f t="shared" si="13"/>
        <v>13628</v>
      </c>
      <c r="H198" s="22">
        <f t="shared" si="13"/>
        <v>13696</v>
      </c>
      <c r="I198" s="22">
        <f t="shared" si="13"/>
        <v>16315</v>
      </c>
      <c r="J198" s="22">
        <f t="shared" si="13"/>
        <v>16819</v>
      </c>
      <c r="K198" s="22">
        <f t="shared" si="13"/>
        <v>19639</v>
      </c>
      <c r="L198" s="22">
        <f t="shared" si="13"/>
        <v>22012</v>
      </c>
      <c r="M198" s="22">
        <f t="shared" si="13"/>
        <v>21630</v>
      </c>
      <c r="N198" s="22">
        <f t="shared" si="13"/>
        <v>25279</v>
      </c>
      <c r="O198" s="22">
        <f t="shared" si="13"/>
        <v>201557</v>
      </c>
    </row>
    <row r="199">
      <c r="B199" s="1" t="s">
        <v>108</v>
      </c>
      <c r="C199" s="22">
        <f t="shared" ref="C199:O199" si="14">SUM(C183:C197)-C198-C191</f>
        <v>2086081</v>
      </c>
      <c r="D199" s="22">
        <f t="shared" si="14"/>
        <v>1885994</v>
      </c>
      <c r="E199" s="22">
        <f t="shared" si="14"/>
        <v>2182055</v>
      </c>
      <c r="F199" s="22">
        <f t="shared" si="14"/>
        <v>2113031</v>
      </c>
      <c r="G199" s="22">
        <f t="shared" si="14"/>
        <v>2293762</v>
      </c>
      <c r="H199" s="22">
        <f t="shared" si="14"/>
        <v>2080532</v>
      </c>
      <c r="I199" s="22">
        <f t="shared" si="14"/>
        <v>2100375</v>
      </c>
      <c r="J199" s="22">
        <f t="shared" si="14"/>
        <v>1937499</v>
      </c>
      <c r="K199" s="22">
        <f t="shared" si="14"/>
        <v>1895645</v>
      </c>
      <c r="L199" s="22">
        <f t="shared" si="14"/>
        <v>1990751</v>
      </c>
      <c r="M199" s="22">
        <f t="shared" si="14"/>
        <v>2376313</v>
      </c>
      <c r="N199" s="22">
        <f t="shared" si="14"/>
        <v>2161574</v>
      </c>
      <c r="O199" s="22">
        <f t="shared" si="14"/>
        <v>25103612</v>
      </c>
    </row>
    <row r="200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>
      <c r="A201" s="1" t="s">
        <v>112</v>
      </c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</row>
    <row r="202">
      <c r="A202" s="2" t="s">
        <v>1</v>
      </c>
      <c r="B202" s="2" t="s">
        <v>2</v>
      </c>
      <c r="C202" s="24"/>
      <c r="N202" s="4"/>
      <c r="O202" s="25" t="s">
        <v>3</v>
      </c>
    </row>
    <row r="203">
      <c r="A203" s="5"/>
      <c r="B203" s="5"/>
      <c r="C203" s="25" t="s">
        <v>88</v>
      </c>
      <c r="D203" s="25" t="s">
        <v>89</v>
      </c>
      <c r="E203" s="25" t="s">
        <v>90</v>
      </c>
      <c r="F203" s="25" t="s">
        <v>91</v>
      </c>
      <c r="G203" s="25" t="s">
        <v>92</v>
      </c>
      <c r="H203" s="25" t="s">
        <v>93</v>
      </c>
      <c r="I203" s="25" t="s">
        <v>94</v>
      </c>
      <c r="J203" s="25" t="s">
        <v>95</v>
      </c>
      <c r="K203" s="25" t="s">
        <v>96</v>
      </c>
      <c r="L203" s="25" t="s">
        <v>97</v>
      </c>
      <c r="M203" s="25" t="s">
        <v>103</v>
      </c>
      <c r="N203" s="25" t="s">
        <v>104</v>
      </c>
      <c r="O203" s="5"/>
    </row>
    <row r="204">
      <c r="A204" s="6">
        <v>1.0</v>
      </c>
      <c r="B204" s="6" t="s">
        <v>4</v>
      </c>
      <c r="C204" s="7">
        <v>1841.0</v>
      </c>
      <c r="D204" s="7">
        <v>2099.0</v>
      </c>
      <c r="E204" s="7">
        <v>2707.0</v>
      </c>
      <c r="F204" s="7">
        <v>2000.0</v>
      </c>
      <c r="G204" s="7">
        <v>2080.0</v>
      </c>
      <c r="H204" s="7">
        <v>2513.0</v>
      </c>
      <c r="I204" s="7">
        <v>2271.0</v>
      </c>
      <c r="J204" s="7">
        <v>1731.0</v>
      </c>
      <c r="K204" s="7">
        <v>1929.0</v>
      </c>
      <c r="L204" s="7">
        <v>2515.0</v>
      </c>
      <c r="M204" s="7">
        <v>2490.0</v>
      </c>
      <c r="N204" s="7">
        <v>1986.0</v>
      </c>
      <c r="O204" s="7">
        <v>26162.0</v>
      </c>
    </row>
    <row r="205">
      <c r="A205" s="9">
        <v>2.0</v>
      </c>
      <c r="B205" s="9" t="s">
        <v>9</v>
      </c>
      <c r="C205" s="10">
        <v>219642.0</v>
      </c>
      <c r="D205" s="10">
        <v>217392.0</v>
      </c>
      <c r="E205" s="10">
        <v>317984.0</v>
      </c>
      <c r="F205" s="10">
        <v>226238.0</v>
      </c>
      <c r="G205" s="10">
        <v>213899.0</v>
      </c>
      <c r="H205" s="10">
        <v>229914.0</v>
      </c>
      <c r="I205" s="10">
        <v>235263.0</v>
      </c>
      <c r="J205" s="10">
        <v>222223.0</v>
      </c>
      <c r="K205" s="10">
        <v>232342.0</v>
      </c>
      <c r="L205" s="10">
        <v>237773.0</v>
      </c>
      <c r="M205" s="10">
        <v>275755.0</v>
      </c>
      <c r="N205" s="10">
        <v>237419.0</v>
      </c>
      <c r="O205" s="10">
        <v>2865844.0</v>
      </c>
    </row>
    <row r="206">
      <c r="A206" s="6">
        <v>3.0</v>
      </c>
      <c r="B206" s="6" t="s">
        <v>16</v>
      </c>
      <c r="C206" s="7">
        <v>2244.0</v>
      </c>
      <c r="D206" s="7">
        <v>2850.0</v>
      </c>
      <c r="E206" s="7">
        <v>4262.0</v>
      </c>
      <c r="F206" s="7">
        <v>3743.0</v>
      </c>
      <c r="G206" s="7">
        <v>4545.0</v>
      </c>
      <c r="H206" s="7">
        <v>5154.0</v>
      </c>
      <c r="I206" s="7">
        <v>4538.0</v>
      </c>
      <c r="J206" s="7">
        <v>3456.0</v>
      </c>
      <c r="K206" s="7">
        <v>3738.0</v>
      </c>
      <c r="L206" s="7">
        <v>4740.0</v>
      </c>
      <c r="M206" s="7">
        <v>5303.0</v>
      </c>
      <c r="N206" s="7">
        <v>3903.0</v>
      </c>
      <c r="O206" s="7">
        <v>48476.0</v>
      </c>
    </row>
    <row r="207">
      <c r="A207" s="9">
        <v>4.0</v>
      </c>
      <c r="B207" s="9" t="s">
        <v>18</v>
      </c>
      <c r="C207" s="10">
        <v>0.0</v>
      </c>
      <c r="D207" s="10">
        <v>0.0</v>
      </c>
      <c r="E207" s="10">
        <v>2.0</v>
      </c>
      <c r="F207" s="10">
        <v>1.0</v>
      </c>
      <c r="G207" s="10">
        <v>1.0</v>
      </c>
      <c r="H207" s="10">
        <v>0.0</v>
      </c>
      <c r="I207" s="10">
        <v>0.0</v>
      </c>
      <c r="J207" s="10">
        <v>0.0</v>
      </c>
      <c r="K207" s="10">
        <v>0.0</v>
      </c>
      <c r="L207" s="10">
        <v>0.0</v>
      </c>
      <c r="M207" s="10">
        <v>0.0</v>
      </c>
      <c r="N207" s="10">
        <v>0.0</v>
      </c>
      <c r="O207" s="10">
        <v>4.0</v>
      </c>
    </row>
    <row r="208">
      <c r="A208" s="11">
        <v>5.0</v>
      </c>
      <c r="B208" s="11" t="s">
        <v>20</v>
      </c>
      <c r="C208" s="12">
        <v>4578.0</v>
      </c>
      <c r="D208" s="12">
        <v>4407.0</v>
      </c>
      <c r="E208" s="12">
        <v>5990.0</v>
      </c>
      <c r="F208" s="12">
        <v>5052.0</v>
      </c>
      <c r="G208" s="12">
        <v>7053.0</v>
      </c>
      <c r="H208" s="12">
        <v>7508.0</v>
      </c>
      <c r="I208" s="12">
        <v>9045.0</v>
      </c>
      <c r="J208" s="12">
        <v>9167.0</v>
      </c>
      <c r="K208" s="12">
        <v>7735.0</v>
      </c>
      <c r="L208" s="12">
        <v>7660.0</v>
      </c>
      <c r="M208" s="12">
        <v>10084.0</v>
      </c>
      <c r="N208" s="12">
        <v>9115.0</v>
      </c>
      <c r="O208" s="12">
        <v>87394.0</v>
      </c>
    </row>
    <row r="209">
      <c r="A209" s="9">
        <v>6.0</v>
      </c>
      <c r="B209" s="9" t="s">
        <v>27</v>
      </c>
      <c r="C209" s="10">
        <v>0.0</v>
      </c>
      <c r="D209" s="10">
        <v>2.0</v>
      </c>
      <c r="E209" s="10">
        <v>0.0</v>
      </c>
      <c r="F209" s="10">
        <v>1.0</v>
      </c>
      <c r="G209" s="10">
        <v>1.0</v>
      </c>
      <c r="H209" s="10">
        <v>1.0</v>
      </c>
      <c r="I209" s="10">
        <v>0.0</v>
      </c>
      <c r="J209" s="10">
        <v>0.0</v>
      </c>
      <c r="K209" s="10">
        <v>0.0</v>
      </c>
      <c r="L209" s="10">
        <v>0.0</v>
      </c>
      <c r="M209" s="10">
        <v>6.0</v>
      </c>
      <c r="N209" s="10">
        <v>11.0</v>
      </c>
      <c r="O209" s="10">
        <v>22.0</v>
      </c>
    </row>
    <row r="210">
      <c r="A210" s="6">
        <v>7.0</v>
      </c>
      <c r="B210" s="6" t="s">
        <v>69</v>
      </c>
      <c r="C210" s="7">
        <v>0.0</v>
      </c>
      <c r="D210" s="7">
        <v>0.0</v>
      </c>
      <c r="E210" s="7">
        <v>0.0</v>
      </c>
      <c r="F210" s="7">
        <v>0.0</v>
      </c>
      <c r="G210" s="7">
        <v>0.0</v>
      </c>
      <c r="H210" s="7">
        <v>0.0</v>
      </c>
      <c r="I210" s="7">
        <v>0.0</v>
      </c>
      <c r="J210" s="7">
        <v>0.0</v>
      </c>
      <c r="K210" s="7">
        <v>1.0</v>
      </c>
      <c r="L210" s="7">
        <v>0.0</v>
      </c>
      <c r="M210" s="7">
        <v>0.0</v>
      </c>
      <c r="N210" s="7">
        <v>0.0</v>
      </c>
      <c r="O210" s="7">
        <v>1.0</v>
      </c>
    </row>
    <row r="211">
      <c r="A211" s="9">
        <v>8.0</v>
      </c>
      <c r="B211" s="9" t="s">
        <v>28</v>
      </c>
      <c r="C211" s="10">
        <v>0.0</v>
      </c>
      <c r="D211" s="10">
        <v>0.0</v>
      </c>
      <c r="E211" s="10">
        <v>0.0</v>
      </c>
      <c r="F211" s="10">
        <v>0.0</v>
      </c>
      <c r="G211" s="10">
        <v>0.0</v>
      </c>
      <c r="H211" s="10">
        <v>0.0</v>
      </c>
      <c r="I211" s="10">
        <v>0.0</v>
      </c>
      <c r="J211" s="10">
        <v>0.0</v>
      </c>
      <c r="K211" s="10">
        <v>0.0</v>
      </c>
      <c r="L211" s="10">
        <v>1.0</v>
      </c>
      <c r="M211" s="10">
        <v>0.0</v>
      </c>
      <c r="N211" s="10">
        <v>0.0</v>
      </c>
      <c r="O211" s="10">
        <v>1.0</v>
      </c>
    </row>
    <row r="212">
      <c r="A212" s="6">
        <v>9.0</v>
      </c>
      <c r="B212" s="6" t="s">
        <v>29</v>
      </c>
      <c r="C212" s="7">
        <v>143.0</v>
      </c>
      <c r="D212" s="7">
        <v>185.0</v>
      </c>
      <c r="E212" s="7">
        <v>134.0</v>
      </c>
      <c r="F212" s="7">
        <v>122.0</v>
      </c>
      <c r="G212" s="7">
        <v>172.0</v>
      </c>
      <c r="H212" s="7">
        <v>232.0</v>
      </c>
      <c r="I212" s="7">
        <v>540.0</v>
      </c>
      <c r="J212" s="7">
        <v>658.0</v>
      </c>
      <c r="K212" s="7">
        <v>536.0</v>
      </c>
      <c r="L212" s="7">
        <v>214.0</v>
      </c>
      <c r="M212" s="7">
        <v>423.0</v>
      </c>
      <c r="N212" s="7">
        <v>455.0</v>
      </c>
      <c r="O212" s="7">
        <v>3814.0</v>
      </c>
    </row>
    <row r="213">
      <c r="A213" s="9">
        <v>10.0</v>
      </c>
      <c r="B213" s="9" t="s">
        <v>31</v>
      </c>
      <c r="C213" s="10">
        <v>9236.0</v>
      </c>
      <c r="D213" s="10">
        <v>9150.0</v>
      </c>
      <c r="E213" s="10">
        <v>11666.0</v>
      </c>
      <c r="F213" s="10">
        <v>8217.0</v>
      </c>
      <c r="G213" s="10">
        <v>8654.0</v>
      </c>
      <c r="H213" s="10">
        <v>8659.0</v>
      </c>
      <c r="I213" s="10">
        <v>8819.0</v>
      </c>
      <c r="J213" s="10">
        <v>7281.0</v>
      </c>
      <c r="K213" s="10">
        <v>8147.0</v>
      </c>
      <c r="L213" s="10">
        <v>8163.0</v>
      </c>
      <c r="M213" s="10">
        <v>9884.0</v>
      </c>
      <c r="N213" s="10">
        <v>10973.0</v>
      </c>
      <c r="O213" s="10">
        <v>108849.0</v>
      </c>
    </row>
    <row r="214">
      <c r="A214" s="6">
        <v>11.0</v>
      </c>
      <c r="B214" s="6" t="s">
        <v>33</v>
      </c>
      <c r="C214" s="7">
        <v>1369507.0</v>
      </c>
      <c r="D214" s="7">
        <v>1394628.0</v>
      </c>
      <c r="E214" s="7">
        <v>1882604.0</v>
      </c>
      <c r="F214" s="7">
        <v>1657786.0</v>
      </c>
      <c r="G214" s="7">
        <v>1747140.0</v>
      </c>
      <c r="H214" s="7">
        <v>1663550.0</v>
      </c>
      <c r="I214" s="7">
        <v>1522277.0</v>
      </c>
      <c r="J214" s="7">
        <v>1458812.0</v>
      </c>
      <c r="K214" s="7">
        <v>1499053.0</v>
      </c>
      <c r="L214" s="7">
        <v>1947888.0</v>
      </c>
      <c r="M214" s="7">
        <v>2102477.0</v>
      </c>
      <c r="N214" s="7">
        <v>1485103.0</v>
      </c>
      <c r="O214" s="7">
        <v>1.9730825E7</v>
      </c>
    </row>
    <row r="215">
      <c r="A215" s="9">
        <v>12.0</v>
      </c>
      <c r="B215" s="9" t="s">
        <v>40</v>
      </c>
      <c r="C215" s="10">
        <v>29232.0</v>
      </c>
      <c r="D215" s="10">
        <v>25649.0</v>
      </c>
      <c r="E215" s="10">
        <v>28573.0</v>
      </c>
      <c r="F215" s="10">
        <v>21948.0</v>
      </c>
      <c r="G215" s="10">
        <v>23147.0</v>
      </c>
      <c r="H215" s="10">
        <v>23968.0</v>
      </c>
      <c r="I215" s="10">
        <v>23161.0</v>
      </c>
      <c r="J215" s="10">
        <v>25304.0</v>
      </c>
      <c r="K215" s="10">
        <v>30782.0</v>
      </c>
      <c r="L215" s="10">
        <v>36637.0</v>
      </c>
      <c r="M215" s="10">
        <v>40400.0</v>
      </c>
      <c r="N215" s="10">
        <v>34578.0</v>
      </c>
      <c r="O215" s="10">
        <v>343379.0</v>
      </c>
    </row>
    <row r="216">
      <c r="A216" s="6">
        <v>13.0</v>
      </c>
      <c r="B216" s="6" t="s">
        <v>47</v>
      </c>
      <c r="C216" s="7">
        <v>0.0</v>
      </c>
      <c r="D216" s="7">
        <v>0.0</v>
      </c>
      <c r="E216" s="7">
        <v>1.0</v>
      </c>
      <c r="F216" s="7">
        <v>0.0</v>
      </c>
      <c r="G216" s="7">
        <v>0.0</v>
      </c>
      <c r="H216" s="7">
        <v>0.0</v>
      </c>
      <c r="I216" s="7">
        <v>0.0</v>
      </c>
      <c r="J216" s="7">
        <v>0.0</v>
      </c>
      <c r="K216" s="7">
        <v>1.0</v>
      </c>
      <c r="L216" s="7">
        <v>0.0</v>
      </c>
      <c r="M216" s="7">
        <v>0.0</v>
      </c>
      <c r="N216" s="7">
        <v>0.0</v>
      </c>
      <c r="O216" s="7">
        <v>2.0</v>
      </c>
    </row>
    <row r="217">
      <c r="A217" s="9">
        <v>14.0</v>
      </c>
      <c r="B217" s="9" t="s">
        <v>50</v>
      </c>
      <c r="C217" s="10">
        <v>44.0</v>
      </c>
      <c r="D217" s="10">
        <v>62.0</v>
      </c>
      <c r="E217" s="10">
        <v>100.0</v>
      </c>
      <c r="F217" s="10">
        <v>107.0</v>
      </c>
      <c r="G217" s="10">
        <v>88.0</v>
      </c>
      <c r="H217" s="10">
        <v>128.0</v>
      </c>
      <c r="I217" s="10">
        <v>30.0</v>
      </c>
      <c r="J217" s="10">
        <v>32.0</v>
      </c>
      <c r="K217" s="10">
        <v>39.0</v>
      </c>
      <c r="L217" s="10">
        <v>36.0</v>
      </c>
      <c r="M217" s="10">
        <v>22.0</v>
      </c>
      <c r="N217" s="10">
        <v>19.0</v>
      </c>
      <c r="O217" s="10">
        <v>707.0</v>
      </c>
    </row>
    <row r="218">
      <c r="A218" s="6">
        <v>15.0</v>
      </c>
      <c r="B218" s="6" t="s">
        <v>55</v>
      </c>
      <c r="C218" s="7">
        <v>6420.0</v>
      </c>
      <c r="D218" s="7">
        <v>7006.0</v>
      </c>
      <c r="E218" s="7">
        <v>8293.0</v>
      </c>
      <c r="F218" s="7">
        <v>6086.0</v>
      </c>
      <c r="G218" s="7">
        <v>6366.0</v>
      </c>
      <c r="H218" s="7">
        <v>7159.0</v>
      </c>
      <c r="I218" s="7">
        <v>6640.0</v>
      </c>
      <c r="J218" s="7">
        <v>7216.0</v>
      </c>
      <c r="K218" s="7">
        <v>7529.0</v>
      </c>
      <c r="L218" s="7">
        <v>8568.0</v>
      </c>
      <c r="M218" s="7">
        <v>9554.0</v>
      </c>
      <c r="N218" s="7">
        <v>7163.0</v>
      </c>
      <c r="O218" s="7">
        <v>88000.0</v>
      </c>
    </row>
    <row r="219">
      <c r="A219" s="9">
        <v>16.0</v>
      </c>
      <c r="B219" s="9" t="s">
        <v>99</v>
      </c>
      <c r="C219" s="10">
        <v>0.0</v>
      </c>
      <c r="D219" s="10">
        <v>0.0</v>
      </c>
      <c r="E219" s="10">
        <v>0.0</v>
      </c>
      <c r="F219" s="10">
        <v>0.0</v>
      </c>
      <c r="G219" s="10">
        <v>0.0</v>
      </c>
      <c r="H219" s="10">
        <v>1.0</v>
      </c>
      <c r="I219" s="10">
        <v>0.0</v>
      </c>
      <c r="J219" s="10">
        <v>0.0</v>
      </c>
      <c r="K219" s="10">
        <v>0.0</v>
      </c>
      <c r="L219" s="10">
        <v>0.0</v>
      </c>
      <c r="M219" s="10">
        <v>0.0</v>
      </c>
      <c r="N219" s="10">
        <v>0.0</v>
      </c>
      <c r="O219" s="10">
        <v>1.0</v>
      </c>
    </row>
    <row r="220">
      <c r="A220" s="6">
        <v>17.0</v>
      </c>
      <c r="B220" s="6" t="s">
        <v>58</v>
      </c>
      <c r="C220" s="7">
        <v>16.0</v>
      </c>
      <c r="D220" s="7">
        <v>16.0</v>
      </c>
      <c r="E220" s="7">
        <v>22.0</v>
      </c>
      <c r="F220" s="7">
        <v>13.0</v>
      </c>
      <c r="G220" s="7">
        <v>9.0</v>
      </c>
      <c r="H220" s="7">
        <v>10.0</v>
      </c>
      <c r="I220" s="7">
        <v>5.0</v>
      </c>
      <c r="J220" s="7">
        <v>12.0</v>
      </c>
      <c r="K220" s="7">
        <v>15.0</v>
      </c>
      <c r="L220" s="7">
        <v>6.0</v>
      </c>
      <c r="M220" s="7">
        <v>8.0</v>
      </c>
      <c r="N220" s="7">
        <v>7.0</v>
      </c>
      <c r="O220" s="7">
        <v>139.0</v>
      </c>
    </row>
    <row r="221">
      <c r="B221" s="1" t="s">
        <v>100</v>
      </c>
      <c r="C221" s="22">
        <f t="shared" ref="C221:O221" si="15">sum(C206,C208,C217,C219)</f>
        <v>6866</v>
      </c>
      <c r="D221" s="22">
        <f t="shared" si="15"/>
        <v>7319</v>
      </c>
      <c r="E221" s="22">
        <f t="shared" si="15"/>
        <v>10352</v>
      </c>
      <c r="F221" s="22">
        <f t="shared" si="15"/>
        <v>8902</v>
      </c>
      <c r="G221" s="22">
        <f t="shared" si="15"/>
        <v>11686</v>
      </c>
      <c r="H221" s="22">
        <f t="shared" si="15"/>
        <v>12791</v>
      </c>
      <c r="I221" s="22">
        <f t="shared" si="15"/>
        <v>13613</v>
      </c>
      <c r="J221" s="22">
        <f t="shared" si="15"/>
        <v>12655</v>
      </c>
      <c r="K221" s="22">
        <f t="shared" si="15"/>
        <v>11512</v>
      </c>
      <c r="L221" s="22">
        <f t="shared" si="15"/>
        <v>12436</v>
      </c>
      <c r="M221" s="22">
        <f t="shared" si="15"/>
        <v>15409</v>
      </c>
      <c r="N221" s="22">
        <f t="shared" si="15"/>
        <v>13037</v>
      </c>
      <c r="O221" s="22">
        <f t="shared" si="15"/>
        <v>136578</v>
      </c>
    </row>
    <row r="222">
      <c r="B222" s="1" t="s">
        <v>108</v>
      </c>
      <c r="C222" s="22">
        <f t="shared" ref="C222:O222" si="16">SUM(C204:C220)-C221-C213</f>
        <v>1626801</v>
      </c>
      <c r="D222" s="22">
        <f t="shared" si="16"/>
        <v>1646977</v>
      </c>
      <c r="E222" s="22">
        <f t="shared" si="16"/>
        <v>2240320</v>
      </c>
      <c r="F222" s="22">
        <f t="shared" si="16"/>
        <v>1914195</v>
      </c>
      <c r="G222" s="22">
        <f t="shared" si="16"/>
        <v>1992815</v>
      </c>
      <c r="H222" s="22">
        <f t="shared" si="16"/>
        <v>1927347</v>
      </c>
      <c r="I222" s="22">
        <f t="shared" si="16"/>
        <v>1790157</v>
      </c>
      <c r="J222" s="22">
        <f t="shared" si="16"/>
        <v>1715956</v>
      </c>
      <c r="K222" s="22">
        <f t="shared" si="16"/>
        <v>1772188</v>
      </c>
      <c r="L222" s="22">
        <f t="shared" si="16"/>
        <v>2233602</v>
      </c>
      <c r="M222" s="22">
        <f t="shared" si="16"/>
        <v>2431113</v>
      </c>
      <c r="N222" s="22">
        <f t="shared" si="16"/>
        <v>1766722</v>
      </c>
      <c r="O222" s="22">
        <f t="shared" si="16"/>
        <v>23058193</v>
      </c>
    </row>
    <row r="223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</row>
    <row r="224">
      <c r="A224" s="1" t="s">
        <v>113</v>
      </c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</row>
    <row r="225">
      <c r="A225" s="2" t="s">
        <v>1</v>
      </c>
      <c r="B225" s="2" t="s">
        <v>2</v>
      </c>
      <c r="C225" s="24"/>
      <c r="N225" s="4"/>
      <c r="O225" s="25" t="s">
        <v>3</v>
      </c>
    </row>
    <row r="226">
      <c r="A226" s="5"/>
      <c r="B226" s="5"/>
      <c r="C226" s="25" t="s">
        <v>88</v>
      </c>
      <c r="D226" s="25" t="s">
        <v>89</v>
      </c>
      <c r="E226" s="25" t="s">
        <v>90</v>
      </c>
      <c r="F226" s="25" t="s">
        <v>91</v>
      </c>
      <c r="G226" s="25" t="s">
        <v>92</v>
      </c>
      <c r="H226" s="25" t="s">
        <v>93</v>
      </c>
      <c r="I226" s="25" t="s">
        <v>94</v>
      </c>
      <c r="J226" s="25" t="s">
        <v>95</v>
      </c>
      <c r="K226" s="25" t="s">
        <v>96</v>
      </c>
      <c r="L226" s="25" t="s">
        <v>97</v>
      </c>
      <c r="M226" s="25" t="s">
        <v>103</v>
      </c>
      <c r="N226" s="25" t="s">
        <v>104</v>
      </c>
      <c r="O226" s="5"/>
    </row>
    <row r="227">
      <c r="A227" s="6">
        <v>1.0</v>
      </c>
      <c r="B227" s="6" t="s">
        <v>4</v>
      </c>
      <c r="C227" s="7">
        <v>2688.0</v>
      </c>
      <c r="D227" s="7">
        <v>2467.0</v>
      </c>
      <c r="E227" s="7">
        <v>2816.0</v>
      </c>
      <c r="F227" s="7">
        <v>2908.0</v>
      </c>
      <c r="G227" s="7">
        <v>3381.0</v>
      </c>
      <c r="H227" s="7">
        <v>2788.0</v>
      </c>
      <c r="I227" s="7">
        <v>2681.0</v>
      </c>
      <c r="J227" s="7">
        <v>2248.0</v>
      </c>
      <c r="K227" s="7">
        <v>2362.0</v>
      </c>
      <c r="L227" s="7">
        <v>2260.0</v>
      </c>
      <c r="M227" s="7">
        <v>1999.0</v>
      </c>
      <c r="N227" s="7">
        <v>1362.0</v>
      </c>
      <c r="O227" s="7">
        <v>29960.0</v>
      </c>
    </row>
    <row r="228">
      <c r="A228" s="11">
        <v>2.0</v>
      </c>
      <c r="B228" s="11" t="s">
        <v>9</v>
      </c>
      <c r="C228" s="12">
        <v>246751.0</v>
      </c>
      <c r="D228" s="12">
        <v>241820.0</v>
      </c>
      <c r="E228" s="12">
        <v>248651.0</v>
      </c>
      <c r="F228" s="12">
        <v>216137.0</v>
      </c>
      <c r="G228" s="12">
        <v>235129.0</v>
      </c>
      <c r="H228" s="12">
        <v>236018.0</v>
      </c>
      <c r="I228" s="12">
        <v>213268.0</v>
      </c>
      <c r="J228" s="12">
        <v>215568.0</v>
      </c>
      <c r="K228" s="12">
        <v>211338.0</v>
      </c>
      <c r="L228" s="12">
        <v>246640.0</v>
      </c>
      <c r="M228" s="12">
        <v>237927.0</v>
      </c>
      <c r="N228" s="12">
        <v>203051.0</v>
      </c>
      <c r="O228" s="12">
        <v>2752298.0</v>
      </c>
    </row>
    <row r="229">
      <c r="A229" s="6">
        <v>3.0</v>
      </c>
      <c r="B229" s="6" t="s">
        <v>16</v>
      </c>
      <c r="C229" s="7">
        <v>228.0</v>
      </c>
      <c r="D229" s="7">
        <v>405.0</v>
      </c>
      <c r="E229" s="7">
        <v>655.0</v>
      </c>
      <c r="F229" s="7">
        <v>862.0</v>
      </c>
      <c r="G229" s="7">
        <v>794.0</v>
      </c>
      <c r="H229" s="7">
        <v>784.0</v>
      </c>
      <c r="I229" s="7">
        <v>1053.0</v>
      </c>
      <c r="J229" s="7">
        <v>1293.0</v>
      </c>
      <c r="K229" s="7">
        <v>1136.0</v>
      </c>
      <c r="L229" s="7">
        <v>1686.0</v>
      </c>
      <c r="M229" s="7">
        <v>985.0</v>
      </c>
      <c r="N229" s="7">
        <v>1472.0</v>
      </c>
      <c r="O229" s="7">
        <v>11353.0</v>
      </c>
    </row>
    <row r="230">
      <c r="A230" s="9">
        <v>4.0</v>
      </c>
      <c r="B230" s="9" t="s">
        <v>18</v>
      </c>
      <c r="C230" s="10">
        <v>2.0</v>
      </c>
      <c r="D230" s="10">
        <v>2.0</v>
      </c>
      <c r="E230" s="10">
        <v>3.0</v>
      </c>
      <c r="F230" s="10">
        <v>0.0</v>
      </c>
      <c r="G230" s="10">
        <v>0.0</v>
      </c>
      <c r="H230" s="10">
        <v>0.0</v>
      </c>
      <c r="I230" s="10">
        <v>0.0</v>
      </c>
      <c r="J230" s="10">
        <v>3.0</v>
      </c>
      <c r="K230" s="10">
        <v>0.0</v>
      </c>
      <c r="L230" s="10">
        <v>1.0</v>
      </c>
      <c r="M230" s="10">
        <v>3.0</v>
      </c>
      <c r="N230" s="10">
        <v>0.0</v>
      </c>
      <c r="O230" s="10">
        <v>14.0</v>
      </c>
    </row>
    <row r="231">
      <c r="A231" s="6">
        <v>5.0</v>
      </c>
      <c r="B231" s="6" t="s">
        <v>20</v>
      </c>
      <c r="C231" s="7">
        <v>1946.0</v>
      </c>
      <c r="D231" s="7">
        <v>2499.0</v>
      </c>
      <c r="E231" s="7">
        <v>4518.0</v>
      </c>
      <c r="F231" s="7">
        <v>3450.0</v>
      </c>
      <c r="G231" s="7">
        <v>4002.0</v>
      </c>
      <c r="H231" s="7">
        <v>5117.0</v>
      </c>
      <c r="I231" s="7">
        <v>4374.0</v>
      </c>
      <c r="J231" s="7">
        <v>4019.0</v>
      </c>
      <c r="K231" s="7">
        <v>4173.0</v>
      </c>
      <c r="L231" s="7">
        <v>6334.0</v>
      </c>
      <c r="M231" s="7">
        <v>4897.0</v>
      </c>
      <c r="N231" s="7">
        <v>4506.0</v>
      </c>
      <c r="O231" s="7">
        <v>49835.0</v>
      </c>
    </row>
    <row r="232">
      <c r="A232" s="9">
        <v>6.0</v>
      </c>
      <c r="B232" s="9" t="s">
        <v>27</v>
      </c>
      <c r="C232" s="10">
        <v>0.0</v>
      </c>
      <c r="D232" s="10">
        <v>1.0</v>
      </c>
      <c r="E232" s="10">
        <v>0.0</v>
      </c>
      <c r="F232" s="10">
        <v>2.0</v>
      </c>
      <c r="G232" s="10">
        <v>0.0</v>
      </c>
      <c r="H232" s="10">
        <v>0.0</v>
      </c>
      <c r="I232" s="10">
        <v>0.0</v>
      </c>
      <c r="J232" s="10">
        <v>0.0</v>
      </c>
      <c r="K232" s="10">
        <v>0.0</v>
      </c>
      <c r="L232" s="10">
        <v>0.0</v>
      </c>
      <c r="M232" s="10">
        <v>0.0</v>
      </c>
      <c r="N232" s="10">
        <v>0.0</v>
      </c>
      <c r="O232" s="10">
        <v>3.0</v>
      </c>
    </row>
    <row r="233">
      <c r="A233" s="6">
        <v>7.0</v>
      </c>
      <c r="B233" s="6" t="s">
        <v>28</v>
      </c>
      <c r="C233" s="7">
        <v>2.0</v>
      </c>
      <c r="D233" s="7">
        <v>1.0</v>
      </c>
      <c r="E233" s="7">
        <v>1.0</v>
      </c>
      <c r="F233" s="7">
        <v>0.0</v>
      </c>
      <c r="G233" s="7">
        <v>0.0</v>
      </c>
      <c r="H233" s="7">
        <v>0.0</v>
      </c>
      <c r="I233" s="7">
        <v>1.0</v>
      </c>
      <c r="J233" s="7">
        <v>0.0</v>
      </c>
      <c r="K233" s="7">
        <v>0.0</v>
      </c>
      <c r="L233" s="7">
        <v>0.0</v>
      </c>
      <c r="M233" s="7">
        <v>0.0</v>
      </c>
      <c r="N233" s="7">
        <v>0.0</v>
      </c>
      <c r="O233" s="7">
        <v>5.0</v>
      </c>
    </row>
    <row r="234">
      <c r="A234" s="9">
        <v>8.0</v>
      </c>
      <c r="B234" s="9" t="s">
        <v>29</v>
      </c>
      <c r="C234" s="10">
        <v>352.0</v>
      </c>
      <c r="D234" s="10">
        <v>480.0</v>
      </c>
      <c r="E234" s="10">
        <v>955.0</v>
      </c>
      <c r="F234" s="10">
        <v>362.0</v>
      </c>
      <c r="G234" s="10">
        <v>476.0</v>
      </c>
      <c r="H234" s="10">
        <v>271.0</v>
      </c>
      <c r="I234" s="10">
        <v>159.0</v>
      </c>
      <c r="J234" s="10">
        <v>246.0</v>
      </c>
      <c r="K234" s="10">
        <v>144.0</v>
      </c>
      <c r="L234" s="10">
        <v>177.0</v>
      </c>
      <c r="M234" s="10">
        <v>200.0</v>
      </c>
      <c r="N234" s="10">
        <v>154.0</v>
      </c>
      <c r="O234" s="10">
        <v>3976.0</v>
      </c>
    </row>
    <row r="235">
      <c r="A235" s="6">
        <v>9.0</v>
      </c>
      <c r="B235" s="6" t="s">
        <v>31</v>
      </c>
      <c r="C235" s="7">
        <v>12781.0</v>
      </c>
      <c r="D235" s="7">
        <v>10398.0</v>
      </c>
      <c r="E235" s="7">
        <v>12737.0</v>
      </c>
      <c r="F235" s="7">
        <v>9459.0</v>
      </c>
      <c r="G235" s="7">
        <v>11287.0</v>
      </c>
      <c r="H235" s="7">
        <v>11119.0</v>
      </c>
      <c r="I235" s="7">
        <v>11290.0</v>
      </c>
      <c r="J235" s="7">
        <v>9648.0</v>
      </c>
      <c r="K235" s="7">
        <v>10140.0</v>
      </c>
      <c r="L235" s="7">
        <v>10184.0</v>
      </c>
      <c r="M235" s="7">
        <v>10105.0</v>
      </c>
      <c r="N235" s="7">
        <v>11749.0</v>
      </c>
      <c r="O235" s="7">
        <v>130897.0</v>
      </c>
    </row>
    <row r="236">
      <c r="A236" s="9">
        <v>10.0</v>
      </c>
      <c r="B236" s="9" t="s">
        <v>33</v>
      </c>
      <c r="C236" s="10">
        <v>1437778.0</v>
      </c>
      <c r="D236" s="10">
        <v>1456008.0</v>
      </c>
      <c r="E236" s="10">
        <v>1457845.0</v>
      </c>
      <c r="F236" s="10">
        <v>1466658.0</v>
      </c>
      <c r="G236" s="10">
        <v>1559806.0</v>
      </c>
      <c r="H236" s="10">
        <v>1527633.0</v>
      </c>
      <c r="I236" s="10">
        <v>1422564.0</v>
      </c>
      <c r="J236" s="10">
        <v>1403678.0</v>
      </c>
      <c r="K236" s="10">
        <v>1373232.0</v>
      </c>
      <c r="L236" s="10">
        <v>1687209.0</v>
      </c>
      <c r="M236" s="10">
        <v>1845832.0</v>
      </c>
      <c r="N236" s="10">
        <v>1297141.0</v>
      </c>
      <c r="O236" s="10">
        <v>1.7935384E7</v>
      </c>
    </row>
    <row r="237">
      <c r="A237" s="6">
        <v>11.0</v>
      </c>
      <c r="B237" s="6" t="s">
        <v>40</v>
      </c>
      <c r="C237" s="7">
        <v>27437.0</v>
      </c>
      <c r="D237" s="7">
        <v>27432.0</v>
      </c>
      <c r="E237" s="7">
        <v>28332.0</v>
      </c>
      <c r="F237" s="7">
        <v>31494.0</v>
      </c>
      <c r="G237" s="7">
        <v>30413.0</v>
      </c>
      <c r="H237" s="7">
        <v>29775.0</v>
      </c>
      <c r="I237" s="7">
        <v>27751.0</v>
      </c>
      <c r="J237" s="7">
        <v>27289.0</v>
      </c>
      <c r="K237" s="7">
        <v>27246.0</v>
      </c>
      <c r="L237" s="7">
        <v>32992.0</v>
      </c>
      <c r="M237" s="7">
        <v>24046.0</v>
      </c>
      <c r="N237" s="7">
        <v>20783.0</v>
      </c>
      <c r="O237" s="7">
        <v>334990.0</v>
      </c>
    </row>
    <row r="238">
      <c r="A238" s="9">
        <v>12.0</v>
      </c>
      <c r="B238" s="9" t="s">
        <v>47</v>
      </c>
      <c r="C238" s="10">
        <v>0.0</v>
      </c>
      <c r="D238" s="10">
        <v>0.0</v>
      </c>
      <c r="E238" s="10">
        <v>0.0</v>
      </c>
      <c r="F238" s="10">
        <v>0.0</v>
      </c>
      <c r="G238" s="10">
        <v>0.0</v>
      </c>
      <c r="H238" s="10">
        <v>2.0</v>
      </c>
      <c r="I238" s="10">
        <v>0.0</v>
      </c>
      <c r="J238" s="10">
        <v>0.0</v>
      </c>
      <c r="K238" s="10">
        <v>1.0</v>
      </c>
      <c r="L238" s="10">
        <v>0.0</v>
      </c>
      <c r="M238" s="10">
        <v>0.0</v>
      </c>
      <c r="N238" s="10">
        <v>0.0</v>
      </c>
      <c r="O238" s="10">
        <v>3.0</v>
      </c>
    </row>
    <row r="239">
      <c r="A239" s="6">
        <v>13.0</v>
      </c>
      <c r="B239" s="6" t="s">
        <v>50</v>
      </c>
      <c r="C239" s="7">
        <v>26.0</v>
      </c>
      <c r="D239" s="7">
        <v>27.0</v>
      </c>
      <c r="E239" s="7">
        <v>27.0</v>
      </c>
      <c r="F239" s="7">
        <v>36.0</v>
      </c>
      <c r="G239" s="7">
        <v>70.0</v>
      </c>
      <c r="H239" s="7">
        <v>81.0</v>
      </c>
      <c r="I239" s="7">
        <v>49.0</v>
      </c>
      <c r="J239" s="7">
        <v>36.0</v>
      </c>
      <c r="K239" s="7">
        <v>42.0</v>
      </c>
      <c r="L239" s="7">
        <v>49.0</v>
      </c>
      <c r="M239" s="7">
        <v>32.0</v>
      </c>
      <c r="N239" s="7">
        <v>54.0</v>
      </c>
      <c r="O239" s="7">
        <v>529.0</v>
      </c>
    </row>
    <row r="240">
      <c r="A240" s="9">
        <v>14.0</v>
      </c>
      <c r="B240" s="9" t="s">
        <v>55</v>
      </c>
      <c r="C240" s="10">
        <v>7180.0</v>
      </c>
      <c r="D240" s="10">
        <v>6900.0</v>
      </c>
      <c r="E240" s="10">
        <v>7357.0</v>
      </c>
      <c r="F240" s="10">
        <v>5908.0</v>
      </c>
      <c r="G240" s="10">
        <v>6264.0</v>
      </c>
      <c r="H240" s="10">
        <v>6962.0</v>
      </c>
      <c r="I240" s="10">
        <v>6547.0</v>
      </c>
      <c r="J240" s="10">
        <v>7422.0</v>
      </c>
      <c r="K240" s="10">
        <v>7513.0</v>
      </c>
      <c r="L240" s="10">
        <v>7961.0</v>
      </c>
      <c r="M240" s="10">
        <v>7490.0</v>
      </c>
      <c r="N240" s="10">
        <v>5023.0</v>
      </c>
      <c r="O240" s="10">
        <v>82527.0</v>
      </c>
    </row>
    <row r="241">
      <c r="A241" s="6">
        <v>15.0</v>
      </c>
      <c r="B241" s="6" t="s">
        <v>58</v>
      </c>
      <c r="C241" s="7">
        <v>17.0</v>
      </c>
      <c r="D241" s="7">
        <v>14.0</v>
      </c>
      <c r="E241" s="7">
        <v>28.0</v>
      </c>
      <c r="F241" s="7">
        <v>20.0</v>
      </c>
      <c r="G241" s="7">
        <v>17.0</v>
      </c>
      <c r="H241" s="7">
        <v>14.0</v>
      </c>
      <c r="I241" s="7">
        <v>23.0</v>
      </c>
      <c r="J241" s="7">
        <v>15.0</v>
      </c>
      <c r="K241" s="7">
        <v>14.0</v>
      </c>
      <c r="L241" s="7">
        <v>26.0</v>
      </c>
      <c r="M241" s="7">
        <v>38.0</v>
      </c>
      <c r="N241" s="7">
        <v>10.0</v>
      </c>
      <c r="O241" s="7">
        <v>236.0</v>
      </c>
    </row>
    <row r="242">
      <c r="B242" s="1" t="s">
        <v>105</v>
      </c>
      <c r="C242" s="22">
        <f t="shared" ref="C242:O242" si="17">sum(C229,C231,C239)</f>
        <v>2200</v>
      </c>
      <c r="D242" s="22">
        <f t="shared" si="17"/>
        <v>2931</v>
      </c>
      <c r="E242" s="22">
        <f t="shared" si="17"/>
        <v>5200</v>
      </c>
      <c r="F242" s="22">
        <f t="shared" si="17"/>
        <v>4348</v>
      </c>
      <c r="G242" s="22">
        <f t="shared" si="17"/>
        <v>4866</v>
      </c>
      <c r="H242" s="22">
        <f t="shared" si="17"/>
        <v>5982</v>
      </c>
      <c r="I242" s="22">
        <f t="shared" si="17"/>
        <v>5476</v>
      </c>
      <c r="J242" s="22">
        <f t="shared" si="17"/>
        <v>5348</v>
      </c>
      <c r="K242" s="22">
        <f t="shared" si="17"/>
        <v>5351</v>
      </c>
      <c r="L242" s="22">
        <f t="shared" si="17"/>
        <v>8069</v>
      </c>
      <c r="M242" s="22">
        <f t="shared" si="17"/>
        <v>5914</v>
      </c>
      <c r="N242" s="22">
        <f t="shared" si="17"/>
        <v>6032</v>
      </c>
      <c r="O242" s="22">
        <f t="shared" si="17"/>
        <v>61717</v>
      </c>
    </row>
    <row r="243">
      <c r="B243" s="1" t="s">
        <v>108</v>
      </c>
      <c r="C243" s="22">
        <f t="shared" ref="C243:O243" si="18">SUM(C227:C241)-C242-C235</f>
        <v>1722207</v>
      </c>
      <c r="D243" s="22">
        <f t="shared" si="18"/>
        <v>1735125</v>
      </c>
      <c r="E243" s="22">
        <f t="shared" si="18"/>
        <v>1745988</v>
      </c>
      <c r="F243" s="22">
        <f t="shared" si="18"/>
        <v>1723489</v>
      </c>
      <c r="G243" s="22">
        <f t="shared" si="18"/>
        <v>1835486</v>
      </c>
      <c r="H243" s="22">
        <f t="shared" si="18"/>
        <v>1803463</v>
      </c>
      <c r="I243" s="22">
        <f t="shared" si="18"/>
        <v>1672994</v>
      </c>
      <c r="J243" s="22">
        <f t="shared" si="18"/>
        <v>1656469</v>
      </c>
      <c r="K243" s="22">
        <f t="shared" si="18"/>
        <v>1621850</v>
      </c>
      <c r="L243" s="22">
        <f t="shared" si="18"/>
        <v>1977266</v>
      </c>
      <c r="M243" s="22">
        <f t="shared" si="18"/>
        <v>2117535</v>
      </c>
      <c r="N243" s="22">
        <f t="shared" si="18"/>
        <v>1527524</v>
      </c>
      <c r="O243" s="22">
        <f t="shared" si="18"/>
        <v>21139396</v>
      </c>
    </row>
    <row r="244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</row>
    <row r="245">
      <c r="A245" s="1" t="s">
        <v>114</v>
      </c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</row>
    <row r="246">
      <c r="A246" s="2" t="s">
        <v>1</v>
      </c>
      <c r="B246" s="2" t="s">
        <v>2</v>
      </c>
      <c r="C246" s="24"/>
      <c r="N246" s="4"/>
      <c r="O246" s="25" t="s">
        <v>3</v>
      </c>
    </row>
    <row r="247">
      <c r="A247" s="5"/>
      <c r="B247" s="5"/>
      <c r="C247" s="25" t="s">
        <v>88</v>
      </c>
      <c r="D247" s="25" t="s">
        <v>89</v>
      </c>
      <c r="E247" s="25" t="s">
        <v>90</v>
      </c>
      <c r="F247" s="25" t="s">
        <v>91</v>
      </c>
      <c r="G247" s="25" t="s">
        <v>92</v>
      </c>
      <c r="H247" s="25" t="s">
        <v>93</v>
      </c>
      <c r="I247" s="25" t="s">
        <v>94</v>
      </c>
      <c r="J247" s="25" t="s">
        <v>95</v>
      </c>
      <c r="K247" s="25" t="s">
        <v>96</v>
      </c>
      <c r="L247" s="25" t="s">
        <v>97</v>
      </c>
      <c r="M247" s="25" t="s">
        <v>103</v>
      </c>
      <c r="N247" s="25" t="s">
        <v>104</v>
      </c>
      <c r="O247" s="5"/>
    </row>
    <row r="248">
      <c r="A248" s="6">
        <v>1.0</v>
      </c>
      <c r="B248" s="6" t="s">
        <v>4</v>
      </c>
      <c r="C248" s="7">
        <v>2687.0</v>
      </c>
      <c r="D248" s="7">
        <v>1973.0</v>
      </c>
      <c r="E248" s="7">
        <v>2099.0</v>
      </c>
      <c r="F248" s="7">
        <v>2083.0</v>
      </c>
      <c r="G248" s="7">
        <v>1815.0</v>
      </c>
      <c r="H248" s="7">
        <v>1911.0</v>
      </c>
      <c r="I248" s="7">
        <v>2218.0</v>
      </c>
      <c r="J248" s="7">
        <v>2190.0</v>
      </c>
      <c r="K248" s="7">
        <v>2385.0</v>
      </c>
      <c r="L248" s="7">
        <v>2273.0</v>
      </c>
      <c r="M248" s="7">
        <v>2516.0</v>
      </c>
      <c r="N248" s="7">
        <v>2132.0</v>
      </c>
      <c r="O248" s="7">
        <v>26282.0</v>
      </c>
    </row>
    <row r="249">
      <c r="A249" s="9">
        <v>2.0</v>
      </c>
      <c r="B249" s="9" t="s">
        <v>9</v>
      </c>
      <c r="C249" s="10">
        <v>260085.0</v>
      </c>
      <c r="D249" s="10">
        <v>226391.0</v>
      </c>
      <c r="E249" s="10">
        <v>241587.0</v>
      </c>
      <c r="F249" s="10">
        <v>214064.0</v>
      </c>
      <c r="G249" s="10">
        <v>211508.0</v>
      </c>
      <c r="H249" s="10">
        <v>225448.0</v>
      </c>
      <c r="I249" s="10">
        <v>227654.0</v>
      </c>
      <c r="J249" s="10">
        <v>211902.0</v>
      </c>
      <c r="K249" s="10">
        <v>220899.0</v>
      </c>
      <c r="L249" s="10">
        <v>220356.0</v>
      </c>
      <c r="M249" s="10">
        <v>237361.0</v>
      </c>
      <c r="N249" s="10">
        <v>228379.0</v>
      </c>
      <c r="O249" s="10">
        <v>2725634.0</v>
      </c>
    </row>
    <row r="250">
      <c r="A250" s="6">
        <v>3.0</v>
      </c>
      <c r="B250" s="6" t="s">
        <v>16</v>
      </c>
      <c r="C250" s="7">
        <v>1.0</v>
      </c>
      <c r="D250" s="7">
        <v>2.0</v>
      </c>
      <c r="E250" s="7">
        <v>4.0</v>
      </c>
      <c r="F250" s="7">
        <v>6.0</v>
      </c>
      <c r="G250" s="7">
        <v>2.0</v>
      </c>
      <c r="H250" s="7">
        <v>7.0</v>
      </c>
      <c r="I250" s="7">
        <v>0.0</v>
      </c>
      <c r="J250" s="7">
        <v>3.0</v>
      </c>
      <c r="K250" s="7">
        <v>4.0</v>
      </c>
      <c r="L250" s="7">
        <v>55.0</v>
      </c>
      <c r="M250" s="7">
        <v>180.0</v>
      </c>
      <c r="N250" s="7">
        <v>239.0</v>
      </c>
      <c r="O250" s="7">
        <v>503.0</v>
      </c>
    </row>
    <row r="251">
      <c r="A251" s="9">
        <v>4.0</v>
      </c>
      <c r="B251" s="9" t="s">
        <v>18</v>
      </c>
      <c r="C251" s="10">
        <v>0.0</v>
      </c>
      <c r="D251" s="10">
        <v>0.0</v>
      </c>
      <c r="E251" s="10">
        <v>0.0</v>
      </c>
      <c r="F251" s="10">
        <v>0.0</v>
      </c>
      <c r="G251" s="10">
        <v>0.0</v>
      </c>
      <c r="H251" s="10">
        <v>0.0</v>
      </c>
      <c r="I251" s="10">
        <v>1.0</v>
      </c>
      <c r="J251" s="10">
        <v>0.0</v>
      </c>
      <c r="K251" s="10">
        <v>0.0</v>
      </c>
      <c r="L251" s="10">
        <v>1.0</v>
      </c>
      <c r="M251" s="10">
        <v>2.0</v>
      </c>
      <c r="N251" s="10">
        <v>0.0</v>
      </c>
      <c r="O251" s="10">
        <v>4.0</v>
      </c>
    </row>
    <row r="252">
      <c r="A252" s="6">
        <v>5.0</v>
      </c>
      <c r="B252" s="6" t="s">
        <v>20</v>
      </c>
      <c r="C252" s="7">
        <v>179.0</v>
      </c>
      <c r="D252" s="7">
        <v>183.0</v>
      </c>
      <c r="E252" s="7">
        <v>222.0</v>
      </c>
      <c r="F252" s="7">
        <v>171.0</v>
      </c>
      <c r="G252" s="7">
        <v>194.0</v>
      </c>
      <c r="H252" s="7">
        <v>288.0</v>
      </c>
      <c r="I252" s="7">
        <v>379.0</v>
      </c>
      <c r="J252" s="7">
        <v>709.0</v>
      </c>
      <c r="K252" s="7">
        <v>969.0</v>
      </c>
      <c r="L252" s="7">
        <v>1072.0</v>
      </c>
      <c r="M252" s="7">
        <v>1249.0</v>
      </c>
      <c r="N252" s="7">
        <v>2182.0</v>
      </c>
      <c r="O252" s="7">
        <v>7797.0</v>
      </c>
    </row>
    <row r="253">
      <c r="A253" s="9">
        <v>6.0</v>
      </c>
      <c r="B253" s="9" t="s">
        <v>69</v>
      </c>
      <c r="C253" s="10">
        <v>0.0</v>
      </c>
      <c r="D253" s="10">
        <v>0.0</v>
      </c>
      <c r="E253" s="10">
        <v>0.0</v>
      </c>
      <c r="F253" s="10">
        <v>0.0</v>
      </c>
      <c r="G253" s="10">
        <v>0.0</v>
      </c>
      <c r="H253" s="10">
        <v>1.0</v>
      </c>
      <c r="I253" s="10">
        <v>0.0</v>
      </c>
      <c r="J253" s="10">
        <v>0.0</v>
      </c>
      <c r="K253" s="10">
        <v>0.0</v>
      </c>
      <c r="L253" s="10">
        <v>0.0</v>
      </c>
      <c r="M253" s="10">
        <v>0.0</v>
      </c>
      <c r="N253" s="10">
        <v>0.0</v>
      </c>
      <c r="O253" s="10">
        <v>1.0</v>
      </c>
    </row>
    <row r="254">
      <c r="A254" s="6">
        <v>7.0</v>
      </c>
      <c r="B254" s="6" t="s">
        <v>28</v>
      </c>
      <c r="C254" s="7">
        <v>0.0</v>
      </c>
      <c r="D254" s="7">
        <v>0.0</v>
      </c>
      <c r="E254" s="7">
        <v>0.0</v>
      </c>
      <c r="F254" s="7">
        <v>0.0</v>
      </c>
      <c r="G254" s="7">
        <v>0.0</v>
      </c>
      <c r="H254" s="7">
        <v>0.0</v>
      </c>
      <c r="I254" s="7">
        <v>2.0</v>
      </c>
      <c r="J254" s="7">
        <v>0.0</v>
      </c>
      <c r="K254" s="7">
        <v>0.0</v>
      </c>
      <c r="L254" s="7">
        <v>0.0</v>
      </c>
      <c r="M254" s="7">
        <v>0.0</v>
      </c>
      <c r="N254" s="7">
        <v>0.0</v>
      </c>
      <c r="O254" s="7">
        <v>2.0</v>
      </c>
    </row>
    <row r="255">
      <c r="A255" s="9">
        <v>8.0</v>
      </c>
      <c r="B255" s="9" t="s">
        <v>29</v>
      </c>
      <c r="C255" s="10">
        <v>157.0</v>
      </c>
      <c r="D255" s="10">
        <v>228.0</v>
      </c>
      <c r="E255" s="10">
        <v>383.0</v>
      </c>
      <c r="F255" s="10">
        <v>247.0</v>
      </c>
      <c r="G255" s="10">
        <v>310.0</v>
      </c>
      <c r="H255" s="10">
        <v>466.0</v>
      </c>
      <c r="I255" s="10">
        <v>354.0</v>
      </c>
      <c r="J255" s="10">
        <v>306.0</v>
      </c>
      <c r="K255" s="10">
        <v>349.0</v>
      </c>
      <c r="L255" s="10">
        <v>190.0</v>
      </c>
      <c r="M255" s="10">
        <v>166.0</v>
      </c>
      <c r="N255" s="10">
        <v>181.0</v>
      </c>
      <c r="O255" s="10">
        <v>3337.0</v>
      </c>
    </row>
    <row r="256">
      <c r="A256" s="6">
        <v>9.0</v>
      </c>
      <c r="B256" s="6" t="s">
        <v>31</v>
      </c>
      <c r="C256" s="7">
        <v>8600.0</v>
      </c>
      <c r="D256" s="7">
        <v>9714.0</v>
      </c>
      <c r="E256" s="7">
        <v>10555.0</v>
      </c>
      <c r="F256" s="7">
        <v>8612.0</v>
      </c>
      <c r="G256" s="7">
        <v>8962.0</v>
      </c>
      <c r="H256" s="7">
        <v>9193.0</v>
      </c>
      <c r="I256" s="7">
        <v>9637.0</v>
      </c>
      <c r="J256" s="7">
        <v>8506.0</v>
      </c>
      <c r="K256" s="7">
        <v>8341.0</v>
      </c>
      <c r="L256" s="7">
        <v>8611.0</v>
      </c>
      <c r="M256" s="7">
        <v>8765.0</v>
      </c>
      <c r="N256" s="7">
        <v>12421.0</v>
      </c>
      <c r="O256" s="7">
        <v>111917.0</v>
      </c>
    </row>
    <row r="257">
      <c r="A257" s="9">
        <v>10.0</v>
      </c>
      <c r="B257" s="9" t="s">
        <v>33</v>
      </c>
      <c r="C257" s="10">
        <v>1321556.0</v>
      </c>
      <c r="D257" s="10">
        <v>1280296.0</v>
      </c>
      <c r="E257" s="10">
        <v>1351992.0</v>
      </c>
      <c r="F257" s="10">
        <v>1319505.0</v>
      </c>
      <c r="G257" s="10">
        <v>1406153.0</v>
      </c>
      <c r="H257" s="10">
        <v>1444806.0</v>
      </c>
      <c r="I257" s="10">
        <v>1389112.0</v>
      </c>
      <c r="J257" s="10">
        <v>1228422.0</v>
      </c>
      <c r="K257" s="10">
        <v>1283112.0</v>
      </c>
      <c r="L257" s="10">
        <v>1290021.0</v>
      </c>
      <c r="M257" s="10">
        <v>1676104.0</v>
      </c>
      <c r="N257" s="10">
        <v>1478812.0</v>
      </c>
      <c r="O257" s="10">
        <v>1.6469891E7</v>
      </c>
    </row>
    <row r="258">
      <c r="A258" s="6">
        <v>11.0</v>
      </c>
      <c r="B258" s="6" t="s">
        <v>40</v>
      </c>
      <c r="C258" s="7">
        <v>24492.0</v>
      </c>
      <c r="D258" s="7">
        <v>18823.0</v>
      </c>
      <c r="E258" s="7">
        <v>20755.0</v>
      </c>
      <c r="F258" s="7">
        <v>19962.0</v>
      </c>
      <c r="G258" s="7">
        <v>19507.0</v>
      </c>
      <c r="H258" s="7">
        <v>22342.0</v>
      </c>
      <c r="I258" s="7">
        <v>22922.0</v>
      </c>
      <c r="J258" s="7">
        <v>20272.0</v>
      </c>
      <c r="K258" s="7">
        <v>21680.0</v>
      </c>
      <c r="L258" s="7">
        <v>22025.0</v>
      </c>
      <c r="M258" s="7">
        <v>25141.0</v>
      </c>
      <c r="N258" s="7">
        <v>22430.0</v>
      </c>
      <c r="O258" s="7">
        <v>260351.0</v>
      </c>
    </row>
    <row r="259">
      <c r="A259" s="9">
        <v>12.0</v>
      </c>
      <c r="B259" s="9" t="s">
        <v>47</v>
      </c>
      <c r="C259" s="10">
        <v>2.0</v>
      </c>
      <c r="D259" s="10">
        <v>0.0</v>
      </c>
      <c r="E259" s="10">
        <v>1.0</v>
      </c>
      <c r="F259" s="10">
        <v>0.0</v>
      </c>
      <c r="G259" s="10">
        <v>1.0</v>
      </c>
      <c r="H259" s="10">
        <v>0.0</v>
      </c>
      <c r="I259" s="10">
        <v>0.0</v>
      </c>
      <c r="J259" s="10">
        <v>0.0</v>
      </c>
      <c r="K259" s="10">
        <v>0.0</v>
      </c>
      <c r="L259" s="10">
        <v>0.0</v>
      </c>
      <c r="M259" s="10">
        <v>1.0</v>
      </c>
      <c r="N259" s="10">
        <v>0.0</v>
      </c>
      <c r="O259" s="10">
        <v>5.0</v>
      </c>
    </row>
    <row r="260">
      <c r="A260" s="6">
        <v>13.0</v>
      </c>
      <c r="B260" s="6" t="s">
        <v>50</v>
      </c>
      <c r="C260" s="7">
        <v>1.0</v>
      </c>
      <c r="D260" s="7">
        <v>1.0</v>
      </c>
      <c r="E260" s="7">
        <v>1.0</v>
      </c>
      <c r="F260" s="7">
        <v>1.0</v>
      </c>
      <c r="G260" s="7">
        <v>3.0</v>
      </c>
      <c r="H260" s="7">
        <v>1.0</v>
      </c>
      <c r="I260" s="7">
        <v>3.0</v>
      </c>
      <c r="J260" s="7">
        <v>7.0</v>
      </c>
      <c r="K260" s="7">
        <v>16.0</v>
      </c>
      <c r="L260" s="7">
        <v>16.0</v>
      </c>
      <c r="M260" s="7">
        <v>22.0</v>
      </c>
      <c r="N260" s="7">
        <v>20.0</v>
      </c>
      <c r="O260" s="7">
        <v>92.0</v>
      </c>
    </row>
    <row r="261">
      <c r="A261" s="9">
        <v>14.0</v>
      </c>
      <c r="B261" s="9" t="s">
        <v>55</v>
      </c>
      <c r="C261" s="10">
        <v>6775.0</v>
      </c>
      <c r="D261" s="10">
        <v>5850.0</v>
      </c>
      <c r="E261" s="10">
        <v>5536.0</v>
      </c>
      <c r="F261" s="10">
        <v>4870.0</v>
      </c>
      <c r="G261" s="10">
        <v>5382.0</v>
      </c>
      <c r="H261" s="10">
        <v>5663.0</v>
      </c>
      <c r="I261" s="10">
        <v>6527.0</v>
      </c>
      <c r="J261" s="10">
        <v>5812.0</v>
      </c>
      <c r="K261" s="10">
        <v>5959.0</v>
      </c>
      <c r="L261" s="10">
        <v>5792.0</v>
      </c>
      <c r="M261" s="10">
        <v>6028.0</v>
      </c>
      <c r="N261" s="10">
        <v>5762.0</v>
      </c>
      <c r="O261" s="10">
        <v>69956.0</v>
      </c>
    </row>
    <row r="262">
      <c r="A262" s="6">
        <v>15.0</v>
      </c>
      <c r="B262" s="6" t="s">
        <v>58</v>
      </c>
      <c r="C262" s="7">
        <v>8.0</v>
      </c>
      <c r="D262" s="7">
        <v>15.0</v>
      </c>
      <c r="E262" s="7">
        <v>8.0</v>
      </c>
      <c r="F262" s="7">
        <v>32.0</v>
      </c>
      <c r="G262" s="7">
        <v>28.0</v>
      </c>
      <c r="H262" s="7">
        <v>16.0</v>
      </c>
      <c r="I262" s="7">
        <v>8.0</v>
      </c>
      <c r="J262" s="7">
        <v>14.0</v>
      </c>
      <c r="K262" s="7">
        <v>11.0</v>
      </c>
      <c r="L262" s="7">
        <v>20.0</v>
      </c>
      <c r="M262" s="7">
        <v>21.0</v>
      </c>
      <c r="N262" s="7">
        <v>21.0</v>
      </c>
      <c r="O262" s="7">
        <v>202.0</v>
      </c>
    </row>
    <row r="263">
      <c r="B263" s="1" t="s">
        <v>100</v>
      </c>
      <c r="C263" s="22">
        <f t="shared" ref="C263:O263" si="19">sum(C250,C252,C260)</f>
        <v>181</v>
      </c>
      <c r="D263" s="22">
        <f t="shared" si="19"/>
        <v>186</v>
      </c>
      <c r="E263" s="22">
        <f t="shared" si="19"/>
        <v>227</v>
      </c>
      <c r="F263" s="22">
        <f t="shared" si="19"/>
        <v>178</v>
      </c>
      <c r="G263" s="22">
        <f t="shared" si="19"/>
        <v>199</v>
      </c>
      <c r="H263" s="22">
        <f t="shared" si="19"/>
        <v>296</v>
      </c>
      <c r="I263" s="22">
        <f t="shared" si="19"/>
        <v>382</v>
      </c>
      <c r="J263" s="22">
        <f t="shared" si="19"/>
        <v>719</v>
      </c>
      <c r="K263" s="22">
        <f t="shared" si="19"/>
        <v>989</v>
      </c>
      <c r="L263" s="22">
        <f t="shared" si="19"/>
        <v>1143</v>
      </c>
      <c r="M263" s="22">
        <f t="shared" si="19"/>
        <v>1451</v>
      </c>
      <c r="N263" s="22">
        <f t="shared" si="19"/>
        <v>2441</v>
      </c>
      <c r="O263" s="22">
        <f t="shared" si="19"/>
        <v>8392</v>
      </c>
    </row>
    <row r="264">
      <c r="B264" s="1" t="s">
        <v>108</v>
      </c>
      <c r="C264" s="22">
        <f t="shared" ref="C264:O264" si="20">SUM(C248:C262)-C263-C256</f>
        <v>1615762</v>
      </c>
      <c r="D264" s="22">
        <f t="shared" si="20"/>
        <v>1533576</v>
      </c>
      <c r="E264" s="22">
        <f t="shared" si="20"/>
        <v>1622361</v>
      </c>
      <c r="F264" s="22">
        <f t="shared" si="20"/>
        <v>1560763</v>
      </c>
      <c r="G264" s="22">
        <f t="shared" si="20"/>
        <v>1644704</v>
      </c>
      <c r="H264" s="22">
        <f t="shared" si="20"/>
        <v>1700653</v>
      </c>
      <c r="I264" s="22">
        <f t="shared" si="20"/>
        <v>1648798</v>
      </c>
      <c r="J264" s="22">
        <f t="shared" si="20"/>
        <v>1468918</v>
      </c>
      <c r="K264" s="22">
        <f t="shared" si="20"/>
        <v>1534395</v>
      </c>
      <c r="L264" s="22">
        <f t="shared" si="20"/>
        <v>1540678</v>
      </c>
      <c r="M264" s="22">
        <f t="shared" si="20"/>
        <v>1947340</v>
      </c>
      <c r="N264" s="22">
        <f t="shared" si="20"/>
        <v>1737717</v>
      </c>
      <c r="O264" s="22">
        <f t="shared" si="20"/>
        <v>19555665</v>
      </c>
    </row>
  </sheetData>
  <mergeCells count="48">
    <mergeCell ref="A181:A182"/>
    <mergeCell ref="B181:B182"/>
    <mergeCell ref="C181:N181"/>
    <mergeCell ref="O181:O182"/>
    <mergeCell ref="B202:B203"/>
    <mergeCell ref="C202:N202"/>
    <mergeCell ref="O202:O203"/>
    <mergeCell ref="A202:A203"/>
    <mergeCell ref="A225:A226"/>
    <mergeCell ref="B225:B226"/>
    <mergeCell ref="C225:N225"/>
    <mergeCell ref="O225:O226"/>
    <mergeCell ref="A246:A247"/>
    <mergeCell ref="B246:B247"/>
    <mergeCell ref="A5:A6"/>
    <mergeCell ref="B5:B6"/>
    <mergeCell ref="C5:G5"/>
    <mergeCell ref="H5:H6"/>
    <mergeCell ref="B28:B29"/>
    <mergeCell ref="C28:G28"/>
    <mergeCell ref="H28:H29"/>
    <mergeCell ref="C78:N78"/>
    <mergeCell ref="O78:O79"/>
    <mergeCell ref="A28:A29"/>
    <mergeCell ref="A54:A55"/>
    <mergeCell ref="B54:B55"/>
    <mergeCell ref="C54:L54"/>
    <mergeCell ref="M54:M55"/>
    <mergeCell ref="A78:A79"/>
    <mergeCell ref="B78:B79"/>
    <mergeCell ref="A97:A98"/>
    <mergeCell ref="B97:B98"/>
    <mergeCell ref="C97:N97"/>
    <mergeCell ref="O97:O98"/>
    <mergeCell ref="B118:B119"/>
    <mergeCell ref="C118:N118"/>
    <mergeCell ref="O118:O119"/>
    <mergeCell ref="C159:N159"/>
    <mergeCell ref="O159:O160"/>
    <mergeCell ref="A118:A119"/>
    <mergeCell ref="A138:A139"/>
    <mergeCell ref="B138:B139"/>
    <mergeCell ref="C138:N138"/>
    <mergeCell ref="O138:O139"/>
    <mergeCell ref="A159:A160"/>
    <mergeCell ref="B159:B160"/>
    <mergeCell ref="C246:N246"/>
    <mergeCell ref="O246:O24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0"/>
    <col customWidth="1" min="2" max="2" width="20.88"/>
    <col customWidth="1" min="3" max="3" width="21.63"/>
    <col customWidth="1" min="4" max="4" width="26.88"/>
  </cols>
  <sheetData>
    <row r="1">
      <c r="A1" s="133" t="s">
        <v>240</v>
      </c>
    </row>
    <row r="3">
      <c r="A3" s="134" t="s">
        <v>241</v>
      </c>
      <c r="B3" s="134" t="s">
        <v>200</v>
      </c>
      <c r="C3" s="134" t="s">
        <v>242</v>
      </c>
      <c r="D3" s="134" t="s">
        <v>201</v>
      </c>
    </row>
    <row r="4">
      <c r="A4" s="32" t="s">
        <v>243</v>
      </c>
      <c r="B4" s="77">
        <f>'Exponential Smoothing with Adju'!F57</f>
        <v>145509.6932</v>
      </c>
      <c r="C4" s="77">
        <f>'Exponential Smoothing with Adju'!F59</f>
        <v>242499.981</v>
      </c>
      <c r="D4" s="79">
        <f>'Exponential Smoothing with Adju'!F60</f>
        <v>0.3685350044</v>
      </c>
    </row>
    <row r="5">
      <c r="A5" s="32" t="s">
        <v>244</v>
      </c>
      <c r="B5" s="77">
        <f>'Exponential Smoothing'!D51</f>
        <v>262836.7009</v>
      </c>
      <c r="C5" s="77">
        <f>'Exponential Smoothing'!D53</f>
        <v>391404.4332</v>
      </c>
      <c r="D5" s="79">
        <f>'Exponential Smoothing'!D54</f>
        <v>0.4945046068</v>
      </c>
    </row>
    <row r="6">
      <c r="A6" s="32" t="s">
        <v>245</v>
      </c>
      <c r="B6" s="21">
        <f>'Trend Line'!D72</f>
        <v>261177.9753</v>
      </c>
      <c r="C6" s="21">
        <f>'Trend Line'!D70</f>
        <v>323658.7646</v>
      </c>
      <c r="D6" s="79">
        <f>'Trend Line'!D71</f>
        <v>4.590511732</v>
      </c>
    </row>
    <row r="7">
      <c r="A7" s="32" t="s">
        <v>246</v>
      </c>
      <c r="B7" s="21">
        <f>'Weighted Moving Average'!D54</f>
        <v>402863.5556</v>
      </c>
      <c r="C7" s="77">
        <f>'Weighted Moving Average'!D52</f>
        <v>574431.5007</v>
      </c>
      <c r="D7" s="79">
        <f>'Weighted Moving Average'!D53</f>
        <v>0.4754210275</v>
      </c>
    </row>
    <row r="8">
      <c r="A8" s="32" t="s">
        <v>247</v>
      </c>
      <c r="B8" s="21">
        <f>'Simple Moving Average'!E48</f>
        <v>441758.9444</v>
      </c>
      <c r="C8" s="77">
        <f>'Simple Moving Average'!E46</f>
        <v>636369.0252</v>
      </c>
      <c r="D8" s="79">
        <f>'Simple Moving Average'!E47</f>
        <v>0.518774179</v>
      </c>
    </row>
    <row r="34">
      <c r="A34" s="133" t="s">
        <v>248</v>
      </c>
    </row>
    <row r="35">
      <c r="A35" s="134" t="s">
        <v>241</v>
      </c>
      <c r="B35" s="134" t="s">
        <v>200</v>
      </c>
      <c r="C35" s="134" t="s">
        <v>242</v>
      </c>
      <c r="D35" s="134" t="s">
        <v>201</v>
      </c>
    </row>
    <row r="36">
      <c r="A36" s="32" t="s">
        <v>243</v>
      </c>
      <c r="B36" s="77">
        <f>'Exponential Smoothing with Adju'!L57</f>
        <v>1826675.252</v>
      </c>
      <c r="C36" s="77">
        <f>'Exponential Smoothing with Adju'!L59</f>
        <v>2869917.81</v>
      </c>
      <c r="D36" s="79">
        <f>'Exponential Smoothing with Adju'!L60</f>
        <v>0.0913821492</v>
      </c>
    </row>
    <row r="37">
      <c r="A37" s="32" t="s">
        <v>244</v>
      </c>
      <c r="B37" s="77">
        <f>'Exponential Smoothing'!H51</f>
        <v>2117772.336</v>
      </c>
      <c r="C37" s="77">
        <f>'Exponential Smoothing'!H53</f>
        <v>2542285.224</v>
      </c>
      <c r="D37" s="79">
        <f>'Exponential Smoothing'!H54</f>
        <v>0.1013467181</v>
      </c>
    </row>
    <row r="38">
      <c r="A38" s="32" t="s">
        <v>245</v>
      </c>
      <c r="B38" s="21">
        <f>'Trend Line'!D96</f>
        <v>4282583.637</v>
      </c>
      <c r="C38" s="21">
        <f>'Trend Line'!D94</f>
        <v>2244467.86</v>
      </c>
      <c r="D38" s="79">
        <f>'Trend Line'!D95</f>
        <v>0.09170220038</v>
      </c>
    </row>
    <row r="39">
      <c r="A39" s="32" t="s">
        <v>246</v>
      </c>
      <c r="B39" s="21">
        <f>'Weighted Moving Average'!H54</f>
        <v>2620967.861</v>
      </c>
      <c r="C39" s="77">
        <f>'Weighted Moving Average'!H52</f>
        <v>3193087.138</v>
      </c>
      <c r="D39" s="79">
        <f>'Weighted Moving Average'!H53</f>
        <v>0.129227746</v>
      </c>
    </row>
    <row r="40">
      <c r="A40" s="32" t="s">
        <v>247</v>
      </c>
      <c r="B40" s="21">
        <f>'Simple Moving Average'!I48</f>
        <v>2899425.667</v>
      </c>
      <c r="C40" s="77">
        <f>'Simple Moving Average'!I46</f>
        <v>3491787.943</v>
      </c>
      <c r="D40" s="79">
        <f>'Simple Moving Average'!I47</f>
        <v>0.1418439055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16" max="16" width="13.88"/>
  </cols>
  <sheetData>
    <row r="1">
      <c r="A1" s="133" t="s">
        <v>249</v>
      </c>
    </row>
    <row r="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A3" s="135" t="s">
        <v>100</v>
      </c>
      <c r="B3" s="135" t="s">
        <v>250</v>
      </c>
      <c r="C3" s="135" t="s">
        <v>251</v>
      </c>
      <c r="D3" s="135" t="s">
        <v>252</v>
      </c>
      <c r="E3" s="135" t="s">
        <v>253</v>
      </c>
      <c r="F3" s="135" t="s">
        <v>254</v>
      </c>
      <c r="G3" s="135" t="s">
        <v>255</v>
      </c>
      <c r="H3" s="135" t="s">
        <v>256</v>
      </c>
      <c r="I3" s="135" t="s">
        <v>257</v>
      </c>
      <c r="J3" s="135" t="s">
        <v>258</v>
      </c>
      <c r="K3" s="135" t="s">
        <v>259</v>
      </c>
      <c r="L3" s="135" t="s">
        <v>260</v>
      </c>
      <c r="M3" s="135" t="s">
        <v>261</v>
      </c>
      <c r="N3" s="1" t="s">
        <v>121</v>
      </c>
      <c r="P3" s="34" t="s">
        <v>262</v>
      </c>
      <c r="Q3" s="110">
        <f>'Exponential Smoothing with Adju'!E47</f>
        <v>2564499.429</v>
      </c>
    </row>
    <row r="4">
      <c r="A4" s="136">
        <v>2015.0</v>
      </c>
      <c r="B4" s="38">
        <v>181.0</v>
      </c>
      <c r="C4" s="38">
        <v>186.0</v>
      </c>
      <c r="D4" s="38">
        <v>227.0</v>
      </c>
      <c r="E4" s="38">
        <v>178.0</v>
      </c>
      <c r="F4" s="38">
        <v>199.0</v>
      </c>
      <c r="G4" s="38">
        <v>296.0</v>
      </c>
      <c r="H4" s="38">
        <v>382.0</v>
      </c>
      <c r="I4" s="38">
        <v>719.0</v>
      </c>
      <c r="J4" s="38">
        <v>989.0</v>
      </c>
      <c r="K4" s="38">
        <v>1143.0</v>
      </c>
      <c r="L4" s="38">
        <v>1451.0</v>
      </c>
      <c r="M4" s="38">
        <v>2441.0</v>
      </c>
      <c r="N4" s="23">
        <v>8392.0</v>
      </c>
      <c r="P4" s="34" t="s">
        <v>263</v>
      </c>
      <c r="Q4" s="49">
        <f>Q3/12</f>
        <v>213708.2858</v>
      </c>
    </row>
    <row r="5">
      <c r="A5" s="136">
        <v>2016.0</v>
      </c>
      <c r="B5" s="38">
        <v>2200.0</v>
      </c>
      <c r="C5" s="38">
        <v>2931.0</v>
      </c>
      <c r="D5" s="38">
        <v>5200.0</v>
      </c>
      <c r="E5" s="38">
        <v>4348.0</v>
      </c>
      <c r="F5" s="38">
        <v>4866.0</v>
      </c>
      <c r="G5" s="38">
        <v>5982.0</v>
      </c>
      <c r="H5" s="38">
        <v>5476.0</v>
      </c>
      <c r="I5" s="38">
        <v>5348.0</v>
      </c>
      <c r="J5" s="38">
        <v>5351.0</v>
      </c>
      <c r="K5" s="38">
        <v>8069.0</v>
      </c>
      <c r="L5" s="38">
        <v>5914.0</v>
      </c>
      <c r="M5" s="38">
        <v>6032.0</v>
      </c>
      <c r="N5" s="23">
        <v>61717.0</v>
      </c>
    </row>
    <row r="6">
      <c r="A6" s="136">
        <v>2017.0</v>
      </c>
      <c r="B6" s="38">
        <v>6866.0</v>
      </c>
      <c r="C6" s="38">
        <v>7319.0</v>
      </c>
      <c r="D6" s="38">
        <v>10352.0</v>
      </c>
      <c r="E6" s="38">
        <v>8902.0</v>
      </c>
      <c r="F6" s="38">
        <v>11686.0</v>
      </c>
      <c r="G6" s="38">
        <v>12791.0</v>
      </c>
      <c r="H6" s="38">
        <v>13613.0</v>
      </c>
      <c r="I6" s="38">
        <v>12655.0</v>
      </c>
      <c r="J6" s="38">
        <v>11512.0</v>
      </c>
      <c r="K6" s="38">
        <v>12436.0</v>
      </c>
      <c r="L6" s="38">
        <v>15409.0</v>
      </c>
      <c r="M6" s="38">
        <v>13037.0</v>
      </c>
      <c r="N6" s="23">
        <v>136578.0</v>
      </c>
    </row>
    <row r="7">
      <c r="A7" s="136">
        <v>2018.0</v>
      </c>
      <c r="B7" s="38">
        <v>14590.0</v>
      </c>
      <c r="C7" s="38">
        <v>12270.0</v>
      </c>
      <c r="D7" s="38">
        <v>13264.0</v>
      </c>
      <c r="E7" s="38">
        <v>12415.0</v>
      </c>
      <c r="F7" s="38">
        <v>13628.0</v>
      </c>
      <c r="G7" s="38">
        <v>13696.0</v>
      </c>
      <c r="H7" s="38">
        <v>16315.0</v>
      </c>
      <c r="I7" s="38">
        <v>16819.0</v>
      </c>
      <c r="J7" s="38">
        <v>19639.0</v>
      </c>
      <c r="K7" s="38">
        <v>22012.0</v>
      </c>
      <c r="L7" s="38">
        <v>21630.0</v>
      </c>
      <c r="M7" s="38">
        <v>25279.0</v>
      </c>
      <c r="N7" s="23">
        <v>201557.0</v>
      </c>
    </row>
    <row r="8">
      <c r="A8" s="136">
        <v>2019.0</v>
      </c>
      <c r="B8" s="38">
        <v>27974.0</v>
      </c>
      <c r="C8" s="38">
        <v>23941.0</v>
      </c>
      <c r="D8" s="38">
        <v>27522.0</v>
      </c>
      <c r="E8" s="38">
        <v>22573.0</v>
      </c>
      <c r="F8" s="38">
        <v>20580.0</v>
      </c>
      <c r="G8" s="38">
        <v>19441.0</v>
      </c>
      <c r="H8" s="38">
        <v>19970.0</v>
      </c>
      <c r="I8" s="38">
        <v>20211.0</v>
      </c>
      <c r="J8" s="38">
        <v>23016.0</v>
      </c>
      <c r="K8" s="38">
        <v>25874.0</v>
      </c>
      <c r="L8" s="38">
        <v>27714.0</v>
      </c>
      <c r="M8" s="38">
        <v>23417.0</v>
      </c>
      <c r="N8" s="23">
        <v>282233.0</v>
      </c>
    </row>
    <row r="9">
      <c r="A9" s="136">
        <v>2020.0</v>
      </c>
      <c r="B9" s="38">
        <v>24149.0</v>
      </c>
      <c r="C9" s="38">
        <v>22523.0</v>
      </c>
      <c r="D9" s="38">
        <v>22272.0</v>
      </c>
      <c r="E9" s="38">
        <v>1525.0</v>
      </c>
      <c r="F9" s="38">
        <v>2981.0</v>
      </c>
      <c r="G9" s="38">
        <v>12904.0</v>
      </c>
      <c r="H9" s="38">
        <v>14259.0</v>
      </c>
      <c r="I9" s="38">
        <v>16724.0</v>
      </c>
      <c r="J9" s="38">
        <v>20677.0</v>
      </c>
      <c r="K9" s="38">
        <v>22074.0</v>
      </c>
      <c r="L9" s="38">
        <v>25779.0</v>
      </c>
      <c r="M9" s="38">
        <v>28043.0</v>
      </c>
      <c r="N9" s="23">
        <v>213910.0</v>
      </c>
    </row>
    <row r="10">
      <c r="A10" s="136">
        <v>2021.0</v>
      </c>
      <c r="B10" s="38">
        <v>30177.0</v>
      </c>
      <c r="C10" s="38">
        <v>30987.0</v>
      </c>
      <c r="D10" s="38">
        <v>40599.0</v>
      </c>
      <c r="E10" s="38">
        <v>23171.0</v>
      </c>
      <c r="F10" s="38">
        <v>6559.0</v>
      </c>
      <c r="G10" s="38">
        <v>19911.0</v>
      </c>
      <c r="H10" s="38">
        <v>41056.0</v>
      </c>
      <c r="I10" s="38">
        <v>42999.0</v>
      </c>
      <c r="J10" s="38">
        <v>47203.0</v>
      </c>
      <c r="K10" s="38">
        <v>53808.0</v>
      </c>
      <c r="L10" s="38">
        <v>57140.0</v>
      </c>
      <c r="M10" s="38">
        <v>63847.0</v>
      </c>
      <c r="N10" s="23">
        <v>457457.0</v>
      </c>
    </row>
    <row r="11">
      <c r="A11" s="136">
        <v>2022.0</v>
      </c>
      <c r="B11" s="38">
        <v>62475.0</v>
      </c>
      <c r="C11" s="38">
        <v>67672.0</v>
      </c>
      <c r="D11" s="38">
        <v>91418.0</v>
      </c>
      <c r="E11" s="38">
        <v>84895.0</v>
      </c>
      <c r="F11" s="38">
        <v>85643.0</v>
      </c>
      <c r="G11" s="38">
        <v>88511.0</v>
      </c>
      <c r="H11" s="38">
        <v>93266.0</v>
      </c>
      <c r="I11" s="38">
        <v>107737.0</v>
      </c>
      <c r="J11" s="38">
        <v>114328.0</v>
      </c>
      <c r="K11" s="38">
        <v>145033.0</v>
      </c>
      <c r="L11" s="38">
        <v>147557.0</v>
      </c>
      <c r="M11" s="38">
        <v>129690.0</v>
      </c>
      <c r="N11" s="23">
        <v>1218225.0</v>
      </c>
    </row>
    <row r="12">
      <c r="A12" s="136">
        <v>2023.0</v>
      </c>
      <c r="B12" s="38">
        <v>133323.0</v>
      </c>
      <c r="C12" s="38">
        <v>138912.0</v>
      </c>
      <c r="D12" s="38">
        <v>179041.0</v>
      </c>
      <c r="E12" s="38">
        <v>139367.0</v>
      </c>
      <c r="F12" s="38">
        <v>184766.0</v>
      </c>
      <c r="G12" s="38">
        <v>129218.0</v>
      </c>
      <c r="H12" s="38">
        <v>139942.0</v>
      </c>
      <c r="I12" s="38">
        <v>153026.0</v>
      </c>
      <c r="J12" s="38">
        <v>155650.0</v>
      </c>
      <c r="K12" s="38">
        <v>168116.0</v>
      </c>
      <c r="L12" s="38">
        <v>180627.0</v>
      </c>
      <c r="M12" s="38">
        <v>164253.0</v>
      </c>
      <c r="N12" s="23">
        <v>1866241.0</v>
      </c>
    </row>
    <row r="13">
      <c r="A13" s="34" t="s">
        <v>264</v>
      </c>
      <c r="B13" s="38">
        <f t="shared" ref="B13:M13" si="1">AVERAGE(B4:B12)</f>
        <v>33548.33333</v>
      </c>
      <c r="C13" s="38">
        <f t="shared" si="1"/>
        <v>34082.33333</v>
      </c>
      <c r="D13" s="38">
        <f t="shared" si="1"/>
        <v>43321.66667</v>
      </c>
      <c r="E13" s="38">
        <f t="shared" si="1"/>
        <v>33041.55556</v>
      </c>
      <c r="F13" s="38">
        <f t="shared" si="1"/>
        <v>36767.55556</v>
      </c>
      <c r="G13" s="38">
        <f t="shared" si="1"/>
        <v>33638.88889</v>
      </c>
      <c r="H13" s="38">
        <f t="shared" si="1"/>
        <v>38253.22222</v>
      </c>
      <c r="I13" s="38">
        <f t="shared" si="1"/>
        <v>41804.22222</v>
      </c>
      <c r="J13" s="38">
        <f t="shared" si="1"/>
        <v>44262.77778</v>
      </c>
      <c r="K13" s="38">
        <f t="shared" si="1"/>
        <v>50951.66667</v>
      </c>
      <c r="L13" s="38">
        <f t="shared" si="1"/>
        <v>53691.22222</v>
      </c>
      <c r="M13" s="38">
        <f t="shared" si="1"/>
        <v>50671</v>
      </c>
      <c r="N13" s="23">
        <f>SUM(B13:M13)</f>
        <v>494034.4444</v>
      </c>
    </row>
    <row r="14">
      <c r="A14" s="34" t="s">
        <v>265</v>
      </c>
      <c r="B14" s="137">
        <f t="shared" ref="B14:M14" si="2">$N$13/12</f>
        <v>41169.53704</v>
      </c>
      <c r="C14" s="137">
        <f t="shared" si="2"/>
        <v>41169.53704</v>
      </c>
      <c r="D14" s="137">
        <f t="shared" si="2"/>
        <v>41169.53704</v>
      </c>
      <c r="E14" s="137">
        <f t="shared" si="2"/>
        <v>41169.53704</v>
      </c>
      <c r="F14" s="137">
        <f t="shared" si="2"/>
        <v>41169.53704</v>
      </c>
      <c r="G14" s="137">
        <f t="shared" si="2"/>
        <v>41169.53704</v>
      </c>
      <c r="H14" s="137">
        <f t="shared" si="2"/>
        <v>41169.53704</v>
      </c>
      <c r="I14" s="137">
        <f t="shared" si="2"/>
        <v>41169.53704</v>
      </c>
      <c r="J14" s="137">
        <f t="shared" si="2"/>
        <v>41169.53704</v>
      </c>
      <c r="K14" s="137">
        <f t="shared" si="2"/>
        <v>41169.53704</v>
      </c>
      <c r="L14" s="137">
        <f t="shared" si="2"/>
        <v>41169.53704</v>
      </c>
      <c r="M14" s="137">
        <f t="shared" si="2"/>
        <v>41169.53704</v>
      </c>
    </row>
    <row r="15">
      <c r="A15" s="34" t="s">
        <v>266</v>
      </c>
      <c r="B15" s="137">
        <f t="shared" ref="B15:M15" si="3">B13/B14</f>
        <v>0.8148824531</v>
      </c>
      <c r="C15" s="137">
        <f t="shared" si="3"/>
        <v>0.8278532086</v>
      </c>
      <c r="D15" s="137">
        <f t="shared" si="3"/>
        <v>1.052274808</v>
      </c>
      <c r="E15" s="137">
        <f t="shared" si="3"/>
        <v>0.80257292</v>
      </c>
      <c r="F15" s="137">
        <f t="shared" si="3"/>
        <v>0.893076731</v>
      </c>
      <c r="G15" s="137">
        <f t="shared" si="3"/>
        <v>0.8170820298</v>
      </c>
      <c r="H15" s="137">
        <f t="shared" si="3"/>
        <v>0.9291632837</v>
      </c>
      <c r="I15" s="137">
        <f t="shared" si="3"/>
        <v>1.015416379</v>
      </c>
      <c r="J15" s="137">
        <f t="shared" si="3"/>
        <v>1.075134212</v>
      </c>
      <c r="K15" s="137">
        <f t="shared" si="3"/>
        <v>1.237606015</v>
      </c>
      <c r="L15" s="137">
        <f t="shared" si="3"/>
        <v>1.304149283</v>
      </c>
      <c r="M15" s="137">
        <f t="shared" si="3"/>
        <v>1.230788676</v>
      </c>
    </row>
    <row r="16">
      <c r="A16" s="34" t="s">
        <v>262</v>
      </c>
      <c r="B16" s="110">
        <f t="shared" ref="B16:M16" si="4">B15*$Q$4</f>
        <v>174147.1321</v>
      </c>
      <c r="C16" s="110">
        <f t="shared" si="4"/>
        <v>176919.0901</v>
      </c>
      <c r="D16" s="110">
        <f t="shared" si="4"/>
        <v>224879.8453</v>
      </c>
      <c r="E16" s="110">
        <f t="shared" si="4"/>
        <v>171516.4829</v>
      </c>
      <c r="F16" s="110">
        <f t="shared" si="4"/>
        <v>190857.8972</v>
      </c>
      <c r="G16" s="110">
        <f t="shared" si="4"/>
        <v>174617.1999</v>
      </c>
      <c r="H16" s="110">
        <f t="shared" si="4"/>
        <v>198569.8926</v>
      </c>
      <c r="I16" s="110">
        <f t="shared" si="4"/>
        <v>217002.8937</v>
      </c>
      <c r="J16" s="110">
        <f t="shared" si="4"/>
        <v>229765.0895</v>
      </c>
      <c r="K16" s="110">
        <f t="shared" si="4"/>
        <v>264486.6599</v>
      </c>
      <c r="L16" s="110">
        <f t="shared" si="4"/>
        <v>278707.5077</v>
      </c>
      <c r="M16" s="110">
        <f t="shared" si="4"/>
        <v>263029.7382</v>
      </c>
    </row>
    <row r="17">
      <c r="A17" s="34" t="s">
        <v>267</v>
      </c>
      <c r="B17" s="49">
        <v>176820.0</v>
      </c>
      <c r="C17" s="49">
        <v>172653.0</v>
      </c>
      <c r="D17" s="49">
        <v>242566.0</v>
      </c>
      <c r="E17" s="49">
        <v>146391.0</v>
      </c>
      <c r="F17" s="49">
        <v>167740.0</v>
      </c>
      <c r="G17" s="49">
        <v>165320.0</v>
      </c>
      <c r="H17" s="49">
        <v>209867.0</v>
      </c>
      <c r="I17" s="49">
        <v>186342.0</v>
      </c>
      <c r="J17" s="49">
        <v>186140.0</v>
      </c>
      <c r="K17" s="49"/>
      <c r="L17" s="49"/>
      <c r="M17" s="49"/>
    </row>
    <row r="18">
      <c r="A18" s="34" t="s">
        <v>268</v>
      </c>
      <c r="B18" s="110">
        <f t="shared" ref="B18:J18" si="5">abs(B16-B17)</f>
        <v>2672.867851</v>
      </c>
      <c r="C18" s="110">
        <f t="shared" si="5"/>
        <v>4266.090077</v>
      </c>
      <c r="D18" s="110">
        <f t="shared" si="5"/>
        <v>17686.1547</v>
      </c>
      <c r="E18" s="110">
        <f t="shared" si="5"/>
        <v>25125.48294</v>
      </c>
      <c r="F18" s="110">
        <f t="shared" si="5"/>
        <v>23117.89725</v>
      </c>
      <c r="G18" s="110">
        <f t="shared" si="5"/>
        <v>9297.199921</v>
      </c>
      <c r="H18" s="110">
        <f t="shared" si="5"/>
        <v>11297.10744</v>
      </c>
      <c r="I18" s="110">
        <f t="shared" si="5"/>
        <v>30660.89369</v>
      </c>
      <c r="J18" s="110">
        <f t="shared" si="5"/>
        <v>43625.0895</v>
      </c>
    </row>
    <row r="19">
      <c r="A19" s="34" t="s">
        <v>269</v>
      </c>
      <c r="B19" s="110">
        <f>average(B18:J18)</f>
        <v>18638.75371</v>
      </c>
    </row>
    <row r="20">
      <c r="A20" s="34" t="s">
        <v>270</v>
      </c>
      <c r="B20" s="49">
        <f>AVERAGE(B18^2, C18^2 ,D18^2,E18^2,F18^2,G18^2,H18^2,I18^2,J18^2)</f>
        <v>506796920</v>
      </c>
    </row>
    <row r="21">
      <c r="A21" s="34" t="s">
        <v>271</v>
      </c>
      <c r="B21" s="110">
        <f>SQRT(B20)</f>
        <v>22512.1505</v>
      </c>
    </row>
    <row r="22">
      <c r="A22" s="34" t="s">
        <v>272</v>
      </c>
      <c r="B22" s="138">
        <f>AVERAGE(B18/B17 , C18/C17 , D18/D17 , E18/E17 , F18/F17 , G18/G17 , H18/H17 , I18/I17 , J18/J17)</f>
        <v>0.1034629044</v>
      </c>
    </row>
    <row r="25">
      <c r="A25" s="135" t="s">
        <v>108</v>
      </c>
      <c r="B25" s="135" t="s">
        <v>250</v>
      </c>
      <c r="C25" s="135" t="s">
        <v>251</v>
      </c>
      <c r="D25" s="135" t="s">
        <v>252</v>
      </c>
      <c r="E25" s="135" t="s">
        <v>253</v>
      </c>
      <c r="F25" s="135" t="s">
        <v>254</v>
      </c>
      <c r="G25" s="135" t="s">
        <v>255</v>
      </c>
      <c r="H25" s="135" t="s">
        <v>256</v>
      </c>
      <c r="I25" s="135" t="s">
        <v>257</v>
      </c>
      <c r="J25" s="135" t="s">
        <v>258</v>
      </c>
      <c r="K25" s="135" t="s">
        <v>259</v>
      </c>
      <c r="L25" s="135" t="s">
        <v>260</v>
      </c>
      <c r="M25" s="135" t="s">
        <v>261</v>
      </c>
      <c r="N25" s="1" t="s">
        <v>121</v>
      </c>
      <c r="P25" s="34" t="s">
        <v>262</v>
      </c>
      <c r="Q25" s="110">
        <f>'Exponential Smoothing with Adju'!K47</f>
        <v>22893808.27</v>
      </c>
    </row>
    <row r="26">
      <c r="A26" s="139">
        <v>2015.0</v>
      </c>
      <c r="B26" s="140">
        <v>1615762.0</v>
      </c>
      <c r="C26" s="140">
        <v>1533576.0</v>
      </c>
      <c r="D26" s="140">
        <v>1622361.0</v>
      </c>
      <c r="E26" s="140">
        <v>1560763.0</v>
      </c>
      <c r="F26" s="140">
        <v>1644704.0</v>
      </c>
      <c r="G26" s="140">
        <v>1700653.0</v>
      </c>
      <c r="H26" s="140">
        <v>1648798.0</v>
      </c>
      <c r="I26" s="140">
        <v>1468918.0</v>
      </c>
      <c r="J26" s="140">
        <v>1534395.0</v>
      </c>
      <c r="K26" s="140">
        <v>1540678.0</v>
      </c>
      <c r="L26" s="140">
        <v>1947340.0</v>
      </c>
      <c r="M26" s="140">
        <v>1737717.0</v>
      </c>
      <c r="N26" s="22">
        <v>1.9555665E7</v>
      </c>
      <c r="P26" s="34" t="s">
        <v>263</v>
      </c>
      <c r="Q26" s="49">
        <f>Q25/12</f>
        <v>1907817.356</v>
      </c>
    </row>
    <row r="27">
      <c r="A27" s="139">
        <v>2016.0</v>
      </c>
      <c r="B27" s="140">
        <v>1722207.0</v>
      </c>
      <c r="C27" s="140">
        <v>1735125.0</v>
      </c>
      <c r="D27" s="140">
        <v>1745988.0</v>
      </c>
      <c r="E27" s="140">
        <v>1723489.0</v>
      </c>
      <c r="F27" s="140">
        <v>1835486.0</v>
      </c>
      <c r="G27" s="140">
        <v>1803463.0</v>
      </c>
      <c r="H27" s="140">
        <v>1672994.0</v>
      </c>
      <c r="I27" s="140">
        <v>1656469.0</v>
      </c>
      <c r="J27" s="140">
        <v>1621850.0</v>
      </c>
      <c r="K27" s="140">
        <v>1977266.0</v>
      </c>
      <c r="L27" s="140">
        <v>2117535.0</v>
      </c>
      <c r="M27" s="140">
        <v>1527524.0</v>
      </c>
      <c r="N27" s="22">
        <v>2.1139396E7</v>
      </c>
    </row>
    <row r="28">
      <c r="A28" s="139">
        <v>2017.0</v>
      </c>
      <c r="B28" s="140">
        <v>1626801.0</v>
      </c>
      <c r="C28" s="140">
        <v>1646977.0</v>
      </c>
      <c r="D28" s="140">
        <v>2240320.0</v>
      </c>
      <c r="E28" s="140">
        <v>1914195.0</v>
      </c>
      <c r="F28" s="140">
        <v>1992815.0</v>
      </c>
      <c r="G28" s="140">
        <v>1927347.0</v>
      </c>
      <c r="H28" s="140">
        <v>1790157.0</v>
      </c>
      <c r="I28" s="140">
        <v>1715956.0</v>
      </c>
      <c r="J28" s="140">
        <v>1772188.0</v>
      </c>
      <c r="K28" s="140">
        <v>2233602.0</v>
      </c>
      <c r="L28" s="140">
        <v>2431113.0</v>
      </c>
      <c r="M28" s="140">
        <v>1766722.0</v>
      </c>
      <c r="N28" s="22">
        <v>2.3058193E7</v>
      </c>
    </row>
    <row r="29">
      <c r="A29" s="139">
        <v>2018.0</v>
      </c>
      <c r="B29" s="140">
        <v>2086081.0</v>
      </c>
      <c r="C29" s="140">
        <v>1885994.0</v>
      </c>
      <c r="D29" s="140">
        <v>2182055.0</v>
      </c>
      <c r="E29" s="140">
        <v>2113031.0</v>
      </c>
      <c r="F29" s="140">
        <v>2293762.0</v>
      </c>
      <c r="G29" s="140">
        <v>2080532.0</v>
      </c>
      <c r="H29" s="140">
        <v>2100375.0</v>
      </c>
      <c r="I29" s="140">
        <v>1937499.0</v>
      </c>
      <c r="J29" s="140">
        <v>1895645.0</v>
      </c>
      <c r="K29" s="140">
        <v>1990751.0</v>
      </c>
      <c r="L29" s="140">
        <v>2376313.0</v>
      </c>
      <c r="M29" s="140">
        <v>2161574.0</v>
      </c>
      <c r="N29" s="22">
        <v>2.5103612E7</v>
      </c>
    </row>
    <row r="30">
      <c r="A30" s="139">
        <v>2019.0</v>
      </c>
      <c r="B30" s="140">
        <v>2092373.0</v>
      </c>
      <c r="C30" s="140">
        <v>1867260.0</v>
      </c>
      <c r="D30" s="140">
        <v>2053042.0</v>
      </c>
      <c r="E30" s="140">
        <v>1946742.0</v>
      </c>
      <c r="F30" s="140">
        <v>2052040.0</v>
      </c>
      <c r="G30" s="140">
        <v>1899454.0</v>
      </c>
      <c r="H30" s="140">
        <v>2012286.0</v>
      </c>
      <c r="I30" s="140">
        <v>1786490.0</v>
      </c>
      <c r="J30" s="140">
        <v>1625170.0</v>
      </c>
      <c r="K30" s="140">
        <v>2092941.0</v>
      </c>
      <c r="L30" s="140">
        <v>2495112.0</v>
      </c>
      <c r="M30" s="140">
        <v>1861202.0</v>
      </c>
      <c r="N30" s="22">
        <v>2.3784112E7</v>
      </c>
    </row>
    <row r="31">
      <c r="A31" s="139">
        <v>2020.0</v>
      </c>
      <c r="B31" s="140">
        <v>1969876.0</v>
      </c>
      <c r="C31" s="140">
        <v>1930177.0</v>
      </c>
      <c r="D31" s="140">
        <v>2562756.0</v>
      </c>
      <c r="E31" s="140">
        <v>482974.0</v>
      </c>
      <c r="F31" s="140">
        <v>238569.0</v>
      </c>
      <c r="G31" s="140">
        <v>1120206.0</v>
      </c>
      <c r="H31" s="140">
        <v>1308887.0</v>
      </c>
      <c r="I31" s="140">
        <v>1377830.0</v>
      </c>
      <c r="J31" s="140">
        <v>1535506.0</v>
      </c>
      <c r="K31" s="140">
        <v>1633304.0</v>
      </c>
      <c r="L31" s="140">
        <v>2090045.0</v>
      </c>
      <c r="M31" s="140">
        <v>2084252.0</v>
      </c>
      <c r="N31" s="22">
        <v>1.8334382E7</v>
      </c>
    </row>
    <row r="32">
      <c r="A32" s="139">
        <v>2021.0</v>
      </c>
      <c r="B32" s="140">
        <v>1826324.0</v>
      </c>
      <c r="C32" s="140">
        <v>1666020.0</v>
      </c>
      <c r="D32" s="140">
        <v>1825268.0</v>
      </c>
      <c r="E32" s="140">
        <v>1284487.0</v>
      </c>
      <c r="F32" s="140">
        <v>589891.0</v>
      </c>
      <c r="G32" s="140">
        <v>1382264.0</v>
      </c>
      <c r="H32" s="140">
        <v>1724857.0</v>
      </c>
      <c r="I32" s="140">
        <v>1513034.0</v>
      </c>
      <c r="J32" s="140">
        <v>1407748.0</v>
      </c>
      <c r="K32" s="140">
        <v>1490593.0</v>
      </c>
      <c r="L32" s="140">
        <v>1969605.0</v>
      </c>
      <c r="M32" s="140">
        <v>1692787.0</v>
      </c>
      <c r="N32" s="22">
        <v>1.8372878E7</v>
      </c>
    </row>
    <row r="33">
      <c r="A33" s="139">
        <v>2022.0</v>
      </c>
      <c r="B33" s="140">
        <v>1557204.0</v>
      </c>
      <c r="C33" s="140">
        <v>1472012.0</v>
      </c>
      <c r="D33" s="140">
        <v>1704311.0</v>
      </c>
      <c r="E33" s="140">
        <v>1716554.0</v>
      </c>
      <c r="F33" s="140">
        <v>1750300.0</v>
      </c>
      <c r="G33" s="140">
        <v>1614742.0</v>
      </c>
      <c r="H33" s="140">
        <v>1517414.0</v>
      </c>
      <c r="I33" s="140">
        <v>1567769.0</v>
      </c>
      <c r="J33" s="140">
        <v>1450618.0</v>
      </c>
      <c r="K33" s="140">
        <v>2151383.0</v>
      </c>
      <c r="L33" s="140">
        <v>2263527.0</v>
      </c>
      <c r="M33" s="140">
        <v>1515473.0</v>
      </c>
      <c r="N33" s="22">
        <v>2.0281307E7</v>
      </c>
    </row>
    <row r="34">
      <c r="A34" s="139">
        <v>2023.0</v>
      </c>
      <c r="B34" s="140">
        <v>1717816.0</v>
      </c>
      <c r="C34" s="140">
        <v>1657409.0</v>
      </c>
      <c r="D34" s="140">
        <v>1884990.0</v>
      </c>
      <c r="E34" s="140">
        <v>1602671.0</v>
      </c>
      <c r="F34" s="140">
        <v>1853054.0</v>
      </c>
      <c r="G34" s="140">
        <v>1753850.0</v>
      </c>
      <c r="H34" s="140">
        <v>1647976.0</v>
      </c>
      <c r="I34" s="140">
        <v>1686662.0</v>
      </c>
      <c r="J34" s="140">
        <v>1744888.0</v>
      </c>
      <c r="K34" s="140">
        <v>1977342.0</v>
      </c>
      <c r="L34" s="140">
        <v>2705988.0</v>
      </c>
      <c r="M34" s="140">
        <v>1844096.0</v>
      </c>
      <c r="N34" s="22">
        <v>2.2076742E7</v>
      </c>
    </row>
    <row r="35">
      <c r="A35" s="34" t="s">
        <v>264</v>
      </c>
      <c r="B35" s="140">
        <f t="shared" ref="B35:M35" si="6">AVERAGE(B26:B34)</f>
        <v>1801604.889</v>
      </c>
      <c r="C35" s="140">
        <f t="shared" si="6"/>
        <v>1710505.556</v>
      </c>
      <c r="D35" s="140">
        <f t="shared" si="6"/>
        <v>1980121.222</v>
      </c>
      <c r="E35" s="140">
        <f t="shared" si="6"/>
        <v>1593878.444</v>
      </c>
      <c r="F35" s="140">
        <f t="shared" si="6"/>
        <v>1583402.333</v>
      </c>
      <c r="G35" s="140">
        <f t="shared" si="6"/>
        <v>1698056.778</v>
      </c>
      <c r="H35" s="140">
        <f t="shared" si="6"/>
        <v>1713749.333</v>
      </c>
      <c r="I35" s="140">
        <f t="shared" si="6"/>
        <v>1634514.111</v>
      </c>
      <c r="J35" s="140">
        <f t="shared" si="6"/>
        <v>1620889.778</v>
      </c>
      <c r="K35" s="140">
        <f t="shared" si="6"/>
        <v>1898651.111</v>
      </c>
      <c r="L35" s="140">
        <f t="shared" si="6"/>
        <v>2266286.444</v>
      </c>
      <c r="M35" s="140">
        <f t="shared" si="6"/>
        <v>1799038.556</v>
      </c>
      <c r="N35" s="22">
        <f>SUM(B35:M35)</f>
        <v>21300698.56</v>
      </c>
    </row>
    <row r="36">
      <c r="A36" s="34" t="s">
        <v>265</v>
      </c>
      <c r="B36" s="137">
        <f t="shared" ref="B36:M36" si="7">$N$35/12</f>
        <v>1775058.213</v>
      </c>
      <c r="C36" s="137">
        <f t="shared" si="7"/>
        <v>1775058.213</v>
      </c>
      <c r="D36" s="137">
        <f t="shared" si="7"/>
        <v>1775058.213</v>
      </c>
      <c r="E36" s="137">
        <f t="shared" si="7"/>
        <v>1775058.213</v>
      </c>
      <c r="F36" s="137">
        <f t="shared" si="7"/>
        <v>1775058.213</v>
      </c>
      <c r="G36" s="137">
        <f t="shared" si="7"/>
        <v>1775058.213</v>
      </c>
      <c r="H36" s="137">
        <f t="shared" si="7"/>
        <v>1775058.213</v>
      </c>
      <c r="I36" s="137">
        <f t="shared" si="7"/>
        <v>1775058.213</v>
      </c>
      <c r="J36" s="137">
        <f t="shared" si="7"/>
        <v>1775058.213</v>
      </c>
      <c r="K36" s="137">
        <f t="shared" si="7"/>
        <v>1775058.213</v>
      </c>
      <c r="L36" s="137">
        <f t="shared" si="7"/>
        <v>1775058.213</v>
      </c>
      <c r="M36" s="137">
        <f t="shared" si="7"/>
        <v>1775058.213</v>
      </c>
    </row>
    <row r="37">
      <c r="A37" s="34" t="s">
        <v>266</v>
      </c>
      <c r="B37" s="137">
        <f t="shared" ref="B37:M37" si="8">B35/B36</f>
        <v>1.014955383</v>
      </c>
      <c r="C37" s="137">
        <f t="shared" si="8"/>
        <v>0.9636334984</v>
      </c>
      <c r="D37" s="137">
        <f t="shared" si="8"/>
        <v>1.115524667</v>
      </c>
      <c r="E37" s="137">
        <f t="shared" si="8"/>
        <v>0.8979302385</v>
      </c>
      <c r="F37" s="137">
        <f t="shared" si="8"/>
        <v>0.8920283976</v>
      </c>
      <c r="G37" s="137">
        <f t="shared" si="8"/>
        <v>0.9566203324</v>
      </c>
      <c r="H37" s="137">
        <f t="shared" si="8"/>
        <v>0.9654609189</v>
      </c>
      <c r="I37" s="137">
        <f t="shared" si="8"/>
        <v>0.920822821</v>
      </c>
      <c r="J37" s="137">
        <f t="shared" si="8"/>
        <v>0.913147392</v>
      </c>
      <c r="K37" s="137">
        <f t="shared" si="8"/>
        <v>1.069627518</v>
      </c>
      <c r="L37" s="137">
        <f t="shared" si="8"/>
        <v>1.276739223</v>
      </c>
      <c r="M37" s="137">
        <f t="shared" si="8"/>
        <v>1.013509609</v>
      </c>
    </row>
    <row r="38">
      <c r="A38" s="34" t="s">
        <v>273</v>
      </c>
      <c r="B38" s="110">
        <f t="shared" ref="B38:M38" si="9">B37*$Q$26</f>
        <v>1936349.496</v>
      </c>
      <c r="C38" s="110">
        <f t="shared" si="9"/>
        <v>1838436.713</v>
      </c>
      <c r="D38" s="110">
        <f t="shared" si="9"/>
        <v>2128217.321</v>
      </c>
      <c r="E38" s="110">
        <f t="shared" si="9"/>
        <v>1713086.893</v>
      </c>
      <c r="F38" s="110">
        <f t="shared" si="9"/>
        <v>1701827.259</v>
      </c>
      <c r="G38" s="110">
        <f t="shared" si="9"/>
        <v>1825056.873</v>
      </c>
      <c r="H38" s="110">
        <f t="shared" si="9"/>
        <v>1841923.097</v>
      </c>
      <c r="I38" s="110">
        <f t="shared" si="9"/>
        <v>1756761.76</v>
      </c>
      <c r="J38" s="110">
        <f t="shared" si="9"/>
        <v>1742118.443</v>
      </c>
      <c r="K38" s="110">
        <f t="shared" si="9"/>
        <v>2040653.944</v>
      </c>
      <c r="L38" s="110">
        <f t="shared" si="9"/>
        <v>2435785.249</v>
      </c>
      <c r="M38" s="110">
        <f t="shared" si="9"/>
        <v>1933591.223</v>
      </c>
    </row>
    <row r="39">
      <c r="A39" s="34" t="s">
        <v>101</v>
      </c>
      <c r="B39" s="140">
        <v>1973562.0</v>
      </c>
      <c r="C39" s="140">
        <v>1874995.0</v>
      </c>
      <c r="D39" s="140">
        <v>1900191.0</v>
      </c>
      <c r="E39" s="140">
        <v>2077211.0</v>
      </c>
      <c r="F39" s="140">
        <v>1937138.0</v>
      </c>
      <c r="G39" s="140">
        <v>1745811.0</v>
      </c>
      <c r="H39" s="140">
        <v>1842098.0</v>
      </c>
      <c r="I39" s="140">
        <v>1721680.0</v>
      </c>
      <c r="J39" s="140">
        <v>1543336.0</v>
      </c>
      <c r="K39" s="38"/>
      <c r="L39" s="49"/>
      <c r="M39" s="49"/>
    </row>
    <row r="40">
      <c r="A40" s="34" t="s">
        <v>268</v>
      </c>
      <c r="B40" s="110">
        <f t="shared" ref="B40:J40" si="10">abs(B38-B39)</f>
        <v>37212.50439</v>
      </c>
      <c r="C40" s="110">
        <f t="shared" si="10"/>
        <v>36558.28718</v>
      </c>
      <c r="D40" s="110">
        <f t="shared" si="10"/>
        <v>228026.3209</v>
      </c>
      <c r="E40" s="110">
        <f t="shared" si="10"/>
        <v>364124.1068</v>
      </c>
      <c r="F40" s="110">
        <f t="shared" si="10"/>
        <v>235310.7412</v>
      </c>
      <c r="G40" s="110">
        <f t="shared" si="10"/>
        <v>79245.87315</v>
      </c>
      <c r="H40" s="110">
        <f t="shared" si="10"/>
        <v>174.9026184</v>
      </c>
      <c r="I40" s="110">
        <f t="shared" si="10"/>
        <v>35081.75955</v>
      </c>
      <c r="J40" s="110">
        <f t="shared" si="10"/>
        <v>198782.4428</v>
      </c>
    </row>
    <row r="41">
      <c r="A41" s="34" t="s">
        <v>269</v>
      </c>
      <c r="B41" s="110">
        <f>average(B40:J40)</f>
        <v>134946.3265</v>
      </c>
    </row>
    <row r="42">
      <c r="A42" s="34" t="s">
        <v>270</v>
      </c>
      <c r="B42" s="49">
        <f>AVERAGE(B40^2 , C40^2 ,D40^2,E40^2,F40^2,G40^2,H40^2,I40^2,J40^2)</f>
        <v>32188880037</v>
      </c>
    </row>
    <row r="43">
      <c r="A43" s="34" t="s">
        <v>271</v>
      </c>
      <c r="B43" s="110">
        <f>SQRT(B42)</f>
        <v>179412.5972</v>
      </c>
    </row>
    <row r="44">
      <c r="A44" s="34" t="s">
        <v>272</v>
      </c>
      <c r="B44" s="138">
        <f>AVERAGE(B40/B39 , C40/C39 , D40/D39 , E40/E39 , F40/F39 , G40/G39 , H40/H39 , I40/I39 , J40/J39)</f>
        <v>0.07219857079</v>
      </c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25"/>
    <col customWidth="1" min="4" max="4" width="15.63"/>
    <col customWidth="1" min="7" max="8" width="14.88"/>
    <col customWidth="1" min="16" max="16" width="9.5"/>
    <col customWidth="1" min="22" max="22" width="14.88"/>
  </cols>
  <sheetData>
    <row r="1">
      <c r="A1" s="32" t="s">
        <v>115</v>
      </c>
      <c r="B1" s="33" t="s">
        <v>4</v>
      </c>
      <c r="C1" s="33" t="s">
        <v>9</v>
      </c>
      <c r="D1" s="33" t="s">
        <v>16</v>
      </c>
      <c r="E1" s="33" t="s">
        <v>18</v>
      </c>
      <c r="F1" s="33" t="s">
        <v>19</v>
      </c>
      <c r="G1" s="33" t="s">
        <v>20</v>
      </c>
      <c r="H1" s="33" t="s">
        <v>27</v>
      </c>
      <c r="I1" s="33" t="s">
        <v>69</v>
      </c>
      <c r="J1" s="33" t="s">
        <v>28</v>
      </c>
      <c r="K1" s="33" t="s">
        <v>29</v>
      </c>
      <c r="L1" s="33" t="s">
        <v>30</v>
      </c>
      <c r="M1" s="33" t="s">
        <v>31</v>
      </c>
      <c r="N1" s="33" t="s">
        <v>33</v>
      </c>
      <c r="O1" s="33" t="s">
        <v>40</v>
      </c>
      <c r="P1" s="33" t="s">
        <v>116</v>
      </c>
      <c r="Q1" s="33" t="s">
        <v>50</v>
      </c>
      <c r="R1" s="33" t="s">
        <v>55</v>
      </c>
      <c r="S1" s="33" t="s">
        <v>98</v>
      </c>
      <c r="T1" s="33" t="s">
        <v>99</v>
      </c>
      <c r="U1" s="33" t="s">
        <v>58</v>
      </c>
      <c r="V1" s="32" t="s">
        <v>117</v>
      </c>
      <c r="W1" s="34" t="s">
        <v>3</v>
      </c>
      <c r="X1" s="35"/>
      <c r="Y1" s="35"/>
      <c r="Z1" s="35"/>
      <c r="AA1" s="35"/>
      <c r="AB1" s="35"/>
      <c r="AC1" s="35"/>
      <c r="AD1" s="35"/>
      <c r="AE1" s="35"/>
    </row>
    <row r="2">
      <c r="A2" s="36">
        <v>42005.0</v>
      </c>
      <c r="B2" s="37">
        <v>2687.0</v>
      </c>
      <c r="C2" s="37">
        <v>260085.0</v>
      </c>
      <c r="D2" s="37">
        <v>1.0</v>
      </c>
      <c r="E2" s="37">
        <v>0.0</v>
      </c>
      <c r="F2" s="37">
        <v>0.0</v>
      </c>
      <c r="G2" s="37">
        <v>179.0</v>
      </c>
      <c r="H2" s="37">
        <v>0.0</v>
      </c>
      <c r="I2" s="37">
        <v>0.0</v>
      </c>
      <c r="J2" s="37">
        <v>0.0</v>
      </c>
      <c r="K2" s="37">
        <v>157.0</v>
      </c>
      <c r="L2" s="37">
        <v>0.0</v>
      </c>
      <c r="M2" s="37">
        <v>8600.0</v>
      </c>
      <c r="N2" s="37">
        <v>1321556.0</v>
      </c>
      <c r="O2" s="37">
        <v>24492.0</v>
      </c>
      <c r="P2" s="37">
        <v>2.0</v>
      </c>
      <c r="Q2" s="37">
        <v>1.0</v>
      </c>
      <c r="R2" s="37">
        <v>6775.0</v>
      </c>
      <c r="S2" s="37">
        <v>0.0</v>
      </c>
      <c r="T2" s="37">
        <v>0.0</v>
      </c>
      <c r="U2" s="37">
        <v>8.0</v>
      </c>
      <c r="V2" s="37">
        <v>0.0</v>
      </c>
      <c r="W2" s="38">
        <f t="shared" ref="W2:W118" si="1">SUM(B2:V2)</f>
        <v>1624543</v>
      </c>
    </row>
    <row r="3">
      <c r="A3" s="36">
        <v>42036.0</v>
      </c>
      <c r="B3" s="37">
        <v>1973.0</v>
      </c>
      <c r="C3" s="37">
        <v>226391.0</v>
      </c>
      <c r="D3" s="37">
        <v>2.0</v>
      </c>
      <c r="E3" s="37">
        <v>0.0</v>
      </c>
      <c r="F3" s="37">
        <v>0.0</v>
      </c>
      <c r="G3" s="37">
        <v>183.0</v>
      </c>
      <c r="H3" s="37">
        <v>0.0</v>
      </c>
      <c r="I3" s="37">
        <v>0.0</v>
      </c>
      <c r="J3" s="37">
        <v>0.0</v>
      </c>
      <c r="K3" s="37">
        <v>228.0</v>
      </c>
      <c r="L3" s="37">
        <v>0.0</v>
      </c>
      <c r="M3" s="37">
        <v>9714.0</v>
      </c>
      <c r="N3" s="37">
        <v>1280296.0</v>
      </c>
      <c r="O3" s="37">
        <v>18823.0</v>
      </c>
      <c r="P3" s="37">
        <v>0.0</v>
      </c>
      <c r="Q3" s="37">
        <v>1.0</v>
      </c>
      <c r="R3" s="37">
        <v>5850.0</v>
      </c>
      <c r="S3" s="37">
        <v>0.0</v>
      </c>
      <c r="T3" s="37">
        <v>0.0</v>
      </c>
      <c r="U3" s="37">
        <v>15.0</v>
      </c>
      <c r="V3" s="37">
        <v>0.0</v>
      </c>
      <c r="W3" s="38">
        <f t="shared" si="1"/>
        <v>1543476</v>
      </c>
    </row>
    <row r="4">
      <c r="A4" s="36">
        <v>42064.0</v>
      </c>
      <c r="B4" s="37">
        <v>2099.0</v>
      </c>
      <c r="C4" s="37">
        <v>241587.0</v>
      </c>
      <c r="D4" s="37">
        <v>4.0</v>
      </c>
      <c r="E4" s="37">
        <v>0.0</v>
      </c>
      <c r="F4" s="37">
        <v>0.0</v>
      </c>
      <c r="G4" s="37">
        <v>222.0</v>
      </c>
      <c r="H4" s="37">
        <v>0.0</v>
      </c>
      <c r="I4" s="37">
        <v>0.0</v>
      </c>
      <c r="J4" s="37">
        <v>0.0</v>
      </c>
      <c r="K4" s="37">
        <v>383.0</v>
      </c>
      <c r="L4" s="37">
        <v>0.0</v>
      </c>
      <c r="M4" s="37">
        <v>10555.0</v>
      </c>
      <c r="N4" s="37">
        <v>1351992.0</v>
      </c>
      <c r="O4" s="37">
        <v>20755.0</v>
      </c>
      <c r="P4" s="37">
        <v>1.0</v>
      </c>
      <c r="Q4" s="37">
        <v>1.0</v>
      </c>
      <c r="R4" s="37">
        <v>5536.0</v>
      </c>
      <c r="S4" s="37">
        <v>0.0</v>
      </c>
      <c r="T4" s="37">
        <v>0.0</v>
      </c>
      <c r="U4" s="37">
        <v>8.0</v>
      </c>
      <c r="V4" s="37">
        <v>0.0</v>
      </c>
      <c r="W4" s="38">
        <f t="shared" si="1"/>
        <v>1633143</v>
      </c>
    </row>
    <row r="5">
      <c r="A5" s="36">
        <v>42095.0</v>
      </c>
      <c r="B5" s="37">
        <v>2083.0</v>
      </c>
      <c r="C5" s="37">
        <v>214064.0</v>
      </c>
      <c r="D5" s="37">
        <v>6.0</v>
      </c>
      <c r="E5" s="37">
        <v>0.0</v>
      </c>
      <c r="F5" s="37">
        <v>0.0</v>
      </c>
      <c r="G5" s="37">
        <v>171.0</v>
      </c>
      <c r="H5" s="37">
        <v>0.0</v>
      </c>
      <c r="I5" s="37">
        <v>0.0</v>
      </c>
      <c r="J5" s="37">
        <v>0.0</v>
      </c>
      <c r="K5" s="37">
        <v>247.0</v>
      </c>
      <c r="L5" s="37">
        <v>0.0</v>
      </c>
      <c r="M5" s="37">
        <v>8612.0</v>
      </c>
      <c r="N5" s="37">
        <v>1319505.0</v>
      </c>
      <c r="O5" s="37">
        <v>19962.0</v>
      </c>
      <c r="P5" s="37">
        <v>0.0</v>
      </c>
      <c r="Q5" s="37">
        <v>1.0</v>
      </c>
      <c r="R5" s="37">
        <v>4870.0</v>
      </c>
      <c r="S5" s="37">
        <v>0.0</v>
      </c>
      <c r="T5" s="37">
        <v>0.0</v>
      </c>
      <c r="U5" s="37">
        <v>32.0</v>
      </c>
      <c r="V5" s="37">
        <v>0.0</v>
      </c>
      <c r="W5" s="38">
        <f t="shared" si="1"/>
        <v>1569553</v>
      </c>
    </row>
    <row r="6">
      <c r="A6" s="36">
        <v>42125.0</v>
      </c>
      <c r="B6" s="37">
        <v>1815.0</v>
      </c>
      <c r="C6" s="37">
        <v>211508.0</v>
      </c>
      <c r="D6" s="37">
        <v>2.0</v>
      </c>
      <c r="E6" s="37">
        <v>0.0</v>
      </c>
      <c r="F6" s="37">
        <v>0.0</v>
      </c>
      <c r="G6" s="37">
        <v>194.0</v>
      </c>
      <c r="H6" s="37">
        <v>0.0</v>
      </c>
      <c r="I6" s="37">
        <v>0.0</v>
      </c>
      <c r="J6" s="37">
        <v>0.0</v>
      </c>
      <c r="K6" s="37">
        <v>310.0</v>
      </c>
      <c r="L6" s="37">
        <v>0.0</v>
      </c>
      <c r="M6" s="37">
        <v>8962.0</v>
      </c>
      <c r="N6" s="37">
        <v>1406153.0</v>
      </c>
      <c r="O6" s="37">
        <v>19507.0</v>
      </c>
      <c r="P6" s="37">
        <v>1.0</v>
      </c>
      <c r="Q6" s="37">
        <v>3.0</v>
      </c>
      <c r="R6" s="37">
        <v>5382.0</v>
      </c>
      <c r="S6" s="37">
        <v>0.0</v>
      </c>
      <c r="T6" s="37">
        <v>0.0</v>
      </c>
      <c r="U6" s="37">
        <v>28.0</v>
      </c>
      <c r="V6" s="37">
        <v>0.0</v>
      </c>
      <c r="W6" s="38">
        <f t="shared" si="1"/>
        <v>1653865</v>
      </c>
    </row>
    <row r="7">
      <c r="A7" s="36">
        <v>42156.0</v>
      </c>
      <c r="B7" s="37">
        <v>1911.0</v>
      </c>
      <c r="C7" s="37">
        <v>225448.0</v>
      </c>
      <c r="D7" s="37">
        <v>7.0</v>
      </c>
      <c r="E7" s="37">
        <v>0.0</v>
      </c>
      <c r="F7" s="37">
        <v>0.0</v>
      </c>
      <c r="G7" s="37">
        <v>288.0</v>
      </c>
      <c r="H7" s="37">
        <v>0.0</v>
      </c>
      <c r="I7" s="37">
        <v>1.0</v>
      </c>
      <c r="J7" s="37">
        <v>0.0</v>
      </c>
      <c r="K7" s="37">
        <v>466.0</v>
      </c>
      <c r="L7" s="37">
        <v>0.0</v>
      </c>
      <c r="M7" s="37">
        <v>9193.0</v>
      </c>
      <c r="N7" s="37">
        <v>1444806.0</v>
      </c>
      <c r="O7" s="37">
        <v>22342.0</v>
      </c>
      <c r="P7" s="37">
        <v>0.0</v>
      </c>
      <c r="Q7" s="37">
        <v>1.0</v>
      </c>
      <c r="R7" s="37">
        <v>5663.0</v>
      </c>
      <c r="S7" s="37">
        <v>0.0</v>
      </c>
      <c r="T7" s="37">
        <v>0.0</v>
      </c>
      <c r="U7" s="37">
        <v>16.0</v>
      </c>
      <c r="V7" s="37">
        <v>0.0</v>
      </c>
      <c r="W7" s="38">
        <f t="shared" si="1"/>
        <v>1710142</v>
      </c>
    </row>
    <row r="8">
      <c r="A8" s="36">
        <v>42186.0</v>
      </c>
      <c r="B8" s="37">
        <v>2218.0</v>
      </c>
      <c r="C8" s="37">
        <v>227654.0</v>
      </c>
      <c r="D8" s="37">
        <v>0.0</v>
      </c>
      <c r="E8" s="37">
        <v>1.0</v>
      </c>
      <c r="F8" s="37">
        <v>0.0</v>
      </c>
      <c r="G8" s="37">
        <v>379.0</v>
      </c>
      <c r="H8" s="37">
        <v>0.0</v>
      </c>
      <c r="I8" s="37">
        <v>0.0</v>
      </c>
      <c r="J8" s="37">
        <v>2.0</v>
      </c>
      <c r="K8" s="37">
        <v>354.0</v>
      </c>
      <c r="L8" s="37">
        <v>0.0</v>
      </c>
      <c r="M8" s="37">
        <v>9637.0</v>
      </c>
      <c r="N8" s="37">
        <v>1389112.0</v>
      </c>
      <c r="O8" s="37">
        <v>22922.0</v>
      </c>
      <c r="P8" s="37">
        <v>0.0</v>
      </c>
      <c r="Q8" s="37">
        <v>3.0</v>
      </c>
      <c r="R8" s="37">
        <v>6527.0</v>
      </c>
      <c r="S8" s="37">
        <v>0.0</v>
      </c>
      <c r="T8" s="37">
        <v>0.0</v>
      </c>
      <c r="U8" s="37">
        <v>8.0</v>
      </c>
      <c r="V8" s="37">
        <v>0.0</v>
      </c>
      <c r="W8" s="38">
        <f t="shared" si="1"/>
        <v>1658817</v>
      </c>
    </row>
    <row r="9">
      <c r="A9" s="36">
        <v>42217.0</v>
      </c>
      <c r="B9" s="37">
        <v>2190.0</v>
      </c>
      <c r="C9" s="37">
        <v>211902.0</v>
      </c>
      <c r="D9" s="37">
        <v>3.0</v>
      </c>
      <c r="E9" s="37">
        <v>0.0</v>
      </c>
      <c r="F9" s="37">
        <v>0.0</v>
      </c>
      <c r="G9" s="37">
        <v>709.0</v>
      </c>
      <c r="H9" s="37">
        <v>0.0</v>
      </c>
      <c r="I9" s="37">
        <v>0.0</v>
      </c>
      <c r="J9" s="37">
        <v>0.0</v>
      </c>
      <c r="K9" s="37">
        <v>306.0</v>
      </c>
      <c r="L9" s="37">
        <v>0.0</v>
      </c>
      <c r="M9" s="37">
        <v>8506.0</v>
      </c>
      <c r="N9" s="37">
        <v>1228422.0</v>
      </c>
      <c r="O9" s="37">
        <v>20272.0</v>
      </c>
      <c r="P9" s="37">
        <v>0.0</v>
      </c>
      <c r="Q9" s="37">
        <v>7.0</v>
      </c>
      <c r="R9" s="37">
        <v>5812.0</v>
      </c>
      <c r="S9" s="37">
        <v>0.0</v>
      </c>
      <c r="T9" s="37">
        <v>0.0</v>
      </c>
      <c r="U9" s="37">
        <v>14.0</v>
      </c>
      <c r="V9" s="37">
        <v>0.0</v>
      </c>
      <c r="W9" s="38">
        <f t="shared" si="1"/>
        <v>1478143</v>
      </c>
    </row>
    <row r="10">
      <c r="A10" s="36">
        <v>42248.0</v>
      </c>
      <c r="B10" s="37">
        <v>2385.0</v>
      </c>
      <c r="C10" s="37">
        <v>220899.0</v>
      </c>
      <c r="D10" s="37">
        <v>4.0</v>
      </c>
      <c r="E10" s="37">
        <v>0.0</v>
      </c>
      <c r="F10" s="37">
        <v>0.0</v>
      </c>
      <c r="G10" s="37">
        <v>969.0</v>
      </c>
      <c r="H10" s="37">
        <v>0.0</v>
      </c>
      <c r="I10" s="37">
        <v>0.0</v>
      </c>
      <c r="J10" s="37">
        <v>0.0</v>
      </c>
      <c r="K10" s="37">
        <v>349.0</v>
      </c>
      <c r="L10" s="37">
        <v>0.0</v>
      </c>
      <c r="M10" s="37">
        <v>8341.0</v>
      </c>
      <c r="N10" s="37">
        <v>1283112.0</v>
      </c>
      <c r="O10" s="37">
        <v>21680.0</v>
      </c>
      <c r="P10" s="37">
        <v>0.0</v>
      </c>
      <c r="Q10" s="37">
        <v>16.0</v>
      </c>
      <c r="R10" s="37">
        <v>5959.0</v>
      </c>
      <c r="S10" s="37">
        <v>0.0</v>
      </c>
      <c r="T10" s="37">
        <v>0.0</v>
      </c>
      <c r="U10" s="37">
        <v>11.0</v>
      </c>
      <c r="V10" s="37">
        <v>0.0</v>
      </c>
      <c r="W10" s="38">
        <f t="shared" si="1"/>
        <v>1543725</v>
      </c>
    </row>
    <row r="11">
      <c r="A11" s="36">
        <v>42278.0</v>
      </c>
      <c r="B11" s="37">
        <v>2273.0</v>
      </c>
      <c r="C11" s="37">
        <v>220356.0</v>
      </c>
      <c r="D11" s="37">
        <v>55.0</v>
      </c>
      <c r="E11" s="37">
        <v>1.0</v>
      </c>
      <c r="F11" s="37">
        <v>0.0</v>
      </c>
      <c r="G11" s="37">
        <v>1072.0</v>
      </c>
      <c r="H11" s="37">
        <v>0.0</v>
      </c>
      <c r="I11" s="37">
        <v>0.0</v>
      </c>
      <c r="J11" s="37">
        <v>0.0</v>
      </c>
      <c r="K11" s="37">
        <v>190.0</v>
      </c>
      <c r="L11" s="37">
        <v>0.0</v>
      </c>
      <c r="M11" s="37">
        <v>8611.0</v>
      </c>
      <c r="N11" s="37">
        <v>1290021.0</v>
      </c>
      <c r="O11" s="37">
        <v>22025.0</v>
      </c>
      <c r="P11" s="37">
        <v>0.0</v>
      </c>
      <c r="Q11" s="37">
        <v>16.0</v>
      </c>
      <c r="R11" s="37">
        <v>5792.0</v>
      </c>
      <c r="S11" s="37">
        <v>0.0</v>
      </c>
      <c r="T11" s="37">
        <v>0.0</v>
      </c>
      <c r="U11" s="37">
        <v>20.0</v>
      </c>
      <c r="V11" s="37">
        <v>0.0</v>
      </c>
      <c r="W11" s="38">
        <f t="shared" si="1"/>
        <v>1550432</v>
      </c>
    </row>
    <row r="12">
      <c r="A12" s="36">
        <v>42309.0</v>
      </c>
      <c r="B12" s="37">
        <v>2516.0</v>
      </c>
      <c r="C12" s="37">
        <v>237361.0</v>
      </c>
      <c r="D12" s="37">
        <v>180.0</v>
      </c>
      <c r="E12" s="37">
        <v>2.0</v>
      </c>
      <c r="F12" s="37">
        <v>0.0</v>
      </c>
      <c r="G12" s="37">
        <v>1249.0</v>
      </c>
      <c r="H12" s="37">
        <v>0.0</v>
      </c>
      <c r="I12" s="37">
        <v>0.0</v>
      </c>
      <c r="J12" s="37">
        <v>0.0</v>
      </c>
      <c r="K12" s="37">
        <v>166.0</v>
      </c>
      <c r="L12" s="37">
        <v>0.0</v>
      </c>
      <c r="M12" s="37">
        <v>8765.0</v>
      </c>
      <c r="N12" s="37">
        <v>1676104.0</v>
      </c>
      <c r="O12" s="37">
        <v>25141.0</v>
      </c>
      <c r="P12" s="37">
        <v>1.0</v>
      </c>
      <c r="Q12" s="37">
        <v>22.0</v>
      </c>
      <c r="R12" s="37">
        <v>6028.0</v>
      </c>
      <c r="S12" s="37">
        <v>0.0</v>
      </c>
      <c r="T12" s="37">
        <v>0.0</v>
      </c>
      <c r="U12" s="37">
        <v>21.0</v>
      </c>
      <c r="V12" s="37">
        <v>0.0</v>
      </c>
      <c r="W12" s="38">
        <f t="shared" si="1"/>
        <v>1957556</v>
      </c>
    </row>
    <row r="13">
      <c r="A13" s="36">
        <v>42339.0</v>
      </c>
      <c r="B13" s="37">
        <v>2132.0</v>
      </c>
      <c r="C13" s="37">
        <v>228379.0</v>
      </c>
      <c r="D13" s="37">
        <v>239.0</v>
      </c>
      <c r="E13" s="37">
        <v>0.0</v>
      </c>
      <c r="F13" s="37">
        <v>0.0</v>
      </c>
      <c r="G13" s="37">
        <v>2182.0</v>
      </c>
      <c r="H13" s="37">
        <v>0.0</v>
      </c>
      <c r="I13" s="37">
        <v>0.0</v>
      </c>
      <c r="J13" s="37">
        <v>0.0</v>
      </c>
      <c r="K13" s="37">
        <v>181.0</v>
      </c>
      <c r="L13" s="37">
        <v>0.0</v>
      </c>
      <c r="M13" s="37">
        <v>12421.0</v>
      </c>
      <c r="N13" s="37">
        <v>1478812.0</v>
      </c>
      <c r="O13" s="37">
        <v>22430.0</v>
      </c>
      <c r="P13" s="37">
        <v>0.0</v>
      </c>
      <c r="Q13" s="37">
        <v>20.0</v>
      </c>
      <c r="R13" s="37">
        <v>5762.0</v>
      </c>
      <c r="S13" s="37">
        <v>0.0</v>
      </c>
      <c r="T13" s="37">
        <v>0.0</v>
      </c>
      <c r="U13" s="37">
        <v>21.0</v>
      </c>
      <c r="V13" s="37">
        <v>0.0</v>
      </c>
      <c r="W13" s="38">
        <f t="shared" si="1"/>
        <v>1752579</v>
      </c>
    </row>
    <row r="14">
      <c r="A14" s="36">
        <v>42370.0</v>
      </c>
      <c r="B14" s="37">
        <v>2688.0</v>
      </c>
      <c r="C14" s="37">
        <v>246751.0</v>
      </c>
      <c r="D14" s="37">
        <v>228.0</v>
      </c>
      <c r="E14" s="37">
        <v>2.0</v>
      </c>
      <c r="F14" s="37">
        <v>0.0</v>
      </c>
      <c r="G14" s="37">
        <v>1946.0</v>
      </c>
      <c r="H14" s="37">
        <v>0.0</v>
      </c>
      <c r="I14" s="37">
        <v>0.0</v>
      </c>
      <c r="J14" s="37">
        <v>2.0</v>
      </c>
      <c r="K14" s="37">
        <v>352.0</v>
      </c>
      <c r="L14" s="37">
        <v>0.0</v>
      </c>
      <c r="M14" s="37">
        <v>12781.0</v>
      </c>
      <c r="N14" s="37">
        <v>1437778.0</v>
      </c>
      <c r="O14" s="37">
        <v>27437.0</v>
      </c>
      <c r="P14" s="37">
        <v>0.0</v>
      </c>
      <c r="Q14" s="37">
        <v>26.0</v>
      </c>
      <c r="R14" s="37">
        <v>7180.0</v>
      </c>
      <c r="S14" s="37">
        <v>0.0</v>
      </c>
      <c r="T14" s="37">
        <v>0.0</v>
      </c>
      <c r="U14" s="37">
        <v>17.0</v>
      </c>
      <c r="V14" s="37">
        <v>0.0</v>
      </c>
      <c r="W14" s="38">
        <f t="shared" si="1"/>
        <v>1737188</v>
      </c>
    </row>
    <row r="15">
      <c r="A15" s="36">
        <v>42401.0</v>
      </c>
      <c r="B15" s="37">
        <v>2467.0</v>
      </c>
      <c r="C15" s="37">
        <v>241820.0</v>
      </c>
      <c r="D15" s="37">
        <v>405.0</v>
      </c>
      <c r="E15" s="37">
        <v>2.0</v>
      </c>
      <c r="F15" s="37">
        <v>0.0</v>
      </c>
      <c r="G15" s="37">
        <v>2499.0</v>
      </c>
      <c r="H15" s="37">
        <v>1.0</v>
      </c>
      <c r="I15" s="37">
        <v>0.0</v>
      </c>
      <c r="J15" s="37">
        <v>1.0</v>
      </c>
      <c r="K15" s="37">
        <v>480.0</v>
      </c>
      <c r="L15" s="37">
        <v>0.0</v>
      </c>
      <c r="M15" s="37">
        <v>10398.0</v>
      </c>
      <c r="N15" s="37">
        <v>1456008.0</v>
      </c>
      <c r="O15" s="37">
        <v>27432.0</v>
      </c>
      <c r="P15" s="37">
        <v>0.0</v>
      </c>
      <c r="Q15" s="37">
        <v>27.0</v>
      </c>
      <c r="R15" s="37">
        <v>6900.0</v>
      </c>
      <c r="S15" s="37">
        <v>0.0</v>
      </c>
      <c r="T15" s="37">
        <v>0.0</v>
      </c>
      <c r="U15" s="37">
        <v>14.0</v>
      </c>
      <c r="V15" s="37">
        <v>0.0</v>
      </c>
      <c r="W15" s="38">
        <f t="shared" si="1"/>
        <v>1748454</v>
      </c>
    </row>
    <row r="16">
      <c r="A16" s="36">
        <v>42430.0</v>
      </c>
      <c r="B16" s="37">
        <v>2816.0</v>
      </c>
      <c r="C16" s="37">
        <v>248651.0</v>
      </c>
      <c r="D16" s="37">
        <v>655.0</v>
      </c>
      <c r="E16" s="37">
        <v>3.0</v>
      </c>
      <c r="F16" s="37">
        <v>0.0</v>
      </c>
      <c r="G16" s="37">
        <v>4518.0</v>
      </c>
      <c r="H16" s="37">
        <v>0.0</v>
      </c>
      <c r="I16" s="37">
        <v>0.0</v>
      </c>
      <c r="J16" s="37">
        <v>1.0</v>
      </c>
      <c r="K16" s="37">
        <v>955.0</v>
      </c>
      <c r="L16" s="37">
        <v>0.0</v>
      </c>
      <c r="M16" s="37">
        <v>12737.0</v>
      </c>
      <c r="N16" s="37">
        <v>1457845.0</v>
      </c>
      <c r="O16" s="37">
        <v>28332.0</v>
      </c>
      <c r="P16" s="37">
        <v>0.0</v>
      </c>
      <c r="Q16" s="37">
        <v>27.0</v>
      </c>
      <c r="R16" s="37">
        <v>7357.0</v>
      </c>
      <c r="S16" s="37">
        <v>0.0</v>
      </c>
      <c r="T16" s="37">
        <v>0.0</v>
      </c>
      <c r="U16" s="37">
        <v>28.0</v>
      </c>
      <c r="V16" s="37">
        <v>0.0</v>
      </c>
      <c r="W16" s="38">
        <f t="shared" si="1"/>
        <v>1763925</v>
      </c>
    </row>
    <row r="17">
      <c r="A17" s="36">
        <v>42461.0</v>
      </c>
      <c r="B17" s="37">
        <v>2908.0</v>
      </c>
      <c r="C17" s="37">
        <v>216137.0</v>
      </c>
      <c r="D17" s="37">
        <v>862.0</v>
      </c>
      <c r="E17" s="37">
        <v>0.0</v>
      </c>
      <c r="F17" s="37">
        <v>0.0</v>
      </c>
      <c r="G17" s="37">
        <v>3450.0</v>
      </c>
      <c r="H17" s="37">
        <v>2.0</v>
      </c>
      <c r="I17" s="37">
        <v>0.0</v>
      </c>
      <c r="J17" s="37">
        <v>0.0</v>
      </c>
      <c r="K17" s="37">
        <v>362.0</v>
      </c>
      <c r="L17" s="37">
        <v>0.0</v>
      </c>
      <c r="M17" s="37">
        <v>9459.0</v>
      </c>
      <c r="N17" s="37">
        <v>1466658.0</v>
      </c>
      <c r="O17" s="37">
        <v>31494.0</v>
      </c>
      <c r="P17" s="37">
        <v>0.0</v>
      </c>
      <c r="Q17" s="37">
        <v>36.0</v>
      </c>
      <c r="R17" s="37">
        <v>5908.0</v>
      </c>
      <c r="S17" s="37">
        <v>0.0</v>
      </c>
      <c r="T17" s="37">
        <v>0.0</v>
      </c>
      <c r="U17" s="37">
        <v>20.0</v>
      </c>
      <c r="V17" s="37">
        <v>0.0</v>
      </c>
      <c r="W17" s="38">
        <f t="shared" si="1"/>
        <v>1737296</v>
      </c>
    </row>
    <row r="18">
      <c r="A18" s="36">
        <v>42491.0</v>
      </c>
      <c r="B18" s="37">
        <v>3381.0</v>
      </c>
      <c r="C18" s="37">
        <v>235129.0</v>
      </c>
      <c r="D18" s="37">
        <v>794.0</v>
      </c>
      <c r="E18" s="37">
        <v>0.0</v>
      </c>
      <c r="F18" s="37">
        <v>0.0</v>
      </c>
      <c r="G18" s="37">
        <v>4002.0</v>
      </c>
      <c r="H18" s="37">
        <v>0.0</v>
      </c>
      <c r="I18" s="37">
        <v>0.0</v>
      </c>
      <c r="J18" s="37">
        <v>0.0</v>
      </c>
      <c r="K18" s="37">
        <v>476.0</v>
      </c>
      <c r="L18" s="37">
        <v>0.0</v>
      </c>
      <c r="M18" s="37">
        <v>11287.0</v>
      </c>
      <c r="N18" s="37">
        <v>1559806.0</v>
      </c>
      <c r="O18" s="37">
        <v>30413.0</v>
      </c>
      <c r="P18" s="37">
        <v>0.0</v>
      </c>
      <c r="Q18" s="37">
        <v>70.0</v>
      </c>
      <c r="R18" s="37">
        <v>6264.0</v>
      </c>
      <c r="S18" s="37">
        <v>0.0</v>
      </c>
      <c r="T18" s="37">
        <v>0.0</v>
      </c>
      <c r="U18" s="37">
        <v>17.0</v>
      </c>
      <c r="V18" s="37">
        <v>0.0</v>
      </c>
      <c r="W18" s="38">
        <f t="shared" si="1"/>
        <v>1851639</v>
      </c>
    </row>
    <row r="19">
      <c r="A19" s="36">
        <v>42522.0</v>
      </c>
      <c r="B19" s="37">
        <v>2788.0</v>
      </c>
      <c r="C19" s="37">
        <v>236018.0</v>
      </c>
      <c r="D19" s="37">
        <v>784.0</v>
      </c>
      <c r="E19" s="37">
        <v>0.0</v>
      </c>
      <c r="F19" s="37">
        <v>0.0</v>
      </c>
      <c r="G19" s="37">
        <v>5117.0</v>
      </c>
      <c r="H19" s="37">
        <v>0.0</v>
      </c>
      <c r="I19" s="37">
        <v>0.0</v>
      </c>
      <c r="J19" s="37">
        <v>0.0</v>
      </c>
      <c r="K19" s="37">
        <v>271.0</v>
      </c>
      <c r="L19" s="37">
        <v>0.0</v>
      </c>
      <c r="M19" s="37">
        <v>11119.0</v>
      </c>
      <c r="N19" s="37">
        <v>1527633.0</v>
      </c>
      <c r="O19" s="37">
        <v>29775.0</v>
      </c>
      <c r="P19" s="37">
        <v>2.0</v>
      </c>
      <c r="Q19" s="37">
        <v>81.0</v>
      </c>
      <c r="R19" s="37">
        <v>6962.0</v>
      </c>
      <c r="S19" s="37">
        <v>0.0</v>
      </c>
      <c r="T19" s="37">
        <v>0.0</v>
      </c>
      <c r="U19" s="37">
        <v>14.0</v>
      </c>
      <c r="V19" s="37">
        <v>0.0</v>
      </c>
      <c r="W19" s="38">
        <f t="shared" si="1"/>
        <v>1820564</v>
      </c>
    </row>
    <row r="20">
      <c r="A20" s="36">
        <v>42552.0</v>
      </c>
      <c r="B20" s="37">
        <v>2681.0</v>
      </c>
      <c r="C20" s="37">
        <v>213268.0</v>
      </c>
      <c r="D20" s="37">
        <v>1053.0</v>
      </c>
      <c r="E20" s="37">
        <v>0.0</v>
      </c>
      <c r="F20" s="37">
        <v>0.0</v>
      </c>
      <c r="G20" s="37">
        <v>4374.0</v>
      </c>
      <c r="H20" s="37">
        <v>0.0</v>
      </c>
      <c r="I20" s="37">
        <v>0.0</v>
      </c>
      <c r="J20" s="37">
        <v>1.0</v>
      </c>
      <c r="K20" s="37">
        <v>159.0</v>
      </c>
      <c r="L20" s="37">
        <v>0.0</v>
      </c>
      <c r="M20" s="37">
        <v>11290.0</v>
      </c>
      <c r="N20" s="37">
        <v>1422564.0</v>
      </c>
      <c r="O20" s="37">
        <v>27751.0</v>
      </c>
      <c r="P20" s="37">
        <v>0.0</v>
      </c>
      <c r="Q20" s="37">
        <v>49.0</v>
      </c>
      <c r="R20" s="37">
        <v>6547.0</v>
      </c>
      <c r="S20" s="37">
        <v>0.0</v>
      </c>
      <c r="T20" s="37">
        <v>0.0</v>
      </c>
      <c r="U20" s="37">
        <v>23.0</v>
      </c>
      <c r="V20" s="37">
        <v>0.0</v>
      </c>
      <c r="W20" s="38">
        <f t="shared" si="1"/>
        <v>1689760</v>
      </c>
    </row>
    <row r="21">
      <c r="A21" s="36">
        <v>42583.0</v>
      </c>
      <c r="B21" s="37">
        <v>2248.0</v>
      </c>
      <c r="C21" s="37">
        <v>215568.0</v>
      </c>
      <c r="D21" s="37">
        <v>1293.0</v>
      </c>
      <c r="E21" s="37">
        <v>3.0</v>
      </c>
      <c r="F21" s="37">
        <v>0.0</v>
      </c>
      <c r="G21" s="37">
        <v>4019.0</v>
      </c>
      <c r="H21" s="37">
        <v>0.0</v>
      </c>
      <c r="I21" s="37">
        <v>0.0</v>
      </c>
      <c r="J21" s="37">
        <v>0.0</v>
      </c>
      <c r="K21" s="37">
        <v>246.0</v>
      </c>
      <c r="L21" s="37">
        <v>0.0</v>
      </c>
      <c r="M21" s="37">
        <v>9648.0</v>
      </c>
      <c r="N21" s="37">
        <v>1403678.0</v>
      </c>
      <c r="O21" s="37">
        <v>27289.0</v>
      </c>
      <c r="P21" s="37">
        <v>0.0</v>
      </c>
      <c r="Q21" s="37">
        <v>36.0</v>
      </c>
      <c r="R21" s="37">
        <v>7422.0</v>
      </c>
      <c r="S21" s="37">
        <v>0.0</v>
      </c>
      <c r="T21" s="37">
        <v>0.0</v>
      </c>
      <c r="U21" s="37">
        <v>15.0</v>
      </c>
      <c r="V21" s="37">
        <v>0.0</v>
      </c>
      <c r="W21" s="38">
        <f t="shared" si="1"/>
        <v>1671465</v>
      </c>
    </row>
    <row r="22">
      <c r="A22" s="36">
        <v>42614.0</v>
      </c>
      <c r="B22" s="37">
        <v>2362.0</v>
      </c>
      <c r="C22" s="37">
        <v>211338.0</v>
      </c>
      <c r="D22" s="37">
        <v>1136.0</v>
      </c>
      <c r="E22" s="37">
        <v>0.0</v>
      </c>
      <c r="F22" s="37">
        <v>0.0</v>
      </c>
      <c r="G22" s="37">
        <v>4173.0</v>
      </c>
      <c r="H22" s="37">
        <v>0.0</v>
      </c>
      <c r="I22" s="37">
        <v>0.0</v>
      </c>
      <c r="J22" s="37">
        <v>0.0</v>
      </c>
      <c r="K22" s="37">
        <v>144.0</v>
      </c>
      <c r="L22" s="37">
        <v>0.0</v>
      </c>
      <c r="M22" s="37">
        <v>10140.0</v>
      </c>
      <c r="N22" s="37">
        <v>1373232.0</v>
      </c>
      <c r="O22" s="37">
        <v>27246.0</v>
      </c>
      <c r="P22" s="37">
        <v>1.0</v>
      </c>
      <c r="Q22" s="37">
        <v>42.0</v>
      </c>
      <c r="R22" s="37">
        <v>7513.0</v>
      </c>
      <c r="S22" s="37">
        <v>0.0</v>
      </c>
      <c r="T22" s="37">
        <v>0.0</v>
      </c>
      <c r="U22" s="37">
        <v>14.0</v>
      </c>
      <c r="V22" s="37">
        <v>0.0</v>
      </c>
      <c r="W22" s="38">
        <f t="shared" si="1"/>
        <v>1637341</v>
      </c>
    </row>
    <row r="23">
      <c r="A23" s="36">
        <v>42644.0</v>
      </c>
      <c r="B23" s="37">
        <v>2260.0</v>
      </c>
      <c r="C23" s="37">
        <v>246640.0</v>
      </c>
      <c r="D23" s="37">
        <v>1686.0</v>
      </c>
      <c r="E23" s="37">
        <v>1.0</v>
      </c>
      <c r="F23" s="37">
        <v>0.0</v>
      </c>
      <c r="G23" s="37">
        <v>6334.0</v>
      </c>
      <c r="H23" s="37">
        <v>0.0</v>
      </c>
      <c r="I23" s="37">
        <v>0.0</v>
      </c>
      <c r="J23" s="37">
        <v>0.0</v>
      </c>
      <c r="K23" s="37">
        <v>177.0</v>
      </c>
      <c r="L23" s="37">
        <v>0.0</v>
      </c>
      <c r="M23" s="37">
        <v>10184.0</v>
      </c>
      <c r="N23" s="37">
        <v>1687209.0</v>
      </c>
      <c r="O23" s="37">
        <v>32992.0</v>
      </c>
      <c r="P23" s="37">
        <v>0.0</v>
      </c>
      <c r="Q23" s="37">
        <v>49.0</v>
      </c>
      <c r="R23" s="37">
        <v>7961.0</v>
      </c>
      <c r="S23" s="37">
        <v>0.0</v>
      </c>
      <c r="T23" s="37">
        <v>0.0</v>
      </c>
      <c r="U23" s="37">
        <v>26.0</v>
      </c>
      <c r="V23" s="37">
        <v>0.0</v>
      </c>
      <c r="W23" s="38">
        <f t="shared" si="1"/>
        <v>1995519</v>
      </c>
    </row>
    <row r="24">
      <c r="A24" s="36">
        <v>42675.0</v>
      </c>
      <c r="B24" s="37">
        <v>1999.0</v>
      </c>
      <c r="C24" s="37">
        <v>237927.0</v>
      </c>
      <c r="D24" s="37">
        <v>985.0</v>
      </c>
      <c r="E24" s="37">
        <v>3.0</v>
      </c>
      <c r="F24" s="37">
        <v>0.0</v>
      </c>
      <c r="G24" s="37">
        <v>4897.0</v>
      </c>
      <c r="H24" s="37">
        <v>0.0</v>
      </c>
      <c r="I24" s="37">
        <v>0.0</v>
      </c>
      <c r="J24" s="37">
        <v>0.0</v>
      </c>
      <c r="K24" s="37">
        <v>200.0</v>
      </c>
      <c r="L24" s="37">
        <v>0.0</v>
      </c>
      <c r="M24" s="37">
        <v>10105.0</v>
      </c>
      <c r="N24" s="37">
        <v>1845832.0</v>
      </c>
      <c r="O24" s="37">
        <v>24046.0</v>
      </c>
      <c r="P24" s="37">
        <v>0.0</v>
      </c>
      <c r="Q24" s="37">
        <v>32.0</v>
      </c>
      <c r="R24" s="37">
        <v>7490.0</v>
      </c>
      <c r="S24" s="37">
        <v>0.0</v>
      </c>
      <c r="T24" s="37">
        <v>0.0</v>
      </c>
      <c r="U24" s="37">
        <v>38.0</v>
      </c>
      <c r="V24" s="37">
        <v>0.0</v>
      </c>
      <c r="W24" s="38">
        <f t="shared" si="1"/>
        <v>2133554</v>
      </c>
    </row>
    <row r="25">
      <c r="A25" s="36">
        <v>42705.0</v>
      </c>
      <c r="B25" s="37">
        <v>1362.0</v>
      </c>
      <c r="C25" s="37">
        <v>203051.0</v>
      </c>
      <c r="D25" s="37">
        <v>1472.0</v>
      </c>
      <c r="E25" s="37">
        <v>0.0</v>
      </c>
      <c r="F25" s="37">
        <v>0.0</v>
      </c>
      <c r="G25" s="37">
        <v>4506.0</v>
      </c>
      <c r="H25" s="37">
        <v>0.0</v>
      </c>
      <c r="I25" s="37">
        <v>0.0</v>
      </c>
      <c r="J25" s="37">
        <v>0.0</v>
      </c>
      <c r="K25" s="37">
        <v>154.0</v>
      </c>
      <c r="L25" s="37">
        <v>0.0</v>
      </c>
      <c r="M25" s="37">
        <v>11749.0</v>
      </c>
      <c r="N25" s="37">
        <v>1297141.0</v>
      </c>
      <c r="O25" s="37">
        <v>20783.0</v>
      </c>
      <c r="P25" s="37">
        <v>0.0</v>
      </c>
      <c r="Q25" s="37">
        <v>54.0</v>
      </c>
      <c r="R25" s="37">
        <v>5023.0</v>
      </c>
      <c r="S25" s="37">
        <v>0.0</v>
      </c>
      <c r="T25" s="37">
        <v>0.0</v>
      </c>
      <c r="U25" s="37">
        <v>10.0</v>
      </c>
      <c r="V25" s="37">
        <v>0.0</v>
      </c>
      <c r="W25" s="38">
        <f t="shared" si="1"/>
        <v>1545305</v>
      </c>
    </row>
    <row r="26">
      <c r="A26" s="36">
        <v>42736.0</v>
      </c>
      <c r="B26" s="37">
        <v>1841.0</v>
      </c>
      <c r="C26" s="37">
        <v>219642.0</v>
      </c>
      <c r="D26" s="37">
        <v>2244.0</v>
      </c>
      <c r="E26" s="37">
        <v>0.0</v>
      </c>
      <c r="F26" s="37">
        <v>0.0</v>
      </c>
      <c r="G26" s="37">
        <v>4578.0</v>
      </c>
      <c r="H26" s="37">
        <v>0.0</v>
      </c>
      <c r="I26" s="37">
        <v>0.0</v>
      </c>
      <c r="J26" s="37">
        <v>0.0</v>
      </c>
      <c r="K26" s="37">
        <v>143.0</v>
      </c>
      <c r="L26" s="37">
        <v>0.0</v>
      </c>
      <c r="M26" s="37">
        <v>9236.0</v>
      </c>
      <c r="N26" s="37">
        <v>1369507.0</v>
      </c>
      <c r="O26" s="37">
        <v>29232.0</v>
      </c>
      <c r="P26" s="37">
        <v>0.0</v>
      </c>
      <c r="Q26" s="37">
        <v>44.0</v>
      </c>
      <c r="R26" s="37">
        <v>6420.0</v>
      </c>
      <c r="S26" s="37">
        <v>0.0</v>
      </c>
      <c r="T26" s="37">
        <v>0.0</v>
      </c>
      <c r="U26" s="37">
        <v>16.0</v>
      </c>
      <c r="V26" s="37">
        <v>0.0</v>
      </c>
      <c r="W26" s="38">
        <f t="shared" si="1"/>
        <v>1642903</v>
      </c>
    </row>
    <row r="27">
      <c r="A27" s="36">
        <v>42767.0</v>
      </c>
      <c r="B27" s="37">
        <v>2099.0</v>
      </c>
      <c r="C27" s="37">
        <v>217392.0</v>
      </c>
      <c r="D27" s="37">
        <v>2850.0</v>
      </c>
      <c r="E27" s="37">
        <v>0.0</v>
      </c>
      <c r="F27" s="37">
        <v>0.0</v>
      </c>
      <c r="G27" s="37">
        <v>4407.0</v>
      </c>
      <c r="H27" s="37">
        <v>2.0</v>
      </c>
      <c r="I27" s="37">
        <v>0.0</v>
      </c>
      <c r="J27" s="37">
        <v>0.0</v>
      </c>
      <c r="K27" s="37">
        <v>185.0</v>
      </c>
      <c r="L27" s="37">
        <v>0.0</v>
      </c>
      <c r="M27" s="37">
        <v>9150.0</v>
      </c>
      <c r="N27" s="37">
        <v>1394628.0</v>
      </c>
      <c r="O27" s="37">
        <v>25649.0</v>
      </c>
      <c r="P27" s="37">
        <v>0.0</v>
      </c>
      <c r="Q27" s="37">
        <v>62.0</v>
      </c>
      <c r="R27" s="37">
        <v>7006.0</v>
      </c>
      <c r="S27" s="37">
        <v>0.0</v>
      </c>
      <c r="T27" s="37">
        <v>0.0</v>
      </c>
      <c r="U27" s="37">
        <v>16.0</v>
      </c>
      <c r="V27" s="37">
        <v>0.0</v>
      </c>
      <c r="W27" s="38">
        <f t="shared" si="1"/>
        <v>1663446</v>
      </c>
    </row>
    <row r="28">
      <c r="A28" s="36">
        <v>42795.0</v>
      </c>
      <c r="B28" s="37">
        <v>2707.0</v>
      </c>
      <c r="C28" s="37">
        <v>317984.0</v>
      </c>
      <c r="D28" s="37">
        <v>4262.0</v>
      </c>
      <c r="E28" s="37">
        <v>2.0</v>
      </c>
      <c r="F28" s="37">
        <v>0.0</v>
      </c>
      <c r="G28" s="37">
        <v>5990.0</v>
      </c>
      <c r="H28" s="37">
        <v>0.0</v>
      </c>
      <c r="I28" s="37">
        <v>0.0</v>
      </c>
      <c r="J28" s="37">
        <v>0.0</v>
      </c>
      <c r="K28" s="37">
        <v>134.0</v>
      </c>
      <c r="L28" s="37">
        <v>0.0</v>
      </c>
      <c r="M28" s="37">
        <v>11666.0</v>
      </c>
      <c r="N28" s="37">
        <v>1882604.0</v>
      </c>
      <c r="O28" s="37">
        <v>28573.0</v>
      </c>
      <c r="P28" s="37">
        <v>1.0</v>
      </c>
      <c r="Q28" s="37">
        <v>100.0</v>
      </c>
      <c r="R28" s="37">
        <v>8293.0</v>
      </c>
      <c r="S28" s="37">
        <v>0.0</v>
      </c>
      <c r="T28" s="37">
        <v>0.0</v>
      </c>
      <c r="U28" s="37">
        <v>22.0</v>
      </c>
      <c r="V28" s="37">
        <v>0.0</v>
      </c>
      <c r="W28" s="38">
        <f t="shared" si="1"/>
        <v>2262338</v>
      </c>
    </row>
    <row r="29">
      <c r="A29" s="36">
        <v>42826.0</v>
      </c>
      <c r="B29" s="37">
        <v>2000.0</v>
      </c>
      <c r="C29" s="37">
        <v>226238.0</v>
      </c>
      <c r="D29" s="37">
        <v>3743.0</v>
      </c>
      <c r="E29" s="37">
        <v>1.0</v>
      </c>
      <c r="F29" s="37">
        <v>0.0</v>
      </c>
      <c r="G29" s="37">
        <v>5052.0</v>
      </c>
      <c r="H29" s="37">
        <v>1.0</v>
      </c>
      <c r="I29" s="37">
        <v>0.0</v>
      </c>
      <c r="J29" s="37">
        <v>0.0</v>
      </c>
      <c r="K29" s="37">
        <v>122.0</v>
      </c>
      <c r="L29" s="37">
        <v>0.0</v>
      </c>
      <c r="M29" s="37">
        <v>8217.0</v>
      </c>
      <c r="N29" s="37">
        <v>1657786.0</v>
      </c>
      <c r="O29" s="37">
        <v>21948.0</v>
      </c>
      <c r="P29" s="37">
        <v>0.0</v>
      </c>
      <c r="Q29" s="37">
        <v>107.0</v>
      </c>
      <c r="R29" s="37">
        <v>6086.0</v>
      </c>
      <c r="S29" s="37">
        <v>0.0</v>
      </c>
      <c r="T29" s="37">
        <v>0.0</v>
      </c>
      <c r="U29" s="37">
        <v>13.0</v>
      </c>
      <c r="V29" s="37">
        <v>0.0</v>
      </c>
      <c r="W29" s="38">
        <f t="shared" si="1"/>
        <v>1931314</v>
      </c>
    </row>
    <row r="30">
      <c r="A30" s="36">
        <v>42856.0</v>
      </c>
      <c r="B30" s="37">
        <v>2080.0</v>
      </c>
      <c r="C30" s="37">
        <v>213899.0</v>
      </c>
      <c r="D30" s="37">
        <v>4545.0</v>
      </c>
      <c r="E30" s="37">
        <v>1.0</v>
      </c>
      <c r="F30" s="37">
        <v>0.0</v>
      </c>
      <c r="G30" s="37">
        <v>7053.0</v>
      </c>
      <c r="H30" s="37">
        <v>1.0</v>
      </c>
      <c r="I30" s="37">
        <v>0.0</v>
      </c>
      <c r="J30" s="37">
        <v>0.0</v>
      </c>
      <c r="K30" s="37">
        <v>172.0</v>
      </c>
      <c r="L30" s="37">
        <v>0.0</v>
      </c>
      <c r="M30" s="37">
        <v>8654.0</v>
      </c>
      <c r="N30" s="37">
        <v>1747140.0</v>
      </c>
      <c r="O30" s="37">
        <v>23147.0</v>
      </c>
      <c r="P30" s="37">
        <v>0.0</v>
      </c>
      <c r="Q30" s="37">
        <v>88.0</v>
      </c>
      <c r="R30" s="37">
        <v>6366.0</v>
      </c>
      <c r="S30" s="37">
        <v>0.0</v>
      </c>
      <c r="T30" s="37">
        <v>0.0</v>
      </c>
      <c r="U30" s="37">
        <v>9.0</v>
      </c>
      <c r="V30" s="37">
        <v>0.0</v>
      </c>
      <c r="W30" s="38">
        <f t="shared" si="1"/>
        <v>2013155</v>
      </c>
    </row>
    <row r="31">
      <c r="A31" s="36">
        <v>42887.0</v>
      </c>
      <c r="B31" s="37">
        <v>2513.0</v>
      </c>
      <c r="C31" s="37">
        <v>229914.0</v>
      </c>
      <c r="D31" s="37">
        <v>5154.0</v>
      </c>
      <c r="E31" s="37">
        <v>0.0</v>
      </c>
      <c r="F31" s="37">
        <v>0.0</v>
      </c>
      <c r="G31" s="37">
        <v>7508.0</v>
      </c>
      <c r="H31" s="37">
        <v>1.0</v>
      </c>
      <c r="I31" s="37">
        <v>0.0</v>
      </c>
      <c r="J31" s="37">
        <v>0.0</v>
      </c>
      <c r="K31" s="37">
        <v>232.0</v>
      </c>
      <c r="L31" s="37">
        <v>0.0</v>
      </c>
      <c r="M31" s="37">
        <v>8659.0</v>
      </c>
      <c r="N31" s="37">
        <v>1663550.0</v>
      </c>
      <c r="O31" s="37">
        <v>23968.0</v>
      </c>
      <c r="P31" s="37">
        <v>0.0</v>
      </c>
      <c r="Q31" s="37">
        <v>128.0</v>
      </c>
      <c r="R31" s="37">
        <v>7159.0</v>
      </c>
      <c r="S31" s="37">
        <v>0.0</v>
      </c>
      <c r="T31" s="37">
        <v>1.0</v>
      </c>
      <c r="U31" s="37">
        <v>10.0</v>
      </c>
      <c r="V31" s="37">
        <v>0.0</v>
      </c>
      <c r="W31" s="38">
        <f t="shared" si="1"/>
        <v>1948797</v>
      </c>
    </row>
    <row r="32">
      <c r="A32" s="36">
        <v>42917.0</v>
      </c>
      <c r="B32" s="37">
        <v>2271.0</v>
      </c>
      <c r="C32" s="37">
        <v>235263.0</v>
      </c>
      <c r="D32" s="37">
        <v>4538.0</v>
      </c>
      <c r="E32" s="37">
        <v>0.0</v>
      </c>
      <c r="F32" s="37">
        <v>0.0</v>
      </c>
      <c r="G32" s="37">
        <v>9045.0</v>
      </c>
      <c r="H32" s="37">
        <v>0.0</v>
      </c>
      <c r="I32" s="37">
        <v>0.0</v>
      </c>
      <c r="J32" s="37">
        <v>0.0</v>
      </c>
      <c r="K32" s="37">
        <v>540.0</v>
      </c>
      <c r="L32" s="37">
        <v>0.0</v>
      </c>
      <c r="M32" s="37">
        <v>8819.0</v>
      </c>
      <c r="N32" s="37">
        <v>1522277.0</v>
      </c>
      <c r="O32" s="37">
        <v>23161.0</v>
      </c>
      <c r="P32" s="37">
        <v>0.0</v>
      </c>
      <c r="Q32" s="37">
        <v>30.0</v>
      </c>
      <c r="R32" s="37">
        <v>6640.0</v>
      </c>
      <c r="S32" s="37">
        <v>0.0</v>
      </c>
      <c r="T32" s="37">
        <v>0.0</v>
      </c>
      <c r="U32" s="37">
        <v>5.0</v>
      </c>
      <c r="V32" s="37">
        <v>0.0</v>
      </c>
      <c r="W32" s="38">
        <f t="shared" si="1"/>
        <v>1812589</v>
      </c>
    </row>
    <row r="33">
      <c r="A33" s="36">
        <v>42948.0</v>
      </c>
      <c r="B33" s="37">
        <v>1731.0</v>
      </c>
      <c r="C33" s="37">
        <v>222223.0</v>
      </c>
      <c r="D33" s="37">
        <v>3456.0</v>
      </c>
      <c r="E33" s="37">
        <v>0.0</v>
      </c>
      <c r="F33" s="37">
        <v>0.0</v>
      </c>
      <c r="G33" s="37">
        <v>9167.0</v>
      </c>
      <c r="H33" s="37">
        <v>0.0</v>
      </c>
      <c r="I33" s="37">
        <v>0.0</v>
      </c>
      <c r="J33" s="37">
        <v>0.0</v>
      </c>
      <c r="K33" s="37">
        <v>658.0</v>
      </c>
      <c r="L33" s="37">
        <v>0.0</v>
      </c>
      <c r="M33" s="37">
        <v>7281.0</v>
      </c>
      <c r="N33" s="37">
        <v>1458812.0</v>
      </c>
      <c r="O33" s="37">
        <v>25304.0</v>
      </c>
      <c r="P33" s="37">
        <v>0.0</v>
      </c>
      <c r="Q33" s="37">
        <v>32.0</v>
      </c>
      <c r="R33" s="37">
        <v>7216.0</v>
      </c>
      <c r="S33" s="37">
        <v>0.0</v>
      </c>
      <c r="T33" s="37">
        <v>0.0</v>
      </c>
      <c r="U33" s="37">
        <v>12.0</v>
      </c>
      <c r="V33" s="37">
        <v>0.0</v>
      </c>
      <c r="W33" s="38">
        <f t="shared" si="1"/>
        <v>1735892</v>
      </c>
    </row>
    <row r="34">
      <c r="A34" s="36">
        <v>42979.0</v>
      </c>
      <c r="B34" s="37">
        <v>1929.0</v>
      </c>
      <c r="C34" s="37">
        <v>232342.0</v>
      </c>
      <c r="D34" s="37">
        <v>3738.0</v>
      </c>
      <c r="E34" s="37">
        <v>0.0</v>
      </c>
      <c r="F34" s="37">
        <v>0.0</v>
      </c>
      <c r="G34" s="37">
        <v>7735.0</v>
      </c>
      <c r="H34" s="37">
        <v>0.0</v>
      </c>
      <c r="I34" s="37">
        <v>1.0</v>
      </c>
      <c r="J34" s="37">
        <v>0.0</v>
      </c>
      <c r="K34" s="37">
        <v>536.0</v>
      </c>
      <c r="L34" s="37">
        <v>0.0</v>
      </c>
      <c r="M34" s="37">
        <v>8147.0</v>
      </c>
      <c r="N34" s="37">
        <v>1499053.0</v>
      </c>
      <c r="O34" s="37">
        <v>30782.0</v>
      </c>
      <c r="P34" s="37">
        <v>1.0</v>
      </c>
      <c r="Q34" s="37">
        <v>39.0</v>
      </c>
      <c r="R34" s="37">
        <v>7529.0</v>
      </c>
      <c r="S34" s="37">
        <v>0.0</v>
      </c>
      <c r="T34" s="37">
        <v>0.0</v>
      </c>
      <c r="U34" s="37">
        <v>15.0</v>
      </c>
      <c r="V34" s="37">
        <v>0.0</v>
      </c>
      <c r="W34" s="38">
        <f t="shared" si="1"/>
        <v>1791847</v>
      </c>
    </row>
    <row r="35">
      <c r="A35" s="36">
        <v>43009.0</v>
      </c>
      <c r="B35" s="37">
        <v>2515.0</v>
      </c>
      <c r="C35" s="37">
        <v>237773.0</v>
      </c>
      <c r="D35" s="37">
        <v>4740.0</v>
      </c>
      <c r="E35" s="37">
        <v>0.0</v>
      </c>
      <c r="F35" s="37">
        <v>0.0</v>
      </c>
      <c r="G35" s="37">
        <v>7660.0</v>
      </c>
      <c r="H35" s="37">
        <v>0.0</v>
      </c>
      <c r="I35" s="37">
        <v>0.0</v>
      </c>
      <c r="J35" s="37">
        <v>1.0</v>
      </c>
      <c r="K35" s="37">
        <v>214.0</v>
      </c>
      <c r="L35" s="37">
        <v>0.0</v>
      </c>
      <c r="M35" s="37">
        <v>8163.0</v>
      </c>
      <c r="N35" s="37">
        <v>1947888.0</v>
      </c>
      <c r="O35" s="37">
        <v>36637.0</v>
      </c>
      <c r="P35" s="37">
        <v>0.0</v>
      </c>
      <c r="Q35" s="37">
        <v>36.0</v>
      </c>
      <c r="R35" s="37">
        <v>8568.0</v>
      </c>
      <c r="S35" s="37">
        <v>0.0</v>
      </c>
      <c r="T35" s="37">
        <v>0.0</v>
      </c>
      <c r="U35" s="37">
        <v>6.0</v>
      </c>
      <c r="V35" s="37">
        <v>0.0</v>
      </c>
      <c r="W35" s="38">
        <f t="shared" si="1"/>
        <v>2254201</v>
      </c>
    </row>
    <row r="36">
      <c r="A36" s="36">
        <v>43040.0</v>
      </c>
      <c r="B36" s="37">
        <v>2490.0</v>
      </c>
      <c r="C36" s="37">
        <v>275755.0</v>
      </c>
      <c r="D36" s="37">
        <v>5303.0</v>
      </c>
      <c r="E36" s="37">
        <v>0.0</v>
      </c>
      <c r="F36" s="37">
        <v>0.0</v>
      </c>
      <c r="G36" s="37">
        <v>10084.0</v>
      </c>
      <c r="H36" s="37">
        <v>6.0</v>
      </c>
      <c r="I36" s="37">
        <v>0.0</v>
      </c>
      <c r="J36" s="37">
        <v>0.0</v>
      </c>
      <c r="K36" s="37">
        <v>423.0</v>
      </c>
      <c r="L36" s="37">
        <v>0.0</v>
      </c>
      <c r="M36" s="37">
        <v>9884.0</v>
      </c>
      <c r="N36" s="37">
        <v>2102477.0</v>
      </c>
      <c r="O36" s="37">
        <v>40400.0</v>
      </c>
      <c r="P36" s="37">
        <v>0.0</v>
      </c>
      <c r="Q36" s="37">
        <v>22.0</v>
      </c>
      <c r="R36" s="37">
        <v>9554.0</v>
      </c>
      <c r="S36" s="37">
        <v>0.0</v>
      </c>
      <c r="T36" s="37">
        <v>0.0</v>
      </c>
      <c r="U36" s="37">
        <v>8.0</v>
      </c>
      <c r="V36" s="37">
        <v>0.0</v>
      </c>
      <c r="W36" s="38">
        <f t="shared" si="1"/>
        <v>2456406</v>
      </c>
    </row>
    <row r="37">
      <c r="A37" s="36">
        <v>43070.0</v>
      </c>
      <c r="B37" s="37">
        <v>1986.0</v>
      </c>
      <c r="C37" s="37">
        <v>237419.0</v>
      </c>
      <c r="D37" s="37">
        <v>3903.0</v>
      </c>
      <c r="E37" s="37">
        <v>0.0</v>
      </c>
      <c r="F37" s="37">
        <v>0.0</v>
      </c>
      <c r="G37" s="37">
        <v>9115.0</v>
      </c>
      <c r="H37" s="37">
        <v>11.0</v>
      </c>
      <c r="I37" s="37">
        <v>0.0</v>
      </c>
      <c r="J37" s="37">
        <v>0.0</v>
      </c>
      <c r="K37" s="37">
        <v>455.0</v>
      </c>
      <c r="L37" s="37">
        <v>0.0</v>
      </c>
      <c r="M37" s="37">
        <v>10973.0</v>
      </c>
      <c r="N37" s="37">
        <v>1485103.0</v>
      </c>
      <c r="O37" s="37">
        <v>34578.0</v>
      </c>
      <c r="P37" s="37">
        <v>0.0</v>
      </c>
      <c r="Q37" s="37">
        <v>19.0</v>
      </c>
      <c r="R37" s="37">
        <v>7163.0</v>
      </c>
      <c r="S37" s="37">
        <v>0.0</v>
      </c>
      <c r="T37" s="37">
        <v>0.0</v>
      </c>
      <c r="U37" s="37">
        <v>7.0</v>
      </c>
      <c r="V37" s="37">
        <v>0.0</v>
      </c>
      <c r="W37" s="38">
        <f t="shared" si="1"/>
        <v>1790732</v>
      </c>
    </row>
    <row r="38">
      <c r="A38" s="36">
        <v>43101.0</v>
      </c>
      <c r="B38" s="37">
        <v>2827.0</v>
      </c>
      <c r="C38" s="37">
        <v>282988.0</v>
      </c>
      <c r="D38" s="37">
        <v>5553.0</v>
      </c>
      <c r="E38" s="37">
        <v>0.0</v>
      </c>
      <c r="F38" s="37">
        <v>0.0</v>
      </c>
      <c r="G38" s="37">
        <v>9003.0</v>
      </c>
      <c r="H38" s="37">
        <v>6.0</v>
      </c>
      <c r="I38" s="37">
        <v>0.0</v>
      </c>
      <c r="J38" s="37">
        <v>0.0</v>
      </c>
      <c r="K38" s="37">
        <v>227.0</v>
      </c>
      <c r="L38" s="37">
        <v>0.0</v>
      </c>
      <c r="M38" s="37">
        <v>10341.0</v>
      </c>
      <c r="N38" s="37">
        <v>1746671.0</v>
      </c>
      <c r="O38" s="37">
        <v>44460.0</v>
      </c>
      <c r="P38" s="37">
        <v>0.0</v>
      </c>
      <c r="Q38" s="37">
        <v>34.0</v>
      </c>
      <c r="R38" s="37">
        <v>8888.0</v>
      </c>
      <c r="S38" s="37">
        <v>0.0</v>
      </c>
      <c r="T38" s="37">
        <v>0.0</v>
      </c>
      <c r="U38" s="37">
        <v>14.0</v>
      </c>
      <c r="V38" s="37">
        <v>0.0</v>
      </c>
      <c r="W38" s="38">
        <f t="shared" si="1"/>
        <v>2111012</v>
      </c>
    </row>
    <row r="39">
      <c r="A39" s="36">
        <v>43132.0</v>
      </c>
      <c r="B39" s="37">
        <v>2543.0</v>
      </c>
      <c r="C39" s="37">
        <v>259896.0</v>
      </c>
      <c r="D39" s="37">
        <v>4858.0</v>
      </c>
      <c r="E39" s="37">
        <v>1.0</v>
      </c>
      <c r="F39" s="37">
        <v>0.0</v>
      </c>
      <c r="G39" s="37">
        <v>7373.0</v>
      </c>
      <c r="H39" s="37">
        <v>1.0</v>
      </c>
      <c r="I39" s="37">
        <v>0.0</v>
      </c>
      <c r="J39" s="37">
        <v>0.0</v>
      </c>
      <c r="K39" s="37">
        <v>266.0</v>
      </c>
      <c r="L39" s="37">
        <v>0.0</v>
      </c>
      <c r="M39" s="37">
        <v>9467.0</v>
      </c>
      <c r="N39" s="37">
        <v>1573470.0</v>
      </c>
      <c r="O39" s="37">
        <v>40233.0</v>
      </c>
      <c r="P39" s="37">
        <v>0.0</v>
      </c>
      <c r="Q39" s="37">
        <v>39.0</v>
      </c>
      <c r="R39" s="37">
        <v>9578.0</v>
      </c>
      <c r="S39" s="37">
        <v>0.0</v>
      </c>
      <c r="T39" s="37">
        <v>0.0</v>
      </c>
      <c r="U39" s="37">
        <v>6.0</v>
      </c>
      <c r="V39" s="37">
        <v>0.0</v>
      </c>
      <c r="W39" s="38">
        <f t="shared" si="1"/>
        <v>1907731</v>
      </c>
    </row>
    <row r="40">
      <c r="A40" s="36">
        <v>43160.0</v>
      </c>
      <c r="B40" s="37">
        <v>2630.0</v>
      </c>
      <c r="C40" s="37">
        <v>298292.0</v>
      </c>
      <c r="D40" s="37">
        <v>5500.0</v>
      </c>
      <c r="E40" s="37">
        <v>1.0</v>
      </c>
      <c r="F40" s="37">
        <v>0.0</v>
      </c>
      <c r="G40" s="37">
        <v>7695.0</v>
      </c>
      <c r="H40" s="37">
        <v>0.0</v>
      </c>
      <c r="I40" s="37">
        <v>0.0</v>
      </c>
      <c r="J40" s="37">
        <v>0.0</v>
      </c>
      <c r="K40" s="37">
        <v>331.0</v>
      </c>
      <c r="L40" s="37">
        <v>0.0</v>
      </c>
      <c r="M40" s="37">
        <v>10411.0</v>
      </c>
      <c r="N40" s="37">
        <v>1829911.0</v>
      </c>
      <c r="O40" s="37">
        <v>40622.0</v>
      </c>
      <c r="P40" s="37">
        <v>0.0</v>
      </c>
      <c r="Q40" s="37">
        <v>69.0</v>
      </c>
      <c r="R40" s="37">
        <v>10266.0</v>
      </c>
      <c r="S40" s="37">
        <v>0.0</v>
      </c>
      <c r="T40" s="37">
        <v>0.0</v>
      </c>
      <c r="U40" s="37">
        <v>2.0</v>
      </c>
      <c r="V40" s="37">
        <v>0.0</v>
      </c>
      <c r="W40" s="38">
        <f t="shared" si="1"/>
        <v>2205730</v>
      </c>
    </row>
    <row r="41">
      <c r="A41" s="36">
        <v>43191.0</v>
      </c>
      <c r="B41" s="37">
        <v>2852.0</v>
      </c>
      <c r="C41" s="37">
        <v>272510.0</v>
      </c>
      <c r="D41" s="37">
        <v>5002.0</v>
      </c>
      <c r="E41" s="37">
        <v>0.0</v>
      </c>
      <c r="F41" s="37">
        <v>0.0</v>
      </c>
      <c r="G41" s="37">
        <v>7332.0</v>
      </c>
      <c r="H41" s="37">
        <v>5.0</v>
      </c>
      <c r="I41" s="37">
        <v>0.0</v>
      </c>
      <c r="J41" s="37">
        <v>0.0</v>
      </c>
      <c r="K41" s="37">
        <v>484.0</v>
      </c>
      <c r="L41" s="37">
        <v>0.0</v>
      </c>
      <c r="M41" s="37">
        <v>10906.0</v>
      </c>
      <c r="N41" s="37">
        <v>1787146.0</v>
      </c>
      <c r="O41" s="37">
        <v>40171.0</v>
      </c>
      <c r="P41" s="37">
        <v>0.0</v>
      </c>
      <c r="Q41" s="37">
        <v>81.0</v>
      </c>
      <c r="R41" s="37">
        <v>9857.0</v>
      </c>
      <c r="S41" s="37">
        <v>0.0</v>
      </c>
      <c r="T41" s="37">
        <v>0.0</v>
      </c>
      <c r="U41" s="37">
        <v>6.0</v>
      </c>
      <c r="V41" s="37">
        <v>0.0</v>
      </c>
      <c r="W41" s="38">
        <f t="shared" si="1"/>
        <v>2136352</v>
      </c>
    </row>
    <row r="42">
      <c r="A42" s="36">
        <v>43221.0</v>
      </c>
      <c r="B42" s="37">
        <v>2617.0</v>
      </c>
      <c r="C42" s="37">
        <v>268847.0</v>
      </c>
      <c r="D42" s="37">
        <v>5307.0</v>
      </c>
      <c r="E42" s="37">
        <v>0.0</v>
      </c>
      <c r="F42" s="37">
        <v>0.0</v>
      </c>
      <c r="G42" s="37">
        <v>8265.0</v>
      </c>
      <c r="H42" s="37">
        <v>0.0</v>
      </c>
      <c r="I42" s="37">
        <v>0.0</v>
      </c>
      <c r="J42" s="37">
        <v>0.0</v>
      </c>
      <c r="K42" s="37">
        <v>379.0</v>
      </c>
      <c r="L42" s="37">
        <v>0.0</v>
      </c>
      <c r="M42" s="37">
        <v>9913.0</v>
      </c>
      <c r="N42" s="37">
        <v>1971916.0</v>
      </c>
      <c r="O42" s="37">
        <v>39575.0</v>
      </c>
      <c r="P42" s="37">
        <v>0.0</v>
      </c>
      <c r="Q42" s="37">
        <v>56.0</v>
      </c>
      <c r="R42" s="37">
        <v>10424.0</v>
      </c>
      <c r="S42" s="37">
        <v>0.0</v>
      </c>
      <c r="T42" s="37">
        <v>0.0</v>
      </c>
      <c r="U42" s="37">
        <v>4.0</v>
      </c>
      <c r="V42" s="37">
        <v>0.0</v>
      </c>
      <c r="W42" s="38">
        <f t="shared" si="1"/>
        <v>2317303</v>
      </c>
    </row>
    <row r="43">
      <c r="A43" s="36">
        <v>43252.0</v>
      </c>
      <c r="B43" s="37">
        <v>2321.0</v>
      </c>
      <c r="C43" s="37">
        <v>253955.0</v>
      </c>
      <c r="D43" s="37">
        <v>4784.0</v>
      </c>
      <c r="E43" s="37">
        <v>0.0</v>
      </c>
      <c r="F43" s="37">
        <v>0.0</v>
      </c>
      <c r="G43" s="37">
        <v>8825.0</v>
      </c>
      <c r="H43" s="37">
        <v>1.0</v>
      </c>
      <c r="I43" s="37">
        <v>0.0</v>
      </c>
      <c r="J43" s="37">
        <v>1.0</v>
      </c>
      <c r="K43" s="37">
        <v>284.0</v>
      </c>
      <c r="L43" s="37">
        <v>0.0</v>
      </c>
      <c r="M43" s="37">
        <v>8903.0</v>
      </c>
      <c r="N43" s="37">
        <v>1776782.0</v>
      </c>
      <c r="O43" s="37">
        <v>36615.0</v>
      </c>
      <c r="P43" s="37">
        <v>0.0</v>
      </c>
      <c r="Q43" s="37">
        <v>87.0</v>
      </c>
      <c r="R43" s="37">
        <v>10570.0</v>
      </c>
      <c r="S43" s="37">
        <v>0.0</v>
      </c>
      <c r="T43" s="37">
        <v>0.0</v>
      </c>
      <c r="U43" s="37">
        <v>3.0</v>
      </c>
      <c r="V43" s="37">
        <v>0.0</v>
      </c>
      <c r="W43" s="38">
        <f t="shared" si="1"/>
        <v>2103131</v>
      </c>
    </row>
    <row r="44">
      <c r="A44" s="36">
        <v>43282.0</v>
      </c>
      <c r="B44" s="37">
        <v>2289.0</v>
      </c>
      <c r="C44" s="37">
        <v>274866.0</v>
      </c>
      <c r="D44" s="37">
        <v>4867.0</v>
      </c>
      <c r="E44" s="37">
        <v>0.0</v>
      </c>
      <c r="F44" s="37">
        <v>0.0</v>
      </c>
      <c r="G44" s="37">
        <v>11397.0</v>
      </c>
      <c r="H44" s="37">
        <v>1.0</v>
      </c>
      <c r="I44" s="37">
        <v>0.0</v>
      </c>
      <c r="J44" s="37">
        <v>0.0</v>
      </c>
      <c r="K44" s="37">
        <v>224.0</v>
      </c>
      <c r="L44" s="37">
        <v>0.0</v>
      </c>
      <c r="M44" s="37">
        <v>8572.0</v>
      </c>
      <c r="N44" s="37">
        <v>1774253.0</v>
      </c>
      <c r="O44" s="37">
        <v>37133.0</v>
      </c>
      <c r="P44" s="37">
        <v>0.0</v>
      </c>
      <c r="Q44" s="37">
        <v>51.0</v>
      </c>
      <c r="R44" s="37">
        <v>11605.0</v>
      </c>
      <c r="S44" s="37">
        <v>0.0</v>
      </c>
      <c r="T44" s="37">
        <v>0.0</v>
      </c>
      <c r="U44" s="37">
        <v>4.0</v>
      </c>
      <c r="V44" s="37">
        <v>0.0</v>
      </c>
      <c r="W44" s="38">
        <f t="shared" si="1"/>
        <v>2125262</v>
      </c>
    </row>
    <row r="45">
      <c r="A45" s="36">
        <v>43313.0</v>
      </c>
      <c r="B45" s="37">
        <v>2336.0</v>
      </c>
      <c r="C45" s="37">
        <v>249197.0</v>
      </c>
      <c r="D45" s="37">
        <v>4784.0</v>
      </c>
      <c r="E45" s="37">
        <v>0.0</v>
      </c>
      <c r="F45" s="37">
        <v>0.0</v>
      </c>
      <c r="G45" s="37">
        <v>11791.0</v>
      </c>
      <c r="H45" s="37">
        <v>1.0</v>
      </c>
      <c r="I45" s="37">
        <v>0.0</v>
      </c>
      <c r="J45" s="37">
        <v>0.0</v>
      </c>
      <c r="K45" s="37">
        <v>445.0</v>
      </c>
      <c r="L45" s="37">
        <v>0.0</v>
      </c>
      <c r="M45" s="37">
        <v>7660.0</v>
      </c>
      <c r="N45" s="37">
        <v>1638487.0</v>
      </c>
      <c r="O45" s="37">
        <v>36109.0</v>
      </c>
      <c r="P45" s="37">
        <v>1.0</v>
      </c>
      <c r="Q45" s="37">
        <v>244.0</v>
      </c>
      <c r="R45" s="37">
        <v>10917.0</v>
      </c>
      <c r="S45" s="37">
        <v>0.0</v>
      </c>
      <c r="T45" s="37">
        <v>0.0</v>
      </c>
      <c r="U45" s="37">
        <v>6.0</v>
      </c>
      <c r="V45" s="37">
        <v>0.0</v>
      </c>
      <c r="W45" s="38">
        <f t="shared" si="1"/>
        <v>1961978</v>
      </c>
    </row>
    <row r="46">
      <c r="A46" s="36">
        <v>43344.0</v>
      </c>
      <c r="B46" s="37">
        <v>2564.0</v>
      </c>
      <c r="C46" s="37">
        <v>236851.0</v>
      </c>
      <c r="D46" s="37">
        <v>4388.0</v>
      </c>
      <c r="E46" s="37">
        <v>0.0</v>
      </c>
      <c r="F46" s="37">
        <v>0.0</v>
      </c>
      <c r="G46" s="37">
        <v>13588.0</v>
      </c>
      <c r="H46" s="37">
        <v>0.0</v>
      </c>
      <c r="I46" s="37">
        <v>0.0</v>
      </c>
      <c r="J46" s="37">
        <v>0.0</v>
      </c>
      <c r="K46" s="37">
        <v>393.0</v>
      </c>
      <c r="L46" s="37">
        <v>0.0</v>
      </c>
      <c r="M46" s="37">
        <v>7394.0</v>
      </c>
      <c r="N46" s="37">
        <v>1610375.0</v>
      </c>
      <c r="O46" s="37">
        <v>34243.0</v>
      </c>
      <c r="P46" s="37">
        <v>0.0</v>
      </c>
      <c r="Q46" s="37">
        <v>1663.0</v>
      </c>
      <c r="R46" s="37">
        <v>11214.0</v>
      </c>
      <c r="S46" s="37">
        <v>0.0</v>
      </c>
      <c r="T46" s="37">
        <v>0.0</v>
      </c>
      <c r="U46" s="37">
        <v>5.0</v>
      </c>
      <c r="V46" s="37">
        <v>0.0</v>
      </c>
      <c r="W46" s="38">
        <f t="shared" si="1"/>
        <v>1922678</v>
      </c>
    </row>
    <row r="47">
      <c r="A47" s="36">
        <v>43374.0</v>
      </c>
      <c r="B47" s="37">
        <v>2993.0</v>
      </c>
      <c r="C47" s="37">
        <v>264122.0</v>
      </c>
      <c r="D47" s="37">
        <v>4623.0</v>
      </c>
      <c r="E47" s="37">
        <v>1.0</v>
      </c>
      <c r="F47" s="37">
        <v>0.0</v>
      </c>
      <c r="G47" s="37">
        <v>14990.0</v>
      </c>
      <c r="H47" s="37">
        <v>1.0</v>
      </c>
      <c r="I47" s="37">
        <v>0.0</v>
      </c>
      <c r="J47" s="37">
        <v>0.0</v>
      </c>
      <c r="K47" s="37">
        <v>372.0</v>
      </c>
      <c r="L47" s="37">
        <v>0.0</v>
      </c>
      <c r="M47" s="37">
        <v>9425.0</v>
      </c>
      <c r="N47" s="37">
        <v>1674885.0</v>
      </c>
      <c r="O47" s="37">
        <v>37235.0</v>
      </c>
      <c r="P47" s="37">
        <v>0.0</v>
      </c>
      <c r="Q47" s="37">
        <v>2399.0</v>
      </c>
      <c r="R47" s="37">
        <v>11140.0</v>
      </c>
      <c r="S47" s="37">
        <v>0.0</v>
      </c>
      <c r="T47" s="37">
        <v>0.0</v>
      </c>
      <c r="U47" s="37">
        <v>2.0</v>
      </c>
      <c r="V47" s="37">
        <v>0.0</v>
      </c>
      <c r="W47" s="38">
        <f t="shared" si="1"/>
        <v>2022188</v>
      </c>
    </row>
    <row r="48">
      <c r="A48" s="36">
        <v>43405.0</v>
      </c>
      <c r="B48" s="37">
        <v>2704.0</v>
      </c>
      <c r="C48" s="37">
        <v>260626.0</v>
      </c>
      <c r="D48" s="37">
        <v>4763.0</v>
      </c>
      <c r="E48" s="37">
        <v>2.0</v>
      </c>
      <c r="F48" s="37">
        <v>0.0</v>
      </c>
      <c r="G48" s="37">
        <v>14112.0</v>
      </c>
      <c r="H48" s="37">
        <v>0.0</v>
      </c>
      <c r="I48" s="37">
        <v>0.0</v>
      </c>
      <c r="J48" s="37">
        <v>0.0</v>
      </c>
      <c r="K48" s="37">
        <v>267.0</v>
      </c>
      <c r="L48" s="37">
        <v>0.0</v>
      </c>
      <c r="M48" s="37">
        <v>9614.0</v>
      </c>
      <c r="N48" s="37">
        <v>2064033.0</v>
      </c>
      <c r="O48" s="37">
        <v>38359.0</v>
      </c>
      <c r="P48" s="37">
        <v>0.0</v>
      </c>
      <c r="Q48" s="37">
        <v>2755.0</v>
      </c>
      <c r="R48" s="37">
        <v>10318.0</v>
      </c>
      <c r="S48" s="37">
        <v>0.0</v>
      </c>
      <c r="T48" s="37">
        <v>0.0</v>
      </c>
      <c r="U48" s="37">
        <v>4.0</v>
      </c>
      <c r="V48" s="37">
        <v>0.0</v>
      </c>
      <c r="W48" s="38">
        <f t="shared" si="1"/>
        <v>2407557</v>
      </c>
    </row>
    <row r="49">
      <c r="A49" s="36">
        <v>43435.0</v>
      </c>
      <c r="B49" s="37">
        <v>2776.0</v>
      </c>
      <c r="C49" s="37">
        <v>260611.0</v>
      </c>
      <c r="D49" s="37">
        <v>5119.0</v>
      </c>
      <c r="E49" s="37">
        <v>0.0</v>
      </c>
      <c r="F49" s="37">
        <v>0.0</v>
      </c>
      <c r="G49" s="37">
        <v>15877.0</v>
      </c>
      <c r="H49" s="37">
        <v>1.0</v>
      </c>
      <c r="I49" s="37">
        <v>0.0</v>
      </c>
      <c r="J49" s="37">
        <v>0.0</v>
      </c>
      <c r="K49" s="37">
        <v>397.0</v>
      </c>
      <c r="L49" s="37">
        <v>0.0</v>
      </c>
      <c r="M49" s="37">
        <v>11647.0</v>
      </c>
      <c r="N49" s="37">
        <v>1853049.0</v>
      </c>
      <c r="O49" s="37">
        <v>35607.0</v>
      </c>
      <c r="P49" s="37">
        <v>0.0</v>
      </c>
      <c r="Q49" s="37">
        <v>4283.0</v>
      </c>
      <c r="R49" s="37">
        <v>9125.0</v>
      </c>
      <c r="S49" s="37">
        <v>0.0</v>
      </c>
      <c r="T49" s="37">
        <v>0.0</v>
      </c>
      <c r="U49" s="37">
        <v>8.0</v>
      </c>
      <c r="V49" s="37">
        <v>0.0</v>
      </c>
      <c r="W49" s="38">
        <f t="shared" si="1"/>
        <v>2198500</v>
      </c>
    </row>
    <row r="50">
      <c r="A50" s="36">
        <v>43466.0</v>
      </c>
      <c r="B50" s="37">
        <v>3185.0</v>
      </c>
      <c r="C50" s="37">
        <v>286564.0</v>
      </c>
      <c r="D50" s="37">
        <v>7912.0</v>
      </c>
      <c r="E50" s="37">
        <v>0.0</v>
      </c>
      <c r="F50" s="37">
        <v>0.0</v>
      </c>
      <c r="G50" s="37">
        <v>13376.0</v>
      </c>
      <c r="H50" s="37">
        <v>0.0</v>
      </c>
      <c r="I50" s="37">
        <v>0.0</v>
      </c>
      <c r="J50" s="37">
        <v>0.0</v>
      </c>
      <c r="K50" s="37">
        <v>345.0</v>
      </c>
      <c r="L50" s="37">
        <v>0.0</v>
      </c>
      <c r="M50" s="37">
        <v>9257.0</v>
      </c>
      <c r="N50" s="37">
        <v>1752953.0</v>
      </c>
      <c r="O50" s="37">
        <v>39521.0</v>
      </c>
      <c r="P50" s="37">
        <v>0.0</v>
      </c>
      <c r="Q50" s="37">
        <v>6686.0</v>
      </c>
      <c r="R50" s="37">
        <v>9805.0</v>
      </c>
      <c r="S50" s="37">
        <v>0.0</v>
      </c>
      <c r="T50" s="37">
        <v>0.0</v>
      </c>
      <c r="U50" s="37">
        <v>0.0</v>
      </c>
      <c r="V50" s="37">
        <v>0.0</v>
      </c>
      <c r="W50" s="38">
        <f t="shared" si="1"/>
        <v>2129604</v>
      </c>
    </row>
    <row r="51">
      <c r="A51" s="36">
        <v>43497.0</v>
      </c>
      <c r="B51" s="37">
        <v>2783.0</v>
      </c>
      <c r="C51" s="37">
        <v>258437.0</v>
      </c>
      <c r="D51" s="37">
        <v>6193.0</v>
      </c>
      <c r="E51" s="37">
        <v>1.0</v>
      </c>
      <c r="F51" s="37">
        <v>0.0</v>
      </c>
      <c r="G51" s="37">
        <v>12231.0</v>
      </c>
      <c r="H51" s="37">
        <v>0.0</v>
      </c>
      <c r="I51" s="37">
        <v>0.0</v>
      </c>
      <c r="J51" s="37">
        <v>0.0</v>
      </c>
      <c r="K51" s="37">
        <v>575.0</v>
      </c>
      <c r="L51" s="37">
        <v>0.0</v>
      </c>
      <c r="M51" s="37">
        <v>9820.0</v>
      </c>
      <c r="N51" s="37">
        <v>1561083.0</v>
      </c>
      <c r="O51" s="37">
        <v>34632.0</v>
      </c>
      <c r="P51" s="37">
        <v>0.0</v>
      </c>
      <c r="Q51" s="37">
        <v>5517.0</v>
      </c>
      <c r="R51" s="37">
        <v>9749.0</v>
      </c>
      <c r="S51" s="37">
        <v>0.0</v>
      </c>
      <c r="T51" s="37">
        <v>0.0</v>
      </c>
      <c r="U51" s="37">
        <v>0.0</v>
      </c>
      <c r="V51" s="37">
        <v>0.0</v>
      </c>
      <c r="W51" s="38">
        <f t="shared" si="1"/>
        <v>1901021</v>
      </c>
    </row>
    <row r="52">
      <c r="A52" s="36">
        <v>43525.0</v>
      </c>
      <c r="B52" s="37">
        <v>3015.0</v>
      </c>
      <c r="C52" s="37">
        <v>277755.0</v>
      </c>
      <c r="D52" s="37">
        <v>6189.0</v>
      </c>
      <c r="E52" s="37">
        <v>3.0</v>
      </c>
      <c r="F52" s="37">
        <v>0.0</v>
      </c>
      <c r="G52" s="37">
        <v>15158.0</v>
      </c>
      <c r="H52" s="37">
        <v>0.0</v>
      </c>
      <c r="I52" s="37">
        <v>0.0</v>
      </c>
      <c r="J52" s="37">
        <v>0.0</v>
      </c>
      <c r="K52" s="37">
        <v>578.0</v>
      </c>
      <c r="L52" s="37">
        <v>0.0</v>
      </c>
      <c r="M52" s="37">
        <v>9541.0</v>
      </c>
      <c r="N52" s="37">
        <v>1728099.0</v>
      </c>
      <c r="O52" s="37">
        <v>33345.0</v>
      </c>
      <c r="P52" s="37">
        <v>0.0</v>
      </c>
      <c r="Q52" s="37">
        <v>6175.0</v>
      </c>
      <c r="R52" s="37">
        <v>10247.0</v>
      </c>
      <c r="S52" s="37">
        <v>0.0</v>
      </c>
      <c r="T52" s="37">
        <v>0.0</v>
      </c>
      <c r="U52" s="37">
        <v>0.0</v>
      </c>
      <c r="V52" s="37">
        <v>0.0</v>
      </c>
      <c r="W52" s="38">
        <f t="shared" si="1"/>
        <v>2090105</v>
      </c>
    </row>
    <row r="53">
      <c r="A53" s="36">
        <v>43556.0</v>
      </c>
      <c r="B53" s="37">
        <v>3097.0</v>
      </c>
      <c r="C53" s="37">
        <v>239962.0</v>
      </c>
      <c r="D53" s="37">
        <v>4809.0</v>
      </c>
      <c r="E53" s="37">
        <v>1.0</v>
      </c>
      <c r="F53" s="37">
        <v>0.0</v>
      </c>
      <c r="G53" s="37">
        <v>11212.0</v>
      </c>
      <c r="H53" s="37">
        <v>1.0</v>
      </c>
      <c r="I53" s="37">
        <v>0.0</v>
      </c>
      <c r="J53" s="37">
        <v>0.0</v>
      </c>
      <c r="K53" s="37">
        <v>647.0</v>
      </c>
      <c r="L53" s="37">
        <v>0.0</v>
      </c>
      <c r="M53" s="37">
        <v>6687.0</v>
      </c>
      <c r="N53" s="37">
        <v>1659265.0</v>
      </c>
      <c r="O53" s="37">
        <v>34910.0</v>
      </c>
      <c r="P53" s="37">
        <v>0.0</v>
      </c>
      <c r="Q53" s="37">
        <v>6552.0</v>
      </c>
      <c r="R53" s="37">
        <v>8859.0</v>
      </c>
      <c r="S53" s="37">
        <v>0.0</v>
      </c>
      <c r="T53" s="37">
        <v>0.0</v>
      </c>
      <c r="U53" s="37">
        <v>0.0</v>
      </c>
      <c r="V53" s="37">
        <v>0.0</v>
      </c>
      <c r="W53" s="38">
        <f t="shared" si="1"/>
        <v>1976002</v>
      </c>
    </row>
    <row r="54">
      <c r="A54" s="36">
        <v>43586.0</v>
      </c>
      <c r="B54" s="37">
        <v>2793.0</v>
      </c>
      <c r="C54" s="37">
        <v>240599.0</v>
      </c>
      <c r="D54" s="37">
        <v>3790.0</v>
      </c>
      <c r="E54" s="37">
        <v>0.0</v>
      </c>
      <c r="F54" s="37">
        <v>0.0</v>
      </c>
      <c r="G54" s="37">
        <v>10095.0</v>
      </c>
      <c r="H54" s="37">
        <v>2.0</v>
      </c>
      <c r="I54" s="37">
        <v>0.0</v>
      </c>
      <c r="J54" s="37">
        <v>0.0</v>
      </c>
      <c r="K54" s="37">
        <v>241.0</v>
      </c>
      <c r="L54" s="37">
        <v>0.0</v>
      </c>
      <c r="M54" s="37">
        <v>6939.0</v>
      </c>
      <c r="N54" s="37">
        <v>1763593.0</v>
      </c>
      <c r="O54" s="37">
        <v>35555.0</v>
      </c>
      <c r="P54" s="37">
        <v>1.0</v>
      </c>
      <c r="Q54" s="37">
        <v>6695.0</v>
      </c>
      <c r="R54" s="37">
        <v>9256.0</v>
      </c>
      <c r="S54" s="37">
        <v>0.0</v>
      </c>
      <c r="T54" s="37">
        <v>0.0</v>
      </c>
      <c r="U54" s="37">
        <v>0.0</v>
      </c>
      <c r="V54" s="37">
        <v>0.0</v>
      </c>
      <c r="W54" s="38">
        <f t="shared" si="1"/>
        <v>2079559</v>
      </c>
    </row>
    <row r="55">
      <c r="A55" s="36">
        <v>43617.0</v>
      </c>
      <c r="B55" s="37">
        <v>2431.0</v>
      </c>
      <c r="C55" s="37">
        <v>223076.0</v>
      </c>
      <c r="D55" s="37">
        <v>2156.0</v>
      </c>
      <c r="E55" s="37">
        <v>1.0</v>
      </c>
      <c r="F55" s="37">
        <v>0.0</v>
      </c>
      <c r="G55" s="37">
        <v>11161.0</v>
      </c>
      <c r="H55" s="37">
        <v>2.0</v>
      </c>
      <c r="I55" s="37">
        <v>0.0</v>
      </c>
      <c r="J55" s="37">
        <v>0.0</v>
      </c>
      <c r="K55" s="37">
        <v>216.0</v>
      </c>
      <c r="L55" s="37">
        <v>0.0</v>
      </c>
      <c r="M55" s="37">
        <v>5636.0</v>
      </c>
      <c r="N55" s="37">
        <v>1635558.0</v>
      </c>
      <c r="O55" s="37">
        <v>30154.0</v>
      </c>
      <c r="P55" s="37">
        <v>0.0</v>
      </c>
      <c r="Q55" s="37">
        <v>6124.0</v>
      </c>
      <c r="R55" s="37">
        <v>8016.0</v>
      </c>
      <c r="S55" s="37">
        <v>0.0</v>
      </c>
      <c r="T55" s="37">
        <v>0.0</v>
      </c>
      <c r="U55" s="37">
        <v>0.0</v>
      </c>
      <c r="V55" s="37">
        <v>0.0</v>
      </c>
      <c r="W55" s="38">
        <f t="shared" si="1"/>
        <v>1924531</v>
      </c>
    </row>
    <row r="56">
      <c r="A56" s="36">
        <v>43647.0</v>
      </c>
      <c r="B56" s="37">
        <v>2891.0</v>
      </c>
      <c r="C56" s="37">
        <v>250987.0</v>
      </c>
      <c r="D56" s="37">
        <v>1712.0</v>
      </c>
      <c r="E56" s="37">
        <v>0.0</v>
      </c>
      <c r="F56" s="37">
        <v>0.0</v>
      </c>
      <c r="G56" s="37">
        <v>12481.0</v>
      </c>
      <c r="H56" s="37">
        <v>1.0</v>
      </c>
      <c r="I56" s="37">
        <v>0.0</v>
      </c>
      <c r="J56" s="37">
        <v>1.0</v>
      </c>
      <c r="K56" s="37">
        <v>234.0</v>
      </c>
      <c r="L56" s="37">
        <v>0.0</v>
      </c>
      <c r="M56" s="37">
        <v>6509.0</v>
      </c>
      <c r="N56" s="37">
        <v>1713755.0</v>
      </c>
      <c r="O56" s="37">
        <v>34629.0</v>
      </c>
      <c r="P56" s="37">
        <v>1.0</v>
      </c>
      <c r="Q56" s="37">
        <v>5777.0</v>
      </c>
      <c r="R56" s="37">
        <v>9787.0</v>
      </c>
      <c r="S56" s="37">
        <v>0.0</v>
      </c>
      <c r="T56" s="37">
        <v>0.0</v>
      </c>
      <c r="U56" s="37">
        <v>0.0</v>
      </c>
      <c r="V56" s="37">
        <v>0.0</v>
      </c>
      <c r="W56" s="38">
        <f t="shared" si="1"/>
        <v>2038765</v>
      </c>
    </row>
    <row r="57">
      <c r="A57" s="36">
        <v>43678.0</v>
      </c>
      <c r="B57" s="37">
        <v>2688.0</v>
      </c>
      <c r="C57" s="37">
        <v>225916.0</v>
      </c>
      <c r="D57" s="37">
        <v>1273.0</v>
      </c>
      <c r="E57" s="37">
        <v>0.0</v>
      </c>
      <c r="F57" s="37">
        <v>0.0</v>
      </c>
      <c r="G57" s="37">
        <v>13261.0</v>
      </c>
      <c r="H57" s="37">
        <v>0.0</v>
      </c>
      <c r="I57" s="37">
        <v>0.0</v>
      </c>
      <c r="J57" s="37">
        <v>0.0</v>
      </c>
      <c r="K57" s="37">
        <v>218.0</v>
      </c>
      <c r="L57" s="37">
        <v>0.0</v>
      </c>
      <c r="M57" s="37">
        <v>6091.0</v>
      </c>
      <c r="N57" s="37">
        <v>1516789.0</v>
      </c>
      <c r="O57" s="37">
        <v>32295.0</v>
      </c>
      <c r="P57" s="37">
        <v>0.0</v>
      </c>
      <c r="Q57" s="37">
        <v>5677.0</v>
      </c>
      <c r="R57" s="37">
        <v>8584.0</v>
      </c>
      <c r="S57" s="37">
        <v>0.0</v>
      </c>
      <c r="T57" s="37">
        <v>0.0</v>
      </c>
      <c r="U57" s="37">
        <v>0.0</v>
      </c>
      <c r="V57" s="37">
        <v>0.0</v>
      </c>
      <c r="W57" s="38">
        <f t="shared" si="1"/>
        <v>1812792</v>
      </c>
    </row>
    <row r="58">
      <c r="A58" s="36">
        <v>43709.0</v>
      </c>
      <c r="B58" s="37">
        <v>2497.0</v>
      </c>
      <c r="C58" s="37">
        <v>198253.0</v>
      </c>
      <c r="D58" s="37">
        <v>1072.0</v>
      </c>
      <c r="E58" s="37">
        <v>2.0</v>
      </c>
      <c r="F58" s="37">
        <v>0.0</v>
      </c>
      <c r="G58" s="37">
        <v>16144.0</v>
      </c>
      <c r="H58" s="37">
        <v>2.0</v>
      </c>
      <c r="I58" s="37">
        <v>0.0</v>
      </c>
      <c r="J58" s="37">
        <v>3.0</v>
      </c>
      <c r="K58" s="37">
        <v>213.0</v>
      </c>
      <c r="L58" s="37">
        <v>0.0</v>
      </c>
      <c r="M58" s="37">
        <v>5642.0</v>
      </c>
      <c r="N58" s="37">
        <v>1387666.0</v>
      </c>
      <c r="O58" s="37">
        <v>28200.0</v>
      </c>
      <c r="P58" s="37">
        <v>0.0</v>
      </c>
      <c r="Q58" s="37">
        <v>5800.0</v>
      </c>
      <c r="R58" s="37">
        <v>8333.0</v>
      </c>
      <c r="S58" s="37">
        <v>0.0</v>
      </c>
      <c r="T58" s="37">
        <v>0.0</v>
      </c>
      <c r="U58" s="37">
        <v>1.0</v>
      </c>
      <c r="V58" s="37">
        <v>0.0</v>
      </c>
      <c r="W58" s="38">
        <f t="shared" si="1"/>
        <v>1653828</v>
      </c>
    </row>
    <row r="59">
      <c r="A59" s="36">
        <v>43739.0</v>
      </c>
      <c r="B59" s="37">
        <v>2813.0</v>
      </c>
      <c r="C59" s="37">
        <v>233831.0</v>
      </c>
      <c r="D59" s="37">
        <v>1486.0</v>
      </c>
      <c r="E59" s="37">
        <v>0.0</v>
      </c>
      <c r="F59" s="37">
        <v>0.0</v>
      </c>
      <c r="G59" s="37">
        <v>15719.0</v>
      </c>
      <c r="H59" s="37">
        <v>0.0</v>
      </c>
      <c r="I59" s="37">
        <v>0.0</v>
      </c>
      <c r="J59" s="37">
        <v>2.0</v>
      </c>
      <c r="K59" s="37">
        <v>53.0</v>
      </c>
      <c r="L59" s="37">
        <v>0.0</v>
      </c>
      <c r="M59" s="37">
        <v>6928.0</v>
      </c>
      <c r="N59" s="37">
        <v>1805573.0</v>
      </c>
      <c r="O59" s="37">
        <v>41870.0</v>
      </c>
      <c r="P59" s="37">
        <v>0.0</v>
      </c>
      <c r="Q59" s="37">
        <v>8669.0</v>
      </c>
      <c r="R59" s="37">
        <v>8799.0</v>
      </c>
      <c r="S59" s="37">
        <v>0.0</v>
      </c>
      <c r="T59" s="37">
        <v>0.0</v>
      </c>
      <c r="U59" s="37">
        <v>0.0</v>
      </c>
      <c r="V59" s="37">
        <v>0.0</v>
      </c>
      <c r="W59" s="38">
        <f t="shared" si="1"/>
        <v>2125743</v>
      </c>
    </row>
    <row r="60">
      <c r="A60" s="36">
        <v>43770.0</v>
      </c>
      <c r="B60" s="37">
        <v>2975.0</v>
      </c>
      <c r="C60" s="37">
        <v>260969.0</v>
      </c>
      <c r="D60" s="37">
        <v>1536.0</v>
      </c>
      <c r="E60" s="37">
        <v>0.0</v>
      </c>
      <c r="F60" s="37">
        <v>0.0</v>
      </c>
      <c r="G60" s="37">
        <v>19008.0</v>
      </c>
      <c r="H60" s="37">
        <v>0.0</v>
      </c>
      <c r="I60" s="37">
        <v>0.0</v>
      </c>
      <c r="J60" s="37">
        <v>4.0</v>
      </c>
      <c r="K60" s="37">
        <v>264.0</v>
      </c>
      <c r="L60" s="37">
        <v>1.0</v>
      </c>
      <c r="M60" s="37">
        <v>7826.0</v>
      </c>
      <c r="N60" s="37">
        <v>2179921.0</v>
      </c>
      <c r="O60" s="37">
        <v>40885.0</v>
      </c>
      <c r="P60" s="37">
        <v>0.0</v>
      </c>
      <c r="Q60" s="37">
        <v>7170.0</v>
      </c>
      <c r="R60" s="37">
        <v>10093.0</v>
      </c>
      <c r="S60" s="37">
        <v>0.0</v>
      </c>
      <c r="T60" s="37">
        <v>0.0</v>
      </c>
      <c r="U60" s="37">
        <v>0.0</v>
      </c>
      <c r="V60" s="37">
        <v>0.0</v>
      </c>
      <c r="W60" s="38">
        <f t="shared" si="1"/>
        <v>2530652</v>
      </c>
    </row>
    <row r="61">
      <c r="A61" s="36">
        <v>43800.0</v>
      </c>
      <c r="B61" s="37">
        <v>2303.0</v>
      </c>
      <c r="C61" s="37">
        <v>228961.0</v>
      </c>
      <c r="D61" s="37">
        <v>974.0</v>
      </c>
      <c r="E61" s="37">
        <v>0.0</v>
      </c>
      <c r="F61" s="37">
        <v>0.0</v>
      </c>
      <c r="G61" s="37">
        <v>17033.0</v>
      </c>
      <c r="H61" s="37">
        <v>1.0</v>
      </c>
      <c r="I61" s="37">
        <v>0.0</v>
      </c>
      <c r="J61" s="37">
        <v>1.0</v>
      </c>
      <c r="K61" s="37">
        <v>282.0</v>
      </c>
      <c r="L61" s="37">
        <v>1.0</v>
      </c>
      <c r="M61" s="37">
        <v>8394.0</v>
      </c>
      <c r="N61" s="37">
        <v>1590242.0</v>
      </c>
      <c r="O61" s="37">
        <v>31870.0</v>
      </c>
      <c r="P61" s="37">
        <v>0.0</v>
      </c>
      <c r="Q61" s="37">
        <v>5410.0</v>
      </c>
      <c r="R61" s="37">
        <v>7541.0</v>
      </c>
      <c r="S61" s="37">
        <v>0.0</v>
      </c>
      <c r="T61" s="37">
        <v>0.0</v>
      </c>
      <c r="U61" s="37">
        <v>0.0</v>
      </c>
      <c r="V61" s="37">
        <v>0.0</v>
      </c>
      <c r="W61" s="38">
        <f t="shared" si="1"/>
        <v>1893013</v>
      </c>
    </row>
    <row r="62">
      <c r="A62" s="36">
        <v>43831.0</v>
      </c>
      <c r="B62" s="37">
        <v>3156.0</v>
      </c>
      <c r="C62" s="37">
        <v>275020.0</v>
      </c>
      <c r="D62" s="37">
        <v>1394.0</v>
      </c>
      <c r="E62" s="37">
        <v>1.0</v>
      </c>
      <c r="F62" s="37">
        <v>0.0</v>
      </c>
      <c r="G62" s="37">
        <v>16855.0</v>
      </c>
      <c r="H62" s="37">
        <v>0.0</v>
      </c>
      <c r="I62" s="37">
        <v>0.0</v>
      </c>
      <c r="J62" s="37">
        <v>3.0</v>
      </c>
      <c r="K62" s="37">
        <v>176.0</v>
      </c>
      <c r="L62" s="37">
        <v>0.0</v>
      </c>
      <c r="M62" s="37">
        <v>8644.0</v>
      </c>
      <c r="N62" s="37">
        <v>1639170.0</v>
      </c>
      <c r="O62" s="37">
        <v>42629.0</v>
      </c>
      <c r="P62" s="37">
        <v>0.0</v>
      </c>
      <c r="Q62" s="37">
        <v>5900.0</v>
      </c>
      <c r="R62" s="37">
        <v>9721.0</v>
      </c>
      <c r="S62" s="37">
        <v>0.0</v>
      </c>
      <c r="T62" s="37">
        <v>0.0</v>
      </c>
      <c r="U62" s="37">
        <v>0.0</v>
      </c>
      <c r="V62" s="37">
        <v>0.0</v>
      </c>
      <c r="W62" s="38">
        <f t="shared" si="1"/>
        <v>2002669</v>
      </c>
    </row>
    <row r="63">
      <c r="A63" s="36">
        <v>43862.0</v>
      </c>
      <c r="B63" s="37">
        <v>3634.0</v>
      </c>
      <c r="C63" s="37">
        <v>261867.0</v>
      </c>
      <c r="D63" s="37">
        <v>743.0</v>
      </c>
      <c r="E63" s="37">
        <v>0.0</v>
      </c>
      <c r="F63" s="37">
        <v>0.0</v>
      </c>
      <c r="G63" s="37">
        <v>16572.0</v>
      </c>
      <c r="H63" s="37">
        <v>1.0</v>
      </c>
      <c r="I63" s="37">
        <v>0.0</v>
      </c>
      <c r="J63" s="37">
        <v>2.0</v>
      </c>
      <c r="K63" s="37">
        <v>338.0</v>
      </c>
      <c r="L63" s="37">
        <v>1.0</v>
      </c>
      <c r="M63" s="37">
        <v>8529.0</v>
      </c>
      <c r="N63" s="37">
        <v>1621327.0</v>
      </c>
      <c r="O63" s="37">
        <v>33362.0</v>
      </c>
      <c r="P63" s="37">
        <v>1.0</v>
      </c>
      <c r="Q63" s="37">
        <v>5208.0</v>
      </c>
      <c r="R63" s="37">
        <v>9644.0</v>
      </c>
      <c r="S63" s="37">
        <v>0.0</v>
      </c>
      <c r="T63" s="37">
        <v>0.0</v>
      </c>
      <c r="U63" s="37">
        <v>0.0</v>
      </c>
      <c r="V63" s="37">
        <v>0.0</v>
      </c>
      <c r="W63" s="38">
        <f t="shared" si="1"/>
        <v>1961229</v>
      </c>
    </row>
    <row r="64">
      <c r="A64" s="36">
        <v>43891.0</v>
      </c>
      <c r="B64" s="37">
        <v>6922.0</v>
      </c>
      <c r="C64" s="37">
        <v>306160.0</v>
      </c>
      <c r="D64" s="37">
        <v>589.0</v>
      </c>
      <c r="E64" s="37">
        <v>0.0</v>
      </c>
      <c r="F64" s="37">
        <v>0.0</v>
      </c>
      <c r="G64" s="37">
        <v>14066.0</v>
      </c>
      <c r="H64" s="37">
        <v>0.0</v>
      </c>
      <c r="I64" s="37">
        <v>0.0</v>
      </c>
      <c r="J64" s="37">
        <v>1.0</v>
      </c>
      <c r="K64" s="37">
        <v>1231.0</v>
      </c>
      <c r="L64" s="37">
        <v>0.0</v>
      </c>
      <c r="M64" s="37">
        <v>8422.0</v>
      </c>
      <c r="N64" s="37">
        <v>2213633.0</v>
      </c>
      <c r="O64" s="37">
        <v>25894.0</v>
      </c>
      <c r="P64" s="37">
        <v>1.0</v>
      </c>
      <c r="Q64" s="37">
        <v>7617.0</v>
      </c>
      <c r="R64" s="37">
        <v>8914.0</v>
      </c>
      <c r="S64" s="37">
        <v>0.0</v>
      </c>
      <c r="T64" s="37">
        <v>0.0</v>
      </c>
      <c r="U64" s="37">
        <v>0.0</v>
      </c>
      <c r="V64" s="37">
        <v>0.0</v>
      </c>
      <c r="W64" s="38">
        <f t="shared" si="1"/>
        <v>2593450</v>
      </c>
    </row>
    <row r="65">
      <c r="A65" s="36">
        <v>43922.0</v>
      </c>
      <c r="B65" s="37">
        <v>1988.0</v>
      </c>
      <c r="C65" s="37">
        <v>47270.0</v>
      </c>
      <c r="D65" s="37">
        <v>113.0</v>
      </c>
      <c r="E65" s="37">
        <v>0.0</v>
      </c>
      <c r="F65" s="37">
        <v>0.0</v>
      </c>
      <c r="G65" s="37">
        <v>975.0</v>
      </c>
      <c r="H65" s="37">
        <v>0.0</v>
      </c>
      <c r="I65" s="37">
        <v>0.0</v>
      </c>
      <c r="J65" s="37">
        <v>0.0</v>
      </c>
      <c r="K65" s="37">
        <v>76.0</v>
      </c>
      <c r="L65" s="37">
        <v>0.0</v>
      </c>
      <c r="M65" s="37">
        <v>553.0</v>
      </c>
      <c r="N65" s="37">
        <v>429417.0</v>
      </c>
      <c r="O65" s="37">
        <v>3427.0</v>
      </c>
      <c r="P65" s="37">
        <v>0.0</v>
      </c>
      <c r="Q65" s="37">
        <v>437.0</v>
      </c>
      <c r="R65" s="37">
        <v>796.0</v>
      </c>
      <c r="S65" s="37">
        <v>0.0</v>
      </c>
      <c r="T65" s="37">
        <v>0.0</v>
      </c>
      <c r="U65" s="37">
        <v>0.0</v>
      </c>
      <c r="V65" s="37">
        <v>0.0</v>
      </c>
      <c r="W65" s="38">
        <f t="shared" si="1"/>
        <v>485052</v>
      </c>
    </row>
    <row r="66">
      <c r="A66" s="36">
        <v>43952.0</v>
      </c>
      <c r="B66" s="37">
        <v>190.0</v>
      </c>
      <c r="C66" s="37">
        <v>18578.0</v>
      </c>
      <c r="D66" s="37">
        <v>0.0</v>
      </c>
      <c r="E66" s="37">
        <v>0.0</v>
      </c>
      <c r="F66" s="37">
        <v>0.0</v>
      </c>
      <c r="G66" s="37">
        <v>1310.0</v>
      </c>
      <c r="H66" s="37">
        <v>0.0</v>
      </c>
      <c r="I66" s="37">
        <v>0.0</v>
      </c>
      <c r="J66" s="37">
        <v>0.0</v>
      </c>
      <c r="K66" s="37">
        <v>193.0</v>
      </c>
      <c r="L66" s="37">
        <v>0.0</v>
      </c>
      <c r="M66" s="37">
        <v>2005.0</v>
      </c>
      <c r="N66" s="37">
        <v>217901.0</v>
      </c>
      <c r="O66" s="37">
        <v>1467.0</v>
      </c>
      <c r="P66" s="37">
        <v>0.0</v>
      </c>
      <c r="Q66" s="37">
        <v>1671.0</v>
      </c>
      <c r="R66" s="37">
        <v>240.0</v>
      </c>
      <c r="S66" s="37">
        <v>0.0</v>
      </c>
      <c r="T66" s="37">
        <v>0.0</v>
      </c>
      <c r="U66" s="37">
        <v>0.0</v>
      </c>
      <c r="V66" s="37">
        <v>0.0</v>
      </c>
      <c r="W66" s="38">
        <f t="shared" si="1"/>
        <v>243555</v>
      </c>
    </row>
    <row r="67">
      <c r="A67" s="36">
        <v>43983.0</v>
      </c>
      <c r="B67" s="37">
        <v>1866.0</v>
      </c>
      <c r="C67" s="37">
        <v>94843.0</v>
      </c>
      <c r="D67" s="37">
        <v>3.0</v>
      </c>
      <c r="E67" s="37">
        <v>0.0</v>
      </c>
      <c r="F67" s="37">
        <v>0.0</v>
      </c>
      <c r="G67" s="37">
        <v>6490.0</v>
      </c>
      <c r="H67" s="37">
        <v>1.0</v>
      </c>
      <c r="I67" s="37">
        <v>0.0</v>
      </c>
      <c r="J67" s="37">
        <v>0.0</v>
      </c>
      <c r="K67" s="37">
        <v>785.0</v>
      </c>
      <c r="L67" s="37">
        <v>0.0</v>
      </c>
      <c r="M67" s="37">
        <v>6773.0</v>
      </c>
      <c r="N67" s="37">
        <v>1013284.0</v>
      </c>
      <c r="O67" s="37">
        <v>8704.0</v>
      </c>
      <c r="P67" s="37">
        <v>0.0</v>
      </c>
      <c r="Q67" s="37">
        <v>6411.0</v>
      </c>
      <c r="R67" s="37">
        <v>723.0</v>
      </c>
      <c r="S67" s="37">
        <v>0.0</v>
      </c>
      <c r="T67" s="37">
        <v>0.0</v>
      </c>
      <c r="U67" s="37">
        <v>0.0</v>
      </c>
      <c r="V67" s="37">
        <v>0.0</v>
      </c>
      <c r="W67" s="38">
        <f t="shared" si="1"/>
        <v>1139883</v>
      </c>
    </row>
    <row r="68">
      <c r="A68" s="36">
        <v>44013.0</v>
      </c>
      <c r="B68" s="37">
        <v>2445.0</v>
      </c>
      <c r="C68" s="37">
        <v>149109.0</v>
      </c>
      <c r="D68" s="37">
        <v>1.0</v>
      </c>
      <c r="E68" s="37">
        <v>0.0</v>
      </c>
      <c r="F68" s="37">
        <v>0.0</v>
      </c>
      <c r="G68" s="37">
        <v>7799.0</v>
      </c>
      <c r="H68" s="37">
        <v>0.0</v>
      </c>
      <c r="I68" s="37">
        <v>0.0</v>
      </c>
      <c r="J68" s="37">
        <v>0.0</v>
      </c>
      <c r="K68" s="37">
        <v>909.0</v>
      </c>
      <c r="L68" s="37">
        <v>1.0</v>
      </c>
      <c r="M68" s="37">
        <v>7157.0</v>
      </c>
      <c r="N68" s="37">
        <v>1142338.0</v>
      </c>
      <c r="O68" s="37">
        <v>12927.0</v>
      </c>
      <c r="P68" s="37">
        <v>1.0</v>
      </c>
      <c r="Q68" s="37">
        <v>6459.0</v>
      </c>
      <c r="R68" s="37">
        <v>1157.0</v>
      </c>
      <c r="S68" s="37">
        <v>0.0</v>
      </c>
      <c r="T68" s="37">
        <v>0.0</v>
      </c>
      <c r="U68" s="37">
        <v>0.0</v>
      </c>
      <c r="V68" s="37">
        <v>0.0</v>
      </c>
      <c r="W68" s="38">
        <f t="shared" si="1"/>
        <v>1330303</v>
      </c>
    </row>
    <row r="69">
      <c r="A69" s="36">
        <v>44044.0</v>
      </c>
      <c r="B69" s="37">
        <v>2894.0</v>
      </c>
      <c r="C69" s="37">
        <v>148788.0</v>
      </c>
      <c r="D69" s="37">
        <v>3.0</v>
      </c>
      <c r="E69" s="37">
        <v>0.0</v>
      </c>
      <c r="F69" s="37">
        <v>0.0</v>
      </c>
      <c r="G69" s="37">
        <v>8557.0</v>
      </c>
      <c r="H69" s="37">
        <v>1.0</v>
      </c>
      <c r="I69" s="37">
        <v>0.0</v>
      </c>
      <c r="J69" s="37">
        <v>0.0</v>
      </c>
      <c r="K69" s="37">
        <v>895.0</v>
      </c>
      <c r="L69" s="37">
        <v>0.0</v>
      </c>
      <c r="M69" s="37">
        <v>7089.0</v>
      </c>
      <c r="N69" s="37">
        <v>1207580.0</v>
      </c>
      <c r="O69" s="37">
        <v>16567.0</v>
      </c>
      <c r="P69" s="37">
        <v>0.0</v>
      </c>
      <c r="Q69" s="37">
        <v>8164.0</v>
      </c>
      <c r="R69" s="37">
        <v>1105.0</v>
      </c>
      <c r="S69" s="37">
        <v>0.0</v>
      </c>
      <c r="T69" s="37">
        <v>0.0</v>
      </c>
      <c r="U69" s="37">
        <v>0.0</v>
      </c>
      <c r="V69" s="37">
        <v>0.0</v>
      </c>
      <c r="W69" s="38">
        <f t="shared" si="1"/>
        <v>1401643</v>
      </c>
    </row>
    <row r="70">
      <c r="A70" s="36">
        <v>44075.0</v>
      </c>
      <c r="B70" s="37">
        <v>4152.0</v>
      </c>
      <c r="C70" s="37">
        <v>173264.0</v>
      </c>
      <c r="D70" s="37">
        <v>42.0</v>
      </c>
      <c r="E70" s="37">
        <v>0.0</v>
      </c>
      <c r="F70" s="37">
        <v>0.0</v>
      </c>
      <c r="G70" s="37">
        <v>11349.0</v>
      </c>
      <c r="H70" s="37">
        <v>0.0</v>
      </c>
      <c r="I70" s="37">
        <v>0.0</v>
      </c>
      <c r="J70" s="37">
        <v>0.0</v>
      </c>
      <c r="K70" s="37">
        <v>1332.0</v>
      </c>
      <c r="L70" s="37">
        <v>0.0</v>
      </c>
      <c r="M70" s="37">
        <v>8747.0</v>
      </c>
      <c r="N70" s="37">
        <v>1337599.0</v>
      </c>
      <c r="O70" s="37">
        <v>16861.0</v>
      </c>
      <c r="P70" s="37">
        <v>0.0</v>
      </c>
      <c r="Q70" s="37">
        <v>9286.0</v>
      </c>
      <c r="R70" s="37">
        <v>2298.0</v>
      </c>
      <c r="S70" s="37">
        <v>0.0</v>
      </c>
      <c r="T70" s="37">
        <v>0.0</v>
      </c>
      <c r="U70" s="37">
        <v>0.0</v>
      </c>
      <c r="V70" s="37">
        <v>0.0</v>
      </c>
      <c r="W70" s="38">
        <f t="shared" si="1"/>
        <v>1564930</v>
      </c>
    </row>
    <row r="71">
      <c r="A71" s="36">
        <v>44105.0</v>
      </c>
      <c r="B71" s="37">
        <v>5004.0</v>
      </c>
      <c r="C71" s="37">
        <v>169707.0</v>
      </c>
      <c r="D71" s="37">
        <v>14.0</v>
      </c>
      <c r="E71" s="37">
        <v>0.0</v>
      </c>
      <c r="F71" s="37">
        <v>0.0</v>
      </c>
      <c r="G71" s="37">
        <v>11460.0</v>
      </c>
      <c r="H71" s="37">
        <v>0.0</v>
      </c>
      <c r="I71" s="37">
        <v>0.0</v>
      </c>
      <c r="J71" s="37">
        <v>0.0</v>
      </c>
      <c r="K71" s="37">
        <v>1313.0</v>
      </c>
      <c r="L71" s="37">
        <v>0.0</v>
      </c>
      <c r="M71" s="37">
        <v>8935.0</v>
      </c>
      <c r="N71" s="37">
        <v>1432278.0</v>
      </c>
      <c r="O71" s="37">
        <v>23301.0</v>
      </c>
      <c r="P71" s="37">
        <v>0.0</v>
      </c>
      <c r="Q71" s="37">
        <v>10600.0</v>
      </c>
      <c r="R71" s="37">
        <v>1701.0</v>
      </c>
      <c r="S71" s="37">
        <v>0.0</v>
      </c>
      <c r="T71" s="37">
        <v>0.0</v>
      </c>
      <c r="U71" s="37">
        <v>0.0</v>
      </c>
      <c r="V71" s="37">
        <v>0.0</v>
      </c>
      <c r="W71" s="38">
        <f t="shared" si="1"/>
        <v>1664313</v>
      </c>
    </row>
    <row r="72">
      <c r="A72" s="36">
        <v>44136.0</v>
      </c>
      <c r="B72" s="37">
        <v>6117.0</v>
      </c>
      <c r="C72" s="37">
        <v>179423.0</v>
      </c>
      <c r="D72" s="37">
        <v>6.0</v>
      </c>
      <c r="E72" s="37">
        <v>0.0</v>
      </c>
      <c r="F72" s="37">
        <v>0.0</v>
      </c>
      <c r="G72" s="37">
        <v>13385.0</v>
      </c>
      <c r="H72" s="37">
        <v>0.0</v>
      </c>
      <c r="I72" s="37">
        <v>0.0</v>
      </c>
      <c r="J72" s="37">
        <v>0.0</v>
      </c>
      <c r="K72" s="37">
        <v>1341.0</v>
      </c>
      <c r="L72" s="37">
        <v>0.0</v>
      </c>
      <c r="M72" s="37">
        <v>8444.0</v>
      </c>
      <c r="N72" s="37">
        <v>1875878.0</v>
      </c>
      <c r="O72" s="37">
        <v>25507.0</v>
      </c>
      <c r="P72" s="37">
        <v>0.0</v>
      </c>
      <c r="Q72" s="37">
        <v>12388.0</v>
      </c>
      <c r="R72" s="37">
        <v>1779.0</v>
      </c>
      <c r="S72" s="37">
        <v>0.0</v>
      </c>
      <c r="T72" s="37">
        <v>0.0</v>
      </c>
      <c r="U72" s="37">
        <v>0.0</v>
      </c>
      <c r="V72" s="37">
        <v>0.0</v>
      </c>
      <c r="W72" s="38">
        <f t="shared" si="1"/>
        <v>2124268</v>
      </c>
    </row>
    <row r="73">
      <c r="A73" s="36">
        <v>44166.0</v>
      </c>
      <c r="B73" s="37">
        <v>4873.0</v>
      </c>
      <c r="C73" s="37">
        <v>201273.0</v>
      </c>
      <c r="D73" s="37">
        <v>9.0</v>
      </c>
      <c r="E73" s="37">
        <v>0.0</v>
      </c>
      <c r="F73" s="37">
        <v>0.0</v>
      </c>
      <c r="G73" s="37">
        <v>15854.0</v>
      </c>
      <c r="H73" s="37">
        <v>0.0</v>
      </c>
      <c r="I73" s="37">
        <v>0.0</v>
      </c>
      <c r="J73" s="37">
        <v>0.0</v>
      </c>
      <c r="K73" s="37">
        <v>1321.0</v>
      </c>
      <c r="L73" s="37">
        <v>0.0</v>
      </c>
      <c r="M73" s="37">
        <v>8758.0</v>
      </c>
      <c r="N73" s="37">
        <v>1850183.0</v>
      </c>
      <c r="O73" s="37">
        <v>24679.0</v>
      </c>
      <c r="P73" s="37">
        <v>1.0</v>
      </c>
      <c r="Q73" s="37">
        <v>12180.0</v>
      </c>
      <c r="R73" s="37">
        <v>1922.0</v>
      </c>
      <c r="S73" s="37">
        <v>0.0</v>
      </c>
      <c r="T73" s="37">
        <v>0.0</v>
      </c>
      <c r="U73" s="37">
        <v>0.0</v>
      </c>
      <c r="V73" s="37">
        <v>0.0</v>
      </c>
      <c r="W73" s="38">
        <f t="shared" si="1"/>
        <v>2121053</v>
      </c>
    </row>
    <row r="74">
      <c r="A74" s="36">
        <v>44197.0</v>
      </c>
      <c r="B74" s="37">
        <v>6071.0</v>
      </c>
      <c r="C74" s="37">
        <v>195629.0</v>
      </c>
      <c r="D74" s="37">
        <v>8.0</v>
      </c>
      <c r="E74" s="37">
        <v>0.0</v>
      </c>
      <c r="F74" s="37">
        <v>0.0</v>
      </c>
      <c r="G74" s="37">
        <v>17031.0</v>
      </c>
      <c r="H74" s="37">
        <v>0.0</v>
      </c>
      <c r="I74" s="37">
        <v>0.0</v>
      </c>
      <c r="J74" s="37">
        <v>0.0</v>
      </c>
      <c r="K74" s="37">
        <v>1080.0</v>
      </c>
      <c r="L74" s="37">
        <v>0.0</v>
      </c>
      <c r="M74" s="37">
        <v>8284.0</v>
      </c>
      <c r="N74" s="37">
        <v>1589644.0</v>
      </c>
      <c r="O74" s="37">
        <v>31023.0</v>
      </c>
      <c r="P74" s="37">
        <v>0.0</v>
      </c>
      <c r="Q74" s="37">
        <v>13138.0</v>
      </c>
      <c r="R74" s="37">
        <v>2877.0</v>
      </c>
      <c r="S74" s="37">
        <v>0.0</v>
      </c>
      <c r="T74" s="37">
        <v>0.0</v>
      </c>
      <c r="U74" s="37">
        <v>0.0</v>
      </c>
      <c r="V74" s="37">
        <v>0.0</v>
      </c>
      <c r="W74" s="38">
        <f t="shared" si="1"/>
        <v>1864785</v>
      </c>
    </row>
    <row r="75">
      <c r="A75" s="36">
        <v>44228.0</v>
      </c>
      <c r="B75" s="37">
        <v>10963.0</v>
      </c>
      <c r="C75" s="37">
        <v>192725.0</v>
      </c>
      <c r="D75" s="37">
        <v>5.0</v>
      </c>
      <c r="E75" s="37">
        <v>0.0</v>
      </c>
      <c r="F75" s="37">
        <v>0.0</v>
      </c>
      <c r="G75" s="37">
        <v>20067.0</v>
      </c>
      <c r="H75" s="37">
        <v>0.0</v>
      </c>
      <c r="I75" s="37">
        <v>0.0</v>
      </c>
      <c r="J75" s="37">
        <v>0.0</v>
      </c>
      <c r="K75" s="37">
        <v>889.0</v>
      </c>
      <c r="L75" s="37">
        <v>1.0</v>
      </c>
      <c r="M75" s="37">
        <v>8098.0</v>
      </c>
      <c r="N75" s="37">
        <v>1431609.0</v>
      </c>
      <c r="O75" s="37">
        <v>26568.0</v>
      </c>
      <c r="P75" s="37">
        <v>0.0</v>
      </c>
      <c r="Q75" s="37">
        <v>10915.0</v>
      </c>
      <c r="R75" s="37">
        <v>3265.0</v>
      </c>
      <c r="S75" s="37">
        <v>0.0</v>
      </c>
      <c r="T75" s="37">
        <v>0.0</v>
      </c>
      <c r="U75" s="37">
        <v>0.0</v>
      </c>
      <c r="V75" s="37">
        <v>0.0</v>
      </c>
      <c r="W75" s="38">
        <f t="shared" si="1"/>
        <v>1705105</v>
      </c>
    </row>
    <row r="76">
      <c r="A76" s="36">
        <v>44256.0</v>
      </c>
      <c r="B76" s="37">
        <v>13620.0</v>
      </c>
      <c r="C76" s="37">
        <v>220114.0</v>
      </c>
      <c r="D76" s="37">
        <v>0.0</v>
      </c>
      <c r="E76" s="37">
        <v>0.0</v>
      </c>
      <c r="F76" s="37">
        <v>0.0</v>
      </c>
      <c r="G76" s="37">
        <v>28108.0</v>
      </c>
      <c r="H76" s="37">
        <v>0.0</v>
      </c>
      <c r="I76" s="37">
        <v>0.0</v>
      </c>
      <c r="J76" s="37">
        <v>0.0</v>
      </c>
      <c r="K76" s="37">
        <v>764.0</v>
      </c>
      <c r="L76" s="37">
        <v>0.0</v>
      </c>
      <c r="M76" s="37">
        <v>10158.0</v>
      </c>
      <c r="N76" s="37">
        <v>1557343.0</v>
      </c>
      <c r="O76" s="37">
        <v>29562.0</v>
      </c>
      <c r="P76" s="37">
        <v>0.0</v>
      </c>
      <c r="Q76" s="37">
        <v>12491.0</v>
      </c>
      <c r="R76" s="37">
        <v>3865.0</v>
      </c>
      <c r="S76" s="37">
        <v>0.0</v>
      </c>
      <c r="T76" s="37">
        <v>0.0</v>
      </c>
      <c r="U76" s="37">
        <v>0.0</v>
      </c>
      <c r="V76" s="37">
        <v>0.0</v>
      </c>
      <c r="W76" s="38">
        <f t="shared" si="1"/>
        <v>1876025</v>
      </c>
    </row>
    <row r="77">
      <c r="A77" s="36">
        <v>44287.0</v>
      </c>
      <c r="B77" s="37">
        <v>8514.0</v>
      </c>
      <c r="C77" s="37">
        <v>140004.0</v>
      </c>
      <c r="D77" s="37">
        <v>4.0</v>
      </c>
      <c r="E77" s="37">
        <v>5.0</v>
      </c>
      <c r="F77" s="37">
        <v>0.0</v>
      </c>
      <c r="G77" s="37">
        <v>15024.0</v>
      </c>
      <c r="H77" s="37">
        <v>0.0</v>
      </c>
      <c r="I77" s="37">
        <v>0.0</v>
      </c>
      <c r="J77" s="37">
        <v>0.0</v>
      </c>
      <c r="K77" s="37">
        <v>1319.0</v>
      </c>
      <c r="L77" s="37">
        <v>0.0</v>
      </c>
      <c r="M77" s="37">
        <v>5661.0</v>
      </c>
      <c r="N77" s="37">
        <v>1116060.0</v>
      </c>
      <c r="O77" s="37">
        <v>17330.0</v>
      </c>
      <c r="P77" s="37">
        <v>0.0</v>
      </c>
      <c r="Q77" s="37">
        <v>8143.0</v>
      </c>
      <c r="R77" s="37">
        <v>1255.0</v>
      </c>
      <c r="S77" s="37">
        <v>0.0</v>
      </c>
      <c r="T77" s="37">
        <v>0.0</v>
      </c>
      <c r="U77" s="37">
        <v>0.0</v>
      </c>
      <c r="V77" s="37">
        <v>0.0</v>
      </c>
      <c r="W77" s="38">
        <f t="shared" si="1"/>
        <v>1313319</v>
      </c>
    </row>
    <row r="78">
      <c r="A78" s="36">
        <v>44317.0</v>
      </c>
      <c r="B78" s="37">
        <v>2242.0</v>
      </c>
      <c r="C78" s="37">
        <v>57688.0</v>
      </c>
      <c r="D78" s="37">
        <v>2.0</v>
      </c>
      <c r="E78" s="37">
        <v>1.0</v>
      </c>
      <c r="F78" s="37">
        <v>0.0</v>
      </c>
      <c r="G78" s="37">
        <v>3605.0</v>
      </c>
      <c r="H78" s="37">
        <v>0.0</v>
      </c>
      <c r="I78" s="37">
        <v>0.0</v>
      </c>
      <c r="J78" s="37">
        <v>0.0</v>
      </c>
      <c r="K78" s="37">
        <v>319.0</v>
      </c>
      <c r="L78" s="37">
        <v>0.0</v>
      </c>
      <c r="M78" s="37">
        <v>1800.0</v>
      </c>
      <c r="N78" s="37">
        <v>519627.0</v>
      </c>
      <c r="O78" s="37">
        <v>9781.0</v>
      </c>
      <c r="P78" s="37">
        <v>0.0</v>
      </c>
      <c r="Q78" s="37">
        <v>2952.0</v>
      </c>
      <c r="R78" s="37">
        <v>233.0</v>
      </c>
      <c r="S78" s="37">
        <v>0.0</v>
      </c>
      <c r="T78" s="37">
        <v>0.0</v>
      </c>
      <c r="U78" s="37">
        <v>0.0</v>
      </c>
      <c r="V78" s="37">
        <v>0.0</v>
      </c>
      <c r="W78" s="38">
        <f t="shared" si="1"/>
        <v>598250</v>
      </c>
    </row>
    <row r="79">
      <c r="A79" s="36">
        <v>44348.0</v>
      </c>
      <c r="B79" s="37">
        <v>7086.0</v>
      </c>
      <c r="C79" s="37">
        <v>145612.0</v>
      </c>
      <c r="D79" s="37">
        <v>3.0</v>
      </c>
      <c r="E79" s="37">
        <v>4.0</v>
      </c>
      <c r="F79" s="37">
        <v>0.0</v>
      </c>
      <c r="G79" s="37">
        <v>12332.0</v>
      </c>
      <c r="H79" s="37">
        <v>0.0</v>
      </c>
      <c r="I79" s="37">
        <v>0.0</v>
      </c>
      <c r="J79" s="37">
        <v>0.0</v>
      </c>
      <c r="K79" s="37">
        <v>476.0</v>
      </c>
      <c r="L79" s="37">
        <v>0.0</v>
      </c>
      <c r="M79" s="37">
        <v>4159.0</v>
      </c>
      <c r="N79" s="37">
        <v>1211920.0</v>
      </c>
      <c r="O79" s="37">
        <v>16256.0</v>
      </c>
      <c r="P79" s="37">
        <v>0.0</v>
      </c>
      <c r="Q79" s="37">
        <v>7576.0</v>
      </c>
      <c r="R79" s="37">
        <v>910.0</v>
      </c>
      <c r="S79" s="37">
        <v>0.0</v>
      </c>
      <c r="T79" s="37">
        <v>0.0</v>
      </c>
      <c r="U79" s="37">
        <v>0.0</v>
      </c>
      <c r="V79" s="37">
        <v>0.0</v>
      </c>
      <c r="W79" s="38">
        <f t="shared" si="1"/>
        <v>1406334</v>
      </c>
    </row>
    <row r="80">
      <c r="A80" s="36">
        <v>44378.0</v>
      </c>
      <c r="B80" s="37">
        <v>13900.0</v>
      </c>
      <c r="C80" s="37">
        <v>209471.0</v>
      </c>
      <c r="D80" s="37">
        <v>3.0</v>
      </c>
      <c r="E80" s="37">
        <v>1.0</v>
      </c>
      <c r="F80" s="37">
        <v>0.0</v>
      </c>
      <c r="G80" s="37">
        <v>28167.0</v>
      </c>
      <c r="H80" s="37">
        <v>0.0</v>
      </c>
      <c r="I80" s="37">
        <v>0.0</v>
      </c>
      <c r="J80" s="37">
        <v>0.0</v>
      </c>
      <c r="K80" s="37">
        <v>1324.0</v>
      </c>
      <c r="L80" s="37">
        <v>1.0</v>
      </c>
      <c r="M80" s="37">
        <v>6982.0</v>
      </c>
      <c r="N80" s="37">
        <v>1469362.0</v>
      </c>
      <c r="O80" s="37">
        <v>29355.0</v>
      </c>
      <c r="P80" s="37">
        <v>0.0</v>
      </c>
      <c r="Q80" s="37">
        <v>12886.0</v>
      </c>
      <c r="R80" s="37">
        <v>1443.0</v>
      </c>
      <c r="S80" s="37">
        <v>0.0</v>
      </c>
      <c r="T80" s="37">
        <v>0.0</v>
      </c>
      <c r="U80" s="37">
        <v>0.0</v>
      </c>
      <c r="V80" s="37">
        <v>0.0</v>
      </c>
      <c r="W80" s="38">
        <f t="shared" si="1"/>
        <v>1772895</v>
      </c>
    </row>
    <row r="81">
      <c r="A81" s="36">
        <v>44409.0</v>
      </c>
      <c r="B81" s="37">
        <v>16269.0</v>
      </c>
      <c r="C81" s="37">
        <v>192111.0</v>
      </c>
      <c r="D81" s="37">
        <v>5.0</v>
      </c>
      <c r="E81" s="37">
        <v>2.0</v>
      </c>
      <c r="F81" s="37">
        <v>0.0</v>
      </c>
      <c r="G81" s="37">
        <v>30833.0</v>
      </c>
      <c r="H81" s="37">
        <v>0.0</v>
      </c>
      <c r="I81" s="37">
        <v>0.0</v>
      </c>
      <c r="J81" s="37">
        <v>0.0</v>
      </c>
      <c r="K81" s="37">
        <v>1405.0</v>
      </c>
      <c r="L81" s="37">
        <v>0.0</v>
      </c>
      <c r="M81" s="37">
        <v>7505.0</v>
      </c>
      <c r="N81" s="37">
        <v>1273974.0</v>
      </c>
      <c r="O81" s="37">
        <v>27838.0</v>
      </c>
      <c r="P81" s="37">
        <v>0.0</v>
      </c>
      <c r="Q81" s="37">
        <v>12161.0</v>
      </c>
      <c r="R81" s="37">
        <v>1435.0</v>
      </c>
      <c r="S81" s="37">
        <v>0.0</v>
      </c>
      <c r="T81" s="37">
        <v>0.0</v>
      </c>
      <c r="U81" s="37">
        <v>0.0</v>
      </c>
      <c r="V81" s="37">
        <v>0.0</v>
      </c>
      <c r="W81" s="38">
        <f t="shared" si="1"/>
        <v>1563538</v>
      </c>
    </row>
    <row r="82">
      <c r="A82" s="36">
        <v>44440.0</v>
      </c>
      <c r="B82" s="37">
        <v>20901.0</v>
      </c>
      <c r="C82" s="37">
        <v>168236.0</v>
      </c>
      <c r="D82" s="37">
        <v>0.0</v>
      </c>
      <c r="E82" s="37">
        <v>0.0</v>
      </c>
      <c r="F82" s="37">
        <v>0.0</v>
      </c>
      <c r="G82" s="37">
        <v>36602.0</v>
      </c>
      <c r="H82" s="37">
        <v>0.0</v>
      </c>
      <c r="I82" s="37">
        <v>0.0</v>
      </c>
      <c r="J82" s="37">
        <v>0.0</v>
      </c>
      <c r="K82" s="37">
        <v>1497.0</v>
      </c>
      <c r="L82" s="37">
        <v>0.0</v>
      </c>
      <c r="M82" s="37">
        <v>7578.0</v>
      </c>
      <c r="N82" s="37">
        <v>1193419.0</v>
      </c>
      <c r="O82" s="37">
        <v>22374.0</v>
      </c>
      <c r="P82" s="37">
        <v>0.0</v>
      </c>
      <c r="Q82" s="37">
        <v>10601.0</v>
      </c>
      <c r="R82" s="37">
        <v>1321.0</v>
      </c>
      <c r="S82" s="37">
        <v>0.0</v>
      </c>
      <c r="T82" s="37">
        <v>0.0</v>
      </c>
      <c r="U82" s="37">
        <v>0.0</v>
      </c>
      <c r="V82" s="37">
        <v>0.0</v>
      </c>
      <c r="W82" s="38">
        <f t="shared" si="1"/>
        <v>1462529</v>
      </c>
    </row>
    <row r="83">
      <c r="A83" s="36">
        <v>44470.0</v>
      </c>
      <c r="B83" s="37">
        <v>21949.0</v>
      </c>
      <c r="C83" s="37">
        <v>152996.0</v>
      </c>
      <c r="D83" s="37">
        <v>1.0</v>
      </c>
      <c r="E83" s="37">
        <v>0.0</v>
      </c>
      <c r="F83" s="37">
        <v>0.0</v>
      </c>
      <c r="G83" s="37">
        <v>40960.0</v>
      </c>
      <c r="H83" s="37">
        <v>0.0</v>
      </c>
      <c r="I83" s="37">
        <v>0.0</v>
      </c>
      <c r="J83" s="37">
        <v>0.0</v>
      </c>
      <c r="K83" s="37">
        <v>1271.0</v>
      </c>
      <c r="L83" s="37">
        <v>0.0</v>
      </c>
      <c r="M83" s="37">
        <v>7869.0</v>
      </c>
      <c r="N83" s="37">
        <v>1293505.0</v>
      </c>
      <c r="O83" s="37">
        <v>19822.0</v>
      </c>
      <c r="P83" s="37">
        <v>0.0</v>
      </c>
      <c r="Q83" s="37">
        <v>12847.0</v>
      </c>
      <c r="R83" s="37">
        <v>1050.0</v>
      </c>
      <c r="S83" s="37">
        <v>0.0</v>
      </c>
      <c r="T83" s="37">
        <v>0.0</v>
      </c>
      <c r="U83" s="37">
        <v>0.0</v>
      </c>
      <c r="V83" s="37">
        <v>0.0</v>
      </c>
      <c r="W83" s="38">
        <f t="shared" si="1"/>
        <v>1552270</v>
      </c>
    </row>
    <row r="84">
      <c r="A84" s="36">
        <v>44501.0</v>
      </c>
      <c r="B84" s="37">
        <v>22785.0</v>
      </c>
      <c r="C84" s="37">
        <v>158652.0</v>
      </c>
      <c r="D84" s="37">
        <v>2.0</v>
      </c>
      <c r="E84" s="37">
        <v>0.0</v>
      </c>
      <c r="F84" s="37">
        <v>0.0</v>
      </c>
      <c r="G84" s="37">
        <v>45092.0</v>
      </c>
      <c r="H84" s="37">
        <v>0.0</v>
      </c>
      <c r="I84" s="37">
        <v>0.0</v>
      </c>
      <c r="J84" s="37">
        <v>0.0</v>
      </c>
      <c r="K84" s="37">
        <v>1663.0</v>
      </c>
      <c r="L84" s="37">
        <v>0.0</v>
      </c>
      <c r="M84" s="37">
        <v>6620.0</v>
      </c>
      <c r="N84" s="37">
        <v>1764641.0</v>
      </c>
      <c r="O84" s="37">
        <v>20677.0</v>
      </c>
      <c r="P84" s="37">
        <v>0.0</v>
      </c>
      <c r="Q84" s="37">
        <v>12046.0</v>
      </c>
      <c r="R84" s="37">
        <v>1186.0</v>
      </c>
      <c r="S84" s="37">
        <v>0.0</v>
      </c>
      <c r="T84" s="37">
        <v>0.0</v>
      </c>
      <c r="U84" s="37">
        <v>1.0</v>
      </c>
      <c r="V84" s="37">
        <v>0.0</v>
      </c>
      <c r="W84" s="38">
        <f t="shared" si="1"/>
        <v>2033365</v>
      </c>
    </row>
    <row r="85">
      <c r="A85" s="36">
        <v>44531.0</v>
      </c>
      <c r="B85" s="37">
        <v>22039.0</v>
      </c>
      <c r="C85" s="37">
        <v>180591.0</v>
      </c>
      <c r="D85" s="37">
        <v>2.0</v>
      </c>
      <c r="E85" s="37">
        <v>1.0</v>
      </c>
      <c r="F85" s="37">
        <v>0.0</v>
      </c>
      <c r="G85" s="37">
        <v>53756.0</v>
      </c>
      <c r="H85" s="37">
        <v>0.0</v>
      </c>
      <c r="I85" s="37">
        <v>0.0</v>
      </c>
      <c r="J85" s="37">
        <v>3.0</v>
      </c>
      <c r="K85" s="37">
        <v>1402.0</v>
      </c>
      <c r="L85" s="37">
        <v>0.0</v>
      </c>
      <c r="M85" s="37">
        <v>7801.0</v>
      </c>
      <c r="N85" s="37">
        <v>1465141.0</v>
      </c>
      <c r="O85" s="37">
        <v>22470.0</v>
      </c>
      <c r="P85" s="37">
        <v>0.0</v>
      </c>
      <c r="Q85" s="37">
        <v>10089.0</v>
      </c>
      <c r="R85" s="37">
        <v>1140.0</v>
      </c>
      <c r="S85" s="37">
        <v>0.0</v>
      </c>
      <c r="T85" s="37">
        <v>0.0</v>
      </c>
      <c r="U85" s="37">
        <v>0.0</v>
      </c>
      <c r="V85" s="37">
        <v>0.0</v>
      </c>
      <c r="W85" s="38">
        <f t="shared" si="1"/>
        <v>1764435</v>
      </c>
    </row>
    <row r="86">
      <c r="A86" s="36">
        <v>44562.0</v>
      </c>
      <c r="B86" s="37">
        <v>23559.0</v>
      </c>
      <c r="C86" s="37">
        <v>180371.0</v>
      </c>
      <c r="D86" s="37">
        <v>3.0</v>
      </c>
      <c r="E86" s="37">
        <v>3.0</v>
      </c>
      <c r="F86" s="37">
        <v>0.0</v>
      </c>
      <c r="G86" s="37">
        <v>51490.0</v>
      </c>
      <c r="H86" s="37">
        <v>0.0</v>
      </c>
      <c r="I86" s="37">
        <v>0.0</v>
      </c>
      <c r="J86" s="37">
        <v>0.0</v>
      </c>
      <c r="K86" s="37">
        <v>1242.0</v>
      </c>
      <c r="L86" s="37">
        <v>0.0</v>
      </c>
      <c r="M86" s="37">
        <v>6611.0</v>
      </c>
      <c r="N86" s="37">
        <v>1319816.0</v>
      </c>
      <c r="O86" s="37">
        <v>31001.0</v>
      </c>
      <c r="P86" s="37">
        <v>0.0</v>
      </c>
      <c r="Q86" s="37">
        <v>10982.0</v>
      </c>
      <c r="R86" s="37">
        <v>1212.0</v>
      </c>
      <c r="S86" s="37">
        <v>0.0</v>
      </c>
      <c r="T86" s="37">
        <v>0.0</v>
      </c>
      <c r="U86" s="37">
        <v>0.0</v>
      </c>
      <c r="V86" s="37">
        <v>0.0</v>
      </c>
      <c r="W86" s="38">
        <f t="shared" si="1"/>
        <v>1626290</v>
      </c>
    </row>
    <row r="87">
      <c r="A87" s="36">
        <v>44593.0</v>
      </c>
      <c r="B87" s="37">
        <v>20916.0</v>
      </c>
      <c r="C87" s="37">
        <v>172084.0</v>
      </c>
      <c r="D87" s="37">
        <v>4.0</v>
      </c>
      <c r="E87" s="37">
        <v>0.0</v>
      </c>
      <c r="F87" s="37">
        <v>0.0</v>
      </c>
      <c r="G87" s="37">
        <v>58097.0</v>
      </c>
      <c r="H87" s="37">
        <v>0.0</v>
      </c>
      <c r="I87" s="37">
        <v>0.0</v>
      </c>
      <c r="J87" s="37">
        <v>0.0</v>
      </c>
      <c r="K87" s="37">
        <v>1017.0</v>
      </c>
      <c r="L87" s="37">
        <v>0.0</v>
      </c>
      <c r="M87" s="37">
        <v>7382.0</v>
      </c>
      <c r="N87" s="37">
        <v>1243030.0</v>
      </c>
      <c r="O87" s="37">
        <v>34079.0</v>
      </c>
      <c r="P87" s="37">
        <v>0.0</v>
      </c>
      <c r="Q87" s="37">
        <v>9571.0</v>
      </c>
      <c r="R87" s="37">
        <v>886.0</v>
      </c>
      <c r="S87" s="37">
        <v>0.0</v>
      </c>
      <c r="T87" s="37">
        <v>0.0</v>
      </c>
      <c r="U87" s="37">
        <v>0.0</v>
      </c>
      <c r="V87" s="37">
        <v>0.0</v>
      </c>
      <c r="W87" s="38">
        <f t="shared" si="1"/>
        <v>1547066</v>
      </c>
    </row>
    <row r="88">
      <c r="A88" s="36">
        <v>44621.0</v>
      </c>
      <c r="B88" s="37">
        <v>25304.0</v>
      </c>
      <c r="C88" s="37">
        <v>214685.0</v>
      </c>
      <c r="D88" s="37">
        <v>3.0</v>
      </c>
      <c r="E88" s="37">
        <v>0.0</v>
      </c>
      <c r="F88" s="37">
        <v>0.0</v>
      </c>
      <c r="G88" s="37">
        <v>83101.0</v>
      </c>
      <c r="H88" s="37">
        <v>1.0</v>
      </c>
      <c r="I88" s="37">
        <v>0.0</v>
      </c>
      <c r="J88" s="37">
        <v>0.0</v>
      </c>
      <c r="K88" s="37">
        <v>1277.0</v>
      </c>
      <c r="L88" s="37">
        <v>0.0</v>
      </c>
      <c r="M88" s="37">
        <v>8651.0</v>
      </c>
      <c r="N88" s="37">
        <v>1422874.0</v>
      </c>
      <c r="O88" s="37">
        <v>39020.0</v>
      </c>
      <c r="P88" s="37">
        <v>0.0</v>
      </c>
      <c r="Q88" s="37">
        <v>8314.0</v>
      </c>
      <c r="R88" s="37">
        <v>1150.0</v>
      </c>
      <c r="S88" s="37">
        <v>0.0</v>
      </c>
      <c r="T88" s="37">
        <v>0.0</v>
      </c>
      <c r="U88" s="37">
        <v>0.0</v>
      </c>
      <c r="V88" s="37">
        <v>0.0</v>
      </c>
      <c r="W88" s="38">
        <f t="shared" si="1"/>
        <v>1804380</v>
      </c>
    </row>
    <row r="89">
      <c r="A89" s="36">
        <v>44652.0</v>
      </c>
      <c r="B89" s="37">
        <v>23880.0</v>
      </c>
      <c r="C89" s="37">
        <v>189903.0</v>
      </c>
      <c r="D89" s="37">
        <v>4.0</v>
      </c>
      <c r="E89" s="37">
        <v>0.0</v>
      </c>
      <c r="F89" s="37">
        <v>0.0</v>
      </c>
      <c r="G89" s="37">
        <v>77613.0</v>
      </c>
      <c r="H89" s="37">
        <v>1.0</v>
      </c>
      <c r="I89" s="37">
        <v>0.0</v>
      </c>
      <c r="J89" s="37">
        <v>0.0</v>
      </c>
      <c r="K89" s="37">
        <v>1010.0</v>
      </c>
      <c r="L89" s="37">
        <v>0.0</v>
      </c>
      <c r="M89" s="37">
        <v>5632.0</v>
      </c>
      <c r="N89" s="37">
        <v>1464050.0</v>
      </c>
      <c r="O89" s="37">
        <v>36632.0</v>
      </c>
      <c r="P89" s="37">
        <v>0.0</v>
      </c>
      <c r="Q89" s="37">
        <v>7278.0</v>
      </c>
      <c r="R89" s="37">
        <v>1078.0</v>
      </c>
      <c r="S89" s="37">
        <v>0.0</v>
      </c>
      <c r="T89" s="37">
        <v>0.0</v>
      </c>
      <c r="U89" s="37">
        <v>0.0</v>
      </c>
      <c r="V89" s="37">
        <v>0.0</v>
      </c>
      <c r="W89" s="38">
        <f t="shared" si="1"/>
        <v>1807081</v>
      </c>
    </row>
    <row r="90">
      <c r="A90" s="36">
        <v>44682.0</v>
      </c>
      <c r="B90" s="37">
        <v>19473.0</v>
      </c>
      <c r="C90" s="37">
        <v>184178.0</v>
      </c>
      <c r="D90" s="37">
        <v>23.0</v>
      </c>
      <c r="E90" s="37">
        <v>0.0</v>
      </c>
      <c r="F90" s="37">
        <v>0.0</v>
      </c>
      <c r="G90" s="37">
        <v>69917.0</v>
      </c>
      <c r="H90" s="37">
        <v>0.0</v>
      </c>
      <c r="I90" s="37">
        <v>0.0</v>
      </c>
      <c r="J90" s="37">
        <v>0.0</v>
      </c>
      <c r="K90" s="37">
        <v>765.0</v>
      </c>
      <c r="L90" s="37">
        <v>0.0</v>
      </c>
      <c r="M90" s="37">
        <v>6295.0</v>
      </c>
      <c r="N90" s="37">
        <v>1509825.0</v>
      </c>
      <c r="O90" s="37">
        <v>34994.0</v>
      </c>
      <c r="P90" s="37">
        <v>0.0</v>
      </c>
      <c r="Q90" s="37">
        <v>15703.0</v>
      </c>
      <c r="R90" s="37">
        <v>1065.0</v>
      </c>
      <c r="S90" s="37">
        <v>0.0</v>
      </c>
      <c r="T90" s="37">
        <v>0.0</v>
      </c>
      <c r="U90" s="37">
        <v>0.0</v>
      </c>
      <c r="V90" s="37">
        <v>0.0</v>
      </c>
      <c r="W90" s="38">
        <f t="shared" si="1"/>
        <v>1842238</v>
      </c>
    </row>
    <row r="91">
      <c r="A91" s="36">
        <v>44713.0</v>
      </c>
      <c r="B91" s="37">
        <v>19871.0</v>
      </c>
      <c r="C91" s="37">
        <v>193231.0</v>
      </c>
      <c r="D91" s="37">
        <v>57.0</v>
      </c>
      <c r="E91" s="37">
        <v>1.0</v>
      </c>
      <c r="F91" s="37">
        <v>0.0</v>
      </c>
      <c r="G91" s="37">
        <v>75884.0</v>
      </c>
      <c r="H91" s="37">
        <v>0.0</v>
      </c>
      <c r="I91" s="37">
        <v>0.0</v>
      </c>
      <c r="J91" s="37">
        <v>0.0</v>
      </c>
      <c r="K91" s="37">
        <v>993.0</v>
      </c>
      <c r="L91" s="37">
        <v>0.0</v>
      </c>
      <c r="M91" s="37">
        <v>7092.0</v>
      </c>
      <c r="N91" s="37">
        <v>1363964.0</v>
      </c>
      <c r="O91" s="37">
        <v>35629.0</v>
      </c>
      <c r="P91" s="37">
        <v>0.0</v>
      </c>
      <c r="Q91" s="37">
        <v>12570.0</v>
      </c>
      <c r="R91" s="37">
        <v>1053.0</v>
      </c>
      <c r="S91" s="37">
        <v>0.0</v>
      </c>
      <c r="T91" s="37">
        <v>0.0</v>
      </c>
      <c r="U91" s="37">
        <v>0.0</v>
      </c>
      <c r="V91" s="37">
        <v>0.0</v>
      </c>
      <c r="W91" s="38">
        <f t="shared" si="1"/>
        <v>1710345</v>
      </c>
    </row>
    <row r="92">
      <c r="A92" s="36">
        <v>44743.0</v>
      </c>
      <c r="B92" s="37">
        <v>21454.0</v>
      </c>
      <c r="C92" s="37">
        <v>198581.0</v>
      </c>
      <c r="D92" s="37">
        <v>80.0</v>
      </c>
      <c r="E92" s="37">
        <v>0.0</v>
      </c>
      <c r="F92" s="37">
        <v>0.0</v>
      </c>
      <c r="G92" s="37">
        <v>80877.0</v>
      </c>
      <c r="H92" s="37">
        <v>0.0</v>
      </c>
      <c r="I92" s="37">
        <v>0.0</v>
      </c>
      <c r="J92" s="37">
        <v>0.0</v>
      </c>
      <c r="K92" s="37">
        <v>861.0</v>
      </c>
      <c r="L92" s="37">
        <v>0.0</v>
      </c>
      <c r="M92" s="37">
        <v>6453.0</v>
      </c>
      <c r="N92" s="37">
        <v>1260822.0</v>
      </c>
      <c r="O92" s="37">
        <v>34706.0</v>
      </c>
      <c r="P92" s="37">
        <v>0.0</v>
      </c>
      <c r="Q92" s="37">
        <v>12309.0</v>
      </c>
      <c r="R92" s="37">
        <v>990.0</v>
      </c>
      <c r="S92" s="37">
        <v>0.0</v>
      </c>
      <c r="T92" s="37">
        <v>0.0</v>
      </c>
      <c r="U92" s="37">
        <v>0.0</v>
      </c>
      <c r="V92" s="37">
        <v>0.0</v>
      </c>
      <c r="W92" s="38">
        <f t="shared" si="1"/>
        <v>1617133</v>
      </c>
    </row>
    <row r="93">
      <c r="A93" s="36">
        <v>44774.0</v>
      </c>
      <c r="B93" s="37">
        <v>24377.0</v>
      </c>
      <c r="C93" s="37">
        <v>192295.0</v>
      </c>
      <c r="D93" s="37">
        <v>123.0</v>
      </c>
      <c r="E93" s="37">
        <v>0.0</v>
      </c>
      <c r="F93" s="37">
        <v>0.0</v>
      </c>
      <c r="G93" s="37">
        <v>89012.0</v>
      </c>
      <c r="H93" s="37">
        <v>0.0</v>
      </c>
      <c r="I93" s="37">
        <v>0.0</v>
      </c>
      <c r="J93" s="37">
        <v>0.0</v>
      </c>
      <c r="K93" s="37">
        <v>1123.0</v>
      </c>
      <c r="L93" s="37">
        <v>0.0</v>
      </c>
      <c r="M93" s="37">
        <v>5408.0</v>
      </c>
      <c r="N93" s="37">
        <v>1313938.0</v>
      </c>
      <c r="O93" s="37">
        <v>35034.0</v>
      </c>
      <c r="P93" s="37">
        <v>0.0</v>
      </c>
      <c r="Q93" s="37">
        <v>18602.0</v>
      </c>
      <c r="R93" s="37">
        <v>1002.0</v>
      </c>
      <c r="S93" s="37">
        <v>0.0</v>
      </c>
      <c r="T93" s="37">
        <v>0.0</v>
      </c>
      <c r="U93" s="37">
        <v>0.0</v>
      </c>
      <c r="V93" s="37">
        <v>0.0</v>
      </c>
      <c r="W93" s="38">
        <f t="shared" si="1"/>
        <v>1680914</v>
      </c>
    </row>
    <row r="94">
      <c r="A94" s="36">
        <v>44805.0</v>
      </c>
      <c r="B94" s="37">
        <v>26998.0</v>
      </c>
      <c r="C94" s="37">
        <v>189998.0</v>
      </c>
      <c r="D94" s="37">
        <v>74.0</v>
      </c>
      <c r="E94" s="37">
        <v>0.0</v>
      </c>
      <c r="F94" s="37">
        <v>1.0</v>
      </c>
      <c r="G94" s="37">
        <v>94913.0</v>
      </c>
      <c r="H94" s="37">
        <v>0.0</v>
      </c>
      <c r="I94" s="37">
        <v>0.0</v>
      </c>
      <c r="J94" s="37">
        <v>0.0</v>
      </c>
      <c r="K94" s="37">
        <v>1380.0</v>
      </c>
      <c r="L94" s="37">
        <v>0.0</v>
      </c>
      <c r="M94" s="37">
        <v>6601.0</v>
      </c>
      <c r="N94" s="37">
        <v>1200180.0</v>
      </c>
      <c r="O94" s="37">
        <v>31130.0</v>
      </c>
      <c r="P94" s="37">
        <v>0.0</v>
      </c>
      <c r="Q94" s="37">
        <v>19341.0</v>
      </c>
      <c r="R94" s="37">
        <v>931.0</v>
      </c>
      <c r="S94" s="37">
        <v>0.0</v>
      </c>
      <c r="T94" s="37">
        <v>0.0</v>
      </c>
      <c r="U94" s="37">
        <v>0.0</v>
      </c>
      <c r="V94" s="37">
        <v>0.0</v>
      </c>
      <c r="W94" s="38">
        <f t="shared" si="1"/>
        <v>1571547</v>
      </c>
    </row>
    <row r="95">
      <c r="A95" s="36">
        <v>44835.0</v>
      </c>
      <c r="B95" s="37">
        <v>31081.0</v>
      </c>
      <c r="C95" s="37">
        <v>205641.0</v>
      </c>
      <c r="D95" s="37">
        <v>104.0</v>
      </c>
      <c r="E95" s="37">
        <v>1.0</v>
      </c>
      <c r="F95" s="37">
        <v>0.0</v>
      </c>
      <c r="G95" s="37">
        <v>117500.0</v>
      </c>
      <c r="H95" s="37">
        <v>0.0</v>
      </c>
      <c r="I95" s="37">
        <v>0.0</v>
      </c>
      <c r="J95" s="37">
        <v>0.0</v>
      </c>
      <c r="K95" s="37">
        <v>1549.0</v>
      </c>
      <c r="L95" s="37">
        <v>0.0</v>
      </c>
      <c r="M95" s="37">
        <v>6241.0</v>
      </c>
      <c r="N95" s="37">
        <v>1867824.0</v>
      </c>
      <c r="O95" s="37">
        <v>44233.0</v>
      </c>
      <c r="P95" s="37">
        <v>0.0</v>
      </c>
      <c r="Q95" s="37">
        <v>27429.0</v>
      </c>
      <c r="R95" s="37">
        <v>1054.0</v>
      </c>
      <c r="S95" s="37">
        <v>0.0</v>
      </c>
      <c r="T95" s="37">
        <v>0.0</v>
      </c>
      <c r="U95" s="37">
        <v>0.0</v>
      </c>
      <c r="V95" s="37">
        <v>0.0</v>
      </c>
      <c r="W95" s="38">
        <f t="shared" si="1"/>
        <v>2302657</v>
      </c>
    </row>
    <row r="96">
      <c r="A96" s="36">
        <v>44866.0</v>
      </c>
      <c r="B96" s="37">
        <v>33336.0</v>
      </c>
      <c r="C96" s="37">
        <v>221979.0</v>
      </c>
      <c r="D96" s="37">
        <v>116.0</v>
      </c>
      <c r="E96" s="37">
        <v>0.0</v>
      </c>
      <c r="F96" s="37">
        <v>0.0</v>
      </c>
      <c r="G96" s="37">
        <v>121594.0</v>
      </c>
      <c r="H96" s="37">
        <v>0.0</v>
      </c>
      <c r="I96" s="37">
        <v>0.0</v>
      </c>
      <c r="J96" s="37">
        <v>10.0</v>
      </c>
      <c r="K96" s="37">
        <v>1797.0</v>
      </c>
      <c r="L96" s="37">
        <v>0.0</v>
      </c>
      <c r="M96" s="37">
        <v>7314.0</v>
      </c>
      <c r="N96" s="37">
        <v>1967443.0</v>
      </c>
      <c r="O96" s="37">
        <v>38266.0</v>
      </c>
      <c r="P96" s="37">
        <v>1.0</v>
      </c>
      <c r="Q96" s="37">
        <v>25847.0</v>
      </c>
      <c r="R96" s="37">
        <v>695.0</v>
      </c>
      <c r="S96" s="37">
        <v>0.0</v>
      </c>
      <c r="T96" s="37">
        <v>0.0</v>
      </c>
      <c r="U96" s="37">
        <v>0.0</v>
      </c>
      <c r="V96" s="37">
        <v>0.0</v>
      </c>
      <c r="W96" s="38">
        <f t="shared" si="1"/>
        <v>2418398</v>
      </c>
    </row>
    <row r="97">
      <c r="A97" s="36">
        <v>44896.0</v>
      </c>
      <c r="B97" s="37">
        <v>27185.0</v>
      </c>
      <c r="C97" s="37">
        <v>202868.0</v>
      </c>
      <c r="D97" s="37">
        <v>146.0</v>
      </c>
      <c r="E97" s="37">
        <v>0.0</v>
      </c>
      <c r="F97" s="37">
        <v>0.0</v>
      </c>
      <c r="G97" s="37">
        <v>105005.0</v>
      </c>
      <c r="H97" s="37">
        <v>0.0</v>
      </c>
      <c r="I97" s="37">
        <v>0.0</v>
      </c>
      <c r="J97" s="37">
        <v>10.0</v>
      </c>
      <c r="K97" s="37">
        <v>1390.0</v>
      </c>
      <c r="L97" s="37">
        <v>0.0</v>
      </c>
      <c r="M97" s="37">
        <v>6777.0</v>
      </c>
      <c r="N97" s="37">
        <v>1250295.0</v>
      </c>
      <c r="O97" s="37">
        <v>33146.0</v>
      </c>
      <c r="P97" s="37">
        <v>0.0</v>
      </c>
      <c r="Q97" s="37">
        <v>24539.0</v>
      </c>
      <c r="R97" s="37">
        <v>579.0</v>
      </c>
      <c r="S97" s="37">
        <v>0.0</v>
      </c>
      <c r="T97" s="37">
        <v>0.0</v>
      </c>
      <c r="U97" s="37">
        <v>0.0</v>
      </c>
      <c r="V97" s="37">
        <v>0.0</v>
      </c>
      <c r="W97" s="38">
        <f t="shared" si="1"/>
        <v>1651940</v>
      </c>
    </row>
    <row r="98">
      <c r="A98" s="36">
        <v>44927.0</v>
      </c>
      <c r="B98" s="37">
        <v>31201.0</v>
      </c>
      <c r="C98" s="37">
        <v>220685.0</v>
      </c>
      <c r="D98" s="37">
        <v>162.0</v>
      </c>
      <c r="E98" s="37">
        <v>0.0</v>
      </c>
      <c r="F98" s="37">
        <v>0.0</v>
      </c>
      <c r="G98" s="37">
        <v>102885.0</v>
      </c>
      <c r="H98" s="37">
        <v>0.0</v>
      </c>
      <c r="I98" s="37">
        <v>0.0</v>
      </c>
      <c r="J98" s="37">
        <v>0.0</v>
      </c>
      <c r="K98" s="37">
        <v>1636.0</v>
      </c>
      <c r="L98" s="37">
        <v>0.0</v>
      </c>
      <c r="M98" s="37">
        <v>5725.0</v>
      </c>
      <c r="N98" s="37">
        <v>1418616.0</v>
      </c>
      <c r="O98" s="37">
        <v>44837.0</v>
      </c>
      <c r="P98" s="37">
        <v>0.0</v>
      </c>
      <c r="Q98" s="37">
        <v>30276.0</v>
      </c>
      <c r="R98" s="37">
        <v>841.0</v>
      </c>
      <c r="S98" s="37">
        <v>0.0</v>
      </c>
      <c r="T98" s="37">
        <v>0.0</v>
      </c>
      <c r="U98" s="37">
        <v>0.0</v>
      </c>
      <c r="V98" s="37">
        <v>0.0</v>
      </c>
      <c r="W98" s="38">
        <f t="shared" si="1"/>
        <v>1856864</v>
      </c>
    </row>
    <row r="99">
      <c r="A99" s="36">
        <v>44958.0</v>
      </c>
      <c r="B99" s="37">
        <v>31306.0</v>
      </c>
      <c r="C99" s="37">
        <v>208160.0</v>
      </c>
      <c r="D99" s="37">
        <v>146.0</v>
      </c>
      <c r="E99" s="37">
        <v>0.0</v>
      </c>
      <c r="F99" s="37">
        <v>0.0</v>
      </c>
      <c r="G99" s="37">
        <v>107218.0</v>
      </c>
      <c r="H99" s="37">
        <v>0.0</v>
      </c>
      <c r="I99" s="37">
        <v>0.0</v>
      </c>
      <c r="J99" s="37">
        <v>13.0</v>
      </c>
      <c r="K99" s="37">
        <v>1947.0</v>
      </c>
      <c r="L99" s="37">
        <v>0.0</v>
      </c>
      <c r="M99" s="37">
        <v>5951.0</v>
      </c>
      <c r="N99" s="37">
        <v>1384562.0</v>
      </c>
      <c r="O99" s="37">
        <v>29937.0</v>
      </c>
      <c r="P99" s="37">
        <v>716.0</v>
      </c>
      <c r="Q99" s="37">
        <v>31548.0</v>
      </c>
      <c r="R99" s="37">
        <v>768.0</v>
      </c>
      <c r="S99" s="37">
        <v>0.0</v>
      </c>
      <c r="T99" s="37">
        <v>0.0</v>
      </c>
      <c r="U99" s="37">
        <v>0.0</v>
      </c>
      <c r="V99" s="37">
        <v>0.0</v>
      </c>
      <c r="W99" s="38">
        <f t="shared" si="1"/>
        <v>1802272</v>
      </c>
    </row>
    <row r="100">
      <c r="A100" s="36">
        <v>44986.0</v>
      </c>
      <c r="B100" s="37">
        <v>34390.0</v>
      </c>
      <c r="C100" s="37">
        <v>239409.0</v>
      </c>
      <c r="D100" s="37">
        <v>121.0</v>
      </c>
      <c r="E100" s="37">
        <v>0.0</v>
      </c>
      <c r="F100" s="37">
        <v>0.0</v>
      </c>
      <c r="G100" s="37">
        <v>140920.0</v>
      </c>
      <c r="H100" s="37">
        <v>0.0</v>
      </c>
      <c r="I100" s="37">
        <v>0.0</v>
      </c>
      <c r="J100" s="37">
        <v>23.0</v>
      </c>
      <c r="K100" s="37">
        <v>1698.0</v>
      </c>
      <c r="L100" s="37">
        <v>0.0</v>
      </c>
      <c r="M100" s="37">
        <v>5974.0</v>
      </c>
      <c r="N100" s="37">
        <v>1561652.0</v>
      </c>
      <c r="O100" s="37">
        <v>34210.0</v>
      </c>
      <c r="P100" s="37">
        <v>12752.0</v>
      </c>
      <c r="Q100" s="37">
        <v>38000.0</v>
      </c>
      <c r="R100" s="37">
        <v>856.0</v>
      </c>
      <c r="S100" s="37">
        <v>0.0</v>
      </c>
      <c r="T100" s="37">
        <v>0.0</v>
      </c>
      <c r="U100" s="37">
        <v>0.0</v>
      </c>
      <c r="V100" s="37">
        <v>0.0</v>
      </c>
      <c r="W100" s="38">
        <f t="shared" si="1"/>
        <v>2070005</v>
      </c>
    </row>
    <row r="101">
      <c r="A101" s="36">
        <v>45017.0</v>
      </c>
      <c r="B101" s="37">
        <v>29925.0</v>
      </c>
      <c r="C101" s="37">
        <v>197550.0</v>
      </c>
      <c r="D101" s="37">
        <v>121.0</v>
      </c>
      <c r="E101" s="37">
        <v>0.0</v>
      </c>
      <c r="F101" s="37">
        <v>0.0</v>
      </c>
      <c r="G101" s="37">
        <v>111361.0</v>
      </c>
      <c r="H101" s="37">
        <v>0.0</v>
      </c>
      <c r="I101" s="37">
        <v>0.0</v>
      </c>
      <c r="J101" s="37">
        <v>11.0</v>
      </c>
      <c r="K101" s="37">
        <v>1545.0</v>
      </c>
      <c r="L101" s="37">
        <v>0.0</v>
      </c>
      <c r="M101" s="37">
        <v>5471.0</v>
      </c>
      <c r="N101" s="37">
        <v>1321954.0</v>
      </c>
      <c r="O101" s="37">
        <v>33052.0</v>
      </c>
      <c r="P101" s="37">
        <v>18140.0</v>
      </c>
      <c r="Q101" s="37">
        <v>27885.0</v>
      </c>
      <c r="R101" s="37">
        <v>494.0</v>
      </c>
      <c r="S101" s="37">
        <v>0.0</v>
      </c>
      <c r="T101" s="37">
        <v>0.0</v>
      </c>
      <c r="U101" s="37">
        <v>0.0</v>
      </c>
      <c r="V101" s="37">
        <v>0.0</v>
      </c>
      <c r="W101" s="38">
        <f t="shared" si="1"/>
        <v>1747509</v>
      </c>
    </row>
    <row r="102">
      <c r="A102" s="36">
        <v>45047.0</v>
      </c>
      <c r="B102" s="37">
        <v>31103.0</v>
      </c>
      <c r="C102" s="37">
        <v>208143.0</v>
      </c>
      <c r="D102" s="37">
        <v>135.0</v>
      </c>
      <c r="E102" s="37">
        <v>0.0</v>
      </c>
      <c r="F102" s="37">
        <v>0.0</v>
      </c>
      <c r="G102" s="37">
        <v>158467.0</v>
      </c>
      <c r="H102" s="37">
        <v>0.0</v>
      </c>
      <c r="I102" s="37">
        <v>0.0</v>
      </c>
      <c r="J102" s="37">
        <v>22.0</v>
      </c>
      <c r="K102" s="37">
        <v>1998.0</v>
      </c>
      <c r="L102" s="37">
        <v>0.0</v>
      </c>
      <c r="M102" s="37">
        <v>5263.0</v>
      </c>
      <c r="N102" s="37">
        <v>1547276.0</v>
      </c>
      <c r="O102" s="37">
        <v>38455.0</v>
      </c>
      <c r="P102" s="37">
        <v>25680.0</v>
      </c>
      <c r="Q102" s="37">
        <v>26164.0</v>
      </c>
      <c r="R102" s="37">
        <v>377.0</v>
      </c>
      <c r="S102" s="37">
        <v>0.0</v>
      </c>
      <c r="T102" s="37">
        <v>0.0</v>
      </c>
      <c r="U102" s="37">
        <v>0.0</v>
      </c>
      <c r="V102" s="37">
        <v>0.0</v>
      </c>
      <c r="W102" s="38">
        <f t="shared" si="1"/>
        <v>2043083</v>
      </c>
    </row>
    <row r="103">
      <c r="A103" s="36">
        <v>45078.0</v>
      </c>
      <c r="B103" s="37">
        <v>35389.0</v>
      </c>
      <c r="C103" s="37">
        <v>230468.0</v>
      </c>
      <c r="D103" s="37">
        <v>139.0</v>
      </c>
      <c r="E103" s="37">
        <v>0.0</v>
      </c>
      <c r="F103" s="37">
        <v>0.0</v>
      </c>
      <c r="G103" s="37">
        <v>102646.0</v>
      </c>
      <c r="H103" s="37">
        <v>0.0</v>
      </c>
      <c r="I103" s="37">
        <v>0.0</v>
      </c>
      <c r="J103" s="37">
        <v>13.0</v>
      </c>
      <c r="K103" s="37">
        <v>2167.0</v>
      </c>
      <c r="L103" s="37">
        <v>0.0</v>
      </c>
      <c r="M103" s="37">
        <v>5718.0</v>
      </c>
      <c r="N103" s="37">
        <v>1410871.0</v>
      </c>
      <c r="O103" s="37">
        <v>42714.0</v>
      </c>
      <c r="P103" s="37">
        <v>31861.0</v>
      </c>
      <c r="Q103" s="37">
        <v>26433.0</v>
      </c>
      <c r="R103" s="37">
        <v>367.0</v>
      </c>
      <c r="S103" s="37">
        <v>0.0</v>
      </c>
      <c r="T103" s="37">
        <v>0.0</v>
      </c>
      <c r="U103" s="37">
        <v>0.0</v>
      </c>
      <c r="V103" s="37">
        <v>0.0</v>
      </c>
      <c r="W103" s="38">
        <f t="shared" si="1"/>
        <v>1888786</v>
      </c>
    </row>
    <row r="104">
      <c r="A104" s="36">
        <v>45108.0</v>
      </c>
      <c r="B104" s="37">
        <v>36178.0</v>
      </c>
      <c r="C104" s="37">
        <v>219906.0</v>
      </c>
      <c r="D104" s="37">
        <v>135.0</v>
      </c>
      <c r="E104" s="37">
        <v>0.0</v>
      </c>
      <c r="F104" s="37">
        <v>0.0</v>
      </c>
      <c r="G104" s="37">
        <v>116623.0</v>
      </c>
      <c r="H104" s="37">
        <v>0.0</v>
      </c>
      <c r="I104" s="37">
        <v>0.0</v>
      </c>
      <c r="J104" s="37">
        <v>4.0</v>
      </c>
      <c r="K104" s="37">
        <v>2282.0</v>
      </c>
      <c r="L104" s="37">
        <v>0.0</v>
      </c>
      <c r="M104" s="37">
        <v>5159.0</v>
      </c>
      <c r="N104" s="37">
        <v>1308916.0</v>
      </c>
      <c r="O104" s="37">
        <v>44171.0</v>
      </c>
      <c r="P104" s="37">
        <v>36253.0</v>
      </c>
      <c r="Q104" s="37">
        <v>23184.0</v>
      </c>
      <c r="R104" s="37">
        <v>266.0</v>
      </c>
      <c r="S104" s="37">
        <v>0.0</v>
      </c>
      <c r="T104" s="37">
        <v>0.0</v>
      </c>
      <c r="U104" s="37">
        <v>0.0</v>
      </c>
      <c r="V104" s="37">
        <v>0.0</v>
      </c>
      <c r="W104" s="38">
        <f t="shared" si="1"/>
        <v>1793077</v>
      </c>
    </row>
    <row r="105">
      <c r="A105" s="36">
        <v>45139.0</v>
      </c>
      <c r="B105" s="37">
        <v>38473.0</v>
      </c>
      <c r="C105" s="37">
        <v>209622.0</v>
      </c>
      <c r="D105" s="37">
        <v>142.0</v>
      </c>
      <c r="E105" s="37">
        <v>0.0</v>
      </c>
      <c r="F105" s="37">
        <v>0.0</v>
      </c>
      <c r="G105" s="37">
        <v>127208.0</v>
      </c>
      <c r="H105" s="37">
        <v>0.0</v>
      </c>
      <c r="I105" s="37">
        <v>0.0</v>
      </c>
      <c r="J105" s="37">
        <v>54.0</v>
      </c>
      <c r="K105" s="37">
        <v>2453.0</v>
      </c>
      <c r="L105" s="37">
        <v>0.0</v>
      </c>
      <c r="M105" s="37">
        <v>5454.0</v>
      </c>
      <c r="N105" s="37">
        <v>1340281.0</v>
      </c>
      <c r="O105" s="37">
        <v>50835.0</v>
      </c>
      <c r="P105" s="37">
        <v>44691.0</v>
      </c>
      <c r="Q105" s="37">
        <v>25675.0</v>
      </c>
      <c r="R105" s="37">
        <v>253.0</v>
      </c>
      <c r="S105" s="37">
        <v>0.0</v>
      </c>
      <c r="T105" s="37">
        <v>0.0</v>
      </c>
      <c r="U105" s="37">
        <v>0.0</v>
      </c>
      <c r="V105" s="37">
        <v>1.0</v>
      </c>
      <c r="W105" s="38">
        <f t="shared" si="1"/>
        <v>1845142</v>
      </c>
    </row>
    <row r="106">
      <c r="A106" s="36">
        <v>45170.0</v>
      </c>
      <c r="B106" s="37">
        <v>39408.0</v>
      </c>
      <c r="C106" s="37">
        <v>198144.0</v>
      </c>
      <c r="D106" s="37">
        <v>296.0</v>
      </c>
      <c r="E106" s="37">
        <v>0.0</v>
      </c>
      <c r="F106" s="37">
        <v>0.0</v>
      </c>
      <c r="G106" s="37">
        <v>128555.0</v>
      </c>
      <c r="H106" s="37">
        <v>0.0</v>
      </c>
      <c r="I106" s="37">
        <v>0.0</v>
      </c>
      <c r="J106" s="37">
        <v>8.0</v>
      </c>
      <c r="K106" s="37">
        <v>2540.0</v>
      </c>
      <c r="L106" s="37">
        <v>0.0</v>
      </c>
      <c r="M106" s="37">
        <v>4643.0</v>
      </c>
      <c r="N106" s="37">
        <v>1402785.0</v>
      </c>
      <c r="O106" s="37">
        <v>55306.0</v>
      </c>
      <c r="P106" s="37">
        <v>46476.0</v>
      </c>
      <c r="Q106" s="37">
        <v>26799.0</v>
      </c>
      <c r="R106" s="37">
        <v>221.0</v>
      </c>
      <c r="S106" s="37">
        <v>0.0</v>
      </c>
      <c r="T106" s="37">
        <v>0.0</v>
      </c>
      <c r="U106" s="37">
        <v>0.0</v>
      </c>
      <c r="V106" s="37">
        <v>0.0</v>
      </c>
      <c r="W106" s="38">
        <f t="shared" si="1"/>
        <v>1905181</v>
      </c>
    </row>
    <row r="107">
      <c r="A107" s="36">
        <v>45200.0</v>
      </c>
      <c r="B107" s="37">
        <v>42012.0</v>
      </c>
      <c r="C107" s="37">
        <v>217449.0</v>
      </c>
      <c r="D107" s="37">
        <v>366.0</v>
      </c>
      <c r="E107" s="37">
        <v>0.0</v>
      </c>
      <c r="F107" s="37">
        <v>0.0</v>
      </c>
      <c r="G107" s="37">
        <v>140373.0</v>
      </c>
      <c r="H107" s="37">
        <v>0.0</v>
      </c>
      <c r="I107" s="37">
        <v>0.0</v>
      </c>
      <c r="J107" s="37">
        <v>40.0</v>
      </c>
      <c r="K107" s="37">
        <v>3223.0</v>
      </c>
      <c r="L107" s="37">
        <v>0.0</v>
      </c>
      <c r="M107" s="37">
        <v>5607.0</v>
      </c>
      <c r="N107" s="37">
        <v>1600638.0</v>
      </c>
      <c r="O107" s="37">
        <v>60262.0</v>
      </c>
      <c r="P107" s="37">
        <v>53503.0</v>
      </c>
      <c r="Q107" s="37">
        <v>27377.0</v>
      </c>
      <c r="R107" s="37">
        <v>215.0</v>
      </c>
      <c r="S107" s="37">
        <v>0.0</v>
      </c>
      <c r="T107" s="37">
        <v>0.0</v>
      </c>
      <c r="U107" s="37">
        <v>0.0</v>
      </c>
      <c r="V107" s="37">
        <v>0.0</v>
      </c>
      <c r="W107" s="38">
        <f t="shared" si="1"/>
        <v>2151065</v>
      </c>
    </row>
    <row r="108">
      <c r="A108" s="36">
        <v>45231.0</v>
      </c>
      <c r="B108" s="37">
        <v>39842.0</v>
      </c>
      <c r="C108" s="37">
        <v>213540.0</v>
      </c>
      <c r="D108" s="37">
        <v>307.0</v>
      </c>
      <c r="E108" s="37">
        <v>0.0</v>
      </c>
      <c r="F108" s="37">
        <v>0.0</v>
      </c>
      <c r="G108" s="37">
        <v>154152.0</v>
      </c>
      <c r="H108" s="37">
        <v>0.0</v>
      </c>
      <c r="I108" s="37">
        <v>0.0</v>
      </c>
      <c r="J108" s="37">
        <v>49.0</v>
      </c>
      <c r="K108" s="37">
        <v>2931.0</v>
      </c>
      <c r="L108" s="37">
        <v>0.0</v>
      </c>
      <c r="M108" s="37">
        <v>5001.0</v>
      </c>
      <c r="N108" s="37">
        <v>2326783.0</v>
      </c>
      <c r="O108" s="37">
        <v>60100.0</v>
      </c>
      <c r="P108" s="37">
        <v>62558.0</v>
      </c>
      <c r="Q108" s="37">
        <v>26168.0</v>
      </c>
      <c r="R108" s="37">
        <v>185.0</v>
      </c>
      <c r="S108" s="37">
        <v>0.0</v>
      </c>
      <c r="T108" s="37">
        <v>0.0</v>
      </c>
      <c r="U108" s="37">
        <v>0.0</v>
      </c>
      <c r="V108" s="37">
        <v>0.0</v>
      </c>
      <c r="W108" s="38">
        <f t="shared" si="1"/>
        <v>2891616</v>
      </c>
    </row>
    <row r="109">
      <c r="A109" s="36">
        <v>45261.0</v>
      </c>
      <c r="B109" s="37">
        <v>31921.0</v>
      </c>
      <c r="C109" s="37">
        <v>205243.0</v>
      </c>
      <c r="D109" s="37">
        <v>392.0</v>
      </c>
      <c r="E109" s="37">
        <v>0.0</v>
      </c>
      <c r="F109" s="37">
        <v>0.0</v>
      </c>
      <c r="G109" s="37">
        <v>141956.0</v>
      </c>
      <c r="H109" s="37">
        <v>0.0</v>
      </c>
      <c r="I109" s="37">
        <v>0.0</v>
      </c>
      <c r="J109" s="37">
        <v>7.0</v>
      </c>
      <c r="K109" s="37">
        <v>2390.0</v>
      </c>
      <c r="L109" s="37">
        <v>0.0</v>
      </c>
      <c r="M109" s="37">
        <v>6395.0</v>
      </c>
      <c r="N109" s="37">
        <v>1512516.0</v>
      </c>
      <c r="O109" s="37">
        <v>44644.0</v>
      </c>
      <c r="P109" s="37">
        <v>47242.0</v>
      </c>
      <c r="Q109" s="37">
        <v>21905.0</v>
      </c>
      <c r="R109" s="37">
        <v>133.0</v>
      </c>
      <c r="S109" s="37">
        <v>0.0</v>
      </c>
      <c r="T109" s="37">
        <v>0.0</v>
      </c>
      <c r="U109" s="37">
        <v>0.0</v>
      </c>
      <c r="V109" s="37">
        <v>0.0</v>
      </c>
      <c r="W109" s="38">
        <f t="shared" si="1"/>
        <v>2014744</v>
      </c>
    </row>
    <row r="110">
      <c r="A110" s="36">
        <v>45292.0</v>
      </c>
      <c r="B110" s="37">
        <v>39523.0</v>
      </c>
      <c r="C110" s="37">
        <v>246262.0</v>
      </c>
      <c r="D110" s="37">
        <v>442.0</v>
      </c>
      <c r="E110" s="37">
        <v>0.0</v>
      </c>
      <c r="F110" s="37">
        <v>0.0</v>
      </c>
      <c r="G110" s="37">
        <v>145061.0</v>
      </c>
      <c r="H110" s="37">
        <v>0.0</v>
      </c>
      <c r="I110" s="37">
        <v>0.0</v>
      </c>
      <c r="J110" s="37">
        <v>0.0</v>
      </c>
      <c r="K110" s="37">
        <v>2555.0</v>
      </c>
      <c r="L110" s="37">
        <v>0.0</v>
      </c>
      <c r="M110" s="37">
        <v>6085.0</v>
      </c>
      <c r="N110" s="37">
        <v>1560037.0</v>
      </c>
      <c r="O110" s="37">
        <v>67754.0</v>
      </c>
      <c r="P110" s="37">
        <v>57164.0</v>
      </c>
      <c r="Q110" s="37">
        <v>31317.0</v>
      </c>
      <c r="R110" s="37">
        <v>267.0</v>
      </c>
      <c r="S110" s="37">
        <v>0.0</v>
      </c>
      <c r="T110" s="37">
        <v>0.0</v>
      </c>
      <c r="U110" s="37">
        <v>0.0</v>
      </c>
      <c r="V110" s="37">
        <v>0.0</v>
      </c>
      <c r="W110" s="38">
        <f t="shared" si="1"/>
        <v>2156467</v>
      </c>
    </row>
    <row r="111">
      <c r="A111" s="36">
        <v>45323.0</v>
      </c>
      <c r="B111" s="37">
        <v>37382.0</v>
      </c>
      <c r="C111" s="37">
        <v>230150.0</v>
      </c>
      <c r="D111" s="37">
        <v>402.0</v>
      </c>
      <c r="E111" s="37">
        <v>0.0</v>
      </c>
      <c r="F111" s="37">
        <v>0.0</v>
      </c>
      <c r="G111" s="37">
        <v>141737.0</v>
      </c>
      <c r="H111" s="37">
        <v>0.0</v>
      </c>
      <c r="I111" s="37">
        <v>0.0</v>
      </c>
      <c r="J111" s="37">
        <v>38.0</v>
      </c>
      <c r="K111" s="37">
        <v>2655.0</v>
      </c>
      <c r="L111" s="37">
        <v>0.0</v>
      </c>
      <c r="M111" s="37">
        <v>6295.0</v>
      </c>
      <c r="N111" s="37">
        <v>1500039.0</v>
      </c>
      <c r="O111" s="37">
        <v>51929.0</v>
      </c>
      <c r="P111" s="37">
        <v>52609.0</v>
      </c>
      <c r="Q111" s="37">
        <v>30513.0</v>
      </c>
      <c r="R111" s="37">
        <v>192.0</v>
      </c>
      <c r="S111" s="37">
        <v>0.0</v>
      </c>
      <c r="T111" s="37">
        <v>0.0</v>
      </c>
      <c r="U111" s="37">
        <v>1.0</v>
      </c>
      <c r="V111" s="37">
        <v>1.0</v>
      </c>
      <c r="W111" s="38">
        <f t="shared" si="1"/>
        <v>2053943</v>
      </c>
    </row>
    <row r="112">
      <c r="A112" s="36">
        <v>45352.0</v>
      </c>
      <c r="B112" s="37">
        <v>36306.0</v>
      </c>
      <c r="C112" s="37">
        <v>231373.0</v>
      </c>
      <c r="D112" s="37">
        <v>579.0</v>
      </c>
      <c r="E112" s="37">
        <v>0.0</v>
      </c>
      <c r="F112" s="37">
        <v>0.0</v>
      </c>
      <c r="G112" s="37">
        <v>209841.0</v>
      </c>
      <c r="H112" s="37">
        <v>0.0</v>
      </c>
      <c r="I112" s="37">
        <v>1.0</v>
      </c>
      <c r="J112" s="37">
        <v>41.0</v>
      </c>
      <c r="K112" s="37">
        <v>2734.0</v>
      </c>
      <c r="L112" s="37">
        <v>0.0</v>
      </c>
      <c r="M112" s="37">
        <v>5683.0</v>
      </c>
      <c r="N112" s="37">
        <v>1525426.0</v>
      </c>
      <c r="O112" s="37">
        <v>52017.0</v>
      </c>
      <c r="P112" s="37">
        <v>52074.0</v>
      </c>
      <c r="Q112" s="37">
        <v>27221.0</v>
      </c>
      <c r="R112" s="37">
        <v>219.0</v>
      </c>
      <c r="S112" s="37">
        <v>0.0</v>
      </c>
      <c r="T112" s="37">
        <v>3225.0</v>
      </c>
      <c r="U112" s="37">
        <v>0.0</v>
      </c>
      <c r="V112" s="37">
        <v>1700.0</v>
      </c>
      <c r="W112" s="38">
        <f t="shared" si="1"/>
        <v>2148440</v>
      </c>
    </row>
    <row r="113">
      <c r="A113" s="36">
        <v>45383.0</v>
      </c>
      <c r="B113" s="37">
        <v>32891.0</v>
      </c>
      <c r="C113" s="37">
        <v>209416.0</v>
      </c>
      <c r="D113" s="37">
        <v>628.0</v>
      </c>
      <c r="E113" s="37">
        <v>0.0</v>
      </c>
      <c r="F113" s="37">
        <v>0.0</v>
      </c>
      <c r="G113" s="37">
        <v>113375.0</v>
      </c>
      <c r="H113" s="37">
        <v>0.0</v>
      </c>
      <c r="I113" s="37">
        <v>6.0</v>
      </c>
      <c r="J113" s="37">
        <v>42.0</v>
      </c>
      <c r="K113" s="37">
        <v>2115.0</v>
      </c>
      <c r="L113" s="37">
        <v>0.0</v>
      </c>
      <c r="M113" s="37">
        <v>4765.0</v>
      </c>
      <c r="N113" s="37">
        <v>1718697.0</v>
      </c>
      <c r="O113" s="37">
        <v>58120.0</v>
      </c>
      <c r="P113" s="37">
        <v>55668.0</v>
      </c>
      <c r="Q113" s="37">
        <v>26793.0</v>
      </c>
      <c r="R113" s="37">
        <v>256.0</v>
      </c>
      <c r="S113" s="37">
        <v>0.0</v>
      </c>
      <c r="T113" s="37">
        <v>2515.0</v>
      </c>
      <c r="U113" s="37">
        <v>0.0</v>
      </c>
      <c r="V113" s="37">
        <v>3080.0</v>
      </c>
      <c r="W113" s="38">
        <f t="shared" si="1"/>
        <v>2228367</v>
      </c>
    </row>
    <row r="114">
      <c r="A114" s="36">
        <v>45413.0</v>
      </c>
      <c r="B114" s="37">
        <v>37092.0</v>
      </c>
      <c r="C114" s="37">
        <v>208899.0</v>
      </c>
      <c r="D114" s="37">
        <v>461.0</v>
      </c>
      <c r="E114" s="37">
        <v>0.0</v>
      </c>
      <c r="F114" s="37">
        <v>20.0</v>
      </c>
      <c r="G114" s="37">
        <v>123932.0</v>
      </c>
      <c r="H114" s="37">
        <v>0.0</v>
      </c>
      <c r="I114" s="37">
        <v>4.0</v>
      </c>
      <c r="J114" s="37">
        <v>45.0</v>
      </c>
      <c r="K114" s="37">
        <v>2453.0</v>
      </c>
      <c r="L114" s="37">
        <v>0.0</v>
      </c>
      <c r="M114" s="37">
        <v>4799.0</v>
      </c>
      <c r="N114" s="37">
        <v>1577388.0</v>
      </c>
      <c r="O114" s="37">
        <v>56674.0</v>
      </c>
      <c r="P114" s="37">
        <v>54344.0</v>
      </c>
      <c r="Q114" s="37">
        <v>23133.0</v>
      </c>
      <c r="R114" s="37">
        <v>219.0</v>
      </c>
      <c r="S114" s="37">
        <v>1.0</v>
      </c>
      <c r="T114" s="37">
        <v>16714.0</v>
      </c>
      <c r="U114" s="37">
        <v>0.0</v>
      </c>
      <c r="V114" s="37">
        <v>3499.0</v>
      </c>
      <c r="W114" s="38">
        <f t="shared" si="1"/>
        <v>2109677</v>
      </c>
    </row>
    <row r="115">
      <c r="A115" s="36">
        <v>45444.0</v>
      </c>
      <c r="B115" s="37">
        <v>35416.0</v>
      </c>
      <c r="C115" s="37">
        <v>197528.0</v>
      </c>
      <c r="D115" s="37">
        <v>343.0</v>
      </c>
      <c r="E115" s="37">
        <v>0.0</v>
      </c>
      <c r="F115" s="37">
        <v>1.0</v>
      </c>
      <c r="G115" s="37">
        <v>109445.0</v>
      </c>
      <c r="H115" s="37">
        <v>0.0</v>
      </c>
      <c r="I115" s="37">
        <v>0.0</v>
      </c>
      <c r="J115" s="37">
        <v>39.0</v>
      </c>
      <c r="K115" s="37">
        <v>2476.0</v>
      </c>
      <c r="L115" s="37">
        <v>0.0</v>
      </c>
      <c r="M115" s="37">
        <v>4265.0</v>
      </c>
      <c r="N115" s="37">
        <v>1408316.0</v>
      </c>
      <c r="O115" s="37">
        <v>51779.0</v>
      </c>
      <c r="P115" s="37">
        <v>49999.0</v>
      </c>
      <c r="Q115" s="37">
        <v>20647.0</v>
      </c>
      <c r="R115" s="37">
        <v>257.0</v>
      </c>
      <c r="S115" s="37">
        <v>0.0</v>
      </c>
      <c r="T115" s="37">
        <v>30672.0</v>
      </c>
      <c r="U115" s="37">
        <v>0.0</v>
      </c>
      <c r="V115" s="37">
        <v>4213.0</v>
      </c>
      <c r="W115" s="38">
        <f t="shared" si="1"/>
        <v>1915396</v>
      </c>
    </row>
    <row r="116">
      <c r="A116" s="36">
        <v>45474.0</v>
      </c>
      <c r="B116" s="37">
        <v>39442.0</v>
      </c>
      <c r="C116" s="37">
        <v>221069.0</v>
      </c>
      <c r="D116" s="37">
        <v>370.0</v>
      </c>
      <c r="E116" s="37">
        <v>0.0</v>
      </c>
      <c r="F116" s="37">
        <v>0.0</v>
      </c>
      <c r="G116" s="37">
        <v>128623.0</v>
      </c>
      <c r="H116" s="37">
        <v>0.0</v>
      </c>
      <c r="I116" s="37">
        <v>2.0</v>
      </c>
      <c r="J116" s="37">
        <v>16.0</v>
      </c>
      <c r="K116" s="37">
        <v>2964.0</v>
      </c>
      <c r="L116" s="37">
        <v>0.0</v>
      </c>
      <c r="M116" s="37">
        <v>4147.0</v>
      </c>
      <c r="N116" s="37">
        <v>1464497.0</v>
      </c>
      <c r="O116" s="37">
        <v>59270.0</v>
      </c>
      <c r="P116" s="37">
        <v>54554.0</v>
      </c>
      <c r="Q116" s="37">
        <v>22424.0</v>
      </c>
      <c r="R116" s="37">
        <v>284.0</v>
      </c>
      <c r="S116" s="37">
        <v>2.0</v>
      </c>
      <c r="T116" s="37">
        <v>51480.0</v>
      </c>
      <c r="U116" s="37">
        <v>0.0</v>
      </c>
      <c r="V116" s="37">
        <v>6968.0</v>
      </c>
      <c r="W116" s="38">
        <f t="shared" si="1"/>
        <v>2056112</v>
      </c>
    </row>
    <row r="117">
      <c r="A117" s="36">
        <v>45505.0</v>
      </c>
      <c r="B117" s="37">
        <v>41529.0</v>
      </c>
      <c r="C117" s="37">
        <v>198623.0</v>
      </c>
      <c r="D117" s="37">
        <v>340.0</v>
      </c>
      <c r="E117" s="37">
        <v>0.0</v>
      </c>
      <c r="F117" s="37">
        <v>0.0</v>
      </c>
      <c r="G117" s="37">
        <v>107058.0</v>
      </c>
      <c r="H117" s="37">
        <v>0.0</v>
      </c>
      <c r="I117" s="37">
        <v>0.0</v>
      </c>
      <c r="J117" s="37">
        <v>29.0</v>
      </c>
      <c r="K117" s="37">
        <v>3348.0</v>
      </c>
      <c r="L117" s="37">
        <v>0.0</v>
      </c>
      <c r="M117" s="37">
        <v>4234.0</v>
      </c>
      <c r="N117" s="37">
        <v>1367900.0</v>
      </c>
      <c r="O117" s="37">
        <v>58127.0</v>
      </c>
      <c r="P117" s="37">
        <v>51974.0</v>
      </c>
      <c r="Q117" s="37">
        <v>21219.0</v>
      </c>
      <c r="R117" s="37">
        <v>150.0</v>
      </c>
      <c r="S117" s="37">
        <v>1.0</v>
      </c>
      <c r="T117" s="37">
        <v>50069.0</v>
      </c>
      <c r="U117" s="37">
        <v>0.0</v>
      </c>
      <c r="V117" s="37">
        <v>7655.0</v>
      </c>
      <c r="W117" s="38">
        <f t="shared" si="1"/>
        <v>1912256</v>
      </c>
    </row>
    <row r="118">
      <c r="A118" s="36">
        <v>45536.0</v>
      </c>
      <c r="B118" s="37">
        <v>41149.0</v>
      </c>
      <c r="C118" s="37">
        <v>188945.0</v>
      </c>
      <c r="D118" s="37">
        <v>353.0</v>
      </c>
      <c r="E118" s="37">
        <v>0.0</v>
      </c>
      <c r="F118" s="37">
        <v>0.0</v>
      </c>
      <c r="G118" s="37">
        <v>97178.0</v>
      </c>
      <c r="H118" s="37">
        <v>0.0</v>
      </c>
      <c r="I118" s="37">
        <v>0.0</v>
      </c>
      <c r="J118" s="37">
        <v>48.0</v>
      </c>
      <c r="K118" s="37">
        <v>2986.0</v>
      </c>
      <c r="L118" s="37">
        <v>0.0</v>
      </c>
      <c r="M118" s="37">
        <v>3846.0</v>
      </c>
      <c r="N118" s="37">
        <v>1209037.0</v>
      </c>
      <c r="O118" s="37">
        <v>51156.0</v>
      </c>
      <c r="P118" s="37">
        <v>49984.0</v>
      </c>
      <c r="Q118" s="37">
        <v>19283.0</v>
      </c>
      <c r="R118" s="37">
        <v>31.0</v>
      </c>
      <c r="S118" s="37">
        <v>9.0</v>
      </c>
      <c r="T118" s="37">
        <v>62740.0</v>
      </c>
      <c r="U118" s="37">
        <v>0.0</v>
      </c>
      <c r="V118" s="37">
        <v>6577.0</v>
      </c>
      <c r="W118" s="38">
        <f t="shared" si="1"/>
        <v>1733322</v>
      </c>
    </row>
    <row r="119">
      <c r="A119" s="36"/>
      <c r="I119" s="39"/>
      <c r="J119" s="39"/>
      <c r="K119" s="40"/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13" max="13" width="49.0"/>
    <col customWidth="1" min="15" max="15" width="14.38"/>
  </cols>
  <sheetData>
    <row r="1">
      <c r="A1" s="1" t="s">
        <v>118</v>
      </c>
    </row>
    <row r="3">
      <c r="A3" s="1" t="s">
        <v>119</v>
      </c>
      <c r="B3" s="41" t="s">
        <v>120</v>
      </c>
    </row>
    <row r="4">
      <c r="A4" s="42" t="s">
        <v>1</v>
      </c>
      <c r="B4" s="42" t="s">
        <v>2</v>
      </c>
      <c r="C4" s="42">
        <v>2023.0</v>
      </c>
      <c r="D4" s="42">
        <v>2022.0</v>
      </c>
      <c r="E4" s="42">
        <v>2021.0</v>
      </c>
      <c r="F4" s="42">
        <v>2020.0</v>
      </c>
      <c r="G4" s="42">
        <v>2019.0</v>
      </c>
      <c r="H4" s="43">
        <v>2018.0</v>
      </c>
      <c r="I4" s="43">
        <v>2017.0</v>
      </c>
      <c r="J4" s="43">
        <v>2016.0</v>
      </c>
      <c r="K4" s="43">
        <v>2015.0</v>
      </c>
      <c r="L4" s="43" t="s">
        <v>121</v>
      </c>
      <c r="N4" s="42" t="s">
        <v>1</v>
      </c>
      <c r="O4" s="42" t="s">
        <v>2</v>
      </c>
      <c r="P4" s="42">
        <v>2023.0</v>
      </c>
      <c r="Q4" s="42">
        <v>2022.0</v>
      </c>
      <c r="R4" s="42">
        <v>2021.0</v>
      </c>
      <c r="S4" s="42">
        <v>2020.0</v>
      </c>
      <c r="T4" s="42">
        <v>2019.0</v>
      </c>
      <c r="U4" s="43">
        <v>2018.0</v>
      </c>
      <c r="V4" s="43">
        <v>2017.0</v>
      </c>
      <c r="W4" s="43">
        <v>2016.0</v>
      </c>
      <c r="X4" s="43">
        <v>2015.0</v>
      </c>
      <c r="Y4" s="43" t="s">
        <v>121</v>
      </c>
    </row>
    <row r="5">
      <c r="A5" s="44">
        <v>1.0</v>
      </c>
      <c r="B5" s="44" t="s">
        <v>4</v>
      </c>
      <c r="C5" s="44">
        <v>421145.0</v>
      </c>
      <c r="D5" s="44">
        <v>297430.0</v>
      </c>
      <c r="E5" s="44">
        <v>166328.0</v>
      </c>
      <c r="F5" s="44">
        <v>43227.0</v>
      </c>
      <c r="G5" s="44">
        <v>33459.0</v>
      </c>
      <c r="H5" s="44">
        <v>31429.0</v>
      </c>
      <c r="I5" s="44">
        <v>26150.0</v>
      </c>
      <c r="J5" s="44">
        <v>29888.0</v>
      </c>
      <c r="K5" s="44">
        <v>26225.0</v>
      </c>
      <c r="L5" s="44">
        <f t="shared" ref="L5:L24" si="1">SUM(C5:K5)</f>
        <v>1075281</v>
      </c>
      <c r="N5" s="44">
        <v>1.0</v>
      </c>
      <c r="O5" s="44" t="s">
        <v>4</v>
      </c>
      <c r="P5" s="44">
        <v>421145.0</v>
      </c>
      <c r="Q5" s="44">
        <v>297430.0</v>
      </c>
      <c r="R5" s="44">
        <v>166328.0</v>
      </c>
      <c r="S5" s="44">
        <v>43227.0</v>
      </c>
      <c r="T5" s="44">
        <v>33459.0</v>
      </c>
      <c r="U5" s="44">
        <v>31429.0</v>
      </c>
      <c r="V5" s="44">
        <v>26150.0</v>
      </c>
      <c r="W5" s="44">
        <v>29888.0</v>
      </c>
      <c r="X5" s="44">
        <v>26225.0</v>
      </c>
      <c r="Y5" s="44">
        <f t="shared" ref="Y5:Y13" si="2">SUM(P5:X5)</f>
        <v>1075281</v>
      </c>
    </row>
    <row r="6">
      <c r="A6" s="44">
        <v>2.0</v>
      </c>
      <c r="B6" s="44" t="s">
        <v>9</v>
      </c>
      <c r="C6" s="44">
        <v>2568218.0</v>
      </c>
      <c r="D6" s="44">
        <v>2345606.0</v>
      </c>
      <c r="E6" s="44">
        <v>2013620.0</v>
      </c>
      <c r="F6" s="44">
        <v>2025020.0</v>
      </c>
      <c r="G6" s="44">
        <v>2924814.0</v>
      </c>
      <c r="H6" s="44">
        <v>3182474.0</v>
      </c>
      <c r="I6" s="44">
        <v>2865401.0</v>
      </c>
      <c r="J6" s="44">
        <v>2752178.0</v>
      </c>
      <c r="K6" s="44">
        <v>2725704.0</v>
      </c>
      <c r="L6" s="44">
        <f t="shared" si="1"/>
        <v>23403035</v>
      </c>
      <c r="N6" s="44">
        <v>2.0</v>
      </c>
      <c r="O6" s="44" t="s">
        <v>9</v>
      </c>
      <c r="P6" s="44">
        <v>2568218.0</v>
      </c>
      <c r="Q6" s="44">
        <v>2345606.0</v>
      </c>
      <c r="R6" s="44">
        <v>2013620.0</v>
      </c>
      <c r="S6" s="44">
        <v>2025020.0</v>
      </c>
      <c r="T6" s="44">
        <v>2924814.0</v>
      </c>
      <c r="U6" s="44">
        <v>3182474.0</v>
      </c>
      <c r="V6" s="44">
        <v>2865401.0</v>
      </c>
      <c r="W6" s="44">
        <v>2752178.0</v>
      </c>
      <c r="X6" s="44">
        <v>2725704.0</v>
      </c>
      <c r="Y6" s="44">
        <f t="shared" si="2"/>
        <v>23403035</v>
      </c>
    </row>
    <row r="7">
      <c r="A7" s="45">
        <v>3.0</v>
      </c>
      <c r="B7" s="45" t="s">
        <v>16</v>
      </c>
      <c r="C7" s="45">
        <v>2462.0</v>
      </c>
      <c r="D7" s="45">
        <v>737.0</v>
      </c>
      <c r="E7" s="45">
        <v>35.0</v>
      </c>
      <c r="F7" s="45">
        <v>2917.0</v>
      </c>
      <c r="G7" s="45">
        <v>39104.0</v>
      </c>
      <c r="H7" s="45">
        <v>59540.0</v>
      </c>
      <c r="I7" s="45">
        <v>48477.0</v>
      </c>
      <c r="J7" s="45">
        <v>11347.0</v>
      </c>
      <c r="K7" s="45">
        <v>502.0</v>
      </c>
      <c r="L7" s="45">
        <f t="shared" si="1"/>
        <v>165121</v>
      </c>
      <c r="N7" s="45">
        <v>3.0</v>
      </c>
      <c r="O7" s="45" t="s">
        <v>16</v>
      </c>
      <c r="P7" s="45">
        <v>2462.0</v>
      </c>
      <c r="Q7" s="45">
        <v>737.0</v>
      </c>
      <c r="R7" s="45">
        <v>35.0</v>
      </c>
      <c r="S7" s="45">
        <v>2917.0</v>
      </c>
      <c r="T7" s="45">
        <v>39104.0</v>
      </c>
      <c r="U7" s="45">
        <v>59540.0</v>
      </c>
      <c r="V7" s="45">
        <v>48477.0</v>
      </c>
      <c r="W7" s="45">
        <v>11347.0</v>
      </c>
      <c r="X7" s="45">
        <v>502.0</v>
      </c>
      <c r="Y7" s="45">
        <f t="shared" si="2"/>
        <v>165121</v>
      </c>
    </row>
    <row r="8">
      <c r="A8" s="44">
        <v>4.0</v>
      </c>
      <c r="B8" s="44" t="s">
        <v>17</v>
      </c>
      <c r="C8" s="44">
        <v>0.0</v>
      </c>
      <c r="D8" s="44">
        <v>0.0</v>
      </c>
      <c r="E8" s="44">
        <v>0.0</v>
      </c>
      <c r="F8" s="44">
        <v>1.0</v>
      </c>
      <c r="G8" s="44">
        <v>0.0</v>
      </c>
      <c r="H8" s="44">
        <v>0.0</v>
      </c>
      <c r="I8" s="44">
        <v>0.0</v>
      </c>
      <c r="J8" s="44">
        <v>0.0</v>
      </c>
      <c r="K8" s="44">
        <v>0.0</v>
      </c>
      <c r="L8" s="44">
        <f t="shared" si="1"/>
        <v>1</v>
      </c>
      <c r="N8" s="45">
        <v>4.0</v>
      </c>
      <c r="O8" s="45" t="s">
        <v>20</v>
      </c>
      <c r="P8" s="45">
        <v>1532344.0</v>
      </c>
      <c r="Q8" s="45">
        <v>1025003.0</v>
      </c>
      <c r="R8" s="45">
        <v>331576.0</v>
      </c>
      <c r="S8" s="45">
        <v>124671.0</v>
      </c>
      <c r="T8" s="45">
        <v>166881.0</v>
      </c>
      <c r="U8" s="45">
        <v>130248.0</v>
      </c>
      <c r="V8" s="45">
        <v>87395.0</v>
      </c>
      <c r="W8" s="45">
        <v>49832.0</v>
      </c>
      <c r="X8" s="45">
        <v>7796.0</v>
      </c>
      <c r="Y8" s="45">
        <f t="shared" si="2"/>
        <v>3455746</v>
      </c>
    </row>
    <row r="9">
      <c r="A9" s="44">
        <v>5.0</v>
      </c>
      <c r="B9" s="44" t="s">
        <v>18</v>
      </c>
      <c r="C9" s="44">
        <v>0.0</v>
      </c>
      <c r="D9" s="44">
        <v>5.0</v>
      </c>
      <c r="E9" s="44">
        <v>14.0</v>
      </c>
      <c r="F9" s="44">
        <v>0.0</v>
      </c>
      <c r="G9" s="44">
        <v>9.0</v>
      </c>
      <c r="H9" s="44">
        <v>6.0</v>
      </c>
      <c r="I9" s="44">
        <v>4.0</v>
      </c>
      <c r="J9" s="44">
        <v>14.0</v>
      </c>
      <c r="K9" s="44">
        <v>4.0</v>
      </c>
      <c r="L9" s="44">
        <f t="shared" si="1"/>
        <v>56</v>
      </c>
      <c r="N9" s="44">
        <v>5.0</v>
      </c>
      <c r="O9" s="44" t="s">
        <v>29</v>
      </c>
      <c r="P9" s="44">
        <v>26812.0</v>
      </c>
      <c r="Q9" s="44">
        <v>14404.0</v>
      </c>
      <c r="R9" s="44">
        <v>13408.0</v>
      </c>
      <c r="S9" s="44">
        <v>9910.0</v>
      </c>
      <c r="T9" s="44">
        <v>3866.0</v>
      </c>
      <c r="U9" s="44">
        <v>4068.0</v>
      </c>
      <c r="V9" s="44">
        <v>3814.0</v>
      </c>
      <c r="W9" s="44">
        <v>3976.0</v>
      </c>
      <c r="X9" s="44">
        <v>3337.0</v>
      </c>
      <c r="Y9" s="44">
        <f t="shared" si="2"/>
        <v>83595</v>
      </c>
    </row>
    <row r="10">
      <c r="A10" s="44">
        <v>6.0</v>
      </c>
      <c r="B10" s="44" t="s">
        <v>19</v>
      </c>
      <c r="C10" s="44">
        <v>0.0</v>
      </c>
      <c r="D10" s="44">
        <v>1.0</v>
      </c>
      <c r="E10" s="44">
        <v>0.0</v>
      </c>
      <c r="F10" s="44">
        <v>0.0</v>
      </c>
      <c r="G10" s="44">
        <v>0.0</v>
      </c>
      <c r="H10" s="44">
        <v>0.0</v>
      </c>
      <c r="I10" s="44">
        <v>0.0</v>
      </c>
      <c r="J10" s="44">
        <v>0.0</v>
      </c>
      <c r="K10" s="44">
        <v>0.0</v>
      </c>
      <c r="L10" s="44">
        <f t="shared" si="1"/>
        <v>1</v>
      </c>
      <c r="N10" s="44">
        <v>6.0</v>
      </c>
      <c r="O10" s="44" t="s">
        <v>33</v>
      </c>
      <c r="P10" s="44">
        <v>1.8138477E7</v>
      </c>
      <c r="Q10" s="44">
        <v>1.7185926E7</v>
      </c>
      <c r="R10" s="44">
        <v>1.5888229E7</v>
      </c>
      <c r="S10" s="44">
        <v>1.5982228E7</v>
      </c>
      <c r="T10" s="44">
        <v>2.029547E7</v>
      </c>
      <c r="U10" s="44">
        <v>2.1301973E7</v>
      </c>
      <c r="V10" s="44">
        <v>1.9731563E7</v>
      </c>
      <c r="W10" s="44">
        <v>1.7936356E7</v>
      </c>
      <c r="X10" s="44">
        <v>1.6470818E7</v>
      </c>
      <c r="Y10" s="44">
        <f t="shared" si="2"/>
        <v>162931040</v>
      </c>
    </row>
    <row r="11">
      <c r="A11" s="45">
        <v>7.0</v>
      </c>
      <c r="B11" s="45" t="s">
        <v>20</v>
      </c>
      <c r="C11" s="45">
        <v>1532344.0</v>
      </c>
      <c r="D11" s="45">
        <v>1025003.0</v>
      </c>
      <c r="E11" s="45">
        <v>331576.0</v>
      </c>
      <c r="F11" s="45">
        <v>124671.0</v>
      </c>
      <c r="G11" s="45">
        <v>166881.0</v>
      </c>
      <c r="H11" s="45">
        <v>130248.0</v>
      </c>
      <c r="I11" s="45">
        <v>87395.0</v>
      </c>
      <c r="J11" s="45">
        <v>49832.0</v>
      </c>
      <c r="K11" s="45">
        <v>7796.0</v>
      </c>
      <c r="L11" s="45">
        <f t="shared" si="1"/>
        <v>3455746</v>
      </c>
      <c r="N11" s="44">
        <v>7.0</v>
      </c>
      <c r="O11" s="44" t="s">
        <v>40</v>
      </c>
      <c r="P11" s="44">
        <v>536677.0</v>
      </c>
      <c r="Q11" s="44">
        <v>425922.0</v>
      </c>
      <c r="R11" s="44">
        <v>270806.0</v>
      </c>
      <c r="S11" s="44">
        <v>233511.0</v>
      </c>
      <c r="T11" s="44">
        <v>416682.0</v>
      </c>
      <c r="U11" s="44">
        <v>459314.0</v>
      </c>
      <c r="V11" s="44">
        <v>342522.0</v>
      </c>
      <c r="W11" s="44">
        <v>334236.0</v>
      </c>
      <c r="X11" s="44">
        <v>259702.0</v>
      </c>
      <c r="Y11" s="44">
        <f t="shared" si="2"/>
        <v>3279372</v>
      </c>
    </row>
    <row r="12">
      <c r="A12" s="44">
        <v>8.0</v>
      </c>
      <c r="B12" s="44" t="s">
        <v>27</v>
      </c>
      <c r="C12" s="44">
        <v>0.0</v>
      </c>
      <c r="D12" s="44">
        <v>2.0</v>
      </c>
      <c r="E12" s="44">
        <v>0.0</v>
      </c>
      <c r="F12" s="44">
        <v>3.0</v>
      </c>
      <c r="G12" s="44">
        <v>9.0</v>
      </c>
      <c r="H12" s="44">
        <v>17.0</v>
      </c>
      <c r="I12" s="44">
        <v>22.0</v>
      </c>
      <c r="J12" s="44">
        <v>3.0</v>
      </c>
      <c r="K12" s="44">
        <v>0.0</v>
      </c>
      <c r="L12" s="44">
        <f t="shared" si="1"/>
        <v>56</v>
      </c>
      <c r="N12" s="45">
        <v>8.0</v>
      </c>
      <c r="O12" s="45" t="s">
        <v>50</v>
      </c>
      <c r="P12" s="45">
        <v>331515.0</v>
      </c>
      <c r="Q12" s="45">
        <v>192591.0</v>
      </c>
      <c r="R12" s="45">
        <v>125963.0</v>
      </c>
      <c r="S12" s="45">
        <v>86363.0</v>
      </c>
      <c r="T12" s="45">
        <v>76289.0</v>
      </c>
      <c r="U12" s="45">
        <v>11758.0</v>
      </c>
      <c r="V12" s="45">
        <v>707.0</v>
      </c>
      <c r="W12" s="45">
        <v>528.0</v>
      </c>
      <c r="X12" s="45">
        <v>92.0</v>
      </c>
      <c r="Y12" s="45">
        <f t="shared" si="2"/>
        <v>825806</v>
      </c>
    </row>
    <row r="13">
      <c r="A13" s="44">
        <v>9.0</v>
      </c>
      <c r="B13" s="44" t="s">
        <v>69</v>
      </c>
      <c r="C13" s="44">
        <v>0.0</v>
      </c>
      <c r="D13" s="44">
        <v>0.0</v>
      </c>
      <c r="E13" s="44">
        <v>0.0</v>
      </c>
      <c r="F13" s="44">
        <v>0.0</v>
      </c>
      <c r="G13" s="44">
        <v>0.0</v>
      </c>
      <c r="H13" s="44">
        <v>0.0</v>
      </c>
      <c r="I13" s="44">
        <v>1.0</v>
      </c>
      <c r="J13" s="44">
        <v>0.0</v>
      </c>
      <c r="K13" s="44">
        <v>1.0</v>
      </c>
      <c r="L13" s="44">
        <f t="shared" si="1"/>
        <v>2</v>
      </c>
      <c r="N13" s="44">
        <v>9.0</v>
      </c>
      <c r="O13" s="44" t="s">
        <v>55</v>
      </c>
      <c r="P13" s="44">
        <v>4693.0</v>
      </c>
      <c r="Q13" s="44">
        <v>11544.0</v>
      </c>
      <c r="R13" s="44">
        <v>19833.0</v>
      </c>
      <c r="S13" s="44">
        <v>39929.0</v>
      </c>
      <c r="T13" s="44">
        <v>108995.0</v>
      </c>
      <c r="U13" s="44">
        <v>123813.0</v>
      </c>
      <c r="V13" s="44">
        <v>87934.0</v>
      </c>
      <c r="W13" s="44">
        <v>82483.0</v>
      </c>
      <c r="X13" s="44">
        <v>69933.0</v>
      </c>
      <c r="Y13" s="44">
        <f t="shared" si="2"/>
        <v>549157</v>
      </c>
    </row>
    <row r="14">
      <c r="A14" s="44">
        <v>10.0</v>
      </c>
      <c r="B14" s="44" t="s">
        <v>28</v>
      </c>
      <c r="C14" s="44">
        <v>244.0</v>
      </c>
      <c r="D14" s="44">
        <v>20.0</v>
      </c>
      <c r="E14" s="44">
        <v>3.0</v>
      </c>
      <c r="F14" s="44">
        <v>5.0</v>
      </c>
      <c r="G14" s="44">
        <v>11.0</v>
      </c>
      <c r="H14" s="44">
        <v>1.0</v>
      </c>
      <c r="I14" s="44">
        <v>1.0</v>
      </c>
      <c r="J14" s="44">
        <v>5.0</v>
      </c>
      <c r="K14" s="44">
        <v>2.0</v>
      </c>
      <c r="L14" s="44">
        <f t="shared" si="1"/>
        <v>292</v>
      </c>
    </row>
    <row r="15">
      <c r="A15" s="44">
        <v>11.0</v>
      </c>
      <c r="B15" s="44" t="s">
        <v>29</v>
      </c>
      <c r="C15" s="44">
        <v>26812.0</v>
      </c>
      <c r="D15" s="44">
        <v>14404.0</v>
      </c>
      <c r="E15" s="44">
        <v>13408.0</v>
      </c>
      <c r="F15" s="44">
        <v>9910.0</v>
      </c>
      <c r="G15" s="44">
        <v>3866.0</v>
      </c>
      <c r="H15" s="44">
        <v>4068.0</v>
      </c>
      <c r="I15" s="44">
        <v>3814.0</v>
      </c>
      <c r="J15" s="44">
        <v>3976.0</v>
      </c>
      <c r="K15" s="44">
        <v>3337.0</v>
      </c>
      <c r="L15" s="44">
        <f t="shared" si="1"/>
        <v>83595</v>
      </c>
    </row>
    <row r="16">
      <c r="A16" s="44">
        <v>12.0</v>
      </c>
      <c r="B16" s="44" t="s">
        <v>30</v>
      </c>
      <c r="C16" s="44">
        <v>0.0</v>
      </c>
      <c r="D16" s="44">
        <v>0.0</v>
      </c>
      <c r="E16" s="44">
        <v>2.0</v>
      </c>
      <c r="F16" s="44">
        <v>2.0</v>
      </c>
      <c r="G16" s="44">
        <v>2.0</v>
      </c>
      <c r="H16" s="44">
        <v>0.0</v>
      </c>
      <c r="I16" s="44">
        <v>0.0</v>
      </c>
      <c r="J16" s="44">
        <v>0.0</v>
      </c>
      <c r="K16" s="44">
        <v>0.0</v>
      </c>
      <c r="L16" s="44">
        <f t="shared" si="1"/>
        <v>6</v>
      </c>
    </row>
    <row r="17">
      <c r="A17" s="44">
        <v>13.0</v>
      </c>
      <c r="B17" s="44" t="s">
        <v>31</v>
      </c>
      <c r="C17" s="44">
        <v>66359.0</v>
      </c>
      <c r="D17" s="44">
        <v>80451.0</v>
      </c>
      <c r="E17" s="44">
        <v>82507.0</v>
      </c>
      <c r="F17" s="44">
        <v>84047.0</v>
      </c>
      <c r="G17" s="44">
        <v>89279.0</v>
      </c>
      <c r="H17" s="44">
        <v>114264.0</v>
      </c>
      <c r="I17" s="44">
        <v>108923.0</v>
      </c>
      <c r="J17" s="44">
        <v>131028.0</v>
      </c>
      <c r="K17" s="44">
        <v>112003.0</v>
      </c>
      <c r="L17" s="44">
        <f t="shared" si="1"/>
        <v>868861</v>
      </c>
    </row>
    <row r="18">
      <c r="A18" s="44">
        <v>14.0</v>
      </c>
      <c r="B18" s="44" t="s">
        <v>33</v>
      </c>
      <c r="C18" s="44">
        <v>1.8138477E7</v>
      </c>
      <c r="D18" s="44">
        <v>1.7185926E7</v>
      </c>
      <c r="E18" s="44">
        <v>1.5888229E7</v>
      </c>
      <c r="F18" s="44">
        <v>1.5982228E7</v>
      </c>
      <c r="G18" s="44">
        <v>2.029547E7</v>
      </c>
      <c r="H18" s="44">
        <v>2.1301973E7</v>
      </c>
      <c r="I18" s="44">
        <v>1.9731563E7</v>
      </c>
      <c r="J18" s="44">
        <v>1.7936356E7</v>
      </c>
      <c r="K18" s="44">
        <v>1.6470818E7</v>
      </c>
      <c r="L18" s="44">
        <f t="shared" si="1"/>
        <v>162931040</v>
      </c>
    </row>
    <row r="19">
      <c r="A19" s="44">
        <v>15.0</v>
      </c>
      <c r="B19" s="44" t="s">
        <v>40</v>
      </c>
      <c r="C19" s="44">
        <v>536677.0</v>
      </c>
      <c r="D19" s="44">
        <v>425922.0</v>
      </c>
      <c r="E19" s="44">
        <v>270806.0</v>
      </c>
      <c r="F19" s="44">
        <v>233511.0</v>
      </c>
      <c r="G19" s="44">
        <v>416682.0</v>
      </c>
      <c r="H19" s="44">
        <v>459314.0</v>
      </c>
      <c r="I19" s="44">
        <v>342522.0</v>
      </c>
      <c r="J19" s="44">
        <v>334236.0</v>
      </c>
      <c r="K19" s="44">
        <v>259702.0</v>
      </c>
      <c r="L19" s="44">
        <f t="shared" si="1"/>
        <v>3279372</v>
      </c>
    </row>
    <row r="20">
      <c r="A20" s="44">
        <v>16.0</v>
      </c>
      <c r="B20" s="44" t="s">
        <v>47</v>
      </c>
      <c r="C20" s="44">
        <v>379865.0</v>
      </c>
      <c r="D20" s="44">
        <v>1.0</v>
      </c>
      <c r="E20" s="44">
        <v>0.0</v>
      </c>
      <c r="F20" s="44">
        <v>4.0</v>
      </c>
      <c r="G20" s="44">
        <v>2.0</v>
      </c>
      <c r="H20" s="44">
        <v>1.0</v>
      </c>
      <c r="I20" s="44">
        <v>2.0</v>
      </c>
      <c r="J20" s="44">
        <v>1.0</v>
      </c>
      <c r="K20" s="44">
        <v>4.0</v>
      </c>
      <c r="L20" s="44">
        <f t="shared" si="1"/>
        <v>379880</v>
      </c>
    </row>
    <row r="21">
      <c r="A21" s="45">
        <v>17.0</v>
      </c>
      <c r="B21" s="45" t="s">
        <v>50</v>
      </c>
      <c r="C21" s="45">
        <v>331515.0</v>
      </c>
      <c r="D21" s="45">
        <v>192591.0</v>
      </c>
      <c r="E21" s="45">
        <v>125963.0</v>
      </c>
      <c r="F21" s="45">
        <v>86363.0</v>
      </c>
      <c r="G21" s="45">
        <v>76289.0</v>
      </c>
      <c r="H21" s="45">
        <v>11758.0</v>
      </c>
      <c r="I21" s="45">
        <v>707.0</v>
      </c>
      <c r="J21" s="45">
        <v>528.0</v>
      </c>
      <c r="K21" s="45">
        <v>92.0</v>
      </c>
      <c r="L21" s="45">
        <f t="shared" si="1"/>
        <v>825806</v>
      </c>
    </row>
    <row r="22">
      <c r="A22" s="44">
        <v>18.0</v>
      </c>
      <c r="B22" s="44" t="s">
        <v>55</v>
      </c>
      <c r="C22" s="44">
        <v>4693.0</v>
      </c>
      <c r="D22" s="44">
        <v>11544.0</v>
      </c>
      <c r="E22" s="44">
        <v>19833.0</v>
      </c>
      <c r="F22" s="44">
        <v>39929.0</v>
      </c>
      <c r="G22" s="44">
        <v>108995.0</v>
      </c>
      <c r="H22" s="44">
        <v>123813.0</v>
      </c>
      <c r="I22" s="44">
        <v>87934.0</v>
      </c>
      <c r="J22" s="44">
        <v>82483.0</v>
      </c>
      <c r="K22" s="44">
        <v>69933.0</v>
      </c>
      <c r="L22" s="44">
        <f t="shared" si="1"/>
        <v>549157</v>
      </c>
    </row>
    <row r="23">
      <c r="A23" s="44">
        <v>19.0</v>
      </c>
      <c r="B23" s="44" t="s">
        <v>58</v>
      </c>
      <c r="C23" s="44">
        <v>0.0</v>
      </c>
      <c r="D23" s="44">
        <v>0.0</v>
      </c>
      <c r="E23" s="44">
        <v>1.0</v>
      </c>
      <c r="F23" s="44">
        <v>0.0</v>
      </c>
      <c r="G23" s="44">
        <v>1.0</v>
      </c>
      <c r="H23" s="44">
        <v>64.0</v>
      </c>
      <c r="I23" s="44">
        <v>140.0</v>
      </c>
      <c r="J23" s="44">
        <v>236.0</v>
      </c>
      <c r="K23" s="44">
        <v>203.0</v>
      </c>
      <c r="L23" s="44">
        <f t="shared" si="1"/>
        <v>645</v>
      </c>
    </row>
    <row r="24">
      <c r="A24" s="45">
        <v>20.0</v>
      </c>
      <c r="B24" s="45" t="s">
        <v>59</v>
      </c>
      <c r="C24" s="45">
        <v>1.0</v>
      </c>
      <c r="D24" s="45">
        <v>0.0</v>
      </c>
      <c r="E24" s="45">
        <v>0.0</v>
      </c>
      <c r="F24" s="45">
        <v>0.0</v>
      </c>
      <c r="G24" s="45">
        <v>0.0</v>
      </c>
      <c r="H24" s="45">
        <v>0.0</v>
      </c>
      <c r="I24" s="45">
        <v>0.0</v>
      </c>
      <c r="J24" s="45">
        <v>0.0</v>
      </c>
      <c r="K24" s="45">
        <v>0.0</v>
      </c>
      <c r="L24" s="45">
        <f t="shared" si="1"/>
        <v>1</v>
      </c>
    </row>
    <row r="25">
      <c r="A25" s="46">
        <v>21.0</v>
      </c>
      <c r="B25" s="46" t="s">
        <v>3</v>
      </c>
      <c r="C25" s="47">
        <f t="shared" ref="C25:L25" si="3">SUM(C5:C24)</f>
        <v>24008812</v>
      </c>
      <c r="D25" s="47">
        <f t="shared" si="3"/>
        <v>21579643</v>
      </c>
      <c r="E25" s="47">
        <f t="shared" si="3"/>
        <v>18912325</v>
      </c>
      <c r="F25" s="47">
        <f t="shared" si="3"/>
        <v>18631838</v>
      </c>
      <c r="G25" s="47">
        <f t="shared" si="3"/>
        <v>24154873</v>
      </c>
      <c r="H25" s="47">
        <f t="shared" si="3"/>
        <v>25418970</v>
      </c>
      <c r="I25" s="47">
        <f t="shared" si="3"/>
        <v>23303056</v>
      </c>
      <c r="J25" s="47">
        <f t="shared" si="3"/>
        <v>21332111</v>
      </c>
      <c r="K25" s="47">
        <f t="shared" si="3"/>
        <v>19676326</v>
      </c>
      <c r="L25" s="47">
        <f t="shared" si="3"/>
        <v>197017954</v>
      </c>
    </row>
    <row r="27">
      <c r="B27" s="42" t="s">
        <v>2</v>
      </c>
      <c r="C27" s="42">
        <v>2023.0</v>
      </c>
      <c r="D27" s="42">
        <v>2022.0</v>
      </c>
      <c r="E27" s="42">
        <v>2021.0</v>
      </c>
      <c r="F27" s="42">
        <v>2020.0</v>
      </c>
      <c r="G27" s="42">
        <v>2019.0</v>
      </c>
      <c r="H27" s="43">
        <v>2018.0</v>
      </c>
      <c r="I27" s="43">
        <v>2017.0</v>
      </c>
      <c r="J27" s="43">
        <v>2016.0</v>
      </c>
      <c r="K27" s="43">
        <v>2015.0</v>
      </c>
      <c r="L27" s="43" t="s">
        <v>121</v>
      </c>
    </row>
    <row r="28">
      <c r="B28" s="48" t="s">
        <v>100</v>
      </c>
      <c r="C28" s="49">
        <f t="shared" ref="C28:L28" si="4">C11+C24+C7+C21</f>
        <v>1866322</v>
      </c>
      <c r="D28" s="49">
        <f t="shared" si="4"/>
        <v>1218331</v>
      </c>
      <c r="E28" s="49">
        <f t="shared" si="4"/>
        <v>457574</v>
      </c>
      <c r="F28" s="49">
        <f t="shared" si="4"/>
        <v>213951</v>
      </c>
      <c r="G28" s="49">
        <f t="shared" si="4"/>
        <v>282274</v>
      </c>
      <c r="H28" s="49">
        <f t="shared" si="4"/>
        <v>201546</v>
      </c>
      <c r="I28" s="49">
        <f t="shared" si="4"/>
        <v>136579</v>
      </c>
      <c r="J28" s="49">
        <f t="shared" si="4"/>
        <v>61707</v>
      </c>
      <c r="K28" s="49">
        <f t="shared" si="4"/>
        <v>8390</v>
      </c>
      <c r="L28" s="49">
        <f t="shared" si="4"/>
        <v>4446674</v>
      </c>
    </row>
    <row r="29">
      <c r="B29" s="48" t="s">
        <v>101</v>
      </c>
      <c r="C29" s="49">
        <f t="shared" ref="C29:L29" si="5">C25-C28</f>
        <v>22142490</v>
      </c>
      <c r="D29" s="49">
        <f t="shared" si="5"/>
        <v>20361312</v>
      </c>
      <c r="E29" s="49">
        <f t="shared" si="5"/>
        <v>18454751</v>
      </c>
      <c r="F29" s="49">
        <f t="shared" si="5"/>
        <v>18417887</v>
      </c>
      <c r="G29" s="49">
        <f t="shared" si="5"/>
        <v>23872599</v>
      </c>
      <c r="H29" s="49">
        <f t="shared" si="5"/>
        <v>25217424</v>
      </c>
      <c r="I29" s="49">
        <f t="shared" si="5"/>
        <v>23166477</v>
      </c>
      <c r="J29" s="49">
        <f t="shared" si="5"/>
        <v>21270404</v>
      </c>
      <c r="K29" s="49">
        <f t="shared" si="5"/>
        <v>19667936</v>
      </c>
      <c r="L29" s="49">
        <f t="shared" si="5"/>
        <v>192571280</v>
      </c>
    </row>
    <row r="33">
      <c r="A33" s="1" t="s">
        <v>122</v>
      </c>
    </row>
    <row r="35">
      <c r="A35" s="42" t="s">
        <v>1</v>
      </c>
      <c r="B35" s="42" t="s">
        <v>2</v>
      </c>
      <c r="C35" s="2" t="s">
        <v>88</v>
      </c>
      <c r="D35" s="2" t="s">
        <v>89</v>
      </c>
      <c r="E35" s="2" t="s">
        <v>90</v>
      </c>
      <c r="F35" s="2" t="s">
        <v>91</v>
      </c>
      <c r="G35" s="2" t="s">
        <v>92</v>
      </c>
      <c r="H35" s="2" t="s">
        <v>93</v>
      </c>
      <c r="I35" s="2" t="s">
        <v>94</v>
      </c>
      <c r="J35" s="2" t="s">
        <v>95</v>
      </c>
      <c r="K35" s="2" t="s">
        <v>96</v>
      </c>
      <c r="L35" s="43" t="s">
        <v>121</v>
      </c>
    </row>
    <row r="36">
      <c r="A36" s="50">
        <v>1.0</v>
      </c>
      <c r="B36" s="50" t="s">
        <v>4</v>
      </c>
      <c r="C36" s="51">
        <v>39519.0</v>
      </c>
      <c r="D36" s="51">
        <v>37380.0</v>
      </c>
      <c r="E36" s="51">
        <v>36307.0</v>
      </c>
      <c r="F36" s="51">
        <v>32891.0</v>
      </c>
      <c r="G36" s="51">
        <v>37094.0</v>
      </c>
      <c r="H36" s="51">
        <v>35421.0</v>
      </c>
      <c r="I36" s="51">
        <v>39439.0</v>
      </c>
      <c r="J36" s="51">
        <v>41509.0</v>
      </c>
      <c r="K36" s="52">
        <v>165.0</v>
      </c>
      <c r="L36" s="52">
        <v>299725.0</v>
      </c>
    </row>
    <row r="37">
      <c r="A37" s="50">
        <v>2.0</v>
      </c>
      <c r="B37" s="50" t="s">
        <v>9</v>
      </c>
      <c r="C37" s="52">
        <v>246243.0</v>
      </c>
      <c r="D37" s="52">
        <v>230119.0</v>
      </c>
      <c r="E37" s="52">
        <v>231335.0</v>
      </c>
      <c r="F37" s="52">
        <v>209361.0</v>
      </c>
      <c r="G37" s="52">
        <v>208799.0</v>
      </c>
      <c r="H37" s="52">
        <v>197340.0</v>
      </c>
      <c r="I37" s="52">
        <v>220490.0</v>
      </c>
      <c r="J37" s="52">
        <v>195142.0</v>
      </c>
      <c r="K37" s="51">
        <v>1026.0</v>
      </c>
      <c r="L37" s="52">
        <v>1739855.0</v>
      </c>
    </row>
    <row r="38">
      <c r="A38" s="53">
        <v>3.0</v>
      </c>
      <c r="B38" s="53" t="s">
        <v>16</v>
      </c>
      <c r="C38" s="54">
        <v>441.0</v>
      </c>
      <c r="D38" s="54">
        <v>401.0</v>
      </c>
      <c r="E38" s="54">
        <v>578.0</v>
      </c>
      <c r="F38" s="54">
        <v>627.0</v>
      </c>
      <c r="G38" s="54">
        <v>460.0</v>
      </c>
      <c r="H38" s="54">
        <v>343.0</v>
      </c>
      <c r="I38" s="54">
        <v>367.0</v>
      </c>
      <c r="J38" s="54">
        <v>312.0</v>
      </c>
      <c r="K38" s="54">
        <v>0.0</v>
      </c>
      <c r="L38" s="55">
        <v>3529.0</v>
      </c>
    </row>
    <row r="39">
      <c r="A39" s="50">
        <v>4.0</v>
      </c>
      <c r="B39" s="50" t="s">
        <v>19</v>
      </c>
      <c r="C39" s="52">
        <v>0.0</v>
      </c>
      <c r="D39" s="52">
        <v>0.0</v>
      </c>
      <c r="E39" s="52">
        <v>0.0</v>
      </c>
      <c r="F39" s="52">
        <v>0.0</v>
      </c>
      <c r="G39" s="52">
        <v>20.0</v>
      </c>
      <c r="H39" s="52">
        <v>1.0</v>
      </c>
      <c r="I39" s="52">
        <v>0.0</v>
      </c>
      <c r="J39" s="52">
        <v>0.0</v>
      </c>
      <c r="K39" s="52">
        <v>0.0</v>
      </c>
      <c r="L39" s="52">
        <v>21.0</v>
      </c>
    </row>
    <row r="40">
      <c r="A40" s="53">
        <v>5.0</v>
      </c>
      <c r="B40" s="53" t="s">
        <v>20</v>
      </c>
      <c r="C40" s="54">
        <v>145052.0</v>
      </c>
      <c r="D40" s="54">
        <v>141748.0</v>
      </c>
      <c r="E40" s="54">
        <v>209822.0</v>
      </c>
      <c r="F40" s="54">
        <v>113357.0</v>
      </c>
      <c r="G40" s="54">
        <v>123906.0</v>
      </c>
      <c r="H40" s="54">
        <v>109406.0</v>
      </c>
      <c r="I40" s="54">
        <v>128474.0</v>
      </c>
      <c r="J40" s="54">
        <v>106511.0</v>
      </c>
      <c r="K40" s="54">
        <v>851.0</v>
      </c>
      <c r="L40" s="54">
        <v>1079127.0</v>
      </c>
    </row>
    <row r="41">
      <c r="A41" s="50">
        <v>6.0</v>
      </c>
      <c r="B41" s="50" t="s">
        <v>69</v>
      </c>
      <c r="C41" s="52">
        <v>0.0</v>
      </c>
      <c r="D41" s="52">
        <v>0.0</v>
      </c>
      <c r="E41" s="52">
        <v>1.0</v>
      </c>
      <c r="F41" s="52">
        <v>6.0</v>
      </c>
      <c r="G41" s="52">
        <v>4.0</v>
      </c>
      <c r="H41" s="52">
        <v>0.0</v>
      </c>
      <c r="I41" s="52">
        <v>2.0</v>
      </c>
      <c r="J41" s="52">
        <v>0.0</v>
      </c>
      <c r="K41" s="52">
        <v>0.0</v>
      </c>
      <c r="L41" s="52">
        <v>13.0</v>
      </c>
    </row>
    <row r="42">
      <c r="A42" s="50">
        <v>7.0</v>
      </c>
      <c r="B42" s="50" t="s">
        <v>28</v>
      </c>
      <c r="C42" s="52">
        <v>0.0</v>
      </c>
      <c r="D42" s="52">
        <v>38.0</v>
      </c>
      <c r="E42" s="52">
        <v>41.0</v>
      </c>
      <c r="F42" s="52">
        <v>42.0</v>
      </c>
      <c r="G42" s="52">
        <v>45.0</v>
      </c>
      <c r="H42" s="52">
        <v>39.0</v>
      </c>
      <c r="I42" s="52">
        <v>16.0</v>
      </c>
      <c r="J42" s="52">
        <v>29.0</v>
      </c>
      <c r="K42" s="52">
        <v>0.0</v>
      </c>
      <c r="L42" s="52">
        <v>250.0</v>
      </c>
    </row>
    <row r="43">
      <c r="A43" s="50">
        <v>8.0</v>
      </c>
      <c r="B43" s="50" t="s">
        <v>29</v>
      </c>
      <c r="C43" s="51">
        <v>2555.0</v>
      </c>
      <c r="D43" s="51">
        <v>2654.0</v>
      </c>
      <c r="E43" s="51">
        <v>2734.0</v>
      </c>
      <c r="F43" s="51">
        <v>2115.0</v>
      </c>
      <c r="G43" s="51">
        <v>2453.0</v>
      </c>
      <c r="H43" s="51">
        <v>2476.0</v>
      </c>
      <c r="I43" s="51">
        <v>2964.0</v>
      </c>
      <c r="J43" s="51">
        <v>3348.0</v>
      </c>
      <c r="K43" s="52">
        <v>5.0</v>
      </c>
      <c r="L43" s="51">
        <v>21304.0</v>
      </c>
    </row>
    <row r="44">
      <c r="A44" s="50">
        <v>9.0</v>
      </c>
      <c r="B44" s="50" t="s">
        <v>31</v>
      </c>
      <c r="C44" s="51">
        <v>6085.0</v>
      </c>
      <c r="D44" s="51">
        <v>6293.0</v>
      </c>
      <c r="E44" s="51">
        <v>5684.0</v>
      </c>
      <c r="F44" s="51">
        <v>4767.0</v>
      </c>
      <c r="G44" s="51">
        <v>4798.0</v>
      </c>
      <c r="H44" s="51">
        <v>4265.0</v>
      </c>
      <c r="I44" s="51">
        <v>4144.0</v>
      </c>
      <c r="J44" s="51">
        <v>3648.0</v>
      </c>
      <c r="K44" s="52">
        <v>1.0</v>
      </c>
      <c r="L44" s="51">
        <v>39685.0</v>
      </c>
    </row>
    <row r="45">
      <c r="A45" s="50">
        <v>10.0</v>
      </c>
      <c r="B45" s="50" t="s">
        <v>33</v>
      </c>
      <c r="C45" s="52">
        <v>1560265.0</v>
      </c>
      <c r="D45" s="52">
        <v>1500217.0</v>
      </c>
      <c r="E45" s="52">
        <v>1525588.0</v>
      </c>
      <c r="F45" s="52">
        <v>1718915.0</v>
      </c>
      <c r="G45" s="52">
        <v>1577469.0</v>
      </c>
      <c r="H45" s="52">
        <v>1408236.0</v>
      </c>
      <c r="I45" s="52">
        <v>1463536.0</v>
      </c>
      <c r="J45" s="52">
        <v>1359640.0</v>
      </c>
      <c r="K45" s="51">
        <v>11442.0</v>
      </c>
      <c r="L45" s="52">
        <v>1.2125308E7</v>
      </c>
    </row>
    <row r="46">
      <c r="A46" s="50">
        <v>11.0</v>
      </c>
      <c r="B46" s="50" t="s">
        <v>40</v>
      </c>
      <c r="C46" s="51">
        <v>67522.0</v>
      </c>
      <c r="D46" s="51">
        <v>51699.0</v>
      </c>
      <c r="E46" s="51">
        <v>51772.0</v>
      </c>
      <c r="F46" s="51">
        <v>57822.0</v>
      </c>
      <c r="G46" s="51">
        <v>56368.0</v>
      </c>
      <c r="H46" s="51">
        <v>51460.0</v>
      </c>
      <c r="I46" s="51">
        <v>58714.0</v>
      </c>
      <c r="J46" s="51">
        <v>57077.0</v>
      </c>
      <c r="K46" s="52">
        <v>239.0</v>
      </c>
      <c r="L46" s="52">
        <v>452673.0</v>
      </c>
    </row>
    <row r="47">
      <c r="A47" s="50">
        <v>12.0</v>
      </c>
      <c r="B47" s="50" t="s">
        <v>47</v>
      </c>
      <c r="C47" s="51">
        <v>57164.0</v>
      </c>
      <c r="D47" s="51">
        <v>52607.0</v>
      </c>
      <c r="E47" s="51">
        <v>52071.0</v>
      </c>
      <c r="F47" s="51">
        <v>55666.0</v>
      </c>
      <c r="G47" s="51">
        <v>54335.0</v>
      </c>
      <c r="H47" s="51">
        <v>49980.0</v>
      </c>
      <c r="I47" s="51">
        <v>54520.0</v>
      </c>
      <c r="J47" s="51">
        <v>51800.0</v>
      </c>
      <c r="K47" s="52">
        <v>342.0</v>
      </c>
      <c r="L47" s="52">
        <v>428485.0</v>
      </c>
    </row>
    <row r="48">
      <c r="A48" s="53">
        <v>13.0</v>
      </c>
      <c r="B48" s="53" t="s">
        <v>50</v>
      </c>
      <c r="C48" s="55">
        <v>31323.0</v>
      </c>
      <c r="D48" s="55">
        <v>30524.0</v>
      </c>
      <c r="E48" s="55">
        <v>27233.0</v>
      </c>
      <c r="F48" s="55">
        <v>26812.0</v>
      </c>
      <c r="G48" s="55">
        <v>23138.0</v>
      </c>
      <c r="H48" s="55">
        <v>20638.0</v>
      </c>
      <c r="I48" s="55">
        <v>22246.0</v>
      </c>
      <c r="J48" s="55">
        <v>20350.0</v>
      </c>
      <c r="K48" s="54">
        <v>86.0</v>
      </c>
      <c r="L48" s="54">
        <v>202350.0</v>
      </c>
    </row>
    <row r="49">
      <c r="A49" s="50">
        <v>14.0</v>
      </c>
      <c r="B49" s="50" t="s">
        <v>55</v>
      </c>
      <c r="C49" s="52">
        <v>206.0</v>
      </c>
      <c r="D49" s="52">
        <v>139.0</v>
      </c>
      <c r="E49" s="52">
        <v>157.0</v>
      </c>
      <c r="F49" s="52">
        <v>174.0</v>
      </c>
      <c r="G49" s="52">
        <v>156.0</v>
      </c>
      <c r="H49" s="52">
        <v>159.0</v>
      </c>
      <c r="I49" s="52">
        <v>110.0</v>
      </c>
      <c r="J49" s="52">
        <v>13.0</v>
      </c>
      <c r="K49" s="52">
        <v>0.0</v>
      </c>
      <c r="L49" s="51">
        <v>1114.0</v>
      </c>
    </row>
    <row r="50">
      <c r="A50" s="53">
        <v>15.0</v>
      </c>
      <c r="B50" s="53" t="s">
        <v>98</v>
      </c>
      <c r="C50" s="54">
        <v>0.0</v>
      </c>
      <c r="D50" s="54">
        <v>0.0</v>
      </c>
      <c r="E50" s="54">
        <v>0.0</v>
      </c>
      <c r="F50" s="54">
        <v>0.0</v>
      </c>
      <c r="G50" s="54">
        <v>1.0</v>
      </c>
      <c r="H50" s="54">
        <v>0.0</v>
      </c>
      <c r="I50" s="54">
        <v>2.0</v>
      </c>
      <c r="J50" s="54">
        <v>0.0</v>
      </c>
      <c r="K50" s="54">
        <v>0.0</v>
      </c>
      <c r="L50" s="54">
        <v>3.0</v>
      </c>
    </row>
    <row r="51">
      <c r="A51" s="53">
        <v>16.0</v>
      </c>
      <c r="B51" s="53" t="s">
        <v>99</v>
      </c>
      <c r="C51" s="54">
        <v>0.0</v>
      </c>
      <c r="D51" s="54">
        <v>0.0</v>
      </c>
      <c r="E51" s="55">
        <v>3225.0</v>
      </c>
      <c r="F51" s="55">
        <v>2515.0</v>
      </c>
      <c r="G51" s="55">
        <v>16706.0</v>
      </c>
      <c r="H51" s="55">
        <v>30651.0</v>
      </c>
      <c r="I51" s="55">
        <v>51415.0</v>
      </c>
      <c r="J51" s="55">
        <v>49716.0</v>
      </c>
      <c r="K51" s="54">
        <v>376.0</v>
      </c>
      <c r="L51" s="54">
        <v>154604.0</v>
      </c>
      <c r="M51" s="1" t="s">
        <v>123</v>
      </c>
    </row>
    <row r="52">
      <c r="A52" s="50">
        <v>17.0</v>
      </c>
      <c r="B52" s="50" t="s">
        <v>58</v>
      </c>
      <c r="C52" s="52">
        <v>0.0</v>
      </c>
      <c r="D52" s="52">
        <v>1.0</v>
      </c>
      <c r="E52" s="52">
        <v>0.0</v>
      </c>
      <c r="F52" s="52">
        <v>0.0</v>
      </c>
      <c r="G52" s="52">
        <v>0.0</v>
      </c>
      <c r="H52" s="52">
        <v>0.0</v>
      </c>
      <c r="I52" s="52">
        <v>0.0</v>
      </c>
      <c r="J52" s="52">
        <v>0.0</v>
      </c>
      <c r="K52" s="52">
        <v>0.0</v>
      </c>
      <c r="L52" s="52">
        <v>1.0</v>
      </c>
    </row>
    <row r="53">
      <c r="A53" s="53">
        <v>18.0</v>
      </c>
      <c r="B53" s="53" t="s">
        <v>59</v>
      </c>
      <c r="C53" s="54">
        <v>0.0</v>
      </c>
      <c r="D53" s="54">
        <v>1.0</v>
      </c>
      <c r="E53" s="55">
        <v>1697.0</v>
      </c>
      <c r="F53" s="55">
        <v>3077.0</v>
      </c>
      <c r="G53" s="55">
        <v>3492.0</v>
      </c>
      <c r="H53" s="55">
        <v>4191.0</v>
      </c>
      <c r="I53" s="55">
        <v>6791.0</v>
      </c>
      <c r="J53" s="55">
        <v>7023.0</v>
      </c>
      <c r="K53" s="54">
        <v>40.0</v>
      </c>
      <c r="L53" s="55">
        <v>26312.0</v>
      </c>
      <c r="M53" s="1" t="s">
        <v>124</v>
      </c>
    </row>
    <row r="54">
      <c r="A54" s="56">
        <v>19.0</v>
      </c>
      <c r="B54" s="57" t="s">
        <v>3</v>
      </c>
      <c r="C54" s="58">
        <f t="shared" ref="C54:L54" si="6">SUM(C36:C53)</f>
        <v>2156375</v>
      </c>
      <c r="D54" s="58">
        <f t="shared" si="6"/>
        <v>2053821</v>
      </c>
      <c r="E54" s="58">
        <f t="shared" si="6"/>
        <v>2148245</v>
      </c>
      <c r="F54" s="58">
        <f t="shared" si="6"/>
        <v>2228147</v>
      </c>
      <c r="G54" s="58">
        <f t="shared" si="6"/>
        <v>2109244</v>
      </c>
      <c r="H54" s="58">
        <f t="shared" si="6"/>
        <v>1914606</v>
      </c>
      <c r="I54" s="58">
        <f t="shared" si="6"/>
        <v>2053230</v>
      </c>
      <c r="J54" s="58">
        <f t="shared" si="6"/>
        <v>1896118</v>
      </c>
      <c r="K54" s="59">
        <f t="shared" si="6"/>
        <v>14573</v>
      </c>
      <c r="L54" s="59">
        <f t="shared" si="6"/>
        <v>16574359</v>
      </c>
    </row>
    <row r="56">
      <c r="B56" s="48" t="s">
        <v>100</v>
      </c>
      <c r="C56" s="49">
        <f t="shared" ref="C56:L56" si="7">SUM(C38,C40,C48,C50,C51,C53)</f>
        <v>176816</v>
      </c>
      <c r="D56" s="49">
        <f t="shared" si="7"/>
        <v>172674</v>
      </c>
      <c r="E56" s="49">
        <f t="shared" si="7"/>
        <v>242555</v>
      </c>
      <c r="F56" s="49">
        <f t="shared" si="7"/>
        <v>146388</v>
      </c>
      <c r="G56" s="49">
        <f t="shared" si="7"/>
        <v>167703</v>
      </c>
      <c r="H56" s="49">
        <f t="shared" si="7"/>
        <v>165229</v>
      </c>
      <c r="I56" s="49">
        <f t="shared" si="7"/>
        <v>209295</v>
      </c>
      <c r="J56" s="49">
        <f t="shared" si="7"/>
        <v>183912</v>
      </c>
      <c r="K56" s="49">
        <f t="shared" si="7"/>
        <v>1353</v>
      </c>
      <c r="L56" s="38">
        <f t="shared" si="7"/>
        <v>1465925</v>
      </c>
    </row>
    <row r="57">
      <c r="B57" s="48" t="s">
        <v>101</v>
      </c>
      <c r="C57" s="38">
        <f t="shared" ref="C57:L57" si="8">C54-C56</f>
        <v>1979559</v>
      </c>
      <c r="D57" s="38">
        <f t="shared" si="8"/>
        <v>1881147</v>
      </c>
      <c r="E57" s="38">
        <f t="shared" si="8"/>
        <v>1905690</v>
      </c>
      <c r="F57" s="38">
        <f t="shared" si="8"/>
        <v>2081759</v>
      </c>
      <c r="G57" s="38">
        <f t="shared" si="8"/>
        <v>1941541</v>
      </c>
      <c r="H57" s="38">
        <f t="shared" si="8"/>
        <v>1749377</v>
      </c>
      <c r="I57" s="38">
        <f t="shared" si="8"/>
        <v>1843935</v>
      </c>
      <c r="J57" s="38">
        <f t="shared" si="8"/>
        <v>1712206</v>
      </c>
      <c r="K57" s="49">
        <f t="shared" si="8"/>
        <v>13220</v>
      </c>
      <c r="L57" s="38">
        <f t="shared" si="8"/>
        <v>15108434</v>
      </c>
    </row>
  </sheetData>
  <mergeCells count="2">
    <mergeCell ref="A1:C1"/>
    <mergeCell ref="A33:B33"/>
  </mergeCells>
  <hyperlinks>
    <hyperlink r:id="rId1" ref="B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4" max="4" width="16.75"/>
    <col customWidth="1" min="6" max="7" width="16.25"/>
    <col customWidth="1" min="8" max="8" width="25.13"/>
  </cols>
  <sheetData>
    <row r="1">
      <c r="B1" s="42" t="s">
        <v>1</v>
      </c>
      <c r="C1" s="42" t="s">
        <v>2</v>
      </c>
      <c r="D1" s="42">
        <v>2023.0</v>
      </c>
      <c r="E1" s="42">
        <v>2022.0</v>
      </c>
      <c r="F1" s="42">
        <v>2021.0</v>
      </c>
      <c r="G1" s="42">
        <v>2020.0</v>
      </c>
      <c r="H1" s="42">
        <v>2019.0</v>
      </c>
      <c r="I1" s="43">
        <v>2018.0</v>
      </c>
      <c r="J1" s="43">
        <v>2017.0</v>
      </c>
      <c r="K1" s="43">
        <v>2016.0</v>
      </c>
      <c r="L1" s="43">
        <v>2015.0</v>
      </c>
      <c r="M1" s="43" t="s">
        <v>121</v>
      </c>
    </row>
    <row r="2">
      <c r="B2" s="44">
        <v>1.0</v>
      </c>
      <c r="C2" s="44" t="s">
        <v>4</v>
      </c>
      <c r="D2" s="44">
        <v>421145.0</v>
      </c>
      <c r="E2" s="44">
        <v>297430.0</v>
      </c>
      <c r="F2" s="44">
        <v>166328.0</v>
      </c>
      <c r="G2" s="44">
        <v>43227.0</v>
      </c>
      <c r="H2" s="44">
        <v>33459.0</v>
      </c>
      <c r="I2" s="44">
        <v>31429.0</v>
      </c>
      <c r="J2" s="44">
        <v>26150.0</v>
      </c>
      <c r="K2" s="44">
        <v>29888.0</v>
      </c>
      <c r="L2" s="44">
        <v>26225.0</v>
      </c>
      <c r="M2" s="44">
        <f t="shared" ref="M2:M10" si="1">SUM(D2:L2)</f>
        <v>1075281</v>
      </c>
    </row>
    <row r="3">
      <c r="B3" s="44">
        <v>2.0</v>
      </c>
      <c r="C3" s="44" t="s">
        <v>9</v>
      </c>
      <c r="D3" s="44">
        <v>2568218.0</v>
      </c>
      <c r="E3" s="44">
        <v>2345606.0</v>
      </c>
      <c r="F3" s="44">
        <v>2013620.0</v>
      </c>
      <c r="G3" s="44">
        <v>2025020.0</v>
      </c>
      <c r="H3" s="44">
        <v>2924814.0</v>
      </c>
      <c r="I3" s="44">
        <v>3182474.0</v>
      </c>
      <c r="J3" s="44">
        <v>2865401.0</v>
      </c>
      <c r="K3" s="44">
        <v>2752178.0</v>
      </c>
      <c r="L3" s="44">
        <v>2725704.0</v>
      </c>
      <c r="M3" s="44">
        <f t="shared" si="1"/>
        <v>23403035</v>
      </c>
    </row>
    <row r="4">
      <c r="B4" s="45">
        <v>3.0</v>
      </c>
      <c r="C4" s="45" t="s">
        <v>16</v>
      </c>
      <c r="D4" s="45">
        <v>2462.0</v>
      </c>
      <c r="E4" s="45">
        <v>737.0</v>
      </c>
      <c r="F4" s="45">
        <v>35.0</v>
      </c>
      <c r="G4" s="45">
        <v>2917.0</v>
      </c>
      <c r="H4" s="45">
        <v>39104.0</v>
      </c>
      <c r="I4" s="45">
        <v>59540.0</v>
      </c>
      <c r="J4" s="45">
        <v>48477.0</v>
      </c>
      <c r="K4" s="45">
        <v>11347.0</v>
      </c>
      <c r="L4" s="45">
        <v>502.0</v>
      </c>
      <c r="M4" s="45">
        <f t="shared" si="1"/>
        <v>165121</v>
      </c>
    </row>
    <row r="5">
      <c r="B5" s="45">
        <v>4.0</v>
      </c>
      <c r="C5" s="45" t="s">
        <v>20</v>
      </c>
      <c r="D5" s="45">
        <v>1532344.0</v>
      </c>
      <c r="E5" s="45">
        <v>1025003.0</v>
      </c>
      <c r="F5" s="45">
        <v>331576.0</v>
      </c>
      <c r="G5" s="45">
        <v>124671.0</v>
      </c>
      <c r="H5" s="45">
        <v>166881.0</v>
      </c>
      <c r="I5" s="45">
        <v>130248.0</v>
      </c>
      <c r="J5" s="45">
        <v>87395.0</v>
      </c>
      <c r="K5" s="45">
        <v>49832.0</v>
      </c>
      <c r="L5" s="45">
        <v>7796.0</v>
      </c>
      <c r="M5" s="45">
        <f t="shared" si="1"/>
        <v>3455746</v>
      </c>
    </row>
    <row r="6">
      <c r="B6" s="44">
        <v>5.0</v>
      </c>
      <c r="C6" s="44" t="s">
        <v>29</v>
      </c>
      <c r="D6" s="44">
        <v>26812.0</v>
      </c>
      <c r="E6" s="44">
        <v>14404.0</v>
      </c>
      <c r="F6" s="44">
        <v>13408.0</v>
      </c>
      <c r="G6" s="44">
        <v>9910.0</v>
      </c>
      <c r="H6" s="44">
        <v>3866.0</v>
      </c>
      <c r="I6" s="44">
        <v>4068.0</v>
      </c>
      <c r="J6" s="44">
        <v>3814.0</v>
      </c>
      <c r="K6" s="44">
        <v>3976.0</v>
      </c>
      <c r="L6" s="44">
        <v>3337.0</v>
      </c>
      <c r="M6" s="44">
        <f t="shared" si="1"/>
        <v>83595</v>
      </c>
    </row>
    <row r="7">
      <c r="B7" s="44">
        <v>6.0</v>
      </c>
      <c r="C7" s="44" t="s">
        <v>33</v>
      </c>
      <c r="D7" s="44">
        <v>1.8138477E7</v>
      </c>
      <c r="E7" s="44">
        <v>1.7185926E7</v>
      </c>
      <c r="F7" s="44">
        <v>1.5888229E7</v>
      </c>
      <c r="G7" s="44">
        <v>1.5982228E7</v>
      </c>
      <c r="H7" s="44">
        <v>2.029547E7</v>
      </c>
      <c r="I7" s="44">
        <v>2.1301973E7</v>
      </c>
      <c r="J7" s="44">
        <v>1.9731563E7</v>
      </c>
      <c r="K7" s="44">
        <v>1.7936356E7</v>
      </c>
      <c r="L7" s="44">
        <v>1.6470818E7</v>
      </c>
      <c r="M7" s="44">
        <f t="shared" si="1"/>
        <v>162931040</v>
      </c>
    </row>
    <row r="8">
      <c r="B8" s="44">
        <v>7.0</v>
      </c>
      <c r="C8" s="44" t="s">
        <v>40</v>
      </c>
      <c r="D8" s="44">
        <v>536677.0</v>
      </c>
      <c r="E8" s="44">
        <v>425922.0</v>
      </c>
      <c r="F8" s="44">
        <v>270806.0</v>
      </c>
      <c r="G8" s="44">
        <v>233511.0</v>
      </c>
      <c r="H8" s="44">
        <v>416682.0</v>
      </c>
      <c r="I8" s="44">
        <v>459314.0</v>
      </c>
      <c r="J8" s="44">
        <v>342522.0</v>
      </c>
      <c r="K8" s="44">
        <v>334236.0</v>
      </c>
      <c r="L8" s="44">
        <v>259702.0</v>
      </c>
      <c r="M8" s="44">
        <f t="shared" si="1"/>
        <v>3279372</v>
      </c>
    </row>
    <row r="9">
      <c r="B9" s="45">
        <v>8.0</v>
      </c>
      <c r="C9" s="45" t="s">
        <v>50</v>
      </c>
      <c r="D9" s="45">
        <v>331515.0</v>
      </c>
      <c r="E9" s="45">
        <v>192591.0</v>
      </c>
      <c r="F9" s="45">
        <v>125963.0</v>
      </c>
      <c r="G9" s="45">
        <v>86363.0</v>
      </c>
      <c r="H9" s="45">
        <v>76289.0</v>
      </c>
      <c r="I9" s="45">
        <v>11758.0</v>
      </c>
      <c r="J9" s="45">
        <v>707.0</v>
      </c>
      <c r="K9" s="45">
        <v>528.0</v>
      </c>
      <c r="L9" s="45">
        <v>92.0</v>
      </c>
      <c r="M9" s="45">
        <f t="shared" si="1"/>
        <v>825806</v>
      </c>
    </row>
    <row r="10">
      <c r="B10" s="44">
        <v>9.0</v>
      </c>
      <c r="C10" s="44" t="s">
        <v>55</v>
      </c>
      <c r="D10" s="44">
        <v>4693.0</v>
      </c>
      <c r="E10" s="44">
        <v>11544.0</v>
      </c>
      <c r="F10" s="44">
        <v>19833.0</v>
      </c>
      <c r="G10" s="44">
        <v>39929.0</v>
      </c>
      <c r="H10" s="44">
        <v>108995.0</v>
      </c>
      <c r="I10" s="44">
        <v>123813.0</v>
      </c>
      <c r="J10" s="44">
        <v>87934.0</v>
      </c>
      <c r="K10" s="44">
        <v>82483.0</v>
      </c>
      <c r="L10" s="44">
        <v>69933.0</v>
      </c>
      <c r="M10" s="44">
        <f t="shared" si="1"/>
        <v>549157</v>
      </c>
    </row>
    <row r="15">
      <c r="C15" s="60" t="s">
        <v>125</v>
      </c>
      <c r="M15" s="60"/>
      <c r="N15" s="60"/>
      <c r="O15" s="60"/>
      <c r="P15" s="60"/>
      <c r="Q15" s="60"/>
      <c r="R15" s="60"/>
      <c r="S15" s="60"/>
      <c r="T15" s="60"/>
    </row>
    <row r="17">
      <c r="B17" s="42" t="s">
        <v>126</v>
      </c>
      <c r="C17" s="61" t="s">
        <v>4</v>
      </c>
      <c r="D17" s="62" t="s">
        <v>127</v>
      </c>
      <c r="E17" s="63" t="s">
        <v>128</v>
      </c>
      <c r="F17" s="64"/>
      <c r="G17" s="64"/>
      <c r="H17" s="61" t="s">
        <v>129</v>
      </c>
      <c r="I17" s="64" t="s">
        <v>130</v>
      </c>
      <c r="J17" s="65" t="s">
        <v>128</v>
      </c>
      <c r="K17" s="64"/>
      <c r="L17" s="66" t="s">
        <v>16</v>
      </c>
      <c r="M17" s="62" t="s">
        <v>131</v>
      </c>
      <c r="N17" s="67" t="s">
        <v>128</v>
      </c>
      <c r="O17" s="64"/>
      <c r="P17" s="66" t="s">
        <v>20</v>
      </c>
      <c r="Q17" s="62" t="s">
        <v>132</v>
      </c>
      <c r="R17" s="67" t="s">
        <v>128</v>
      </c>
      <c r="S17" s="64"/>
      <c r="T17" s="61" t="s">
        <v>29</v>
      </c>
      <c r="U17" s="62" t="s">
        <v>133</v>
      </c>
      <c r="V17" s="67" t="s">
        <v>128</v>
      </c>
      <c r="W17" s="64"/>
      <c r="X17" s="61" t="s">
        <v>33</v>
      </c>
      <c r="Y17" s="62" t="s">
        <v>134</v>
      </c>
      <c r="Z17" s="68" t="s">
        <v>128</v>
      </c>
      <c r="AA17" s="64"/>
      <c r="AB17" s="61" t="s">
        <v>40</v>
      </c>
      <c r="AC17" s="69" t="s">
        <v>135</v>
      </c>
      <c r="AD17" s="68" t="s">
        <v>128</v>
      </c>
      <c r="AE17" s="64"/>
      <c r="AF17" s="66" t="s">
        <v>50</v>
      </c>
      <c r="AG17" s="69" t="s">
        <v>136</v>
      </c>
      <c r="AH17" s="68" t="s">
        <v>128</v>
      </c>
      <c r="AI17" s="64"/>
      <c r="AJ17" s="61" t="s">
        <v>55</v>
      </c>
      <c r="AK17" s="69" t="s">
        <v>137</v>
      </c>
      <c r="AL17" s="65" t="s">
        <v>128</v>
      </c>
    </row>
    <row r="18">
      <c r="B18" s="43">
        <v>2024.0</v>
      </c>
      <c r="C18" s="61"/>
      <c r="D18" s="70">
        <f>average(C19:C21)</f>
        <v>294967.6667</v>
      </c>
      <c r="E18" s="63"/>
      <c r="F18" s="64"/>
      <c r="G18" s="64"/>
      <c r="H18" s="61"/>
      <c r="I18" s="70">
        <f>average(H19:H21)</f>
        <v>2309148</v>
      </c>
      <c r="J18" s="65"/>
      <c r="K18" s="64"/>
      <c r="L18" s="66"/>
      <c r="M18" s="70">
        <f>average(L19:L21)</f>
        <v>1078</v>
      </c>
      <c r="N18" s="67"/>
      <c r="O18" s="64"/>
      <c r="P18" s="66"/>
      <c r="Q18" s="70">
        <f>average(P19:P21)</f>
        <v>962974.3333</v>
      </c>
      <c r="R18" s="67"/>
      <c r="S18" s="64"/>
      <c r="T18" s="61"/>
      <c r="U18" s="70">
        <f t="shared" ref="U18:U24" si="2">average(T19:T21)</f>
        <v>18208</v>
      </c>
      <c r="V18" s="67"/>
      <c r="W18" s="64"/>
      <c r="X18" s="61"/>
      <c r="Y18" s="70">
        <f t="shared" ref="Y18:Y24" si="3">average(X19:X21)</f>
        <v>17070877.33</v>
      </c>
      <c r="Z18" s="68"/>
      <c r="AA18" s="64"/>
      <c r="AB18" s="61"/>
      <c r="AC18" s="70">
        <f t="shared" ref="AC18:AC24" si="4">average(AB19:AB21)</f>
        <v>411135</v>
      </c>
      <c r="AD18" s="68"/>
      <c r="AE18" s="64"/>
      <c r="AF18" s="66"/>
      <c r="AG18" s="70">
        <f t="shared" ref="AG18:AG24" si="5">average(AF19:AF21)</f>
        <v>216689.6667</v>
      </c>
      <c r="AH18" s="68"/>
      <c r="AI18" s="64"/>
      <c r="AJ18" s="61"/>
      <c r="AK18" s="70">
        <f t="shared" ref="AK18:AK24" si="6">average(AJ19:AJ21)</f>
        <v>12023.33333</v>
      </c>
      <c r="AL18" s="65"/>
    </row>
    <row r="19">
      <c r="B19" s="42">
        <v>2023.0</v>
      </c>
      <c r="C19" s="44">
        <v>421145.0</v>
      </c>
      <c r="D19" s="70">
        <f t="shared" ref="D19:D24" si="7">AVERAGE(C20:C22)</f>
        <v>168995</v>
      </c>
      <c r="E19" s="71">
        <f t="shared" ref="E19:E24" si="8">abs(C19-D19)</f>
        <v>252150</v>
      </c>
      <c r="F19" s="72"/>
      <c r="G19" s="72"/>
      <c r="H19" s="44">
        <v>2568218.0</v>
      </c>
      <c r="I19" s="70">
        <f t="shared" ref="I19:I24" si="9">AVERAGE(H20:H22)</f>
        <v>2128082</v>
      </c>
      <c r="J19" s="71">
        <f t="shared" ref="J19:J24" si="10">abs(H19-I19)</f>
        <v>440136</v>
      </c>
      <c r="K19" s="72"/>
      <c r="L19" s="45">
        <v>2462.0</v>
      </c>
      <c r="M19" s="70">
        <f t="shared" ref="M19:M24" si="11">AVERAGE(L20:L22)</f>
        <v>1229.666667</v>
      </c>
      <c r="N19" s="73">
        <f t="shared" ref="N19:N24" si="12">abs(L19-M19)</f>
        <v>1232.333333</v>
      </c>
      <c r="O19" s="72"/>
      <c r="P19" s="45">
        <v>1532344.0</v>
      </c>
      <c r="Q19" s="70">
        <f t="shared" ref="Q19:Q24" si="13">AVERAGE(P20:P22)</f>
        <v>493750</v>
      </c>
      <c r="R19" s="73">
        <f t="shared" ref="R19:R24" si="14">abs(P19-Q19)</f>
        <v>1038594</v>
      </c>
      <c r="S19" s="72"/>
      <c r="T19" s="44">
        <v>26812.0</v>
      </c>
      <c r="U19" s="70">
        <f t="shared" si="2"/>
        <v>12574</v>
      </c>
      <c r="V19" s="73">
        <f t="shared" ref="V19:V24" si="15">abs(T19-U19)</f>
        <v>14238</v>
      </c>
      <c r="W19" s="72"/>
      <c r="X19" s="44">
        <v>1.8138477E7</v>
      </c>
      <c r="Y19" s="70">
        <f t="shared" si="3"/>
        <v>16352127.67</v>
      </c>
      <c r="Z19" s="73">
        <f t="shared" ref="Z19:Z24" si="16">abs(X19-Y19)</f>
        <v>1786349.333</v>
      </c>
      <c r="AA19" s="72"/>
      <c r="AB19" s="44">
        <v>536677.0</v>
      </c>
      <c r="AC19" s="70">
        <f t="shared" si="4"/>
        <v>310079.6667</v>
      </c>
      <c r="AD19" s="73">
        <f t="shared" ref="AD19:AD24" si="17">abs(AB19-AC19)</f>
        <v>226597.3333</v>
      </c>
      <c r="AE19" s="72"/>
      <c r="AF19" s="45">
        <v>331515.0</v>
      </c>
      <c r="AG19" s="70">
        <f t="shared" si="5"/>
        <v>134972.3333</v>
      </c>
      <c r="AH19" s="73">
        <f t="shared" ref="AH19:AH24" si="18">abs(AF19-AG19)</f>
        <v>196542.6667</v>
      </c>
      <c r="AI19" s="72"/>
      <c r="AJ19" s="44">
        <v>4693.0</v>
      </c>
      <c r="AK19" s="70">
        <f t="shared" si="6"/>
        <v>23768.66667</v>
      </c>
      <c r="AL19" s="74">
        <f t="shared" ref="AL19:AL24" si="19">abs(AJ19-AK19)</f>
        <v>19075.66667</v>
      </c>
    </row>
    <row r="20">
      <c r="B20" s="42">
        <v>2022.0</v>
      </c>
      <c r="C20" s="44">
        <v>297430.0</v>
      </c>
      <c r="D20" s="70">
        <f t="shared" si="7"/>
        <v>81004.66667</v>
      </c>
      <c r="E20" s="71">
        <f t="shared" si="8"/>
        <v>216425.3333</v>
      </c>
      <c r="F20" s="72"/>
      <c r="G20" s="72"/>
      <c r="H20" s="44">
        <v>2345606.0</v>
      </c>
      <c r="I20" s="70">
        <f t="shared" si="9"/>
        <v>2321151.333</v>
      </c>
      <c r="J20" s="71">
        <f t="shared" si="10"/>
        <v>24454.66667</v>
      </c>
      <c r="K20" s="72"/>
      <c r="L20" s="45">
        <v>737.0</v>
      </c>
      <c r="M20" s="70">
        <f t="shared" si="11"/>
        <v>14018.66667</v>
      </c>
      <c r="N20" s="73">
        <f t="shared" si="12"/>
        <v>13281.66667</v>
      </c>
      <c r="O20" s="72"/>
      <c r="P20" s="45">
        <v>1025003.0</v>
      </c>
      <c r="Q20" s="70">
        <f t="shared" si="13"/>
        <v>207709.3333</v>
      </c>
      <c r="R20" s="73">
        <f t="shared" si="14"/>
        <v>817293.6667</v>
      </c>
      <c r="S20" s="72"/>
      <c r="T20" s="44">
        <v>14404.0</v>
      </c>
      <c r="U20" s="70">
        <f t="shared" si="2"/>
        <v>9061.333333</v>
      </c>
      <c r="V20" s="73">
        <f t="shared" si="15"/>
        <v>5342.666667</v>
      </c>
      <c r="W20" s="72"/>
      <c r="X20" s="44">
        <v>1.7185926E7</v>
      </c>
      <c r="Y20" s="70">
        <f t="shared" si="3"/>
        <v>17388642.33</v>
      </c>
      <c r="Z20" s="73">
        <f t="shared" si="16"/>
        <v>202716.3333</v>
      </c>
      <c r="AA20" s="72"/>
      <c r="AB20" s="44">
        <v>425922.0</v>
      </c>
      <c r="AC20" s="70">
        <f t="shared" si="4"/>
        <v>306999.6667</v>
      </c>
      <c r="AD20" s="73">
        <f t="shared" si="17"/>
        <v>118922.3333</v>
      </c>
      <c r="AE20" s="72"/>
      <c r="AF20" s="45">
        <v>192591.0</v>
      </c>
      <c r="AG20" s="70">
        <f t="shared" si="5"/>
        <v>96205</v>
      </c>
      <c r="AH20" s="73">
        <f t="shared" si="18"/>
        <v>96386</v>
      </c>
      <c r="AI20" s="72"/>
      <c r="AJ20" s="44">
        <v>11544.0</v>
      </c>
      <c r="AK20" s="70">
        <f t="shared" si="6"/>
        <v>56252.33333</v>
      </c>
      <c r="AL20" s="74">
        <f t="shared" si="19"/>
        <v>44708.33333</v>
      </c>
    </row>
    <row r="21">
      <c r="B21" s="42">
        <v>2021.0</v>
      </c>
      <c r="C21" s="44">
        <v>166328.0</v>
      </c>
      <c r="D21" s="70">
        <f t="shared" si="7"/>
        <v>36038.33333</v>
      </c>
      <c r="E21" s="71">
        <f t="shared" si="8"/>
        <v>130289.6667</v>
      </c>
      <c r="F21" s="72"/>
      <c r="G21" s="72"/>
      <c r="H21" s="44">
        <v>2013620.0</v>
      </c>
      <c r="I21" s="70">
        <f t="shared" si="9"/>
        <v>2710769.333</v>
      </c>
      <c r="J21" s="71">
        <f t="shared" si="10"/>
        <v>697149.3333</v>
      </c>
      <c r="K21" s="72"/>
      <c r="L21" s="45">
        <v>35.0</v>
      </c>
      <c r="M21" s="70">
        <f t="shared" si="11"/>
        <v>33853.66667</v>
      </c>
      <c r="N21" s="73">
        <f t="shared" si="12"/>
        <v>33818.66667</v>
      </c>
      <c r="O21" s="72"/>
      <c r="P21" s="45">
        <v>331576.0</v>
      </c>
      <c r="Q21" s="70">
        <f t="shared" si="13"/>
        <v>140600</v>
      </c>
      <c r="R21" s="73">
        <f t="shared" si="14"/>
        <v>190976</v>
      </c>
      <c r="S21" s="72"/>
      <c r="T21" s="44">
        <v>13408.0</v>
      </c>
      <c r="U21" s="70">
        <f t="shared" si="2"/>
        <v>5948</v>
      </c>
      <c r="V21" s="73">
        <f t="shared" si="15"/>
        <v>7460</v>
      </c>
      <c r="W21" s="72"/>
      <c r="X21" s="44">
        <v>1.5888229E7</v>
      </c>
      <c r="Y21" s="70">
        <f t="shared" si="3"/>
        <v>19193223.67</v>
      </c>
      <c r="Z21" s="73">
        <f t="shared" si="16"/>
        <v>3304994.667</v>
      </c>
      <c r="AA21" s="72"/>
      <c r="AB21" s="44">
        <v>270806.0</v>
      </c>
      <c r="AC21" s="70">
        <f t="shared" si="4"/>
        <v>369835.6667</v>
      </c>
      <c r="AD21" s="73">
        <f t="shared" si="17"/>
        <v>99029.66667</v>
      </c>
      <c r="AE21" s="72"/>
      <c r="AF21" s="45">
        <v>125963.0</v>
      </c>
      <c r="AG21" s="70">
        <f t="shared" si="5"/>
        <v>58136.66667</v>
      </c>
      <c r="AH21" s="73">
        <f t="shared" si="18"/>
        <v>67826.33333</v>
      </c>
      <c r="AI21" s="72"/>
      <c r="AJ21" s="44">
        <v>19833.0</v>
      </c>
      <c r="AK21" s="70">
        <f t="shared" si="6"/>
        <v>90912.33333</v>
      </c>
      <c r="AL21" s="74">
        <f t="shared" si="19"/>
        <v>71079.33333</v>
      </c>
    </row>
    <row r="22">
      <c r="B22" s="42">
        <v>2020.0</v>
      </c>
      <c r="C22" s="44">
        <v>43227.0</v>
      </c>
      <c r="D22" s="70">
        <f t="shared" si="7"/>
        <v>30346</v>
      </c>
      <c r="E22" s="71">
        <f t="shared" si="8"/>
        <v>12881</v>
      </c>
      <c r="F22" s="72"/>
      <c r="G22" s="72"/>
      <c r="H22" s="44">
        <v>2025020.0</v>
      </c>
      <c r="I22" s="70">
        <f t="shared" si="9"/>
        <v>2990896.333</v>
      </c>
      <c r="J22" s="71">
        <f t="shared" si="10"/>
        <v>965876.3333</v>
      </c>
      <c r="K22" s="72"/>
      <c r="L22" s="45">
        <v>2917.0</v>
      </c>
      <c r="M22" s="70">
        <f t="shared" si="11"/>
        <v>49040.33333</v>
      </c>
      <c r="N22" s="73">
        <f t="shared" si="12"/>
        <v>46123.33333</v>
      </c>
      <c r="O22" s="72"/>
      <c r="P22" s="45">
        <v>124671.0</v>
      </c>
      <c r="Q22" s="70">
        <f t="shared" si="13"/>
        <v>128174.6667</v>
      </c>
      <c r="R22" s="73">
        <f t="shared" si="14"/>
        <v>3503.666667</v>
      </c>
      <c r="S22" s="72"/>
      <c r="T22" s="44">
        <v>9910.0</v>
      </c>
      <c r="U22" s="70">
        <f t="shared" si="2"/>
        <v>3916</v>
      </c>
      <c r="V22" s="73">
        <f t="shared" si="15"/>
        <v>5994</v>
      </c>
      <c r="W22" s="72"/>
      <c r="X22" s="44">
        <v>1.5982228E7</v>
      </c>
      <c r="Y22" s="70">
        <f t="shared" si="3"/>
        <v>20443002</v>
      </c>
      <c r="Z22" s="73">
        <f t="shared" si="16"/>
        <v>4460774</v>
      </c>
      <c r="AA22" s="72"/>
      <c r="AB22" s="44">
        <v>233511.0</v>
      </c>
      <c r="AC22" s="70">
        <f t="shared" si="4"/>
        <v>406172.6667</v>
      </c>
      <c r="AD22" s="73">
        <f t="shared" si="17"/>
        <v>172661.6667</v>
      </c>
      <c r="AE22" s="72"/>
      <c r="AF22" s="45">
        <v>86363.0</v>
      </c>
      <c r="AG22" s="70">
        <f t="shared" si="5"/>
        <v>29584.66667</v>
      </c>
      <c r="AH22" s="73">
        <f t="shared" si="18"/>
        <v>56778.33333</v>
      </c>
      <c r="AI22" s="72"/>
      <c r="AJ22" s="44">
        <v>39929.0</v>
      </c>
      <c r="AK22" s="70">
        <f t="shared" si="6"/>
        <v>106914</v>
      </c>
      <c r="AL22" s="74">
        <f t="shared" si="19"/>
        <v>66985</v>
      </c>
    </row>
    <row r="23">
      <c r="B23" s="42">
        <v>2019.0</v>
      </c>
      <c r="C23" s="44">
        <v>33459.0</v>
      </c>
      <c r="D23" s="70">
        <f t="shared" si="7"/>
        <v>29155.66667</v>
      </c>
      <c r="E23" s="71">
        <f t="shared" si="8"/>
        <v>4303.333333</v>
      </c>
      <c r="F23" s="72"/>
      <c r="G23" s="72"/>
      <c r="H23" s="44">
        <v>2924814.0</v>
      </c>
      <c r="I23" s="70">
        <f t="shared" si="9"/>
        <v>2933351</v>
      </c>
      <c r="J23" s="71">
        <f t="shared" si="10"/>
        <v>8537</v>
      </c>
      <c r="K23" s="72"/>
      <c r="L23" s="45">
        <v>39104.0</v>
      </c>
      <c r="M23" s="70">
        <f t="shared" si="11"/>
        <v>39788</v>
      </c>
      <c r="N23" s="73">
        <f t="shared" si="12"/>
        <v>684</v>
      </c>
      <c r="O23" s="72"/>
      <c r="P23" s="45">
        <v>166881.0</v>
      </c>
      <c r="Q23" s="70">
        <f t="shared" si="13"/>
        <v>89158.33333</v>
      </c>
      <c r="R23" s="73">
        <f t="shared" si="14"/>
        <v>77722.66667</v>
      </c>
      <c r="S23" s="72"/>
      <c r="T23" s="44">
        <v>3866.0</v>
      </c>
      <c r="U23" s="70">
        <f t="shared" si="2"/>
        <v>3952.666667</v>
      </c>
      <c r="V23" s="73">
        <f t="shared" si="15"/>
        <v>86.66666667</v>
      </c>
      <c r="W23" s="72"/>
      <c r="X23" s="44">
        <v>2.029547E7</v>
      </c>
      <c r="Y23" s="70">
        <f t="shared" si="3"/>
        <v>19656630.67</v>
      </c>
      <c r="Z23" s="73">
        <f t="shared" si="16"/>
        <v>638839.3333</v>
      </c>
      <c r="AA23" s="72"/>
      <c r="AB23" s="44">
        <v>416682.0</v>
      </c>
      <c r="AC23" s="70">
        <f t="shared" si="4"/>
        <v>378690.6667</v>
      </c>
      <c r="AD23" s="73">
        <f t="shared" si="17"/>
        <v>37991.33333</v>
      </c>
      <c r="AE23" s="72"/>
      <c r="AF23" s="45">
        <v>76289.0</v>
      </c>
      <c r="AG23" s="70">
        <f t="shared" si="5"/>
        <v>4331</v>
      </c>
      <c r="AH23" s="73">
        <f t="shared" si="18"/>
        <v>71958</v>
      </c>
      <c r="AI23" s="72"/>
      <c r="AJ23" s="44">
        <v>108995.0</v>
      </c>
      <c r="AK23" s="70">
        <f t="shared" si="6"/>
        <v>98076.66667</v>
      </c>
      <c r="AL23" s="74">
        <f t="shared" si="19"/>
        <v>10918.33333</v>
      </c>
    </row>
    <row r="24">
      <c r="B24" s="43">
        <v>2018.0</v>
      </c>
      <c r="C24" s="44">
        <v>31429.0</v>
      </c>
      <c r="D24" s="70">
        <f t="shared" si="7"/>
        <v>27421</v>
      </c>
      <c r="E24" s="71">
        <f t="shared" si="8"/>
        <v>4008</v>
      </c>
      <c r="F24" s="72"/>
      <c r="G24" s="72"/>
      <c r="H24" s="44">
        <v>3182474.0</v>
      </c>
      <c r="I24" s="70">
        <f t="shared" si="9"/>
        <v>2781094.333</v>
      </c>
      <c r="J24" s="71">
        <f t="shared" si="10"/>
        <v>401379.6667</v>
      </c>
      <c r="K24" s="72"/>
      <c r="L24" s="45">
        <v>59540.0</v>
      </c>
      <c r="M24" s="70">
        <f t="shared" si="11"/>
        <v>20108.66667</v>
      </c>
      <c r="N24" s="73">
        <f t="shared" si="12"/>
        <v>39431.33333</v>
      </c>
      <c r="O24" s="72"/>
      <c r="P24" s="45">
        <v>130248.0</v>
      </c>
      <c r="Q24" s="70">
        <f t="shared" si="13"/>
        <v>48341</v>
      </c>
      <c r="R24" s="73">
        <f t="shared" si="14"/>
        <v>81907</v>
      </c>
      <c r="S24" s="72"/>
      <c r="T24" s="44">
        <v>4068.0</v>
      </c>
      <c r="U24" s="70">
        <f t="shared" si="2"/>
        <v>3709</v>
      </c>
      <c r="V24" s="73">
        <f t="shared" si="15"/>
        <v>359</v>
      </c>
      <c r="W24" s="72"/>
      <c r="X24" s="44">
        <v>2.1301973E7</v>
      </c>
      <c r="Y24" s="70">
        <f t="shared" si="3"/>
        <v>18046245.67</v>
      </c>
      <c r="Z24" s="73">
        <f t="shared" si="16"/>
        <v>3255727.333</v>
      </c>
      <c r="AA24" s="72"/>
      <c r="AB24" s="44">
        <v>459314.0</v>
      </c>
      <c r="AC24" s="70">
        <f t="shared" si="4"/>
        <v>312153.3333</v>
      </c>
      <c r="AD24" s="73">
        <f t="shared" si="17"/>
        <v>147160.6667</v>
      </c>
      <c r="AE24" s="72"/>
      <c r="AF24" s="45">
        <v>11758.0</v>
      </c>
      <c r="AG24" s="70">
        <f t="shared" si="5"/>
        <v>442.3333333</v>
      </c>
      <c r="AH24" s="73">
        <f t="shared" si="18"/>
        <v>11315.66667</v>
      </c>
      <c r="AI24" s="72"/>
      <c r="AJ24" s="44">
        <v>123813.0</v>
      </c>
      <c r="AK24" s="70">
        <f t="shared" si="6"/>
        <v>80116.66667</v>
      </c>
      <c r="AL24" s="74">
        <f t="shared" si="19"/>
        <v>43696.33333</v>
      </c>
    </row>
    <row r="25">
      <c r="B25" s="43">
        <v>2017.0</v>
      </c>
      <c r="C25" s="44">
        <v>26150.0</v>
      </c>
      <c r="D25" s="70"/>
      <c r="E25" s="71"/>
      <c r="F25" s="72"/>
      <c r="G25" s="72"/>
      <c r="H25" s="44">
        <v>2865401.0</v>
      </c>
      <c r="I25" s="72"/>
      <c r="J25" s="74"/>
      <c r="K25" s="72"/>
      <c r="L25" s="45">
        <v>48477.0</v>
      </c>
      <c r="M25" s="70"/>
      <c r="N25" s="73"/>
      <c r="O25" s="72"/>
      <c r="P25" s="45">
        <v>87395.0</v>
      </c>
      <c r="Q25" s="70"/>
      <c r="R25" s="73"/>
      <c r="S25" s="72"/>
      <c r="T25" s="44">
        <v>3814.0</v>
      </c>
      <c r="U25" s="70"/>
      <c r="V25" s="73"/>
      <c r="W25" s="72"/>
      <c r="X25" s="44">
        <v>1.9731563E7</v>
      </c>
      <c r="Y25" s="70"/>
      <c r="Z25" s="73"/>
      <c r="AA25" s="72"/>
      <c r="AB25" s="44">
        <v>342522.0</v>
      </c>
      <c r="AC25" s="70"/>
      <c r="AD25" s="73"/>
      <c r="AE25" s="72"/>
      <c r="AF25" s="45">
        <v>707.0</v>
      </c>
      <c r="AG25" s="70"/>
      <c r="AH25" s="73"/>
      <c r="AI25" s="72"/>
      <c r="AJ25" s="44">
        <v>87934.0</v>
      </c>
      <c r="AK25" s="70"/>
      <c r="AL25" s="74"/>
    </row>
    <row r="26">
      <c r="B26" s="43">
        <v>2016.0</v>
      </c>
      <c r="C26" s="44">
        <v>29888.0</v>
      </c>
      <c r="D26" s="70"/>
      <c r="E26" s="71"/>
      <c r="F26" s="72"/>
      <c r="G26" s="72"/>
      <c r="H26" s="44">
        <v>2752178.0</v>
      </c>
      <c r="I26" s="72"/>
      <c r="J26" s="74"/>
      <c r="K26" s="72"/>
      <c r="L26" s="45">
        <v>11347.0</v>
      </c>
      <c r="M26" s="70"/>
      <c r="N26" s="73"/>
      <c r="O26" s="72"/>
      <c r="P26" s="45">
        <v>49832.0</v>
      </c>
      <c r="Q26" s="70"/>
      <c r="R26" s="73"/>
      <c r="S26" s="72"/>
      <c r="T26" s="44">
        <v>3976.0</v>
      </c>
      <c r="U26" s="70"/>
      <c r="V26" s="73"/>
      <c r="W26" s="72"/>
      <c r="X26" s="44">
        <v>1.7936356E7</v>
      </c>
      <c r="Y26" s="70"/>
      <c r="Z26" s="73"/>
      <c r="AA26" s="72"/>
      <c r="AB26" s="44">
        <v>334236.0</v>
      </c>
      <c r="AC26" s="70"/>
      <c r="AD26" s="73"/>
      <c r="AE26" s="72"/>
      <c r="AF26" s="45">
        <v>528.0</v>
      </c>
      <c r="AG26" s="70"/>
      <c r="AH26" s="73"/>
      <c r="AI26" s="72"/>
      <c r="AJ26" s="44">
        <v>82483.0</v>
      </c>
      <c r="AK26" s="70"/>
      <c r="AL26" s="74"/>
    </row>
    <row r="27">
      <c r="B27" s="43">
        <v>2015.0</v>
      </c>
      <c r="C27" s="44">
        <v>26225.0</v>
      </c>
      <c r="D27" s="70"/>
      <c r="E27" s="75"/>
      <c r="F27" s="72"/>
      <c r="G27" s="72"/>
      <c r="H27" s="44">
        <v>2725704.0</v>
      </c>
      <c r="I27" s="72"/>
      <c r="J27" s="74"/>
      <c r="K27" s="72"/>
      <c r="L27" s="45">
        <v>502.0</v>
      </c>
      <c r="M27" s="49"/>
      <c r="N27" s="76"/>
      <c r="O27" s="72"/>
      <c r="P27" s="45">
        <v>7796.0</v>
      </c>
      <c r="Q27" s="49"/>
      <c r="R27" s="76"/>
      <c r="S27" s="72"/>
      <c r="T27" s="44">
        <v>3337.0</v>
      </c>
      <c r="U27" s="49"/>
      <c r="V27" s="76"/>
      <c r="W27" s="72"/>
      <c r="X27" s="44">
        <v>1.6470818E7</v>
      </c>
      <c r="Y27" s="49"/>
      <c r="Z27" s="76"/>
      <c r="AA27" s="72"/>
      <c r="AB27" s="44">
        <v>259702.0</v>
      </c>
      <c r="AC27" s="49"/>
      <c r="AD27" s="76"/>
      <c r="AE27" s="72"/>
      <c r="AF27" s="45">
        <v>92.0</v>
      </c>
      <c r="AG27" s="49"/>
      <c r="AH27" s="76"/>
      <c r="AI27" s="72"/>
      <c r="AJ27" s="44">
        <v>69933.0</v>
      </c>
      <c r="AK27" s="49"/>
      <c r="AL27" s="74"/>
    </row>
    <row r="28">
      <c r="B28" s="1" t="s">
        <v>138</v>
      </c>
      <c r="E28" s="21">
        <f>average(E19^2, E20^2, E21^2, E22^2,E23^2,E24^2)</f>
        <v>21265907925</v>
      </c>
      <c r="J28" s="21">
        <f>average(J19^2, J20^2, J21^2, J22^2,J23^2,J24^2)</f>
        <v>295738421777</v>
      </c>
      <c r="N28" s="77">
        <f>average(N19^2, N20^2, N21^2, N22^2,N23^2,N24^2)</f>
        <v>834047218.7</v>
      </c>
      <c r="R28" s="21">
        <f>average(R19^2, R20^2, R21^2, R22^2,R23^2,R24^2)</f>
        <v>299313352038</v>
      </c>
      <c r="V28" s="78">
        <f>average(V19^2, V20^2, V21^2, V22^2,V23^2,V24^2)</f>
        <v>53830126.54</v>
      </c>
      <c r="Z28" s="21">
        <f>average(Z19^2, Z20^2, Z21^2, Z22^2,Z23^2,Z24^2)</f>
        <v>7510251406850</v>
      </c>
      <c r="AD28" s="21">
        <f>average(AD19^2, AD20^2, AD21^2, AD22^2,AD23^2,AD24^2)</f>
        <v>21367900346</v>
      </c>
      <c r="AH28" s="21">
        <f>average(AH19^2, AH20^2, AH21^2, AH22^2,AH23^2,AH24^2)</f>
        <v>10174911587</v>
      </c>
      <c r="AL28" s="21">
        <f>average(AL19^2, AL20^2, AL21^2, AL22^2,AL23^2,AL24^2)</f>
        <v>2321759588</v>
      </c>
    </row>
    <row r="29">
      <c r="B29" s="1" t="s">
        <v>139</v>
      </c>
      <c r="E29" s="77">
        <f>SQRT(E28)</f>
        <v>145828.3509</v>
      </c>
      <c r="J29" s="77">
        <f>SQRT(J28)</f>
        <v>543818.372</v>
      </c>
      <c r="N29" s="77">
        <f>SQRT(N28)</f>
        <v>28879.87567</v>
      </c>
      <c r="R29" s="77">
        <f>SQRT(R28)</f>
        <v>547095.3775</v>
      </c>
      <c r="V29" s="77">
        <f>SQRT(V28)</f>
        <v>7336.901699</v>
      </c>
      <c r="Z29" s="77">
        <f>SQRT(Z28)</f>
        <v>2740483.791</v>
      </c>
      <c r="AD29" s="77">
        <f>SQRT(AD28)</f>
        <v>146177.6329</v>
      </c>
      <c r="AH29" s="77">
        <f>SQRT(AH28)</f>
        <v>100870.7668</v>
      </c>
      <c r="AL29" s="77">
        <f>SQRT(AL28)</f>
        <v>48184.64059</v>
      </c>
    </row>
    <row r="30">
      <c r="B30" s="1" t="s">
        <v>140</v>
      </c>
      <c r="E30" s="79">
        <f>average(E19/C19,E20/C20,E21/C21,E22/C22,E23/C23,E24/C24)</f>
        <v>0.4439719442</v>
      </c>
      <c r="J30" s="79">
        <f>average(J19/H19,J20/H20,J21/H21,J22/H22,J23/H23,J24/H24)</f>
        <v>0.1890054356</v>
      </c>
      <c r="N30" s="79">
        <f>average(N19/L19,N20/L20,N21/L21,N22/L22,N23/L23,N24/L24)</f>
        <v>166.8768472</v>
      </c>
      <c r="R30" s="79">
        <f>average(R19/P19,R20/P20,R21/P21,R22/P22,R23/P23,R24/P24)</f>
        <v>0.5289662674</v>
      </c>
      <c r="V30" s="79">
        <f>average(V19/T19,V20/T20,V21/T21,V22/T22,V23/T23,V24/T24)</f>
        <v>0.3623069368</v>
      </c>
      <c r="Z30" s="79">
        <f>average(Z19/X19,Z20/X20,Z21/X21,Z22/X22,Z23/X23,Z24/X24)</f>
        <v>0.1302861643</v>
      </c>
      <c r="AD30" s="79">
        <f>average(AD19/AB19,AD20/AB20,AD21/AB21,AD22/AB22,AD23/AB23,AD24/AB24)</f>
        <v>0.3696838436</v>
      </c>
      <c r="AH30" s="79">
        <f>average(AH19/AF19,AH20/AF20,AH21/AF21,AH22/AF22,AH23/AF23,AH24/AF24)</f>
        <v>0.6991402935</v>
      </c>
      <c r="AL30" s="79">
        <f>average(AL19/AJ19,AL20/AJ20,AL21/AJ21,AL22/AJ22,AL23/AJ23,AL24/AJ24)</f>
        <v>2.275359877</v>
      </c>
    </row>
    <row r="31">
      <c r="B31" s="1" t="s">
        <v>141</v>
      </c>
      <c r="E31" s="21">
        <f>((ABS(C19-D19)+ABS(C20-D20)+ABS(C21-D21)+ABS(C22-D22)+ABS(C23-D23)+ABS(C24-D24))/COUNT(C19:C24))</f>
        <v>103342.8889</v>
      </c>
      <c r="J31" s="21">
        <f>((ABS(H19-I19)+ABS(H20-I20)+ABS(H21-I21)+ABS(H22-I22)+ABS(H23-I23)+ABS(H24-I24))/COUNT(H19:H24))</f>
        <v>422922.1667</v>
      </c>
      <c r="N31" s="21">
        <f>((ABS(L19-M19)+ABS(L20-M20)+ABS(L21-M21)+ABS(L22-M22)+ABS(L23-M23)+ABS(L24-M24))/COUNT(L19:L24))</f>
        <v>22428.55556</v>
      </c>
      <c r="R31" s="21">
        <f>((ABS(P19-Q19)+ABS(P20-Q20)+ABS(P21-Q21)+ABS(P22-Q22)+ABS(P23-Q23)+ABS(P24-Q24))/COUNT(P19:P24))</f>
        <v>368332.8333</v>
      </c>
      <c r="V31" s="21">
        <f>((ABS(T19-U19)+ABS(T20-U20)+ABS(T21-U21)+ABS(T22-U22)+ABS(T23-U23)+ABS(T24-U24))/COUNT(T19:T24))</f>
        <v>5580.055556</v>
      </c>
      <c r="Z31" s="21">
        <f>((ABS(X19-Y19)+ABS(X20-Y20)+ABS(X21-Y21)+ABS(X22-Y22)+ABS(X23-Y23)+ABS(X24-Y24))/COUNT(X19:X24))</f>
        <v>2274900.167</v>
      </c>
      <c r="AD31" s="21">
        <f>((ABS(AB19-AC19)+ABS(AB20-AC20)+ABS(AB21-AC21)+ABS(AB22-AC22)+ABS(AB23-AC23)+ABS(AB24-AC24))/COUNT(AB19:AB24))</f>
        <v>133727.1667</v>
      </c>
      <c r="AH31" s="21">
        <f>((ABS(AF19-AG19)+ABS(AF20-AG20)+ABS(AF21-AG21)+ABS(AF22-AG22)+ABS(AF23-AG23)+ABS(AF24-AG24))/COUNT(AF19:AF24))</f>
        <v>83467.83333</v>
      </c>
      <c r="AL31" s="21">
        <f>((ABS(AJ19-AK19)+ABS(AJ20-AK20)+ABS(AJ21-AK21)+ABS(AJ22-AK22)+ABS(AJ23-AK23)+ABS(AJ24-AK24))/COUNT(AJ19:AJ24))</f>
        <v>42743.83333</v>
      </c>
    </row>
    <row r="34">
      <c r="B34" s="42" t="s">
        <v>126</v>
      </c>
      <c r="C34" s="66" t="s">
        <v>142</v>
      </c>
      <c r="D34" s="69" t="s">
        <v>143</v>
      </c>
      <c r="E34" s="63" t="s">
        <v>144</v>
      </c>
      <c r="F34" s="80"/>
      <c r="G34" s="61" t="s">
        <v>145</v>
      </c>
      <c r="H34" s="69" t="s">
        <v>146</v>
      </c>
      <c r="I34" s="63" t="s">
        <v>144</v>
      </c>
    </row>
    <row r="35">
      <c r="B35" s="43">
        <v>2024.0</v>
      </c>
      <c r="C35" s="66"/>
      <c r="D35" s="81">
        <f t="shared" ref="D35:D41" si="20">AVERAGE(C36:C38)</f>
        <v>1180742.333</v>
      </c>
      <c r="E35" s="63"/>
      <c r="F35" s="80"/>
      <c r="G35" s="61"/>
      <c r="H35" s="81">
        <f t="shared" ref="H35:H41" si="21">AVERAGE(G36:G38)</f>
        <v>20319517.67</v>
      </c>
      <c r="I35" s="63"/>
    </row>
    <row r="36">
      <c r="B36" s="42">
        <v>2023.0</v>
      </c>
      <c r="C36" s="45">
        <v>1866322.0</v>
      </c>
      <c r="D36" s="82">
        <f t="shared" si="20"/>
        <v>629952</v>
      </c>
      <c r="E36" s="71">
        <f t="shared" ref="E36:E41" si="22">abs(C36-D36)</f>
        <v>1236370</v>
      </c>
      <c r="F36" s="83"/>
      <c r="G36" s="44">
        <v>2.214249E7</v>
      </c>
      <c r="H36" s="82">
        <f t="shared" si="21"/>
        <v>19077983.33</v>
      </c>
      <c r="I36" s="71">
        <f t="shared" ref="I36:I41" si="23">abs(G36-H36)</f>
        <v>3064506.667</v>
      </c>
    </row>
    <row r="37">
      <c r="B37" s="42">
        <v>2022.0</v>
      </c>
      <c r="C37" s="45">
        <v>1218331.0</v>
      </c>
      <c r="D37" s="82">
        <f t="shared" si="20"/>
        <v>317933</v>
      </c>
      <c r="E37" s="71">
        <f t="shared" si="22"/>
        <v>900398</v>
      </c>
      <c r="F37" s="83"/>
      <c r="G37" s="44">
        <v>2.0361312E7</v>
      </c>
      <c r="H37" s="82">
        <f t="shared" si="21"/>
        <v>20248412.33</v>
      </c>
      <c r="I37" s="71">
        <f t="shared" si="23"/>
        <v>112899.6667</v>
      </c>
    </row>
    <row r="38">
      <c r="B38" s="42">
        <v>2021.0</v>
      </c>
      <c r="C38" s="45">
        <v>457574.0</v>
      </c>
      <c r="D38" s="82">
        <f t="shared" si="20"/>
        <v>232590.3333</v>
      </c>
      <c r="E38" s="71">
        <f t="shared" si="22"/>
        <v>224983.6667</v>
      </c>
      <c r="F38" s="83"/>
      <c r="G38" s="44">
        <v>1.8454751E7</v>
      </c>
      <c r="H38" s="82">
        <f t="shared" si="21"/>
        <v>22502636.67</v>
      </c>
      <c r="I38" s="71">
        <f t="shared" si="23"/>
        <v>4047885.667</v>
      </c>
    </row>
    <row r="39">
      <c r="B39" s="42">
        <v>2020.0</v>
      </c>
      <c r="C39" s="45">
        <v>213951.0</v>
      </c>
      <c r="D39" s="82">
        <f t="shared" si="20"/>
        <v>206799.6667</v>
      </c>
      <c r="E39" s="71">
        <f t="shared" si="22"/>
        <v>7151.333333</v>
      </c>
      <c r="F39" s="83"/>
      <c r="G39" s="44">
        <v>1.8417887E7</v>
      </c>
      <c r="H39" s="82">
        <f t="shared" si="21"/>
        <v>24085500</v>
      </c>
      <c r="I39" s="71">
        <f t="shared" si="23"/>
        <v>5667613</v>
      </c>
    </row>
    <row r="40">
      <c r="B40" s="42">
        <v>2019.0</v>
      </c>
      <c r="C40" s="45">
        <v>282274.0</v>
      </c>
      <c r="D40" s="82">
        <f t="shared" si="20"/>
        <v>133277.3333</v>
      </c>
      <c r="E40" s="71">
        <f t="shared" si="22"/>
        <v>148996.6667</v>
      </c>
      <c r="F40" s="83"/>
      <c r="G40" s="44">
        <v>2.3872599E7</v>
      </c>
      <c r="H40" s="82">
        <f t="shared" si="21"/>
        <v>23218101.67</v>
      </c>
      <c r="I40" s="71">
        <f t="shared" si="23"/>
        <v>654497.3333</v>
      </c>
    </row>
    <row r="41">
      <c r="B41" s="43">
        <v>2018.0</v>
      </c>
      <c r="C41" s="45">
        <v>201546.0</v>
      </c>
      <c r="D41" s="82">
        <f t="shared" si="20"/>
        <v>68892</v>
      </c>
      <c r="E41" s="71">
        <f t="shared" si="22"/>
        <v>132654</v>
      </c>
      <c r="F41" s="83"/>
      <c r="G41" s="44">
        <v>2.5217424E7</v>
      </c>
      <c r="H41" s="82">
        <f t="shared" si="21"/>
        <v>21368272.33</v>
      </c>
      <c r="I41" s="71">
        <f t="shared" si="23"/>
        <v>3849151.667</v>
      </c>
    </row>
    <row r="42">
      <c r="B42" s="43">
        <v>2017.0</v>
      </c>
      <c r="C42" s="45">
        <v>136579.0</v>
      </c>
      <c r="D42" s="48"/>
      <c r="E42" s="75"/>
      <c r="F42" s="84"/>
      <c r="G42" s="44">
        <v>2.3166477E7</v>
      </c>
      <c r="H42" s="48"/>
      <c r="I42" s="75"/>
    </row>
    <row r="43">
      <c r="B43" s="43">
        <v>2016.0</v>
      </c>
      <c r="C43" s="45">
        <v>61707.0</v>
      </c>
      <c r="D43" s="48"/>
      <c r="E43" s="75"/>
      <c r="F43" s="84"/>
      <c r="G43" s="44">
        <v>2.1270404E7</v>
      </c>
      <c r="H43" s="48"/>
      <c r="I43" s="75"/>
    </row>
    <row r="44">
      <c r="B44" s="43">
        <v>2015.0</v>
      </c>
      <c r="C44" s="45">
        <v>8390.0</v>
      </c>
      <c r="D44" s="48"/>
      <c r="E44" s="75"/>
      <c r="F44" s="84"/>
      <c r="G44" s="44">
        <v>1.9667936E7</v>
      </c>
      <c r="H44" s="48"/>
      <c r="I44" s="75"/>
    </row>
    <row r="45">
      <c r="D45" s="1" t="s">
        <v>147</v>
      </c>
      <c r="E45" s="21">
        <f>average(E36^2, E37^2, E38^2, E39^2,E40^2,E41^2)</f>
        <v>404965536256</v>
      </c>
      <c r="H45" s="1" t="s">
        <v>147</v>
      </c>
      <c r="I45" s="21">
        <f>average(I36^2, I37^2, I38^2, I39^2,I40^2,I41^2)</f>
        <v>12192583040883</v>
      </c>
    </row>
    <row r="46">
      <c r="D46" s="1" t="s">
        <v>148</v>
      </c>
      <c r="E46" s="77">
        <f>SQRT(E45)</f>
        <v>636369.0252</v>
      </c>
      <c r="H46" s="1" t="s">
        <v>148</v>
      </c>
      <c r="I46" s="77">
        <f>SQRT(I45)</f>
        <v>3491787.943</v>
      </c>
    </row>
    <row r="47">
      <c r="D47" s="1" t="s">
        <v>140</v>
      </c>
      <c r="E47" s="79">
        <f>average(E36/C36,E37/C37,E38/C38,E39/C39,E40/C40,E41/C41)</f>
        <v>0.518774179</v>
      </c>
      <c r="H47" s="1" t="s">
        <v>140</v>
      </c>
      <c r="I47" s="79">
        <f>average(I36/G36,I37/G37,I38/G38,I39/G39,I40/G40,I41/G41)</f>
        <v>0.1418439055</v>
      </c>
    </row>
    <row r="48">
      <c r="D48" s="85" t="s">
        <v>149</v>
      </c>
      <c r="E48" s="21">
        <f>((ABS(C36-D36)+ABS(C37-D37)+ABS(C38-D38)+ABS(C39-D39)+ABS(C40-D40)+ABS(C41-D41))/COUNT(C36:C41))</f>
        <v>441758.9444</v>
      </c>
      <c r="H48" s="85" t="s">
        <v>149</v>
      </c>
      <c r="I48" s="21">
        <f>((ABS(G36-H36)+ABS(G37-H37)+ABS(G38-H38)+ABS(G39-H39)+ABS(G40-H40)+ABS(G41-H41))/COUNT(G36:G41))</f>
        <v>2899425.667</v>
      </c>
    </row>
  </sheetData>
  <mergeCells count="1">
    <mergeCell ref="C15:L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3" max="3" width="25.38"/>
    <col customWidth="1" min="7" max="7" width="20.13"/>
    <col customWidth="1" min="8" max="9" width="14.88"/>
    <col customWidth="1" min="10" max="10" width="14.0"/>
    <col customWidth="1" min="11" max="11" width="20.13"/>
    <col customWidth="1" min="12" max="13" width="14.88"/>
    <col customWidth="1" min="15" max="15" width="20.13"/>
    <col customWidth="1" min="19" max="19" width="20.13"/>
    <col customWidth="1" min="23" max="23" width="20.13"/>
    <col customWidth="1" min="27" max="27" width="20.13"/>
    <col customWidth="1" min="31" max="31" width="20.13"/>
    <col customWidth="1" min="35" max="35" width="20.13"/>
  </cols>
  <sheetData>
    <row r="1">
      <c r="B1" s="42" t="s">
        <v>1</v>
      </c>
      <c r="C1" s="42" t="s">
        <v>2</v>
      </c>
      <c r="D1" s="42">
        <v>2023.0</v>
      </c>
      <c r="E1" s="42">
        <v>2022.0</v>
      </c>
      <c r="F1" s="42">
        <v>2021.0</v>
      </c>
      <c r="G1" s="42">
        <v>2020.0</v>
      </c>
      <c r="H1" s="42">
        <v>2019.0</v>
      </c>
      <c r="I1" s="43">
        <v>2018.0</v>
      </c>
      <c r="J1" s="43">
        <v>2017.0</v>
      </c>
      <c r="K1" s="43">
        <v>2016.0</v>
      </c>
      <c r="L1" s="43">
        <v>2015.0</v>
      </c>
      <c r="M1" s="43" t="s">
        <v>121</v>
      </c>
      <c r="N1" s="86">
        <v>2016.0</v>
      </c>
      <c r="O1" s="86">
        <v>2015.0</v>
      </c>
      <c r="P1" s="86" t="s">
        <v>121</v>
      </c>
      <c r="Q1" s="87"/>
    </row>
    <row r="2">
      <c r="B2" s="44">
        <v>1.0</v>
      </c>
      <c r="C2" s="44" t="s">
        <v>4</v>
      </c>
      <c r="D2" s="44">
        <v>421145.0</v>
      </c>
      <c r="E2" s="44">
        <v>297430.0</v>
      </c>
      <c r="F2" s="44">
        <v>166328.0</v>
      </c>
      <c r="G2" s="44">
        <v>43227.0</v>
      </c>
      <c r="H2" s="44">
        <v>33459.0</v>
      </c>
      <c r="I2" s="44">
        <v>31429.0</v>
      </c>
      <c r="J2" s="44">
        <v>26150.0</v>
      </c>
      <c r="K2" s="44">
        <v>29888.0</v>
      </c>
      <c r="L2" s="44">
        <v>26225.0</v>
      </c>
      <c r="M2" s="44">
        <f t="shared" ref="M2:M10" si="1">SUM(D2:L2)</f>
        <v>1075281</v>
      </c>
      <c r="N2" s="44">
        <v>29888.0</v>
      </c>
      <c r="O2" s="44">
        <v>26225.0</v>
      </c>
      <c r="P2" s="44">
        <f t="shared" ref="P2:P10" si="2">SUM(D2:O2)</f>
        <v>2206675</v>
      </c>
      <c r="Q2" s="88"/>
    </row>
    <row r="3">
      <c r="B3" s="44">
        <v>2.0</v>
      </c>
      <c r="C3" s="44" t="s">
        <v>9</v>
      </c>
      <c r="D3" s="44">
        <v>2568218.0</v>
      </c>
      <c r="E3" s="44">
        <v>2345606.0</v>
      </c>
      <c r="F3" s="44">
        <v>2013620.0</v>
      </c>
      <c r="G3" s="44">
        <v>2025020.0</v>
      </c>
      <c r="H3" s="44">
        <v>2924814.0</v>
      </c>
      <c r="I3" s="44">
        <v>3182474.0</v>
      </c>
      <c r="J3" s="44">
        <v>2865401.0</v>
      </c>
      <c r="K3" s="44">
        <v>2752178.0</v>
      </c>
      <c r="L3" s="44">
        <v>2725704.0</v>
      </c>
      <c r="M3" s="44">
        <f t="shared" si="1"/>
        <v>23403035</v>
      </c>
      <c r="N3" s="44">
        <v>2752178.0</v>
      </c>
      <c r="O3" s="44">
        <v>2725704.0</v>
      </c>
      <c r="P3" s="44">
        <f t="shared" si="2"/>
        <v>52283952</v>
      </c>
      <c r="Q3" s="88"/>
    </row>
    <row r="4">
      <c r="B4" s="45">
        <v>3.0</v>
      </c>
      <c r="C4" s="45" t="s">
        <v>16</v>
      </c>
      <c r="D4" s="45">
        <v>2462.0</v>
      </c>
      <c r="E4" s="45">
        <v>737.0</v>
      </c>
      <c r="F4" s="45">
        <v>35.0</v>
      </c>
      <c r="G4" s="45">
        <v>2917.0</v>
      </c>
      <c r="H4" s="45">
        <v>39104.0</v>
      </c>
      <c r="I4" s="45">
        <v>59540.0</v>
      </c>
      <c r="J4" s="45">
        <v>48477.0</v>
      </c>
      <c r="K4" s="45">
        <v>11347.0</v>
      </c>
      <c r="L4" s="45">
        <v>502.0</v>
      </c>
      <c r="M4" s="45">
        <f t="shared" si="1"/>
        <v>165121</v>
      </c>
      <c r="N4" s="45">
        <v>11347.0</v>
      </c>
      <c r="O4" s="45">
        <v>502.0</v>
      </c>
      <c r="P4" s="45">
        <f t="shared" si="2"/>
        <v>342091</v>
      </c>
      <c r="Q4" s="89"/>
    </row>
    <row r="5">
      <c r="B5" s="45">
        <v>4.0</v>
      </c>
      <c r="C5" s="45" t="s">
        <v>20</v>
      </c>
      <c r="D5" s="45">
        <v>1532344.0</v>
      </c>
      <c r="E5" s="45">
        <v>1025003.0</v>
      </c>
      <c r="F5" s="45">
        <v>331576.0</v>
      </c>
      <c r="G5" s="45">
        <v>124671.0</v>
      </c>
      <c r="H5" s="45">
        <v>166881.0</v>
      </c>
      <c r="I5" s="45">
        <v>130248.0</v>
      </c>
      <c r="J5" s="45">
        <v>87395.0</v>
      </c>
      <c r="K5" s="45">
        <v>49832.0</v>
      </c>
      <c r="L5" s="45">
        <v>7796.0</v>
      </c>
      <c r="M5" s="45">
        <f t="shared" si="1"/>
        <v>3455746</v>
      </c>
      <c r="N5" s="45">
        <v>49832.0</v>
      </c>
      <c r="O5" s="45">
        <v>7796.0</v>
      </c>
      <c r="P5" s="45">
        <f t="shared" si="2"/>
        <v>6969120</v>
      </c>
      <c r="Q5" s="89"/>
    </row>
    <row r="6">
      <c r="B6" s="44">
        <v>5.0</v>
      </c>
      <c r="C6" s="44" t="s">
        <v>29</v>
      </c>
      <c r="D6" s="44">
        <v>26812.0</v>
      </c>
      <c r="E6" s="44">
        <v>14404.0</v>
      </c>
      <c r="F6" s="44">
        <v>13408.0</v>
      </c>
      <c r="G6" s="44">
        <v>9910.0</v>
      </c>
      <c r="H6" s="44">
        <v>3866.0</v>
      </c>
      <c r="I6" s="44">
        <v>4068.0</v>
      </c>
      <c r="J6" s="44">
        <v>3814.0</v>
      </c>
      <c r="K6" s="44">
        <v>3976.0</v>
      </c>
      <c r="L6" s="44">
        <v>3337.0</v>
      </c>
      <c r="M6" s="44">
        <f t="shared" si="1"/>
        <v>83595</v>
      </c>
      <c r="N6" s="44">
        <v>3976.0</v>
      </c>
      <c r="O6" s="44">
        <v>3337.0</v>
      </c>
      <c r="P6" s="44">
        <f t="shared" si="2"/>
        <v>174503</v>
      </c>
      <c r="Q6" s="88"/>
    </row>
    <row r="7">
      <c r="B7" s="44">
        <v>6.0</v>
      </c>
      <c r="C7" s="44" t="s">
        <v>33</v>
      </c>
      <c r="D7" s="44">
        <v>1.8138477E7</v>
      </c>
      <c r="E7" s="44">
        <v>1.7185926E7</v>
      </c>
      <c r="F7" s="44">
        <v>1.5888229E7</v>
      </c>
      <c r="G7" s="44">
        <v>1.5982228E7</v>
      </c>
      <c r="H7" s="44">
        <v>2.029547E7</v>
      </c>
      <c r="I7" s="44">
        <v>2.1301973E7</v>
      </c>
      <c r="J7" s="44">
        <v>1.9731563E7</v>
      </c>
      <c r="K7" s="44">
        <v>1.7936356E7</v>
      </c>
      <c r="L7" s="44">
        <v>1.6470818E7</v>
      </c>
      <c r="M7" s="44">
        <f t="shared" si="1"/>
        <v>162931040</v>
      </c>
      <c r="N7" s="44">
        <v>1.7936356E7</v>
      </c>
      <c r="O7" s="44">
        <v>1.6470818E7</v>
      </c>
      <c r="P7" s="44">
        <f t="shared" si="2"/>
        <v>360269254</v>
      </c>
      <c r="Q7" s="88"/>
    </row>
    <row r="8">
      <c r="B8" s="44">
        <v>7.0</v>
      </c>
      <c r="C8" s="44" t="s">
        <v>40</v>
      </c>
      <c r="D8" s="44">
        <v>536677.0</v>
      </c>
      <c r="E8" s="44">
        <v>425922.0</v>
      </c>
      <c r="F8" s="44">
        <v>270806.0</v>
      </c>
      <c r="G8" s="44">
        <v>233511.0</v>
      </c>
      <c r="H8" s="44">
        <v>416682.0</v>
      </c>
      <c r="I8" s="44">
        <v>459314.0</v>
      </c>
      <c r="J8" s="44">
        <v>342522.0</v>
      </c>
      <c r="K8" s="44">
        <v>334236.0</v>
      </c>
      <c r="L8" s="44">
        <v>259702.0</v>
      </c>
      <c r="M8" s="44">
        <f t="shared" si="1"/>
        <v>3279372</v>
      </c>
      <c r="N8" s="44">
        <v>334236.0</v>
      </c>
      <c r="O8" s="44">
        <v>259702.0</v>
      </c>
      <c r="P8" s="44">
        <f t="shared" si="2"/>
        <v>7152682</v>
      </c>
      <c r="Q8" s="88"/>
    </row>
    <row r="9">
      <c r="B9" s="45">
        <v>8.0</v>
      </c>
      <c r="C9" s="45" t="s">
        <v>50</v>
      </c>
      <c r="D9" s="45">
        <v>331515.0</v>
      </c>
      <c r="E9" s="45">
        <v>192591.0</v>
      </c>
      <c r="F9" s="45">
        <v>125963.0</v>
      </c>
      <c r="G9" s="45">
        <v>86363.0</v>
      </c>
      <c r="H9" s="45">
        <v>76289.0</v>
      </c>
      <c r="I9" s="45">
        <v>11758.0</v>
      </c>
      <c r="J9" s="45">
        <v>707.0</v>
      </c>
      <c r="K9" s="45">
        <v>528.0</v>
      </c>
      <c r="L9" s="45">
        <v>92.0</v>
      </c>
      <c r="M9" s="45">
        <f t="shared" si="1"/>
        <v>825806</v>
      </c>
      <c r="N9" s="45">
        <v>528.0</v>
      </c>
      <c r="O9" s="45">
        <v>92.0</v>
      </c>
      <c r="P9" s="45">
        <f t="shared" si="2"/>
        <v>1652232</v>
      </c>
      <c r="Q9" s="89"/>
    </row>
    <row r="10">
      <c r="B10" s="44">
        <v>9.0</v>
      </c>
      <c r="C10" s="44" t="s">
        <v>55</v>
      </c>
      <c r="D10" s="44">
        <v>4693.0</v>
      </c>
      <c r="E10" s="44">
        <v>11544.0</v>
      </c>
      <c r="F10" s="44">
        <v>19833.0</v>
      </c>
      <c r="G10" s="44">
        <v>39929.0</v>
      </c>
      <c r="H10" s="44">
        <v>108995.0</v>
      </c>
      <c r="I10" s="44">
        <v>123813.0</v>
      </c>
      <c r="J10" s="44">
        <v>87934.0</v>
      </c>
      <c r="K10" s="44">
        <v>82483.0</v>
      </c>
      <c r="L10" s="44">
        <v>69933.0</v>
      </c>
      <c r="M10" s="44">
        <f t="shared" si="1"/>
        <v>549157</v>
      </c>
      <c r="N10" s="44">
        <v>82483.0</v>
      </c>
      <c r="O10" s="44">
        <v>69933.0</v>
      </c>
      <c r="P10" s="44">
        <f t="shared" si="2"/>
        <v>1250730</v>
      </c>
      <c r="Q10" s="88"/>
    </row>
    <row r="12">
      <c r="B12" s="90" t="s">
        <v>150</v>
      </c>
      <c r="C12" s="91">
        <v>2023.0</v>
      </c>
      <c r="D12" s="91">
        <v>2022.0</v>
      </c>
      <c r="E12" s="92">
        <v>2021.0</v>
      </c>
      <c r="F12" s="92">
        <v>2020.0</v>
      </c>
      <c r="G12" s="92">
        <v>2019.0</v>
      </c>
      <c r="H12" s="92">
        <v>2018.0</v>
      </c>
      <c r="I12" s="92">
        <v>2017.0</v>
      </c>
      <c r="J12" s="93">
        <v>2016.0</v>
      </c>
      <c r="K12" s="93">
        <v>2015.0</v>
      </c>
      <c r="L12" s="93" t="s">
        <v>121</v>
      </c>
      <c r="M12" s="94"/>
      <c r="N12" s="94"/>
      <c r="O12" s="94"/>
    </row>
    <row r="13">
      <c r="B13" s="95" t="s">
        <v>100</v>
      </c>
      <c r="C13" s="96">
        <v>1866322.0</v>
      </c>
      <c r="D13" s="96">
        <v>1218331.0</v>
      </c>
      <c r="E13" s="97">
        <v>457574.0</v>
      </c>
      <c r="F13" s="97">
        <v>213951.0</v>
      </c>
      <c r="G13" s="97">
        <v>282274.0</v>
      </c>
      <c r="H13" s="97">
        <v>201546.0</v>
      </c>
      <c r="I13" s="97">
        <v>136579.0</v>
      </c>
      <c r="J13" s="97">
        <v>61707.0</v>
      </c>
      <c r="K13" s="97">
        <v>8390.0</v>
      </c>
      <c r="L13" s="97">
        <v>4446674.0</v>
      </c>
    </row>
    <row r="14">
      <c r="B14" s="98" t="s">
        <v>101</v>
      </c>
      <c r="C14" s="99">
        <v>2.214249E7</v>
      </c>
      <c r="D14" s="99">
        <v>2.0361312E7</v>
      </c>
      <c r="E14" s="100">
        <v>1.8454751E7</v>
      </c>
      <c r="F14" s="100">
        <v>1.8417887E7</v>
      </c>
      <c r="G14" s="100">
        <v>2.3872599E7</v>
      </c>
      <c r="H14" s="100">
        <v>2.5217424E7</v>
      </c>
      <c r="I14" s="100">
        <v>2.3166477E7</v>
      </c>
      <c r="J14" s="100">
        <v>2.1270404E7</v>
      </c>
      <c r="K14" s="100">
        <v>1.9667936E7</v>
      </c>
      <c r="L14" s="100">
        <v>1.9257128E8</v>
      </c>
    </row>
    <row r="16">
      <c r="A16" s="101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>
      <c r="A17" s="101"/>
      <c r="B17" s="102" t="s">
        <v>151</v>
      </c>
    </row>
    <row r="18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>
      <c r="A19" s="101"/>
      <c r="B19" s="101"/>
      <c r="C19" s="103" t="s">
        <v>152</v>
      </c>
      <c r="D19" s="101"/>
      <c r="E19" s="101"/>
      <c r="F19" s="104" t="s">
        <v>153</v>
      </c>
      <c r="G19" s="101"/>
      <c r="H19" s="101"/>
      <c r="I19" s="101"/>
      <c r="J19" s="101"/>
      <c r="K19" s="101"/>
      <c r="L19" s="101"/>
      <c r="M19" s="101"/>
      <c r="N19" s="101"/>
      <c r="O19" s="101"/>
    </row>
    <row r="20">
      <c r="A20" s="101"/>
      <c r="B20" s="101"/>
      <c r="C20" s="105" t="s">
        <v>154</v>
      </c>
      <c r="D20" s="101"/>
      <c r="E20" s="101"/>
      <c r="F20" s="106" t="s">
        <v>155</v>
      </c>
      <c r="G20" s="101"/>
      <c r="H20" s="101"/>
      <c r="I20" s="101"/>
      <c r="J20" s="101"/>
      <c r="K20" s="101"/>
      <c r="L20" s="101"/>
      <c r="M20" s="101"/>
      <c r="N20" s="101"/>
      <c r="O20" s="101"/>
    </row>
    <row r="21">
      <c r="A21" s="101"/>
      <c r="B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</row>
    <row r="23">
      <c r="A23" s="42" t="s">
        <v>150</v>
      </c>
      <c r="B23" s="61" t="s">
        <v>156</v>
      </c>
      <c r="C23" s="62" t="s">
        <v>157</v>
      </c>
      <c r="D23" s="63" t="s">
        <v>153</v>
      </c>
      <c r="E23" s="109"/>
      <c r="F23" s="61" t="s">
        <v>158</v>
      </c>
      <c r="G23" s="62" t="s">
        <v>159</v>
      </c>
      <c r="H23" s="67" t="s">
        <v>153</v>
      </c>
      <c r="I23" s="109"/>
      <c r="J23" s="66" t="s">
        <v>160</v>
      </c>
      <c r="K23" s="62" t="s">
        <v>161</v>
      </c>
      <c r="L23" s="67" t="s">
        <v>153</v>
      </c>
      <c r="M23" s="109"/>
      <c r="N23" s="66" t="s">
        <v>162</v>
      </c>
      <c r="O23" s="62" t="s">
        <v>163</v>
      </c>
      <c r="P23" s="67" t="s">
        <v>153</v>
      </c>
      <c r="Q23" s="109"/>
      <c r="R23" s="61" t="s">
        <v>164</v>
      </c>
      <c r="S23" s="62" t="s">
        <v>165</v>
      </c>
      <c r="T23" s="68" t="s">
        <v>153</v>
      </c>
      <c r="U23" s="109"/>
      <c r="V23" s="61" t="s">
        <v>166</v>
      </c>
      <c r="W23" s="69" t="s">
        <v>167</v>
      </c>
      <c r="X23" s="68" t="s">
        <v>153</v>
      </c>
      <c r="Y23" s="109"/>
      <c r="Z23" s="61" t="s">
        <v>168</v>
      </c>
      <c r="AA23" s="69" t="s">
        <v>169</v>
      </c>
      <c r="AB23" s="68" t="s">
        <v>153</v>
      </c>
      <c r="AC23" s="109"/>
      <c r="AD23" s="66" t="s">
        <v>170</v>
      </c>
      <c r="AE23" s="69" t="s">
        <v>171</v>
      </c>
      <c r="AF23" s="68" t="s">
        <v>153</v>
      </c>
      <c r="AG23" s="109"/>
      <c r="AH23" s="61" t="s">
        <v>172</v>
      </c>
      <c r="AI23" s="69" t="s">
        <v>173</v>
      </c>
      <c r="AJ23" s="68" t="s">
        <v>153</v>
      </c>
    </row>
    <row r="24">
      <c r="A24" s="43">
        <v>2024.0</v>
      </c>
      <c r="B24" s="61"/>
      <c r="C24" s="81">
        <f t="shared" ref="C24:C30" si="3">(3*B25 + 2*B26 + B27)/6</f>
        <v>337437.1667</v>
      </c>
      <c r="D24" s="63"/>
      <c r="E24" s="109"/>
      <c r="F24" s="61"/>
      <c r="G24" s="81">
        <f t="shared" ref="G24:G30" si="4">(3*F25 + 2*F26 + F27)/6</f>
        <v>2401581</v>
      </c>
      <c r="H24" s="67"/>
      <c r="I24" s="109"/>
      <c r="J24" s="66"/>
      <c r="K24" s="81">
        <f t="shared" ref="K24:K30" si="5">(3*J25 + 2*J26 + J27)/6</f>
        <v>1482.5</v>
      </c>
      <c r="L24" s="67"/>
      <c r="M24" s="109"/>
      <c r="N24" s="66"/>
      <c r="O24" s="81">
        <f t="shared" ref="O24:O30" si="6">(3*N25 + 2*N26 + N27)/6</f>
        <v>1163102.333</v>
      </c>
      <c r="P24" s="67"/>
      <c r="Q24" s="109"/>
      <c r="R24" s="61"/>
      <c r="S24" s="81">
        <f t="shared" ref="S24:S30" si="7">(3*R25 + 2*R26 + R27)/6</f>
        <v>20442</v>
      </c>
      <c r="T24" s="68"/>
      <c r="U24" s="109"/>
      <c r="V24" s="61"/>
      <c r="W24" s="81">
        <f t="shared" ref="W24:W30" si="8">(3*V25 + 2*V26 + V27)/6</f>
        <v>17445918.67</v>
      </c>
      <c r="X24" s="68"/>
      <c r="Y24" s="109"/>
      <c r="Z24" s="61"/>
      <c r="AA24" s="81">
        <f t="shared" ref="AA24:AA30" si="9">(3*Z25 + 2*Z26 + Z27)/6</f>
        <v>455446.8333</v>
      </c>
      <c r="AB24" s="68"/>
      <c r="AC24" s="109"/>
      <c r="AD24" s="66"/>
      <c r="AE24" s="81">
        <f t="shared" ref="AE24:AE30" si="10">(3*AD25 + 2*AD26 + AD27)/6</f>
        <v>250948.3333</v>
      </c>
      <c r="AF24" s="68"/>
      <c r="AG24" s="109"/>
      <c r="AH24" s="61"/>
      <c r="AI24" s="81">
        <f t="shared" ref="AI24:AI30" si="11">(3*AH25 + 2*AH26 + AH27)/6</f>
        <v>9500</v>
      </c>
      <c r="AJ24" s="68"/>
    </row>
    <row r="25">
      <c r="A25" s="42">
        <v>2023.0</v>
      </c>
      <c r="B25" s="44">
        <v>421145.0</v>
      </c>
      <c r="C25" s="82">
        <f t="shared" si="3"/>
        <v>211362.1667</v>
      </c>
      <c r="D25" s="71">
        <f t="shared" ref="D25:D30" si="12">abs(B25-C25)</f>
        <v>209782.8333</v>
      </c>
      <c r="E25" s="77"/>
      <c r="F25" s="44">
        <v>2568218.0</v>
      </c>
      <c r="G25" s="82">
        <f t="shared" si="4"/>
        <v>2181513</v>
      </c>
      <c r="H25" s="73">
        <f t="shared" ref="H25:H30" si="13">abs(F25-G25)</f>
        <v>386705</v>
      </c>
      <c r="I25" s="77"/>
      <c r="J25" s="45">
        <v>2462.0</v>
      </c>
      <c r="K25" s="110">
        <f t="shared" si="5"/>
        <v>866.3333333</v>
      </c>
      <c r="L25" s="73">
        <f t="shared" ref="L25:L30" si="14">abs(J25-K25)</f>
        <v>1595.666667</v>
      </c>
      <c r="M25" s="77"/>
      <c r="N25" s="45">
        <v>1532344.0</v>
      </c>
      <c r="O25" s="82">
        <f t="shared" si="6"/>
        <v>643805.3333</v>
      </c>
      <c r="P25" s="73">
        <f t="shared" ref="P25:P30" si="15">abs(N25-O25)</f>
        <v>888538.6667</v>
      </c>
      <c r="Q25" s="77"/>
      <c r="R25" s="44">
        <v>26812.0</v>
      </c>
      <c r="S25" s="82">
        <f t="shared" si="7"/>
        <v>13323</v>
      </c>
      <c r="T25" s="73">
        <f t="shared" ref="T25:T30" si="16">abs(R25-S25)</f>
        <v>13489</v>
      </c>
      <c r="U25" s="77"/>
      <c r="V25" s="44">
        <v>1.8138477E7</v>
      </c>
      <c r="W25" s="110">
        <f t="shared" si="8"/>
        <v>16552744</v>
      </c>
      <c r="X25" s="73">
        <f t="shared" ref="X25:X30" si="17">abs(V25-W25)</f>
        <v>1585733</v>
      </c>
      <c r="Y25" s="77"/>
      <c r="Z25" s="44">
        <v>536677.0</v>
      </c>
      <c r="AA25" s="110">
        <f t="shared" si="9"/>
        <v>342148.1667</v>
      </c>
      <c r="AB25" s="73">
        <f t="shared" ref="AB25:AB30" si="18">abs(Z25-AA25)</f>
        <v>194528.8333</v>
      </c>
      <c r="AC25" s="77"/>
      <c r="AD25" s="45">
        <v>331515.0</v>
      </c>
      <c r="AE25" s="110">
        <f t="shared" si="10"/>
        <v>152677</v>
      </c>
      <c r="AF25" s="73">
        <f t="shared" ref="AF25:AF30" si="19">abs(AD25-AE25)</f>
        <v>178838</v>
      </c>
      <c r="AG25" s="77"/>
      <c r="AH25" s="44">
        <v>4693.0</v>
      </c>
      <c r="AI25" s="110">
        <f t="shared" si="11"/>
        <v>19037.83333</v>
      </c>
      <c r="AJ25" s="73">
        <f t="shared" ref="AJ25:AJ30" si="20">abs(AH25-AI25)</f>
        <v>14344.83333</v>
      </c>
    </row>
    <row r="26">
      <c r="A26" s="42">
        <v>2022.0</v>
      </c>
      <c r="B26" s="44">
        <v>297430.0</v>
      </c>
      <c r="C26" s="82">
        <f t="shared" si="3"/>
        <v>103149.5</v>
      </c>
      <c r="D26" s="71">
        <f t="shared" si="12"/>
        <v>194280.5</v>
      </c>
      <c r="E26" s="77"/>
      <c r="F26" s="44">
        <v>2345606.0</v>
      </c>
      <c r="G26" s="82">
        <f t="shared" si="4"/>
        <v>2169285.667</v>
      </c>
      <c r="H26" s="73">
        <f t="shared" si="13"/>
        <v>176320.3333</v>
      </c>
      <c r="I26" s="77"/>
      <c r="J26" s="45">
        <v>737.0</v>
      </c>
      <c r="K26" s="110">
        <f t="shared" si="5"/>
        <v>7507.166667</v>
      </c>
      <c r="L26" s="73">
        <f t="shared" si="14"/>
        <v>6770.166667</v>
      </c>
      <c r="M26" s="77"/>
      <c r="N26" s="45">
        <v>1025003.0</v>
      </c>
      <c r="O26" s="82">
        <f t="shared" si="6"/>
        <v>235158.5</v>
      </c>
      <c r="P26" s="73">
        <f t="shared" si="15"/>
        <v>789844.5</v>
      </c>
      <c r="Q26" s="77"/>
      <c r="R26" s="44">
        <v>14404.0</v>
      </c>
      <c r="S26" s="82">
        <f t="shared" si="7"/>
        <v>10651.66667</v>
      </c>
      <c r="T26" s="73">
        <f t="shared" si="16"/>
        <v>3752.333333</v>
      </c>
      <c r="U26" s="77"/>
      <c r="V26" s="44">
        <v>1.7185926E7</v>
      </c>
      <c r="W26" s="110">
        <f t="shared" si="8"/>
        <v>16654102.17</v>
      </c>
      <c r="X26" s="73">
        <f t="shared" si="17"/>
        <v>531823.8333</v>
      </c>
      <c r="Y26" s="77"/>
      <c r="Z26" s="44">
        <v>425922.0</v>
      </c>
      <c r="AA26" s="110">
        <f t="shared" si="9"/>
        <v>282687</v>
      </c>
      <c r="AB26" s="73">
        <f t="shared" si="18"/>
        <v>143235</v>
      </c>
      <c r="AC26" s="77"/>
      <c r="AD26" s="45">
        <v>192591.0</v>
      </c>
      <c r="AE26" s="110">
        <f t="shared" si="10"/>
        <v>104484</v>
      </c>
      <c r="AF26" s="73">
        <f t="shared" si="19"/>
        <v>88107</v>
      </c>
      <c r="AG26" s="77"/>
      <c r="AH26" s="44">
        <v>11544.0</v>
      </c>
      <c r="AI26" s="110">
        <f t="shared" si="11"/>
        <v>41392</v>
      </c>
      <c r="AJ26" s="73">
        <f t="shared" si="20"/>
        <v>29848</v>
      </c>
    </row>
    <row r="27">
      <c r="A27" s="42">
        <v>2021.0</v>
      </c>
      <c r="B27" s="44">
        <v>166328.0</v>
      </c>
      <c r="C27" s="82">
        <f t="shared" si="3"/>
        <v>38004.66667</v>
      </c>
      <c r="D27" s="71">
        <f t="shared" si="12"/>
        <v>128323.3333</v>
      </c>
      <c r="E27" s="77"/>
      <c r="F27" s="44">
        <v>2013620.0</v>
      </c>
      <c r="G27" s="82">
        <f t="shared" si="4"/>
        <v>2517860.333</v>
      </c>
      <c r="H27" s="73">
        <f t="shared" si="13"/>
        <v>504240.3333</v>
      </c>
      <c r="I27" s="77"/>
      <c r="J27" s="45">
        <v>35.0</v>
      </c>
      <c r="K27" s="110">
        <f t="shared" si="5"/>
        <v>24416.5</v>
      </c>
      <c r="L27" s="73">
        <f t="shared" si="14"/>
        <v>24381.5</v>
      </c>
      <c r="M27" s="77"/>
      <c r="N27" s="45">
        <v>331576.0</v>
      </c>
      <c r="O27" s="82">
        <f t="shared" si="6"/>
        <v>139670.5</v>
      </c>
      <c r="P27" s="73">
        <f t="shared" si="15"/>
        <v>191905.5</v>
      </c>
      <c r="Q27" s="77"/>
      <c r="R27" s="44">
        <v>13408.0</v>
      </c>
      <c r="S27" s="82">
        <f t="shared" si="7"/>
        <v>6921.666667</v>
      </c>
      <c r="T27" s="73">
        <f t="shared" si="16"/>
        <v>6486.333333</v>
      </c>
      <c r="U27" s="77"/>
      <c r="V27" s="44">
        <v>1.5888229E7</v>
      </c>
      <c r="W27" s="110">
        <f t="shared" si="8"/>
        <v>18306599.5</v>
      </c>
      <c r="X27" s="73">
        <f t="shared" si="17"/>
        <v>2418370.5</v>
      </c>
      <c r="Y27" s="77"/>
      <c r="Z27" s="44">
        <v>270806.0</v>
      </c>
      <c r="AA27" s="110">
        <f t="shared" si="9"/>
        <v>332201.8333</v>
      </c>
      <c r="AB27" s="73">
        <f t="shared" si="18"/>
        <v>61395.83333</v>
      </c>
      <c r="AC27" s="77"/>
      <c r="AD27" s="45">
        <v>125963.0</v>
      </c>
      <c r="AE27" s="110">
        <f t="shared" si="10"/>
        <v>70570.83333</v>
      </c>
      <c r="AF27" s="73">
        <f t="shared" si="19"/>
        <v>55392.16667</v>
      </c>
      <c r="AG27" s="77"/>
      <c r="AH27" s="44">
        <v>19833.0</v>
      </c>
      <c r="AI27" s="110">
        <f t="shared" si="11"/>
        <v>76931.66667</v>
      </c>
      <c r="AJ27" s="73">
        <f t="shared" si="20"/>
        <v>57098.66667</v>
      </c>
    </row>
    <row r="28">
      <c r="A28" s="42">
        <v>2020.0</v>
      </c>
      <c r="B28" s="44">
        <v>43227.0</v>
      </c>
      <c r="C28" s="82">
        <f t="shared" si="3"/>
        <v>31564.16667</v>
      </c>
      <c r="D28" s="71">
        <f t="shared" si="12"/>
        <v>11662.83333</v>
      </c>
      <c r="E28" s="77"/>
      <c r="F28" s="44">
        <v>2025020.0</v>
      </c>
      <c r="G28" s="82">
        <f t="shared" si="4"/>
        <v>3000798.5</v>
      </c>
      <c r="H28" s="73">
        <f t="shared" si="13"/>
        <v>975778.5</v>
      </c>
      <c r="I28" s="77"/>
      <c r="J28" s="45">
        <v>2917.0</v>
      </c>
      <c r="K28" s="110">
        <f t="shared" si="5"/>
        <v>47478.16667</v>
      </c>
      <c r="L28" s="73">
        <f t="shared" si="14"/>
        <v>44561.16667</v>
      </c>
      <c r="M28" s="77"/>
      <c r="N28" s="45">
        <v>124671.0</v>
      </c>
      <c r="O28" s="82">
        <f t="shared" si="6"/>
        <v>141422.3333</v>
      </c>
      <c r="P28" s="73">
        <f t="shared" si="15"/>
        <v>16751.33333</v>
      </c>
      <c r="Q28" s="77"/>
      <c r="R28" s="44">
        <v>9910.0</v>
      </c>
      <c r="S28" s="82">
        <f t="shared" si="7"/>
        <v>3924.666667</v>
      </c>
      <c r="T28" s="73">
        <f t="shared" si="16"/>
        <v>5985.333333</v>
      </c>
      <c r="U28" s="77"/>
      <c r="V28" s="44">
        <v>1.5982228E7</v>
      </c>
      <c r="W28" s="110">
        <f t="shared" si="8"/>
        <v>20536986.5</v>
      </c>
      <c r="X28" s="73">
        <f t="shared" si="17"/>
        <v>4554758.5</v>
      </c>
      <c r="Y28" s="77"/>
      <c r="Z28" s="44">
        <v>233511.0</v>
      </c>
      <c r="AA28" s="110">
        <f t="shared" si="9"/>
        <v>418532.6667</v>
      </c>
      <c r="AB28" s="73">
        <f t="shared" si="18"/>
        <v>185021.6667</v>
      </c>
      <c r="AC28" s="77"/>
      <c r="AD28" s="45">
        <v>86363.0</v>
      </c>
      <c r="AE28" s="110">
        <f t="shared" si="10"/>
        <v>42181.66667</v>
      </c>
      <c r="AF28" s="73">
        <f t="shared" si="19"/>
        <v>44181.33333</v>
      </c>
      <c r="AG28" s="77"/>
      <c r="AH28" s="44">
        <v>39929.0</v>
      </c>
      <c r="AI28" s="110">
        <f t="shared" si="11"/>
        <v>110424.1667</v>
      </c>
      <c r="AJ28" s="73">
        <f t="shared" si="20"/>
        <v>70495.16667</v>
      </c>
    </row>
    <row r="29">
      <c r="A29" s="42">
        <v>2019.0</v>
      </c>
      <c r="B29" s="44">
        <v>33459.0</v>
      </c>
      <c r="C29" s="82">
        <f t="shared" si="3"/>
        <v>29412.5</v>
      </c>
      <c r="D29" s="71">
        <f t="shared" si="12"/>
        <v>4046.5</v>
      </c>
      <c r="E29" s="77"/>
      <c r="F29" s="44">
        <v>2924814.0</v>
      </c>
      <c r="G29" s="82">
        <f t="shared" si="4"/>
        <v>3005067</v>
      </c>
      <c r="H29" s="73">
        <f t="shared" si="13"/>
        <v>80253</v>
      </c>
      <c r="I29" s="77"/>
      <c r="J29" s="45">
        <v>39104.0</v>
      </c>
      <c r="K29" s="110">
        <f t="shared" si="5"/>
        <v>47820.16667</v>
      </c>
      <c r="L29" s="73">
        <f t="shared" si="14"/>
        <v>8716.166667</v>
      </c>
      <c r="M29" s="77"/>
      <c r="N29" s="45">
        <v>166881.0</v>
      </c>
      <c r="O29" s="82">
        <f t="shared" si="6"/>
        <v>102561</v>
      </c>
      <c r="P29" s="73">
        <f t="shared" si="15"/>
        <v>64320</v>
      </c>
      <c r="Q29" s="77"/>
      <c r="R29" s="44">
        <v>3866.0</v>
      </c>
      <c r="S29" s="82">
        <f t="shared" si="7"/>
        <v>3968</v>
      </c>
      <c r="T29" s="73">
        <f t="shared" si="16"/>
        <v>102</v>
      </c>
      <c r="U29" s="77"/>
      <c r="V29" s="44">
        <v>2.029547E7</v>
      </c>
      <c r="W29" s="110">
        <f t="shared" si="8"/>
        <v>20217566.83</v>
      </c>
      <c r="X29" s="73">
        <f t="shared" si="17"/>
        <v>77903.16667</v>
      </c>
      <c r="Y29" s="77"/>
      <c r="Z29" s="44">
        <v>416682.0</v>
      </c>
      <c r="AA29" s="110">
        <f t="shared" si="9"/>
        <v>399537</v>
      </c>
      <c r="AB29" s="73">
        <f t="shared" si="18"/>
        <v>17145</v>
      </c>
      <c r="AC29" s="77"/>
      <c r="AD29" s="45">
        <v>76289.0</v>
      </c>
      <c r="AE29" s="110">
        <f t="shared" si="10"/>
        <v>6202.666667</v>
      </c>
      <c r="AF29" s="73">
        <f t="shared" si="19"/>
        <v>70086.33333</v>
      </c>
      <c r="AG29" s="77"/>
      <c r="AH29" s="44">
        <v>108995.0</v>
      </c>
      <c r="AI29" s="110">
        <f t="shared" si="11"/>
        <v>104965</v>
      </c>
      <c r="AJ29" s="73">
        <f t="shared" si="20"/>
        <v>4030</v>
      </c>
    </row>
    <row r="30">
      <c r="A30" s="43">
        <v>2018.0</v>
      </c>
      <c r="B30" s="44">
        <v>31429.0</v>
      </c>
      <c r="C30" s="82">
        <f t="shared" si="3"/>
        <v>27408.5</v>
      </c>
      <c r="D30" s="71">
        <f t="shared" si="12"/>
        <v>4020.5</v>
      </c>
      <c r="E30" s="77"/>
      <c r="F30" s="44">
        <v>3182474.0</v>
      </c>
      <c r="G30" s="82">
        <f t="shared" si="4"/>
        <v>2804377.167</v>
      </c>
      <c r="H30" s="73">
        <f t="shared" si="13"/>
        <v>378096.8333</v>
      </c>
      <c r="I30" s="77"/>
      <c r="J30" s="45">
        <v>59540.0</v>
      </c>
      <c r="K30" s="110">
        <f t="shared" si="5"/>
        <v>28104.5</v>
      </c>
      <c r="L30" s="73">
        <f t="shared" si="14"/>
        <v>31435.5</v>
      </c>
      <c r="M30" s="77"/>
      <c r="N30" s="45">
        <v>130248.0</v>
      </c>
      <c r="O30" s="82">
        <f t="shared" si="6"/>
        <v>61607.5</v>
      </c>
      <c r="P30" s="73">
        <f t="shared" si="15"/>
        <v>68640.5</v>
      </c>
      <c r="Q30" s="77"/>
      <c r="R30" s="44">
        <v>4068.0</v>
      </c>
      <c r="S30" s="82">
        <f t="shared" si="7"/>
        <v>3788.5</v>
      </c>
      <c r="T30" s="73">
        <f t="shared" si="16"/>
        <v>279.5</v>
      </c>
      <c r="U30" s="77"/>
      <c r="V30" s="44">
        <v>2.1301973E7</v>
      </c>
      <c r="W30" s="110">
        <f t="shared" si="8"/>
        <v>18589703.17</v>
      </c>
      <c r="X30" s="73">
        <f t="shared" si="17"/>
        <v>2712269.833</v>
      </c>
      <c r="Y30" s="77"/>
      <c r="Z30" s="44">
        <v>459314.0</v>
      </c>
      <c r="AA30" s="110">
        <f t="shared" si="9"/>
        <v>325956.6667</v>
      </c>
      <c r="AB30" s="73">
        <f t="shared" si="18"/>
        <v>133357.3333</v>
      </c>
      <c r="AC30" s="77"/>
      <c r="AD30" s="45">
        <v>11758.0</v>
      </c>
      <c r="AE30" s="110">
        <f t="shared" si="10"/>
        <v>544.8333333</v>
      </c>
      <c r="AF30" s="73">
        <f t="shared" si="19"/>
        <v>11213.16667</v>
      </c>
      <c r="AG30" s="77"/>
      <c r="AH30" s="44">
        <v>123813.0</v>
      </c>
      <c r="AI30" s="110">
        <f t="shared" si="11"/>
        <v>83116.83333</v>
      </c>
      <c r="AJ30" s="73">
        <f t="shared" si="20"/>
        <v>40696.16667</v>
      </c>
    </row>
    <row r="31">
      <c r="A31" s="43">
        <v>2017.0</v>
      </c>
      <c r="B31" s="44">
        <v>26150.0</v>
      </c>
      <c r="C31" s="48" t="s">
        <v>174</v>
      </c>
      <c r="D31" s="75" t="s">
        <v>174</v>
      </c>
      <c r="E31" s="1"/>
      <c r="F31" s="44">
        <v>2865401.0</v>
      </c>
      <c r="G31" s="48" t="s">
        <v>174</v>
      </c>
      <c r="H31" s="76" t="s">
        <v>174</v>
      </c>
      <c r="I31" s="1"/>
      <c r="J31" s="45">
        <v>48477.0</v>
      </c>
      <c r="K31" s="48" t="s">
        <v>174</v>
      </c>
      <c r="L31" s="76" t="s">
        <v>174</v>
      </c>
      <c r="M31" s="1"/>
      <c r="N31" s="45">
        <v>87395.0</v>
      </c>
      <c r="O31" s="48" t="s">
        <v>174</v>
      </c>
      <c r="P31" s="76" t="s">
        <v>174</v>
      </c>
      <c r="Q31" s="1"/>
      <c r="R31" s="44">
        <v>3814.0</v>
      </c>
      <c r="S31" s="48" t="s">
        <v>174</v>
      </c>
      <c r="T31" s="76" t="s">
        <v>174</v>
      </c>
      <c r="U31" s="1"/>
      <c r="V31" s="44">
        <v>1.9731563E7</v>
      </c>
      <c r="W31" s="48" t="s">
        <v>174</v>
      </c>
      <c r="X31" s="76" t="s">
        <v>174</v>
      </c>
      <c r="Y31" s="1"/>
      <c r="Z31" s="44">
        <v>342522.0</v>
      </c>
      <c r="AA31" s="48" t="s">
        <v>174</v>
      </c>
      <c r="AB31" s="76" t="s">
        <v>174</v>
      </c>
      <c r="AC31" s="1"/>
      <c r="AD31" s="45">
        <v>707.0</v>
      </c>
      <c r="AE31" s="48" t="s">
        <v>174</v>
      </c>
      <c r="AF31" s="76" t="s">
        <v>174</v>
      </c>
      <c r="AG31" s="1"/>
      <c r="AH31" s="44">
        <v>87934.0</v>
      </c>
      <c r="AI31" s="48" t="s">
        <v>174</v>
      </c>
      <c r="AJ31" s="76" t="s">
        <v>174</v>
      </c>
    </row>
    <row r="32">
      <c r="A32" s="43">
        <v>2016.0</v>
      </c>
      <c r="B32" s="44">
        <v>29888.0</v>
      </c>
      <c r="C32" s="48" t="s">
        <v>174</v>
      </c>
      <c r="D32" s="75" t="s">
        <v>174</v>
      </c>
      <c r="E32" s="1"/>
      <c r="F32" s="44">
        <v>2752178.0</v>
      </c>
      <c r="G32" s="48" t="s">
        <v>174</v>
      </c>
      <c r="H32" s="76" t="s">
        <v>174</v>
      </c>
      <c r="I32" s="1"/>
      <c r="J32" s="45">
        <v>11347.0</v>
      </c>
      <c r="K32" s="48" t="s">
        <v>174</v>
      </c>
      <c r="L32" s="76" t="s">
        <v>174</v>
      </c>
      <c r="M32" s="1"/>
      <c r="N32" s="45">
        <v>49832.0</v>
      </c>
      <c r="O32" s="48" t="s">
        <v>174</v>
      </c>
      <c r="P32" s="76" t="s">
        <v>174</v>
      </c>
      <c r="Q32" s="1"/>
      <c r="R32" s="44">
        <v>3976.0</v>
      </c>
      <c r="S32" s="48" t="s">
        <v>174</v>
      </c>
      <c r="T32" s="76" t="s">
        <v>174</v>
      </c>
      <c r="U32" s="1"/>
      <c r="V32" s="44">
        <v>1.7936356E7</v>
      </c>
      <c r="W32" s="48" t="s">
        <v>174</v>
      </c>
      <c r="X32" s="76" t="s">
        <v>174</v>
      </c>
      <c r="Y32" s="1"/>
      <c r="Z32" s="44">
        <v>334236.0</v>
      </c>
      <c r="AA32" s="48" t="s">
        <v>174</v>
      </c>
      <c r="AB32" s="76" t="s">
        <v>174</v>
      </c>
      <c r="AC32" s="1"/>
      <c r="AD32" s="45">
        <v>528.0</v>
      </c>
      <c r="AE32" s="48" t="s">
        <v>174</v>
      </c>
      <c r="AF32" s="76" t="s">
        <v>174</v>
      </c>
      <c r="AG32" s="1"/>
      <c r="AH32" s="44">
        <v>82483.0</v>
      </c>
      <c r="AI32" s="48" t="s">
        <v>174</v>
      </c>
      <c r="AJ32" s="76" t="s">
        <v>174</v>
      </c>
    </row>
    <row r="33">
      <c r="A33" s="43">
        <v>2015.0</v>
      </c>
      <c r="B33" s="44">
        <v>26225.0</v>
      </c>
      <c r="C33" s="48" t="s">
        <v>174</v>
      </c>
      <c r="D33" s="75" t="s">
        <v>174</v>
      </c>
      <c r="E33" s="1"/>
      <c r="F33" s="44">
        <v>2725704.0</v>
      </c>
      <c r="G33" s="48" t="s">
        <v>174</v>
      </c>
      <c r="H33" s="76" t="s">
        <v>174</v>
      </c>
      <c r="I33" s="1"/>
      <c r="J33" s="45">
        <v>502.0</v>
      </c>
      <c r="K33" s="48" t="s">
        <v>174</v>
      </c>
      <c r="L33" s="76" t="s">
        <v>174</v>
      </c>
      <c r="M33" s="1"/>
      <c r="N33" s="45">
        <v>7796.0</v>
      </c>
      <c r="O33" s="48" t="s">
        <v>174</v>
      </c>
      <c r="P33" s="76" t="s">
        <v>174</v>
      </c>
      <c r="Q33" s="1"/>
      <c r="R33" s="44">
        <v>3337.0</v>
      </c>
      <c r="S33" s="48" t="s">
        <v>174</v>
      </c>
      <c r="T33" s="76" t="s">
        <v>174</v>
      </c>
      <c r="U33" s="1"/>
      <c r="V33" s="44">
        <v>1.6470818E7</v>
      </c>
      <c r="W33" s="48" t="s">
        <v>174</v>
      </c>
      <c r="X33" s="76" t="s">
        <v>174</v>
      </c>
      <c r="Y33" s="1"/>
      <c r="Z33" s="44">
        <v>259702.0</v>
      </c>
      <c r="AA33" s="48" t="s">
        <v>174</v>
      </c>
      <c r="AB33" s="76" t="s">
        <v>174</v>
      </c>
      <c r="AC33" s="1"/>
      <c r="AD33" s="45">
        <v>92.0</v>
      </c>
      <c r="AE33" s="48" t="s">
        <v>174</v>
      </c>
      <c r="AF33" s="76" t="s">
        <v>174</v>
      </c>
      <c r="AG33" s="1"/>
      <c r="AH33" s="44">
        <v>69933.0</v>
      </c>
      <c r="AI33" s="48" t="s">
        <v>174</v>
      </c>
      <c r="AJ33" s="76" t="s">
        <v>174</v>
      </c>
    </row>
    <row r="34">
      <c r="C34" s="1" t="s">
        <v>147</v>
      </c>
      <c r="D34" s="21">
        <f>average(D25^2, D26^2, D27^2, D28^2,D29^2,D30^2)</f>
        <v>16398197997</v>
      </c>
      <c r="G34" s="1" t="s">
        <v>147</v>
      </c>
      <c r="H34" s="21">
        <f>average(H25^2, H26^2, H27^2, H28^2,H29^2,H30^2)</f>
        <v>256071561863</v>
      </c>
      <c r="K34" s="1" t="s">
        <v>147</v>
      </c>
      <c r="L34" s="21">
        <f>average(L25^2, L26^2, L27^2, L28^2,L29^2,L30^2)</f>
        <v>615449774.6</v>
      </c>
      <c r="O34" s="1" t="s">
        <v>147</v>
      </c>
      <c r="P34" s="21">
        <f>average(P25^2, P26^2, P27^2, P28^2,P29^2,P30^2)</f>
        <v>243218700847</v>
      </c>
      <c r="S34" s="1" t="s">
        <v>147</v>
      </c>
      <c r="T34" s="21">
        <f>average(T25^2, T26^2, T27^2, T28^2,T29^2,T30^2)</f>
        <v>45669730.99</v>
      </c>
      <c r="W34" s="1" t="s">
        <v>147</v>
      </c>
      <c r="X34" s="21">
        <f>average(X25^2, X26^2, X27^2, X28^2,X29^2,X30^2)</f>
        <v>6125700526295</v>
      </c>
      <c r="AA34" s="1" t="s">
        <v>147</v>
      </c>
      <c r="AB34" s="21">
        <f>average(AB25^2, AB26^2, AB27^2, AB28^2,AB29^2,AB30^2)</f>
        <v>19073054515</v>
      </c>
      <c r="AE34" s="1" t="s">
        <v>147</v>
      </c>
      <c r="AF34" s="21">
        <f>average(AF25^2, AF26^2, AF27^2, AF28^2,AF29^2,AF30^2)</f>
        <v>8300664210</v>
      </c>
      <c r="AI34" s="1" t="s">
        <v>147</v>
      </c>
      <c r="AJ34" s="21">
        <f>average(AJ25^2, AJ26^2, AJ27^2, AJ28^2,AJ29^2,AJ30^2)</f>
        <v>1833153748</v>
      </c>
    </row>
    <row r="35">
      <c r="C35" s="1" t="s">
        <v>148</v>
      </c>
      <c r="D35" s="77">
        <f>SQRT(D34)</f>
        <v>128055.4489</v>
      </c>
      <c r="E35" s="77"/>
      <c r="G35" s="1" t="s">
        <v>148</v>
      </c>
      <c r="H35" s="77">
        <f>SQRT(H34)</f>
        <v>506035.139</v>
      </c>
      <c r="I35" s="77"/>
      <c r="K35" s="1" t="s">
        <v>148</v>
      </c>
      <c r="L35" s="77">
        <f>SQRT(L34)</f>
        <v>24808.26021</v>
      </c>
      <c r="M35" s="77"/>
      <c r="O35" s="1" t="s">
        <v>148</v>
      </c>
      <c r="P35" s="77">
        <f>SQRT(P34)</f>
        <v>493172.0804</v>
      </c>
      <c r="Q35" s="77"/>
      <c r="S35" s="1" t="s">
        <v>148</v>
      </c>
      <c r="T35" s="77">
        <f>SQRT(T34)</f>
        <v>6757.938368</v>
      </c>
      <c r="U35" s="77"/>
      <c r="W35" s="1" t="s">
        <v>148</v>
      </c>
      <c r="X35" s="77">
        <f>SQRT(X34)</f>
        <v>2475015.258</v>
      </c>
      <c r="Y35" s="77"/>
      <c r="AA35" s="1" t="s">
        <v>148</v>
      </c>
      <c r="AB35" s="77">
        <f>SQRT(AB34)</f>
        <v>138105.2299</v>
      </c>
      <c r="AC35" s="77"/>
      <c r="AE35" s="1" t="s">
        <v>148</v>
      </c>
      <c r="AF35" s="77">
        <f>SQRT(AF34)</f>
        <v>91107.98105</v>
      </c>
      <c r="AG35" s="77"/>
      <c r="AI35" s="1" t="s">
        <v>148</v>
      </c>
      <c r="AJ35" s="77">
        <f>SQRT(AJ34)</f>
        <v>42815.34477</v>
      </c>
    </row>
    <row r="36">
      <c r="C36" s="1" t="s">
        <v>140</v>
      </c>
      <c r="D36" s="79">
        <f>average(D25/B25,D26/B26,D27/B27,D28/B28,D29/B29,D30/B30)</f>
        <v>0.4069161215</v>
      </c>
      <c r="E36" s="79"/>
      <c r="G36" s="1" t="s">
        <v>140</v>
      </c>
      <c r="H36" s="79">
        <f>average(H25/F25,H26/F26,H27/F27,H28/F28,H29/F29,H30/F30)</f>
        <v>0.1840440635</v>
      </c>
      <c r="I36" s="79"/>
      <c r="K36" s="1" t="s">
        <v>140</v>
      </c>
      <c r="L36" s="79">
        <f>average(L25/J25,L26/J26,L27/J27,L28/J28,L29/J29,L30/J30)</f>
        <v>120.4126262</v>
      </c>
      <c r="M36" s="79"/>
      <c r="O36" s="1" t="s">
        <v>140</v>
      </c>
      <c r="P36" s="79">
        <f>average(P25/N25,P26/N26,P27/N27,P28/N28,P29/N29,P30/N30)</f>
        <v>0.4959980889</v>
      </c>
      <c r="Q36" s="79"/>
      <c r="S36" s="1" t="s">
        <v>140</v>
      </c>
      <c r="T36" s="79">
        <f>average(T25/R25,T26/R26,T27/R27,T28/R28,T29/R29,T30/R30)</f>
        <v>0.3244046293</v>
      </c>
      <c r="U36" s="79"/>
      <c r="W36" s="1" t="s">
        <v>140</v>
      </c>
      <c r="X36" s="79">
        <f>average(X25/V25,X26/V26,X27/V27,X28/V28,X29/V29,X30/V30)</f>
        <v>0.1144554514</v>
      </c>
      <c r="Y36" s="79"/>
      <c r="AA36" s="1" t="s">
        <v>140</v>
      </c>
      <c r="AB36" s="79">
        <f>average(AB25/Z25,AB26/Z26,AB27/Z27,AB28/Z28,AB29/Z29,AB30/Z30)</f>
        <v>0.3415519447</v>
      </c>
      <c r="AC36" s="79"/>
      <c r="AE36" s="1" t="s">
        <v>140</v>
      </c>
      <c r="AF36" s="79">
        <f>average(AF25/AD25,AF26/AD26,AF27/AD27,AF28/AD28,AF29/AD29,AF30/AD30)</f>
        <v>0.6367706119</v>
      </c>
      <c r="AG36" s="79"/>
      <c r="AI36" s="1" t="s">
        <v>140</v>
      </c>
      <c r="AJ36" s="79">
        <f>average(AJ25/AH25,AJ26/AH26,AJ27/AH27,AJ28/AH28,AJ29/AH29,AJ30/AH30)</f>
        <v>1.775396782</v>
      </c>
    </row>
    <row r="37">
      <c r="C37" s="1" t="s">
        <v>141</v>
      </c>
      <c r="D37" s="21">
        <f>((ABS(B25-C25)+ABS(B26-C26)+ABS(B27-C27)+ABS(B28-C28)+ABS(B29-C29)+ABS(B30-C30))/COUNT(B25:B30))</f>
        <v>92019.41667</v>
      </c>
      <c r="G37" s="1" t="s">
        <v>141</v>
      </c>
      <c r="H37" s="21">
        <f>((ABS(F25-G25)+ABS(F26-G26)+ABS(F27-G27)+ABS(F28-G28)+ABS(F29-G29)+ABS(F30-G30))/COUNT(F25:F30))</f>
        <v>416899</v>
      </c>
      <c r="K37" s="1" t="s">
        <v>141</v>
      </c>
      <c r="L37" s="21">
        <f>((ABS(J25-K25)+ABS(J26-K26)+ABS(J27-K27)+ABS(J28-K28)+ABS(J29-K29)+ABS(J30-K30))/COUNT(J25:J30))</f>
        <v>19576.69444</v>
      </c>
      <c r="O37" s="1" t="s">
        <v>141</v>
      </c>
      <c r="P37" s="21">
        <f>((ABS(N25-O25)+ABS(N26-O26)+ABS(N27-O27)+ABS(N28-O28)+ABS(N29-O29)+ABS(N30-O30))/COUNT(N25:N30))</f>
        <v>336666.75</v>
      </c>
      <c r="S37" s="1" t="s">
        <v>141</v>
      </c>
      <c r="T37" s="21">
        <f>((ABS(R25-S25)+ABS(R26-S26)+ABS(R27-S27)+ABS(R28-S28)+ABS(R29-S29)+ABS(R30-S30))/COUNT(R25:R30))</f>
        <v>5015.75</v>
      </c>
      <c r="W37" s="1" t="s">
        <v>141</v>
      </c>
      <c r="X37" s="21">
        <f>((ABS(V25-W25)+ABS(V26-W26)+ABS(V27-W27)+ABS(V28-W28)+ABS(V29-W29)+ABS(V30-W30))/COUNT(V25:V30))</f>
        <v>1980143.139</v>
      </c>
      <c r="AA37" s="1" t="s">
        <v>141</v>
      </c>
      <c r="AB37" s="21">
        <f>((ABS(Z25-AA25)+ABS(Z26-AA26)+ABS(Z27-AA27)+ABS(Z28-AA28)+ABS(Z29-AA29)+ABS(Z30-AA30))/COUNT(Z25:Z30))</f>
        <v>122447.2778</v>
      </c>
      <c r="AE37" s="1" t="s">
        <v>141</v>
      </c>
      <c r="AF37" s="21">
        <f>((ABS(AD25-AE25)+ABS(AD26-AE26)+ABS(AD27-AE27)+ABS(AD28-AE28)+ABS(AD29-AE29)+ABS(AD30-AE30))/COUNT(AD25:AD30))</f>
        <v>74636.33333</v>
      </c>
      <c r="AI37" s="1" t="s">
        <v>141</v>
      </c>
      <c r="AJ37" s="21">
        <f>((ABS(AH25-AI25)+ABS(AH26-AI26)+ABS(AH27-AI27)+ABS(AH28-AI28)+ABS(AH29-AI29)+ABS(AH30-AI30))/COUNT(AH25:AH30))</f>
        <v>36085.47222</v>
      </c>
    </row>
    <row r="40">
      <c r="A40" s="42" t="s">
        <v>150</v>
      </c>
      <c r="B40" s="66" t="s">
        <v>142</v>
      </c>
      <c r="C40" s="69" t="s">
        <v>143</v>
      </c>
      <c r="D40" s="63" t="s">
        <v>153</v>
      </c>
      <c r="E40" s="80"/>
      <c r="F40" s="61" t="s">
        <v>175</v>
      </c>
      <c r="G40" s="69" t="s">
        <v>176</v>
      </c>
      <c r="H40" s="63" t="s">
        <v>153</v>
      </c>
      <c r="I40" s="80"/>
    </row>
    <row r="41">
      <c r="A41" s="43">
        <v>2024.0</v>
      </c>
      <c r="B41" s="66"/>
      <c r="C41" s="81">
        <f t="shared" ref="C41:C47" si="21">(3*B42 + 2*B43 + B44)/6</f>
        <v>1415533.667</v>
      </c>
      <c r="D41" s="63"/>
      <c r="E41" s="80"/>
      <c r="F41" s="61"/>
      <c r="G41" s="81">
        <f t="shared" ref="G41:G47" si="22">(3*F42 + 2*F43 + F44)/6</f>
        <v>20934140.83</v>
      </c>
      <c r="H41" s="63"/>
      <c r="I41" s="80"/>
    </row>
    <row r="42">
      <c r="A42" s="42">
        <v>2023.0</v>
      </c>
      <c r="B42" s="45">
        <v>1866322.0</v>
      </c>
      <c r="C42" s="82">
        <f t="shared" si="21"/>
        <v>797348.6667</v>
      </c>
      <c r="D42" s="71">
        <f t="shared" ref="D42:D47" si="23">abs(B42-C42)</f>
        <v>1068973.333</v>
      </c>
      <c r="E42" s="83"/>
      <c r="F42" s="44">
        <v>2.214249E7</v>
      </c>
      <c r="G42" s="82">
        <f t="shared" si="22"/>
        <v>19401887.5</v>
      </c>
      <c r="H42" s="71">
        <f t="shared" ref="H42:H47" si="24">abs(F42-G42)</f>
        <v>2740602.5</v>
      </c>
      <c r="I42" s="83"/>
    </row>
    <row r="43">
      <c r="A43" s="42">
        <v>2022.0</v>
      </c>
      <c r="B43" s="45">
        <v>1218331.0</v>
      </c>
      <c r="C43" s="82">
        <f t="shared" si="21"/>
        <v>347149.6667</v>
      </c>
      <c r="D43" s="71">
        <f t="shared" si="23"/>
        <v>871181.3333</v>
      </c>
      <c r="E43" s="83"/>
      <c r="F43" s="44">
        <v>2.0361312E7</v>
      </c>
      <c r="G43" s="82">
        <f t="shared" si="22"/>
        <v>19345437.67</v>
      </c>
      <c r="H43" s="71">
        <f t="shared" si="24"/>
        <v>1015874.333</v>
      </c>
      <c r="I43" s="83"/>
    </row>
    <row r="44">
      <c r="A44" s="42">
        <v>2021.0</v>
      </c>
      <c r="B44" s="45">
        <v>457574.0</v>
      </c>
      <c r="C44" s="82">
        <f t="shared" si="21"/>
        <v>234657.8333</v>
      </c>
      <c r="D44" s="71">
        <f t="shared" si="23"/>
        <v>222916.1667</v>
      </c>
      <c r="E44" s="83"/>
      <c r="F44" s="44">
        <v>1.8454751E7</v>
      </c>
      <c r="G44" s="82">
        <f t="shared" si="22"/>
        <v>21369380.5</v>
      </c>
      <c r="H44" s="71">
        <f t="shared" si="24"/>
        <v>2914629.5</v>
      </c>
      <c r="I44" s="83"/>
    </row>
    <row r="45">
      <c r="A45" s="42">
        <v>2020.0</v>
      </c>
      <c r="B45" s="45">
        <v>213951.0</v>
      </c>
      <c r="C45" s="82">
        <f t="shared" si="21"/>
        <v>231082.1667</v>
      </c>
      <c r="D45" s="71">
        <f t="shared" si="23"/>
        <v>17131.16667</v>
      </c>
      <c r="E45" s="83"/>
      <c r="F45" s="44">
        <v>1.8417887E7</v>
      </c>
      <c r="G45" s="82">
        <f t="shared" si="22"/>
        <v>24203187</v>
      </c>
      <c r="H45" s="71">
        <f t="shared" si="24"/>
        <v>5785300</v>
      </c>
      <c r="I45" s="83"/>
    </row>
    <row r="46">
      <c r="A46" s="42">
        <v>2019.0</v>
      </c>
      <c r="B46" s="45">
        <v>282274.0</v>
      </c>
      <c r="C46" s="82">
        <f t="shared" si="21"/>
        <v>156583.8333</v>
      </c>
      <c r="D46" s="71">
        <f t="shared" si="23"/>
        <v>125690.1667</v>
      </c>
      <c r="E46" s="83"/>
      <c r="F46" s="44">
        <v>2.3872599E7</v>
      </c>
      <c r="G46" s="82">
        <f t="shared" si="22"/>
        <v>23875938.33</v>
      </c>
      <c r="H46" s="71">
        <f t="shared" si="24"/>
        <v>3339.333333</v>
      </c>
      <c r="I46" s="83"/>
    </row>
    <row r="47">
      <c r="A47" s="43">
        <v>2018.0</v>
      </c>
      <c r="B47" s="45">
        <v>201546.0</v>
      </c>
      <c r="C47" s="82">
        <f t="shared" si="21"/>
        <v>90256.83333</v>
      </c>
      <c r="D47" s="71">
        <f t="shared" si="23"/>
        <v>111289.1667</v>
      </c>
      <c r="E47" s="83"/>
      <c r="F47" s="44">
        <v>2.5217424E7</v>
      </c>
      <c r="G47" s="82">
        <f t="shared" si="22"/>
        <v>21951362.5</v>
      </c>
      <c r="H47" s="71">
        <f t="shared" si="24"/>
        <v>3266061.5</v>
      </c>
      <c r="I47" s="83"/>
    </row>
    <row r="48">
      <c r="A48" s="43">
        <v>2017.0</v>
      </c>
      <c r="B48" s="45">
        <v>136579.0</v>
      </c>
      <c r="C48" s="48" t="s">
        <v>174</v>
      </c>
      <c r="D48" s="75" t="s">
        <v>174</v>
      </c>
      <c r="E48" s="84"/>
      <c r="F48" s="44">
        <v>2.3166477E7</v>
      </c>
      <c r="G48" s="48" t="s">
        <v>174</v>
      </c>
      <c r="H48" s="75" t="s">
        <v>174</v>
      </c>
      <c r="I48" s="84"/>
    </row>
    <row r="49">
      <c r="A49" s="43">
        <v>2016.0</v>
      </c>
      <c r="B49" s="45">
        <v>61707.0</v>
      </c>
      <c r="C49" s="48" t="s">
        <v>174</v>
      </c>
      <c r="D49" s="75" t="s">
        <v>174</v>
      </c>
      <c r="E49" s="84"/>
      <c r="F49" s="44">
        <v>2.1270404E7</v>
      </c>
      <c r="G49" s="48" t="s">
        <v>174</v>
      </c>
      <c r="H49" s="75" t="s">
        <v>174</v>
      </c>
      <c r="I49" s="84"/>
    </row>
    <row r="50">
      <c r="A50" s="43">
        <v>2015.0</v>
      </c>
      <c r="B50" s="45">
        <v>8390.0</v>
      </c>
      <c r="C50" s="48" t="s">
        <v>174</v>
      </c>
      <c r="D50" s="75" t="s">
        <v>174</v>
      </c>
      <c r="E50" s="84"/>
      <c r="F50" s="44">
        <v>1.9667936E7</v>
      </c>
      <c r="G50" s="48" t="s">
        <v>174</v>
      </c>
      <c r="H50" s="75" t="s">
        <v>174</v>
      </c>
      <c r="I50" s="84"/>
    </row>
    <row r="51">
      <c r="C51" s="1" t="s">
        <v>147</v>
      </c>
      <c r="D51" s="21">
        <f>average(D42^2, D43^2, D44^2, D45^2,D46^2,D47^2)</f>
        <v>329971548962</v>
      </c>
      <c r="G51" s="1" t="s">
        <v>147</v>
      </c>
      <c r="H51" s="21">
        <f>average(H42^2, H43^2, H44^2, H45^2,H46^2,H47^2)</f>
        <v>10195805468222</v>
      </c>
    </row>
    <row r="52">
      <c r="C52" s="1" t="s">
        <v>148</v>
      </c>
      <c r="D52" s="77">
        <f>SQRT(D51)</f>
        <v>574431.5007</v>
      </c>
      <c r="E52" s="77"/>
      <c r="G52" s="1" t="s">
        <v>148</v>
      </c>
      <c r="H52" s="77">
        <f>SQRT(H51)</f>
        <v>3193087.138</v>
      </c>
      <c r="I52" s="77"/>
    </row>
    <row r="53">
      <c r="C53" s="1" t="s">
        <v>140</v>
      </c>
      <c r="D53" s="79">
        <f>average(D42/B42,D43/B43,D44/B44,D45/B45,D46/B46,D47/B47)</f>
        <v>0.4754210275</v>
      </c>
      <c r="E53" s="79"/>
      <c r="G53" s="1" t="s">
        <v>140</v>
      </c>
      <c r="H53" s="79">
        <f>average(H42/F42,H43/F43,H44/F44,H45/F45,H46/F46,H47/F47)</f>
        <v>0.129227746</v>
      </c>
      <c r="I53" s="79"/>
    </row>
    <row r="54">
      <c r="C54" s="1" t="s">
        <v>141</v>
      </c>
      <c r="D54" s="21">
        <f>((ABS(B42-C42)+ABS(B43-C43)+ABS(B44-C44)+ABS(B45-C45)+ABS(B46-C46)+ABS(B47-C47))/COUNT(B42:B47))</f>
        <v>402863.5556</v>
      </c>
      <c r="G54" s="1" t="s">
        <v>141</v>
      </c>
      <c r="H54" s="21">
        <f>((ABS(F42-G42)+ABS(F43-G43)+ABS(F44-G44)+ABS(F45-G45)+ABS(F46-G46)+ABS(F47-G47))/COUNT(F42:F47))</f>
        <v>2620967.861</v>
      </c>
    </row>
  </sheetData>
  <mergeCells count="1">
    <mergeCell ref="B17:O1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1" t="s">
        <v>177</v>
      </c>
    </row>
    <row r="3">
      <c r="A3" s="90" t="s">
        <v>150</v>
      </c>
      <c r="B3" s="91">
        <v>2023.0</v>
      </c>
      <c r="C3" s="91">
        <v>2022.0</v>
      </c>
      <c r="D3" s="92">
        <v>2021.0</v>
      </c>
      <c r="E3" s="92">
        <v>2020.0</v>
      </c>
      <c r="F3" s="92">
        <v>2019.0</v>
      </c>
      <c r="G3" s="92">
        <v>2018.0</v>
      </c>
      <c r="H3" s="92">
        <v>2017.0</v>
      </c>
      <c r="I3" s="92">
        <v>2016.0</v>
      </c>
      <c r="J3" s="92">
        <v>2015.0</v>
      </c>
      <c r="K3" s="92" t="s">
        <v>121</v>
      </c>
      <c r="L3" s="112"/>
      <c r="M3" s="112"/>
      <c r="N3" s="112"/>
    </row>
    <row r="4">
      <c r="A4" s="95" t="s">
        <v>100</v>
      </c>
      <c r="B4" s="96">
        <v>1866322.0</v>
      </c>
      <c r="C4" s="96">
        <v>1218331.0</v>
      </c>
      <c r="D4" s="97">
        <v>457574.0</v>
      </c>
      <c r="E4" s="97">
        <v>213951.0</v>
      </c>
      <c r="F4" s="97">
        <v>282274.0</v>
      </c>
      <c r="G4" s="97">
        <v>201546.0</v>
      </c>
      <c r="H4" s="97">
        <v>136579.0</v>
      </c>
      <c r="I4" s="97">
        <v>61707.0</v>
      </c>
      <c r="J4" s="97">
        <v>8390.0</v>
      </c>
      <c r="K4" s="97">
        <v>4446674.0</v>
      </c>
      <c r="L4" s="113"/>
      <c r="M4" s="113"/>
      <c r="N4" s="113"/>
    </row>
    <row r="5">
      <c r="A5" s="98" t="s">
        <v>101</v>
      </c>
      <c r="B5" s="99">
        <v>2.214249E7</v>
      </c>
      <c r="C5" s="99">
        <v>2.0361312E7</v>
      </c>
      <c r="D5" s="100">
        <v>1.8454751E7</v>
      </c>
      <c r="E5" s="100">
        <v>1.8417887E7</v>
      </c>
      <c r="F5" s="100">
        <v>2.3872599E7</v>
      </c>
      <c r="G5" s="100">
        <v>2.5217424E7</v>
      </c>
      <c r="H5" s="100">
        <v>2.3166477E7</v>
      </c>
      <c r="I5" s="100">
        <v>2.1270404E7</v>
      </c>
      <c r="J5" s="100">
        <v>1.9667936E7</v>
      </c>
      <c r="K5" s="100">
        <v>1.9257128E8</v>
      </c>
      <c r="L5" s="113"/>
      <c r="M5" s="113"/>
      <c r="N5" s="113"/>
    </row>
    <row r="9">
      <c r="L9" s="35"/>
    </row>
    <row r="11">
      <c r="L11" s="35"/>
    </row>
    <row r="51">
      <c r="C51" s="114" t="s">
        <v>178</v>
      </c>
    </row>
    <row r="53">
      <c r="B53" s="1" t="s">
        <v>150</v>
      </c>
      <c r="C53" s="1" t="s">
        <v>179</v>
      </c>
      <c r="D53" s="1"/>
      <c r="E53" s="1" t="s">
        <v>180</v>
      </c>
      <c r="F53" s="1"/>
      <c r="G53" s="1" t="s">
        <v>181</v>
      </c>
      <c r="H53" s="1"/>
      <c r="I53" s="1" t="s">
        <v>182</v>
      </c>
      <c r="J53" s="1" t="s">
        <v>183</v>
      </c>
      <c r="K53" s="1" t="s">
        <v>144</v>
      </c>
    </row>
    <row r="54">
      <c r="B54" s="91">
        <v>2023.0</v>
      </c>
      <c r="C54" s="1">
        <v>9.0</v>
      </c>
      <c r="D54" s="115"/>
      <c r="E54" s="96">
        <v>1866322.0</v>
      </c>
      <c r="G54" s="21">
        <f t="shared" ref="G54:G62" si="1">C54^2</f>
        <v>81</v>
      </c>
      <c r="I54" s="21">
        <f t="shared" ref="I54:I62" si="2">C54*E54</f>
        <v>16796898</v>
      </c>
      <c r="J54" s="77">
        <f t="shared" ref="J54:J62" si="3">$C$67+$C$66*C54</f>
        <v>1264474.556</v>
      </c>
      <c r="K54" s="77">
        <f t="shared" ref="K54:K62" si="4">ABS(E54-J54)</f>
        <v>601847.4444</v>
      </c>
    </row>
    <row r="55">
      <c r="B55" s="91">
        <v>2022.0</v>
      </c>
      <c r="C55" s="1">
        <v>8.0</v>
      </c>
      <c r="D55" s="115"/>
      <c r="E55" s="96">
        <v>1218331.0</v>
      </c>
      <c r="G55" s="21">
        <f t="shared" si="1"/>
        <v>64</v>
      </c>
      <c r="I55" s="21">
        <f t="shared" si="2"/>
        <v>9746648</v>
      </c>
      <c r="J55" s="77">
        <f t="shared" si="3"/>
        <v>1071874.639</v>
      </c>
      <c r="K55" s="77">
        <f t="shared" si="4"/>
        <v>146456.3611</v>
      </c>
    </row>
    <row r="56">
      <c r="B56" s="92">
        <v>2021.0</v>
      </c>
      <c r="C56" s="1">
        <v>7.0</v>
      </c>
      <c r="D56" s="113"/>
      <c r="E56" s="97">
        <v>457574.0</v>
      </c>
      <c r="G56" s="21">
        <f t="shared" si="1"/>
        <v>49</v>
      </c>
      <c r="I56" s="21">
        <f t="shared" si="2"/>
        <v>3203018</v>
      </c>
      <c r="J56" s="77">
        <f t="shared" si="3"/>
        <v>879274.7222</v>
      </c>
      <c r="K56" s="77">
        <f t="shared" si="4"/>
        <v>421700.7222</v>
      </c>
    </row>
    <row r="57">
      <c r="B57" s="92">
        <v>2020.0</v>
      </c>
      <c r="C57" s="1">
        <v>6.0</v>
      </c>
      <c r="D57" s="113"/>
      <c r="E57" s="97">
        <v>213951.0</v>
      </c>
      <c r="G57" s="21">
        <f t="shared" si="1"/>
        <v>36</v>
      </c>
      <c r="I57" s="21">
        <f t="shared" si="2"/>
        <v>1283706</v>
      </c>
      <c r="J57" s="77">
        <f t="shared" si="3"/>
        <v>686674.8056</v>
      </c>
      <c r="K57" s="77">
        <f t="shared" si="4"/>
        <v>472723.8056</v>
      </c>
    </row>
    <row r="58">
      <c r="B58" s="92">
        <v>2019.0</v>
      </c>
      <c r="C58" s="1">
        <v>5.0</v>
      </c>
      <c r="D58" s="113"/>
      <c r="E58" s="97">
        <v>282274.0</v>
      </c>
      <c r="G58" s="21">
        <f t="shared" si="1"/>
        <v>25</v>
      </c>
      <c r="I58" s="21">
        <f t="shared" si="2"/>
        <v>1411370</v>
      </c>
      <c r="J58" s="77">
        <f t="shared" si="3"/>
        <v>494074.8889</v>
      </c>
      <c r="K58" s="77">
        <f t="shared" si="4"/>
        <v>211800.8889</v>
      </c>
    </row>
    <row r="59">
      <c r="B59" s="92">
        <v>2018.0</v>
      </c>
      <c r="C59" s="1">
        <v>4.0</v>
      </c>
      <c r="D59" s="113"/>
      <c r="E59" s="97">
        <v>201546.0</v>
      </c>
      <c r="G59" s="21">
        <f t="shared" si="1"/>
        <v>16</v>
      </c>
      <c r="I59" s="21">
        <f t="shared" si="2"/>
        <v>806184</v>
      </c>
      <c r="J59" s="77">
        <f t="shared" si="3"/>
        <v>301474.9722</v>
      </c>
      <c r="K59" s="77">
        <f t="shared" si="4"/>
        <v>99928.97222</v>
      </c>
    </row>
    <row r="60">
      <c r="B60" s="92">
        <v>2017.0</v>
      </c>
      <c r="C60" s="1">
        <v>3.0</v>
      </c>
      <c r="D60" s="113"/>
      <c r="E60" s="97">
        <v>136579.0</v>
      </c>
      <c r="G60" s="21">
        <f t="shared" si="1"/>
        <v>9</v>
      </c>
      <c r="I60" s="21">
        <f t="shared" si="2"/>
        <v>409737</v>
      </c>
      <c r="J60" s="77">
        <f t="shared" si="3"/>
        <v>108875.0556</v>
      </c>
      <c r="K60" s="77">
        <f t="shared" si="4"/>
        <v>27703.94444</v>
      </c>
    </row>
    <row r="61">
      <c r="B61" s="93">
        <v>2016.0</v>
      </c>
      <c r="C61" s="1">
        <v>2.0</v>
      </c>
      <c r="D61" s="113"/>
      <c r="E61" s="97">
        <v>61707.0</v>
      </c>
      <c r="G61" s="21">
        <f t="shared" si="1"/>
        <v>4</v>
      </c>
      <c r="I61" s="21">
        <f t="shared" si="2"/>
        <v>123414</v>
      </c>
      <c r="J61" s="77">
        <f t="shared" si="3"/>
        <v>-83724.86111</v>
      </c>
      <c r="K61" s="77">
        <f t="shared" si="4"/>
        <v>145431.8611</v>
      </c>
    </row>
    <row r="62">
      <c r="B62" s="93">
        <v>2015.0</v>
      </c>
      <c r="C62" s="1">
        <v>1.0</v>
      </c>
      <c r="D62" s="113"/>
      <c r="E62" s="97">
        <v>8390.0</v>
      </c>
      <c r="G62" s="21">
        <f t="shared" si="1"/>
        <v>1</v>
      </c>
      <c r="I62" s="21">
        <f t="shared" si="2"/>
        <v>8390</v>
      </c>
      <c r="J62" s="77">
        <f t="shared" si="3"/>
        <v>-276324.7778</v>
      </c>
      <c r="K62" s="77">
        <f t="shared" si="4"/>
        <v>284714.7778</v>
      </c>
    </row>
    <row r="63">
      <c r="B63" s="1" t="s">
        <v>184</v>
      </c>
      <c r="C63" s="1">
        <f>sum(C54:C62)</f>
        <v>45</v>
      </c>
      <c r="D63" s="1" t="s">
        <v>185</v>
      </c>
      <c r="E63" s="21">
        <f>sum(E54:E62)</f>
        <v>4446674</v>
      </c>
      <c r="F63" s="1" t="s">
        <v>186</v>
      </c>
      <c r="G63" s="1">
        <f>SUM(G54:G62)</f>
        <v>285</v>
      </c>
      <c r="H63" s="1" t="s">
        <v>187</v>
      </c>
      <c r="I63" s="1">
        <f>SUM(I54:I62)</f>
        <v>33789365</v>
      </c>
    </row>
    <row r="64">
      <c r="B64" s="1" t="s">
        <v>188</v>
      </c>
      <c r="C64" s="1">
        <f>C63/COUNT(C54:C62)</f>
        <v>5</v>
      </c>
      <c r="D64" s="1" t="s">
        <v>189</v>
      </c>
      <c r="E64" s="1">
        <f>E63/COUNT(E54:E62)</f>
        <v>494074.8889</v>
      </c>
    </row>
    <row r="66">
      <c r="B66" s="1" t="s">
        <v>190</v>
      </c>
      <c r="C66" s="1">
        <f>(I63-COUNT(C54:C62)*C64*E64)/(G63-count(C54:C62)*C64^2)</f>
        <v>192599.9167</v>
      </c>
    </row>
    <row r="67">
      <c r="B67" s="1" t="s">
        <v>191</v>
      </c>
      <c r="C67" s="1">
        <f>E64-C66*C64</f>
        <v>-468924.6944</v>
      </c>
    </row>
    <row r="69">
      <c r="B69" s="1" t="s">
        <v>138</v>
      </c>
      <c r="D69" s="21">
        <f>AVERAGE(K54^2,K55^2,K56^2,K57^2,K58^2,K59^2,K60^2,K61^2,K62^2)</f>
        <v>104754995892</v>
      </c>
    </row>
    <row r="70">
      <c r="B70" s="1" t="s">
        <v>192</v>
      </c>
      <c r="D70" s="21">
        <f>SQRT(D69)</f>
        <v>323658.7646</v>
      </c>
    </row>
    <row r="71">
      <c r="B71" s="1" t="s">
        <v>140</v>
      </c>
      <c r="D71" s="79">
        <f>AVERAGE(K54/E54,K55/E55,K56/E56,K57/E57,K58/E58,K59/E59,K60/E60,K61/E61,K62/E62)</f>
        <v>4.590511732</v>
      </c>
    </row>
    <row r="72">
      <c r="B72" s="1" t="s">
        <v>141</v>
      </c>
      <c r="D72" s="21">
        <f>(ABS(E54-J54)+ABS(E55-J55)+ABS(E56-J56)+ABS(E57-J57)+ABS(E58-J58)+ABS(E59-J59)+ABS(E60-J60)+ABS(E61-K61)+ABS(E62-J62))/COUNT(E54:E62)</f>
        <v>261177.9753</v>
      </c>
    </row>
    <row r="75">
      <c r="B75" s="116" t="s">
        <v>193</v>
      </c>
    </row>
    <row r="77">
      <c r="B77" s="117" t="s">
        <v>150</v>
      </c>
      <c r="C77" s="117" t="s">
        <v>179</v>
      </c>
      <c r="D77" s="117"/>
      <c r="E77" s="117" t="s">
        <v>180</v>
      </c>
      <c r="F77" s="117"/>
      <c r="G77" s="117" t="s">
        <v>181</v>
      </c>
      <c r="H77" s="117"/>
      <c r="I77" s="117" t="s">
        <v>182</v>
      </c>
      <c r="J77" s="117" t="s">
        <v>183</v>
      </c>
      <c r="K77" s="1" t="s">
        <v>144</v>
      </c>
    </row>
    <row r="78">
      <c r="B78" s="92">
        <v>2023.0</v>
      </c>
      <c r="C78" s="118">
        <v>9.0</v>
      </c>
      <c r="D78" s="119"/>
      <c r="E78" s="99">
        <v>2.214249E7</v>
      </c>
      <c r="F78" s="117"/>
      <c r="G78" s="118">
        <f t="shared" ref="G78:G86" si="5">C78^2</f>
        <v>81</v>
      </c>
      <c r="H78" s="117"/>
      <c r="I78" s="118">
        <f t="shared" ref="I78:I86" si="6">C78*E78</f>
        <v>199282410</v>
      </c>
      <c r="J78" s="120">
        <f t="shared" ref="J78:J86" si="7">$C$91+$C$90*C78</f>
        <v>21046148.73</v>
      </c>
      <c r="K78" s="77">
        <f t="shared" ref="K78:K86" si="8">ABS(E78-J78)</f>
        <v>1096341.267</v>
      </c>
    </row>
    <row r="79">
      <c r="B79" s="92">
        <v>2022.0</v>
      </c>
      <c r="C79" s="118">
        <v>8.0</v>
      </c>
      <c r="D79" s="119"/>
      <c r="E79" s="99">
        <v>2.0361312E7</v>
      </c>
      <c r="F79" s="117"/>
      <c r="G79" s="118">
        <f t="shared" si="5"/>
        <v>64</v>
      </c>
      <c r="H79" s="117"/>
      <c r="I79" s="118">
        <f t="shared" si="6"/>
        <v>162890496</v>
      </c>
      <c r="J79" s="120">
        <f t="shared" si="7"/>
        <v>21102212.55</v>
      </c>
      <c r="K79" s="77">
        <f t="shared" si="8"/>
        <v>740900.55</v>
      </c>
    </row>
    <row r="80">
      <c r="B80" s="92">
        <v>2021.0</v>
      </c>
      <c r="C80" s="118">
        <v>7.0</v>
      </c>
      <c r="D80" s="119"/>
      <c r="E80" s="100">
        <v>1.8454751E7</v>
      </c>
      <c r="F80" s="117"/>
      <c r="G80" s="118">
        <f t="shared" si="5"/>
        <v>49</v>
      </c>
      <c r="H80" s="117"/>
      <c r="I80" s="118">
        <f t="shared" si="6"/>
        <v>129183257</v>
      </c>
      <c r="J80" s="120">
        <f t="shared" si="7"/>
        <v>21158276.37</v>
      </c>
      <c r="K80" s="77">
        <f t="shared" si="8"/>
        <v>2703525.367</v>
      </c>
    </row>
    <row r="81">
      <c r="B81" s="92">
        <v>2020.0</v>
      </c>
      <c r="C81" s="118">
        <v>6.0</v>
      </c>
      <c r="D81" s="119"/>
      <c r="E81" s="100">
        <v>1.8417887E7</v>
      </c>
      <c r="F81" s="117"/>
      <c r="G81" s="118">
        <f t="shared" si="5"/>
        <v>36</v>
      </c>
      <c r="H81" s="117"/>
      <c r="I81" s="118">
        <f t="shared" si="6"/>
        <v>110507322</v>
      </c>
      <c r="J81" s="120">
        <f t="shared" si="7"/>
        <v>21214340.18</v>
      </c>
      <c r="K81" s="77">
        <f t="shared" si="8"/>
        <v>2796453.183</v>
      </c>
    </row>
    <row r="82">
      <c r="B82" s="92">
        <v>2019.0</v>
      </c>
      <c r="C82" s="118">
        <v>5.0</v>
      </c>
      <c r="D82" s="119"/>
      <c r="E82" s="100">
        <v>2.3872599E7</v>
      </c>
      <c r="F82" s="117"/>
      <c r="G82" s="118">
        <f t="shared" si="5"/>
        <v>25</v>
      </c>
      <c r="H82" s="117"/>
      <c r="I82" s="118">
        <f t="shared" si="6"/>
        <v>119362995</v>
      </c>
      <c r="J82" s="120">
        <f t="shared" si="7"/>
        <v>21270404</v>
      </c>
      <c r="K82" s="77">
        <f t="shared" si="8"/>
        <v>2602195</v>
      </c>
    </row>
    <row r="83">
      <c r="B83" s="92">
        <v>2018.0</v>
      </c>
      <c r="C83" s="118">
        <v>4.0</v>
      </c>
      <c r="D83" s="119"/>
      <c r="E83" s="100">
        <v>2.5217424E7</v>
      </c>
      <c r="F83" s="117"/>
      <c r="G83" s="118">
        <f t="shared" si="5"/>
        <v>16</v>
      </c>
      <c r="H83" s="117"/>
      <c r="I83" s="118">
        <f t="shared" si="6"/>
        <v>100869696</v>
      </c>
      <c r="J83" s="120">
        <f t="shared" si="7"/>
        <v>21326467.82</v>
      </c>
      <c r="K83" s="77">
        <f t="shared" si="8"/>
        <v>3890956.183</v>
      </c>
    </row>
    <row r="84">
      <c r="B84" s="92">
        <v>2017.0</v>
      </c>
      <c r="C84" s="118">
        <v>3.0</v>
      </c>
      <c r="D84" s="119"/>
      <c r="E84" s="100">
        <v>2.3166477E7</v>
      </c>
      <c r="F84" s="117"/>
      <c r="G84" s="118">
        <f t="shared" si="5"/>
        <v>9</v>
      </c>
      <c r="H84" s="117"/>
      <c r="I84" s="118">
        <f t="shared" si="6"/>
        <v>69499431</v>
      </c>
      <c r="J84" s="120">
        <f t="shared" si="7"/>
        <v>21382531.63</v>
      </c>
      <c r="K84" s="77">
        <f t="shared" si="8"/>
        <v>1783945.367</v>
      </c>
    </row>
    <row r="85">
      <c r="B85" s="92">
        <v>2016.0</v>
      </c>
      <c r="C85" s="118">
        <v>2.0</v>
      </c>
      <c r="D85" s="119"/>
      <c r="E85" s="100">
        <v>2.1270404E7</v>
      </c>
      <c r="F85" s="117"/>
      <c r="G85" s="118">
        <f t="shared" si="5"/>
        <v>4</v>
      </c>
      <c r="H85" s="117"/>
      <c r="I85" s="118">
        <f t="shared" si="6"/>
        <v>42540808</v>
      </c>
      <c r="J85" s="120">
        <f t="shared" si="7"/>
        <v>21438595.45</v>
      </c>
      <c r="K85" s="77">
        <f t="shared" si="8"/>
        <v>168191.45</v>
      </c>
    </row>
    <row r="86">
      <c r="B86" s="92">
        <v>2015.0</v>
      </c>
      <c r="C86" s="118">
        <v>1.0</v>
      </c>
      <c r="D86" s="119"/>
      <c r="E86" s="100">
        <v>1.9667936E7</v>
      </c>
      <c r="F86" s="117"/>
      <c r="G86" s="118">
        <f t="shared" si="5"/>
        <v>1</v>
      </c>
      <c r="H86" s="117"/>
      <c r="I86" s="118">
        <f t="shared" si="6"/>
        <v>19667936</v>
      </c>
      <c r="J86" s="120">
        <f t="shared" si="7"/>
        <v>21494659.27</v>
      </c>
      <c r="K86" s="77">
        <f t="shared" si="8"/>
        <v>1826723.267</v>
      </c>
    </row>
    <row r="87">
      <c r="B87" s="117" t="s">
        <v>184</v>
      </c>
      <c r="C87" s="118">
        <f>sum(C78:C86)</f>
        <v>45</v>
      </c>
      <c r="D87" s="117" t="s">
        <v>185</v>
      </c>
      <c r="E87" s="21">
        <f>SUM(E78:E86)</f>
        <v>192571280</v>
      </c>
      <c r="F87" s="117" t="s">
        <v>186</v>
      </c>
      <c r="G87" s="118">
        <f>SUM(G78:G86)</f>
        <v>285</v>
      </c>
      <c r="H87" s="117" t="s">
        <v>187</v>
      </c>
      <c r="I87" s="118">
        <f>SUM(I78:I86)</f>
        <v>953804351</v>
      </c>
      <c r="J87" s="117"/>
    </row>
    <row r="88">
      <c r="B88" s="117" t="s">
        <v>188</v>
      </c>
      <c r="C88" s="118">
        <f>C87/COUNT(C78:C86)</f>
        <v>5</v>
      </c>
      <c r="D88" s="117" t="s">
        <v>189</v>
      </c>
      <c r="E88" s="21">
        <f>E87/COUNT(E78:E86)</f>
        <v>21396808.89</v>
      </c>
      <c r="F88" s="117"/>
      <c r="G88" s="117"/>
      <c r="H88" s="117"/>
      <c r="I88" s="117"/>
      <c r="J88" s="117"/>
    </row>
    <row r="89">
      <c r="B89" s="117"/>
      <c r="C89" s="117"/>
      <c r="D89" s="117"/>
      <c r="F89" s="117"/>
      <c r="G89" s="117"/>
      <c r="H89" s="117"/>
      <c r="I89" s="117"/>
      <c r="J89" s="117"/>
    </row>
    <row r="90">
      <c r="B90" s="117" t="s">
        <v>190</v>
      </c>
      <c r="C90" s="118">
        <f>(I87-COUNT(C78:C86)*C88*E85)/(G87-count(C78:C86)*C88^2)</f>
        <v>-56063.81667</v>
      </c>
      <c r="D90" s="117"/>
      <c r="E90" s="117"/>
      <c r="F90" s="117"/>
      <c r="G90" s="117"/>
      <c r="H90" s="117"/>
      <c r="I90" s="117"/>
      <c r="J90" s="117"/>
    </row>
    <row r="91">
      <c r="B91" s="117" t="s">
        <v>191</v>
      </c>
      <c r="C91" s="118">
        <f>E85-C90*C88</f>
        <v>21550723.08</v>
      </c>
      <c r="D91" s="117"/>
      <c r="E91" s="117"/>
      <c r="F91" s="117"/>
      <c r="G91" s="117"/>
      <c r="H91" s="117"/>
      <c r="I91" s="117"/>
      <c r="J91" s="117"/>
    </row>
    <row r="93">
      <c r="B93" s="1" t="s">
        <v>138</v>
      </c>
      <c r="D93" s="21">
        <f>AVERAGE(K78^2,K79^2,K80^2,K81^2,K82^2,K83^2,K84^2,K85^2,K86^2)</f>
        <v>5037635975500</v>
      </c>
    </row>
    <row r="94">
      <c r="B94" s="1" t="s">
        <v>192</v>
      </c>
      <c r="D94" s="21">
        <f>SQRT(D93)</f>
        <v>2244467.86</v>
      </c>
    </row>
    <row r="95">
      <c r="B95" s="1" t="s">
        <v>140</v>
      </c>
      <c r="D95" s="79">
        <f>AVERAGE(K78/E78,K79/E79,K80/E80,K81/E81,K82/E82,K83/E83,K84/E84,K85/E85,K86/E86)</f>
        <v>0.09170220038</v>
      </c>
    </row>
    <row r="96">
      <c r="B96" s="1" t="s">
        <v>141</v>
      </c>
      <c r="D96" s="21">
        <f>(ABS(E78-J78)+ABS(E79-J79)+ABS(E80-J80)+ABS(E81-J81)+ABS(E82-J82)+ABS(E83-J83)+ABS(E84-J84)+ABS(E85-K85)+ABS(E86-J86))/COUNT(E78:E86)</f>
        <v>4282583.637</v>
      </c>
    </row>
  </sheetData>
  <mergeCells count="2">
    <mergeCell ref="C51:I51"/>
    <mergeCell ref="B75:J75"/>
  </mergeCells>
  <hyperlinks>
    <hyperlink r:id="rId1" ref="A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3" max="3" width="25.5"/>
    <col customWidth="1" min="7" max="7" width="20.13"/>
    <col customWidth="1" min="10" max="10" width="13.88"/>
    <col customWidth="1" min="11" max="11" width="20.13"/>
    <col customWidth="1" min="13" max="13" width="13.63"/>
    <col customWidth="1" min="14" max="14" width="14.38"/>
    <col customWidth="1" min="15" max="15" width="20.13"/>
    <col customWidth="1" min="19" max="19" width="20.13"/>
    <col customWidth="1" min="23" max="23" width="20.13"/>
    <col customWidth="1" min="27" max="27" width="20.13"/>
    <col customWidth="1" min="30" max="30" width="15.13"/>
    <col customWidth="1" min="31" max="31" width="20.13"/>
    <col customWidth="1" min="35" max="35" width="20.13"/>
  </cols>
  <sheetData>
    <row r="1">
      <c r="B1" s="42" t="s">
        <v>1</v>
      </c>
      <c r="C1" s="42" t="s">
        <v>2</v>
      </c>
      <c r="D1" s="42">
        <v>2023.0</v>
      </c>
      <c r="E1" s="42">
        <v>2022.0</v>
      </c>
      <c r="F1" s="42">
        <v>2021.0</v>
      </c>
      <c r="G1" s="42">
        <v>2020.0</v>
      </c>
      <c r="H1" s="42">
        <v>2019.0</v>
      </c>
      <c r="I1" s="43">
        <v>2018.0</v>
      </c>
      <c r="J1" s="43">
        <v>2017.0</v>
      </c>
      <c r="K1" s="43">
        <v>2016.0</v>
      </c>
      <c r="L1" s="43">
        <v>2015.0</v>
      </c>
      <c r="M1" s="43" t="s">
        <v>121</v>
      </c>
      <c r="Q1" s="121"/>
    </row>
    <row r="2">
      <c r="B2" s="44">
        <v>1.0</v>
      </c>
      <c r="C2" s="44" t="s">
        <v>4</v>
      </c>
      <c r="D2" s="44">
        <v>421145.0</v>
      </c>
      <c r="E2" s="44">
        <v>297430.0</v>
      </c>
      <c r="F2" s="44">
        <v>166328.0</v>
      </c>
      <c r="G2" s="44">
        <v>43227.0</v>
      </c>
      <c r="H2" s="44">
        <v>33459.0</v>
      </c>
      <c r="I2" s="44">
        <v>31429.0</v>
      </c>
      <c r="J2" s="44">
        <v>26150.0</v>
      </c>
      <c r="K2" s="44">
        <v>29888.0</v>
      </c>
      <c r="L2" s="44">
        <v>26225.0</v>
      </c>
      <c r="M2" s="44">
        <f t="shared" ref="M2:M10" si="1">SUM(D2:L2)</f>
        <v>1075281</v>
      </c>
      <c r="Q2" s="88"/>
    </row>
    <row r="3">
      <c r="B3" s="44">
        <v>2.0</v>
      </c>
      <c r="C3" s="44" t="s">
        <v>9</v>
      </c>
      <c r="D3" s="44">
        <v>2568218.0</v>
      </c>
      <c r="E3" s="44">
        <v>2345606.0</v>
      </c>
      <c r="F3" s="44">
        <v>2013620.0</v>
      </c>
      <c r="G3" s="44">
        <v>2025020.0</v>
      </c>
      <c r="H3" s="44">
        <v>2924814.0</v>
      </c>
      <c r="I3" s="44">
        <v>3182474.0</v>
      </c>
      <c r="J3" s="44">
        <v>2865401.0</v>
      </c>
      <c r="K3" s="44">
        <v>2752178.0</v>
      </c>
      <c r="L3" s="44">
        <v>2725704.0</v>
      </c>
      <c r="M3" s="44">
        <f t="shared" si="1"/>
        <v>23403035</v>
      </c>
      <c r="Q3" s="88"/>
    </row>
    <row r="4">
      <c r="B4" s="45">
        <v>3.0</v>
      </c>
      <c r="C4" s="45" t="s">
        <v>16</v>
      </c>
      <c r="D4" s="45">
        <v>2462.0</v>
      </c>
      <c r="E4" s="45">
        <v>737.0</v>
      </c>
      <c r="F4" s="45">
        <v>35.0</v>
      </c>
      <c r="G4" s="45">
        <v>2917.0</v>
      </c>
      <c r="H4" s="45">
        <v>39104.0</v>
      </c>
      <c r="I4" s="45">
        <v>59540.0</v>
      </c>
      <c r="J4" s="45">
        <v>48477.0</v>
      </c>
      <c r="K4" s="45">
        <v>11347.0</v>
      </c>
      <c r="L4" s="45">
        <v>502.0</v>
      </c>
      <c r="M4" s="45">
        <f t="shared" si="1"/>
        <v>165121</v>
      </c>
      <c r="Q4" s="89"/>
    </row>
    <row r="5">
      <c r="B5" s="45">
        <v>4.0</v>
      </c>
      <c r="C5" s="45" t="s">
        <v>20</v>
      </c>
      <c r="D5" s="45">
        <v>1532344.0</v>
      </c>
      <c r="E5" s="45">
        <v>1025003.0</v>
      </c>
      <c r="F5" s="45">
        <v>331576.0</v>
      </c>
      <c r="G5" s="45">
        <v>124671.0</v>
      </c>
      <c r="H5" s="45">
        <v>166881.0</v>
      </c>
      <c r="I5" s="45">
        <v>130248.0</v>
      </c>
      <c r="J5" s="45">
        <v>87395.0</v>
      </c>
      <c r="K5" s="45">
        <v>49832.0</v>
      </c>
      <c r="L5" s="45">
        <v>7796.0</v>
      </c>
      <c r="M5" s="45">
        <f t="shared" si="1"/>
        <v>3455746</v>
      </c>
      <c r="Q5" s="89"/>
    </row>
    <row r="6">
      <c r="B6" s="44">
        <v>5.0</v>
      </c>
      <c r="C6" s="44" t="s">
        <v>29</v>
      </c>
      <c r="D6" s="44">
        <v>26812.0</v>
      </c>
      <c r="E6" s="44">
        <v>14404.0</v>
      </c>
      <c r="F6" s="44">
        <v>13408.0</v>
      </c>
      <c r="G6" s="44">
        <v>9910.0</v>
      </c>
      <c r="H6" s="44">
        <v>3866.0</v>
      </c>
      <c r="I6" s="44">
        <v>4068.0</v>
      </c>
      <c r="J6" s="44">
        <v>3814.0</v>
      </c>
      <c r="K6" s="44">
        <v>3976.0</v>
      </c>
      <c r="L6" s="44">
        <v>3337.0</v>
      </c>
      <c r="M6" s="44">
        <f t="shared" si="1"/>
        <v>83595</v>
      </c>
      <c r="Q6" s="88"/>
    </row>
    <row r="7">
      <c r="B7" s="44">
        <v>6.0</v>
      </c>
      <c r="C7" s="44" t="s">
        <v>33</v>
      </c>
      <c r="D7" s="44">
        <v>1.8138477E7</v>
      </c>
      <c r="E7" s="44">
        <v>1.7185926E7</v>
      </c>
      <c r="F7" s="44">
        <v>1.5888229E7</v>
      </c>
      <c r="G7" s="44">
        <v>1.5982228E7</v>
      </c>
      <c r="H7" s="44">
        <v>2.029547E7</v>
      </c>
      <c r="I7" s="44">
        <v>2.1301973E7</v>
      </c>
      <c r="J7" s="44">
        <v>1.9731563E7</v>
      </c>
      <c r="K7" s="44">
        <v>1.7936356E7</v>
      </c>
      <c r="L7" s="44">
        <v>1.6470818E7</v>
      </c>
      <c r="M7" s="44">
        <f t="shared" si="1"/>
        <v>162931040</v>
      </c>
      <c r="Q7" s="88"/>
    </row>
    <row r="8">
      <c r="B8" s="44">
        <v>7.0</v>
      </c>
      <c r="C8" s="44" t="s">
        <v>40</v>
      </c>
      <c r="D8" s="44">
        <v>536677.0</v>
      </c>
      <c r="E8" s="44">
        <v>425922.0</v>
      </c>
      <c r="F8" s="44">
        <v>270806.0</v>
      </c>
      <c r="G8" s="44">
        <v>233511.0</v>
      </c>
      <c r="H8" s="44">
        <v>416682.0</v>
      </c>
      <c r="I8" s="44">
        <v>459314.0</v>
      </c>
      <c r="J8" s="44">
        <v>342522.0</v>
      </c>
      <c r="K8" s="44">
        <v>334236.0</v>
      </c>
      <c r="L8" s="44">
        <v>259702.0</v>
      </c>
      <c r="M8" s="44">
        <f t="shared" si="1"/>
        <v>3279372</v>
      </c>
      <c r="Q8" s="88"/>
    </row>
    <row r="9">
      <c r="B9" s="45">
        <v>8.0</v>
      </c>
      <c r="C9" s="45" t="s">
        <v>50</v>
      </c>
      <c r="D9" s="45">
        <v>331515.0</v>
      </c>
      <c r="E9" s="45">
        <v>192591.0</v>
      </c>
      <c r="F9" s="45">
        <v>125963.0</v>
      </c>
      <c r="G9" s="45">
        <v>86363.0</v>
      </c>
      <c r="H9" s="45">
        <v>76289.0</v>
      </c>
      <c r="I9" s="45">
        <v>11758.0</v>
      </c>
      <c r="J9" s="45">
        <v>707.0</v>
      </c>
      <c r="K9" s="45">
        <v>528.0</v>
      </c>
      <c r="L9" s="45">
        <v>92.0</v>
      </c>
      <c r="M9" s="45">
        <f t="shared" si="1"/>
        <v>825806</v>
      </c>
      <c r="Q9" s="89"/>
    </row>
    <row r="10">
      <c r="B10" s="44">
        <v>9.0</v>
      </c>
      <c r="C10" s="44" t="s">
        <v>55</v>
      </c>
      <c r="D10" s="44">
        <v>4693.0</v>
      </c>
      <c r="E10" s="44">
        <v>11544.0</v>
      </c>
      <c r="F10" s="44">
        <v>19833.0</v>
      </c>
      <c r="G10" s="44">
        <v>39929.0</v>
      </c>
      <c r="H10" s="44">
        <v>108995.0</v>
      </c>
      <c r="I10" s="44">
        <v>123813.0</v>
      </c>
      <c r="J10" s="44">
        <v>87934.0</v>
      </c>
      <c r="K10" s="44">
        <v>82483.0</v>
      </c>
      <c r="L10" s="44">
        <v>69933.0</v>
      </c>
      <c r="M10" s="44">
        <f t="shared" si="1"/>
        <v>549157</v>
      </c>
      <c r="Q10" s="88"/>
    </row>
    <row r="12">
      <c r="B12" s="90" t="s">
        <v>150</v>
      </c>
      <c r="C12" s="91">
        <v>2023.0</v>
      </c>
      <c r="D12" s="91">
        <v>2022.0</v>
      </c>
      <c r="E12" s="91">
        <v>2021.0</v>
      </c>
      <c r="F12" s="91">
        <v>2020.0</v>
      </c>
      <c r="G12" s="91">
        <v>2019.0</v>
      </c>
      <c r="H12" s="90">
        <v>2018.0</v>
      </c>
      <c r="I12" s="90">
        <v>2017.0</v>
      </c>
      <c r="J12" s="90">
        <v>2016.0</v>
      </c>
      <c r="K12" s="90">
        <v>2015.0</v>
      </c>
      <c r="L12" s="90" t="s">
        <v>121</v>
      </c>
    </row>
    <row r="13">
      <c r="B13" s="95" t="s">
        <v>100</v>
      </c>
      <c r="C13" s="96">
        <v>1866322.0</v>
      </c>
      <c r="D13" s="96">
        <v>1218331.0</v>
      </c>
      <c r="E13" s="96">
        <v>457574.0</v>
      </c>
      <c r="F13" s="96">
        <v>213951.0</v>
      </c>
      <c r="G13" s="96">
        <v>282274.0</v>
      </c>
      <c r="H13" s="96">
        <v>201546.0</v>
      </c>
      <c r="I13" s="96">
        <v>136579.0</v>
      </c>
      <c r="J13" s="96">
        <v>61707.0</v>
      </c>
      <c r="K13" s="96">
        <v>8390.0</v>
      </c>
      <c r="L13" s="96">
        <v>4446674.0</v>
      </c>
    </row>
    <row r="14">
      <c r="B14" s="98" t="s">
        <v>101</v>
      </c>
      <c r="C14" s="99">
        <v>2.214249E7</v>
      </c>
      <c r="D14" s="99">
        <v>2.0361312E7</v>
      </c>
      <c r="E14" s="99">
        <v>1.8454751E7</v>
      </c>
      <c r="F14" s="99">
        <v>1.8417887E7</v>
      </c>
      <c r="G14" s="99">
        <v>2.3872599E7</v>
      </c>
      <c r="H14" s="99">
        <v>2.5217424E7</v>
      </c>
      <c r="I14" s="99">
        <v>2.3166477E7</v>
      </c>
      <c r="J14" s="99">
        <v>2.1270404E7</v>
      </c>
      <c r="K14" s="99">
        <v>1.9667936E7</v>
      </c>
      <c r="L14" s="99">
        <v>1.9257128E8</v>
      </c>
    </row>
    <row r="17">
      <c r="C17" s="102" t="s">
        <v>194</v>
      </c>
    </row>
    <row r="19">
      <c r="C19" s="103" t="s">
        <v>152</v>
      </c>
      <c r="D19" s="101"/>
      <c r="E19" s="104" t="s">
        <v>153</v>
      </c>
    </row>
    <row r="20">
      <c r="C20" s="105" t="s">
        <v>154</v>
      </c>
      <c r="D20" s="101"/>
      <c r="E20" s="106" t="s">
        <v>155</v>
      </c>
    </row>
    <row r="22">
      <c r="B22" s="1" t="s">
        <v>195</v>
      </c>
      <c r="C22" s="1">
        <v>0.8</v>
      </c>
      <c r="F22" s="1" t="s">
        <v>195</v>
      </c>
      <c r="G22" s="1">
        <v>0.4</v>
      </c>
      <c r="J22" s="1" t="s">
        <v>195</v>
      </c>
      <c r="K22" s="1">
        <v>0.9</v>
      </c>
      <c r="N22" s="1" t="s">
        <v>195</v>
      </c>
      <c r="O22" s="1">
        <v>0.9</v>
      </c>
      <c r="R22" s="1" t="s">
        <v>195</v>
      </c>
      <c r="S22" s="1">
        <v>0.9</v>
      </c>
      <c r="V22" s="1" t="s">
        <v>195</v>
      </c>
      <c r="W22" s="1">
        <v>0.9</v>
      </c>
      <c r="Z22" s="1" t="s">
        <v>195</v>
      </c>
      <c r="AA22" s="1">
        <v>0.8</v>
      </c>
      <c r="AD22" s="1" t="s">
        <v>195</v>
      </c>
      <c r="AE22" s="1">
        <v>0.9</v>
      </c>
      <c r="AH22" s="1" t="s">
        <v>195</v>
      </c>
      <c r="AI22" s="1">
        <v>0.9</v>
      </c>
    </row>
    <row r="23">
      <c r="A23" s="42" t="s">
        <v>150</v>
      </c>
      <c r="B23" s="61" t="s">
        <v>156</v>
      </c>
      <c r="C23" s="62" t="s">
        <v>157</v>
      </c>
      <c r="D23" s="63" t="s">
        <v>153</v>
      </c>
      <c r="E23" s="80"/>
      <c r="F23" s="61" t="s">
        <v>158</v>
      </c>
      <c r="G23" s="62" t="s">
        <v>196</v>
      </c>
      <c r="H23" s="63" t="s">
        <v>153</v>
      </c>
      <c r="I23" s="94"/>
      <c r="J23" s="66" t="s">
        <v>160</v>
      </c>
      <c r="K23" s="69" t="s">
        <v>161</v>
      </c>
      <c r="L23" s="68" t="s">
        <v>153</v>
      </c>
      <c r="M23" s="94"/>
      <c r="N23" s="66" t="s">
        <v>162</v>
      </c>
      <c r="O23" s="69" t="s">
        <v>163</v>
      </c>
      <c r="P23" s="68" t="s">
        <v>153</v>
      </c>
      <c r="Q23" s="94"/>
      <c r="R23" s="61" t="s">
        <v>164</v>
      </c>
      <c r="S23" s="62" t="s">
        <v>165</v>
      </c>
      <c r="T23" s="63" t="s">
        <v>153</v>
      </c>
      <c r="U23" s="109"/>
      <c r="V23" s="61" t="s">
        <v>166</v>
      </c>
      <c r="W23" s="62" t="s">
        <v>197</v>
      </c>
      <c r="X23" s="63" t="s">
        <v>153</v>
      </c>
      <c r="Y23" s="109"/>
      <c r="Z23" s="61" t="s">
        <v>168</v>
      </c>
      <c r="AA23" s="62" t="s">
        <v>198</v>
      </c>
      <c r="AB23" s="63" t="s">
        <v>153</v>
      </c>
      <c r="AC23" s="109"/>
      <c r="AD23" s="66" t="s">
        <v>170</v>
      </c>
      <c r="AE23" s="69" t="s">
        <v>171</v>
      </c>
      <c r="AF23" s="68" t="s">
        <v>153</v>
      </c>
      <c r="AG23" s="109"/>
      <c r="AH23" s="61" t="s">
        <v>172</v>
      </c>
      <c r="AI23" s="62" t="s">
        <v>199</v>
      </c>
      <c r="AJ23" s="63" t="s">
        <v>153</v>
      </c>
      <c r="AK23" s="122"/>
      <c r="AL23" s="122"/>
      <c r="AM23" s="122"/>
      <c r="AN23" s="122"/>
      <c r="AO23" s="122"/>
      <c r="AP23" s="122"/>
    </row>
    <row r="24">
      <c r="A24" s="43">
        <v>2024.0</v>
      </c>
      <c r="B24" s="61"/>
      <c r="C24" s="81">
        <f t="shared" ref="C24:C32" si="2">($C$22*B25 + (1-$C$22)*C25)</f>
        <v>390156.5342</v>
      </c>
      <c r="D24" s="63"/>
      <c r="E24" s="80"/>
      <c r="F24" s="61"/>
      <c r="G24" s="81">
        <f t="shared" ref="G24:G32" si="3">($G$22*F25 + (1-$G$22)*G25)</f>
        <v>2435839.645</v>
      </c>
      <c r="H24" s="63"/>
      <c r="I24" s="94"/>
      <c r="J24" s="66"/>
      <c r="K24" s="81">
        <f t="shared" ref="K24:K32" si="4">($K$22*J25 + (1-$K$22)*K25)</f>
        <v>2289.170176</v>
      </c>
      <c r="L24" s="68"/>
      <c r="M24" s="94"/>
      <c r="N24" s="66"/>
      <c r="O24" s="81">
        <f t="shared" ref="O24:O32" si="5">($O$22*N25 + (1-$O$22)*O25)</f>
        <v>1474472.533</v>
      </c>
      <c r="P24" s="68"/>
      <c r="Q24" s="94"/>
      <c r="R24" s="61"/>
      <c r="S24" s="81">
        <f t="shared" ref="S24:S32" si="6">($S$22*R25 + (1-$S$22)*S25)</f>
        <v>25557.13938</v>
      </c>
      <c r="T24" s="63"/>
      <c r="U24" s="109"/>
      <c r="V24" s="61"/>
      <c r="W24" s="81">
        <f t="shared" ref="W24:W32" si="7">($W$22*V25 + (1-$W$22)*W25)</f>
        <v>18030778.55</v>
      </c>
      <c r="X24" s="63"/>
      <c r="Y24" s="109"/>
      <c r="Z24" s="61"/>
      <c r="AA24" s="81">
        <f t="shared" ref="AA24:AA32" si="8">($AA$22*Z25 + (1-$AA$22)*AA25)</f>
        <v>508321.9443</v>
      </c>
      <c r="AB24" s="63"/>
      <c r="AC24" s="109"/>
      <c r="AD24" s="66"/>
      <c r="AE24" s="81">
        <f t="shared" ref="AE24:AE32" si="9">($AE$22*AD25 + (1-$AE$22)*AE25)</f>
        <v>316915.0562</v>
      </c>
      <c r="AF24" s="68"/>
      <c r="AG24" s="109"/>
      <c r="AH24" s="61"/>
      <c r="AI24" s="81">
        <f t="shared" ref="AI24:AI32" si="10">($AI$22*AH25 + (1-$AI$22)*AI25)</f>
        <v>5488.10423</v>
      </c>
      <c r="AJ24" s="63"/>
      <c r="AK24" s="122"/>
      <c r="AL24" s="122"/>
      <c r="AM24" s="122"/>
      <c r="AN24" s="122"/>
      <c r="AO24" s="122"/>
      <c r="AP24" s="122"/>
    </row>
    <row r="25">
      <c r="A25" s="42">
        <v>2023.0</v>
      </c>
      <c r="B25" s="44">
        <v>421145.0</v>
      </c>
      <c r="C25" s="70">
        <f t="shared" si="2"/>
        <v>266202.6711</v>
      </c>
      <c r="D25" s="71">
        <f t="shared" ref="D25:D32" si="11">abs(B25-C25)</f>
        <v>154942.3289</v>
      </c>
      <c r="E25" s="83"/>
      <c r="F25" s="44">
        <v>2568218.0</v>
      </c>
      <c r="G25" s="70">
        <f t="shared" si="3"/>
        <v>2347587.409</v>
      </c>
      <c r="H25" s="71">
        <f t="shared" ref="H25:H32" si="12">abs(F25-G25)</f>
        <v>220630.5913</v>
      </c>
      <c r="I25" s="77"/>
      <c r="J25" s="45">
        <v>2462.0</v>
      </c>
      <c r="K25" s="123">
        <f t="shared" si="4"/>
        <v>733.7017555</v>
      </c>
      <c r="L25" s="73">
        <f t="shared" ref="L25:L32" si="13">abs(J25-K25)</f>
        <v>1728.298245</v>
      </c>
      <c r="M25" s="77"/>
      <c r="N25" s="45">
        <v>1532344.0</v>
      </c>
      <c r="O25" s="123">
        <f t="shared" si="5"/>
        <v>953629.3264</v>
      </c>
      <c r="P25" s="73">
        <f t="shared" ref="P25:P32" si="14">abs(N25-O25)</f>
        <v>578714.6736</v>
      </c>
      <c r="Q25" s="77"/>
      <c r="R25" s="44">
        <v>26812.0</v>
      </c>
      <c r="S25" s="123">
        <f t="shared" si="6"/>
        <v>14263.39376</v>
      </c>
      <c r="T25" s="71">
        <f t="shared" ref="T25:T32" si="15">abs(R25-S25)</f>
        <v>12548.60624</v>
      </c>
      <c r="U25" s="77"/>
      <c r="V25" s="44">
        <v>1.8138477E7</v>
      </c>
      <c r="W25" s="123">
        <f t="shared" si="7"/>
        <v>17061492.54</v>
      </c>
      <c r="X25" s="71">
        <f t="shared" ref="X25:X32" si="16">abs(V25-W25)</f>
        <v>1076984.464</v>
      </c>
      <c r="Y25" s="77"/>
      <c r="Z25" s="44">
        <v>536677.0</v>
      </c>
      <c r="AA25" s="123">
        <f t="shared" si="8"/>
        <v>394901.7214</v>
      </c>
      <c r="AB25" s="71">
        <f t="shared" ref="AB25:AB32" si="17">abs(Z25-AA25)</f>
        <v>141775.2786</v>
      </c>
      <c r="AC25" s="77"/>
      <c r="AD25" s="45">
        <v>331515.0</v>
      </c>
      <c r="AE25" s="123">
        <f t="shared" si="9"/>
        <v>185515.5622</v>
      </c>
      <c r="AF25" s="73">
        <f t="shared" ref="AF25:AF32" si="18">abs(AD25-AE25)</f>
        <v>145999.4378</v>
      </c>
      <c r="AG25" s="77"/>
      <c r="AH25" s="44">
        <v>4693.0</v>
      </c>
      <c r="AI25" s="123">
        <f t="shared" si="10"/>
        <v>12644.0423</v>
      </c>
      <c r="AJ25" s="71">
        <f t="shared" ref="AJ25:AJ32" si="19">abs(AH25-AI25)</f>
        <v>7951.042304</v>
      </c>
      <c r="AK25" s="124"/>
      <c r="AL25" s="124"/>
      <c r="AM25" s="124"/>
      <c r="AN25" s="124"/>
      <c r="AO25" s="124"/>
      <c r="AP25" s="124"/>
    </row>
    <row r="26">
      <c r="A26" s="42">
        <v>2022.0</v>
      </c>
      <c r="B26" s="44">
        <v>297430.0</v>
      </c>
      <c r="C26" s="70">
        <f t="shared" si="2"/>
        <v>141293.3553</v>
      </c>
      <c r="D26" s="71">
        <f t="shared" si="11"/>
        <v>156136.6447</v>
      </c>
      <c r="E26" s="83"/>
      <c r="F26" s="44">
        <v>2345606.0</v>
      </c>
      <c r="G26" s="70">
        <f t="shared" si="3"/>
        <v>2348908.348</v>
      </c>
      <c r="H26" s="71">
        <f t="shared" si="12"/>
        <v>3302.347776</v>
      </c>
      <c r="I26" s="77"/>
      <c r="J26" s="45">
        <v>737.0</v>
      </c>
      <c r="K26" s="123">
        <f t="shared" si="4"/>
        <v>704.017555</v>
      </c>
      <c r="L26" s="73">
        <f t="shared" si="13"/>
        <v>32.982445</v>
      </c>
      <c r="M26" s="77"/>
      <c r="N26" s="45">
        <v>1025003.0</v>
      </c>
      <c r="O26" s="123">
        <f t="shared" si="5"/>
        <v>311266.264</v>
      </c>
      <c r="P26" s="73">
        <f t="shared" si="14"/>
        <v>713736.736</v>
      </c>
      <c r="Q26" s="77"/>
      <c r="R26" s="44">
        <v>14404.0</v>
      </c>
      <c r="S26" s="123">
        <f t="shared" si="6"/>
        <v>12997.93758</v>
      </c>
      <c r="T26" s="71">
        <f t="shared" si="15"/>
        <v>1406.062419</v>
      </c>
      <c r="U26" s="77"/>
      <c r="V26" s="44">
        <v>1.7185926E7</v>
      </c>
      <c r="W26" s="123">
        <f t="shared" si="7"/>
        <v>15941591.36</v>
      </c>
      <c r="X26" s="71">
        <f t="shared" si="16"/>
        <v>1244334.636</v>
      </c>
      <c r="Y26" s="77"/>
      <c r="Z26" s="44">
        <v>425922.0</v>
      </c>
      <c r="AA26" s="123">
        <f t="shared" si="8"/>
        <v>270820.6071</v>
      </c>
      <c r="AB26" s="71">
        <f t="shared" si="17"/>
        <v>155101.3929</v>
      </c>
      <c r="AC26" s="77"/>
      <c r="AD26" s="45">
        <v>192591.0</v>
      </c>
      <c r="AE26" s="123">
        <f t="shared" si="9"/>
        <v>121836.6217</v>
      </c>
      <c r="AF26" s="73">
        <f t="shared" si="18"/>
        <v>70754.37833</v>
      </c>
      <c r="AG26" s="77"/>
      <c r="AH26" s="44">
        <v>11544.0</v>
      </c>
      <c r="AI26" s="123">
        <f t="shared" si="10"/>
        <v>22544.42304</v>
      </c>
      <c r="AJ26" s="71">
        <f t="shared" si="19"/>
        <v>11000.42304</v>
      </c>
      <c r="AK26" s="124"/>
      <c r="AL26" s="124"/>
      <c r="AM26" s="124"/>
      <c r="AN26" s="124"/>
      <c r="AO26" s="124"/>
      <c r="AP26" s="124"/>
    </row>
    <row r="27">
      <c r="A27" s="42">
        <v>2021.0</v>
      </c>
      <c r="B27" s="44">
        <v>166328.0</v>
      </c>
      <c r="C27" s="70">
        <f t="shared" si="2"/>
        <v>41154.77664</v>
      </c>
      <c r="D27" s="71">
        <f t="shared" si="11"/>
        <v>125173.2234</v>
      </c>
      <c r="E27" s="83"/>
      <c r="F27" s="44">
        <v>2013620.0</v>
      </c>
      <c r="G27" s="70">
        <f t="shared" si="3"/>
        <v>2572433.913</v>
      </c>
      <c r="H27" s="71">
        <f t="shared" si="12"/>
        <v>558813.913</v>
      </c>
      <c r="I27" s="77"/>
      <c r="J27" s="45">
        <v>35.0</v>
      </c>
      <c r="K27" s="123">
        <f t="shared" si="4"/>
        <v>6725.17555</v>
      </c>
      <c r="L27" s="73">
        <f t="shared" si="13"/>
        <v>6690.17555</v>
      </c>
      <c r="M27" s="77"/>
      <c r="N27" s="45">
        <v>331576.0</v>
      </c>
      <c r="O27" s="123">
        <f t="shared" si="5"/>
        <v>128478.6403</v>
      </c>
      <c r="P27" s="73">
        <f t="shared" si="14"/>
        <v>203097.3597</v>
      </c>
      <c r="Q27" s="77"/>
      <c r="R27" s="44">
        <v>13408.0</v>
      </c>
      <c r="S27" s="123">
        <f t="shared" si="6"/>
        <v>9307.37581</v>
      </c>
      <c r="T27" s="71">
        <f t="shared" si="15"/>
        <v>4100.62419</v>
      </c>
      <c r="U27" s="77"/>
      <c r="V27" s="44">
        <v>1.5888229E7</v>
      </c>
      <c r="W27" s="123">
        <f t="shared" si="7"/>
        <v>16421852.64</v>
      </c>
      <c r="X27" s="71">
        <f t="shared" si="16"/>
        <v>533623.6439</v>
      </c>
      <c r="Y27" s="77"/>
      <c r="Z27" s="44">
        <v>270806.0</v>
      </c>
      <c r="AA27" s="123">
        <f t="shared" si="8"/>
        <v>270879.0355</v>
      </c>
      <c r="AB27" s="71">
        <f t="shared" si="17"/>
        <v>73.03552</v>
      </c>
      <c r="AC27" s="77"/>
      <c r="AD27" s="45">
        <v>125963.0</v>
      </c>
      <c r="AE27" s="123">
        <f t="shared" si="9"/>
        <v>84699.21674</v>
      </c>
      <c r="AF27" s="73">
        <f t="shared" si="18"/>
        <v>41263.78326</v>
      </c>
      <c r="AG27" s="77"/>
      <c r="AH27" s="44">
        <v>19833.0</v>
      </c>
      <c r="AI27" s="123">
        <f t="shared" si="10"/>
        <v>46947.2304</v>
      </c>
      <c r="AJ27" s="71">
        <f t="shared" si="19"/>
        <v>27114.2304</v>
      </c>
      <c r="AK27" s="124"/>
      <c r="AL27" s="124"/>
      <c r="AM27" s="124"/>
      <c r="AN27" s="124"/>
      <c r="AO27" s="124"/>
      <c r="AP27" s="124"/>
    </row>
    <row r="28">
      <c r="A28" s="42">
        <v>2020.0</v>
      </c>
      <c r="B28" s="44">
        <v>43227.0</v>
      </c>
      <c r="C28" s="70">
        <f t="shared" si="2"/>
        <v>32865.8832</v>
      </c>
      <c r="D28" s="71">
        <f t="shared" si="11"/>
        <v>10361.1168</v>
      </c>
      <c r="E28" s="83"/>
      <c r="F28" s="44">
        <v>2025020.0</v>
      </c>
      <c r="G28" s="70">
        <f t="shared" si="3"/>
        <v>2937376.522</v>
      </c>
      <c r="H28" s="71">
        <f t="shared" si="12"/>
        <v>912356.5216</v>
      </c>
      <c r="I28" s="77"/>
      <c r="J28" s="45">
        <v>2917.0</v>
      </c>
      <c r="K28" s="123">
        <f t="shared" si="4"/>
        <v>40998.7555</v>
      </c>
      <c r="L28" s="73">
        <f t="shared" si="13"/>
        <v>38081.7555</v>
      </c>
      <c r="M28" s="77"/>
      <c r="N28" s="45">
        <v>124671.0</v>
      </c>
      <c r="O28" s="123">
        <f t="shared" si="5"/>
        <v>162747.4034</v>
      </c>
      <c r="P28" s="73">
        <f t="shared" si="14"/>
        <v>38076.4034</v>
      </c>
      <c r="Q28" s="77"/>
      <c r="R28" s="44">
        <v>9910.0</v>
      </c>
      <c r="S28" s="123">
        <f t="shared" si="6"/>
        <v>3883.7581</v>
      </c>
      <c r="T28" s="71">
        <f t="shared" si="15"/>
        <v>6026.2419</v>
      </c>
      <c r="U28" s="77"/>
      <c r="V28" s="44">
        <v>1.5982228E7</v>
      </c>
      <c r="W28" s="123">
        <f t="shared" si="7"/>
        <v>20378474.44</v>
      </c>
      <c r="X28" s="71">
        <f t="shared" si="16"/>
        <v>4396246.439</v>
      </c>
      <c r="Y28" s="77"/>
      <c r="Z28" s="44">
        <v>233511.0</v>
      </c>
      <c r="AA28" s="123">
        <f t="shared" si="8"/>
        <v>420351.1776</v>
      </c>
      <c r="AB28" s="71">
        <f t="shared" si="17"/>
        <v>186840.1776</v>
      </c>
      <c r="AC28" s="77"/>
      <c r="AD28" s="45">
        <v>86363.0</v>
      </c>
      <c r="AE28" s="123">
        <f t="shared" si="9"/>
        <v>69725.1674</v>
      </c>
      <c r="AF28" s="73">
        <f t="shared" si="18"/>
        <v>16637.8326</v>
      </c>
      <c r="AG28" s="77"/>
      <c r="AH28" s="44">
        <v>39929.0</v>
      </c>
      <c r="AI28" s="123">
        <f t="shared" si="10"/>
        <v>110111.304</v>
      </c>
      <c r="AJ28" s="71">
        <f t="shared" si="19"/>
        <v>70182.304</v>
      </c>
      <c r="AK28" s="124"/>
      <c r="AL28" s="124"/>
      <c r="AM28" s="124"/>
      <c r="AN28" s="124"/>
      <c r="AO28" s="124"/>
      <c r="AP28" s="124"/>
    </row>
    <row r="29">
      <c r="A29" s="42">
        <v>2019.0</v>
      </c>
      <c r="B29" s="44">
        <v>33459.0</v>
      </c>
      <c r="C29" s="70">
        <f t="shared" si="2"/>
        <v>30493.416</v>
      </c>
      <c r="D29" s="71">
        <f t="shared" si="11"/>
        <v>2965.584</v>
      </c>
      <c r="E29" s="83"/>
      <c r="F29" s="44">
        <v>2924814.0</v>
      </c>
      <c r="G29" s="70">
        <f t="shared" si="3"/>
        <v>2945751.536</v>
      </c>
      <c r="H29" s="71">
        <f t="shared" si="12"/>
        <v>20937.536</v>
      </c>
      <c r="I29" s="77"/>
      <c r="J29" s="45">
        <v>39104.0</v>
      </c>
      <c r="K29" s="123">
        <f t="shared" si="4"/>
        <v>58051.555</v>
      </c>
      <c r="L29" s="73">
        <f t="shared" si="13"/>
        <v>18947.555</v>
      </c>
      <c r="M29" s="77"/>
      <c r="N29" s="45">
        <v>166881.0</v>
      </c>
      <c r="O29" s="123">
        <f t="shared" si="5"/>
        <v>125545.034</v>
      </c>
      <c r="P29" s="73">
        <f t="shared" si="14"/>
        <v>41335.966</v>
      </c>
      <c r="Q29" s="77"/>
      <c r="R29" s="44">
        <v>3866.0</v>
      </c>
      <c r="S29" s="123">
        <f t="shared" si="6"/>
        <v>4043.581</v>
      </c>
      <c r="T29" s="71">
        <f t="shared" si="15"/>
        <v>177.581</v>
      </c>
      <c r="U29" s="77"/>
      <c r="V29" s="44">
        <v>2.029547E7</v>
      </c>
      <c r="W29" s="123">
        <f t="shared" si="7"/>
        <v>21125514.39</v>
      </c>
      <c r="X29" s="71">
        <f t="shared" si="16"/>
        <v>830044.392</v>
      </c>
      <c r="Y29" s="77"/>
      <c r="Z29" s="44">
        <v>416682.0</v>
      </c>
      <c r="AA29" s="123">
        <f t="shared" si="8"/>
        <v>435027.888</v>
      </c>
      <c r="AB29" s="71">
        <f t="shared" si="17"/>
        <v>18345.888</v>
      </c>
      <c r="AC29" s="77"/>
      <c r="AD29" s="45">
        <v>76289.0</v>
      </c>
      <c r="AE29" s="123">
        <f t="shared" si="9"/>
        <v>10650.674</v>
      </c>
      <c r="AF29" s="73">
        <f t="shared" si="18"/>
        <v>65638.326</v>
      </c>
      <c r="AG29" s="77"/>
      <c r="AH29" s="44">
        <v>108995.0</v>
      </c>
      <c r="AI29" s="123">
        <f t="shared" si="10"/>
        <v>120158.04</v>
      </c>
      <c r="AJ29" s="71">
        <f t="shared" si="19"/>
        <v>11163.04</v>
      </c>
      <c r="AK29" s="124"/>
      <c r="AL29" s="124"/>
      <c r="AM29" s="124"/>
      <c r="AN29" s="124"/>
      <c r="AO29" s="124"/>
      <c r="AP29" s="124"/>
    </row>
    <row r="30">
      <c r="A30" s="43">
        <v>2018.0</v>
      </c>
      <c r="B30" s="44">
        <v>31429.0</v>
      </c>
      <c r="C30" s="70">
        <f t="shared" si="2"/>
        <v>26751.08</v>
      </c>
      <c r="D30" s="71">
        <f t="shared" si="11"/>
        <v>4677.92</v>
      </c>
      <c r="E30" s="83"/>
      <c r="F30" s="44">
        <v>3182474.0</v>
      </c>
      <c r="G30" s="70">
        <f t="shared" si="3"/>
        <v>2787936.56</v>
      </c>
      <c r="H30" s="71">
        <f t="shared" si="12"/>
        <v>394537.44</v>
      </c>
      <c r="I30" s="77"/>
      <c r="J30" s="45">
        <v>59540.0</v>
      </c>
      <c r="K30" s="123">
        <f t="shared" si="4"/>
        <v>44655.55</v>
      </c>
      <c r="L30" s="73">
        <f t="shared" si="13"/>
        <v>14884.45</v>
      </c>
      <c r="M30" s="77"/>
      <c r="N30" s="45">
        <v>130248.0</v>
      </c>
      <c r="O30" s="123">
        <f t="shared" si="5"/>
        <v>83218.34</v>
      </c>
      <c r="P30" s="73">
        <f t="shared" si="14"/>
        <v>47029.66</v>
      </c>
      <c r="Q30" s="77"/>
      <c r="R30" s="44">
        <v>4068.0</v>
      </c>
      <c r="S30" s="123">
        <f t="shared" si="6"/>
        <v>3823.81</v>
      </c>
      <c r="T30" s="71">
        <f t="shared" si="15"/>
        <v>244.19</v>
      </c>
      <c r="U30" s="77"/>
      <c r="V30" s="44">
        <v>2.1301973E7</v>
      </c>
      <c r="W30" s="123">
        <f t="shared" si="7"/>
        <v>19537386.92</v>
      </c>
      <c r="X30" s="71">
        <f t="shared" si="16"/>
        <v>1764586.08</v>
      </c>
      <c r="Y30" s="77"/>
      <c r="Z30" s="44">
        <v>459314.0</v>
      </c>
      <c r="AA30" s="123">
        <f t="shared" si="8"/>
        <v>337883.44</v>
      </c>
      <c r="AB30" s="71">
        <f t="shared" si="17"/>
        <v>121430.56</v>
      </c>
      <c r="AC30" s="77"/>
      <c r="AD30" s="45">
        <v>11758.0</v>
      </c>
      <c r="AE30" s="123">
        <f t="shared" si="9"/>
        <v>684.74</v>
      </c>
      <c r="AF30" s="73">
        <f t="shared" si="18"/>
        <v>11073.26</v>
      </c>
      <c r="AG30" s="77"/>
      <c r="AH30" s="44">
        <v>123813.0</v>
      </c>
      <c r="AI30" s="123">
        <f t="shared" si="10"/>
        <v>87263.4</v>
      </c>
      <c r="AJ30" s="71">
        <f t="shared" si="19"/>
        <v>36549.6</v>
      </c>
      <c r="AK30" s="124"/>
      <c r="AL30" s="124"/>
      <c r="AM30" s="124"/>
      <c r="AN30" s="124"/>
      <c r="AO30" s="124"/>
      <c r="AP30" s="124"/>
    </row>
    <row r="31">
      <c r="A31" s="43">
        <v>2017.0</v>
      </c>
      <c r="B31" s="44">
        <v>26150.0</v>
      </c>
      <c r="C31" s="70">
        <f t="shared" si="2"/>
        <v>29155.4</v>
      </c>
      <c r="D31" s="71">
        <f t="shared" si="11"/>
        <v>3005.4</v>
      </c>
      <c r="E31" s="83"/>
      <c r="F31" s="44">
        <v>2865401.0</v>
      </c>
      <c r="G31" s="70">
        <f t="shared" si="3"/>
        <v>2736293.6</v>
      </c>
      <c r="H31" s="71">
        <f t="shared" si="12"/>
        <v>129107.4</v>
      </c>
      <c r="I31" s="77"/>
      <c r="J31" s="45">
        <v>48477.0</v>
      </c>
      <c r="K31" s="123">
        <f t="shared" si="4"/>
        <v>10262.5</v>
      </c>
      <c r="L31" s="73">
        <f t="shared" si="13"/>
        <v>38214.5</v>
      </c>
      <c r="M31" s="77"/>
      <c r="N31" s="45">
        <v>87395.0</v>
      </c>
      <c r="O31" s="123">
        <f t="shared" si="5"/>
        <v>45628.4</v>
      </c>
      <c r="P31" s="73">
        <f t="shared" si="14"/>
        <v>41766.6</v>
      </c>
      <c r="Q31" s="77"/>
      <c r="R31" s="44">
        <v>3814.0</v>
      </c>
      <c r="S31" s="123">
        <f t="shared" si="6"/>
        <v>3912.1</v>
      </c>
      <c r="T31" s="71">
        <f t="shared" si="15"/>
        <v>98.1</v>
      </c>
      <c r="U31" s="77"/>
      <c r="V31" s="44">
        <v>1.9731563E7</v>
      </c>
      <c r="W31" s="123">
        <f t="shared" si="7"/>
        <v>17789802.2</v>
      </c>
      <c r="X31" s="71">
        <f t="shared" si="16"/>
        <v>1941760.8</v>
      </c>
      <c r="Y31" s="77"/>
      <c r="Z31" s="44">
        <v>342522.0</v>
      </c>
      <c r="AA31" s="123">
        <f t="shared" si="8"/>
        <v>319329.2</v>
      </c>
      <c r="AB31" s="71">
        <f t="shared" si="17"/>
        <v>23192.8</v>
      </c>
      <c r="AC31" s="77"/>
      <c r="AD31" s="45">
        <v>707.0</v>
      </c>
      <c r="AE31" s="123">
        <f t="shared" si="9"/>
        <v>484.4</v>
      </c>
      <c r="AF31" s="73">
        <f t="shared" si="18"/>
        <v>222.6</v>
      </c>
      <c r="AG31" s="77"/>
      <c r="AH31" s="44">
        <v>87934.0</v>
      </c>
      <c r="AI31" s="123">
        <f t="shared" si="10"/>
        <v>81228</v>
      </c>
      <c r="AJ31" s="71">
        <f t="shared" si="19"/>
        <v>6706</v>
      </c>
      <c r="AK31" s="124"/>
      <c r="AL31" s="124"/>
      <c r="AM31" s="124"/>
      <c r="AN31" s="124"/>
      <c r="AO31" s="124"/>
      <c r="AP31" s="124"/>
    </row>
    <row r="32">
      <c r="A32" s="43">
        <v>2016.0</v>
      </c>
      <c r="B32" s="44">
        <v>29888.0</v>
      </c>
      <c r="C32" s="70">
        <f t="shared" si="2"/>
        <v>26225</v>
      </c>
      <c r="D32" s="71">
        <f t="shared" si="11"/>
        <v>3663</v>
      </c>
      <c r="E32" s="83"/>
      <c r="F32" s="44">
        <v>2752178.0</v>
      </c>
      <c r="G32" s="70">
        <f t="shared" si="3"/>
        <v>2725704</v>
      </c>
      <c r="H32" s="71">
        <f t="shared" si="12"/>
        <v>26474</v>
      </c>
      <c r="I32" s="77"/>
      <c r="J32" s="45">
        <v>11347.0</v>
      </c>
      <c r="K32" s="123">
        <f t="shared" si="4"/>
        <v>502</v>
      </c>
      <c r="L32" s="73">
        <f t="shared" si="13"/>
        <v>10845</v>
      </c>
      <c r="M32" s="77"/>
      <c r="N32" s="45">
        <v>49832.0</v>
      </c>
      <c r="O32" s="123">
        <f t="shared" si="5"/>
        <v>7796</v>
      </c>
      <c r="P32" s="73">
        <f t="shared" si="14"/>
        <v>42036</v>
      </c>
      <c r="Q32" s="77"/>
      <c r="R32" s="44">
        <v>3976.0</v>
      </c>
      <c r="S32" s="123">
        <f t="shared" si="6"/>
        <v>3337</v>
      </c>
      <c r="T32" s="71">
        <f t="shared" si="15"/>
        <v>639</v>
      </c>
      <c r="U32" s="77"/>
      <c r="V32" s="44">
        <v>1.7936356E7</v>
      </c>
      <c r="W32" s="123">
        <f t="shared" si="7"/>
        <v>16470818</v>
      </c>
      <c r="X32" s="71">
        <f t="shared" si="16"/>
        <v>1465538</v>
      </c>
      <c r="Y32" s="77"/>
      <c r="Z32" s="44">
        <v>334236.0</v>
      </c>
      <c r="AA32" s="123">
        <f t="shared" si="8"/>
        <v>259702</v>
      </c>
      <c r="AB32" s="71">
        <f t="shared" si="17"/>
        <v>74534</v>
      </c>
      <c r="AC32" s="77"/>
      <c r="AD32" s="45">
        <v>528.0</v>
      </c>
      <c r="AE32" s="123">
        <f t="shared" si="9"/>
        <v>92</v>
      </c>
      <c r="AF32" s="73">
        <f t="shared" si="18"/>
        <v>436</v>
      </c>
      <c r="AG32" s="77"/>
      <c r="AH32" s="44">
        <v>82483.0</v>
      </c>
      <c r="AI32" s="123">
        <f t="shared" si="10"/>
        <v>69933</v>
      </c>
      <c r="AJ32" s="71">
        <f t="shared" si="19"/>
        <v>12550</v>
      </c>
      <c r="AK32" s="124"/>
      <c r="AL32" s="124"/>
      <c r="AM32" s="124"/>
      <c r="AN32" s="124"/>
      <c r="AO32" s="124"/>
      <c r="AP32" s="124"/>
    </row>
    <row r="33">
      <c r="A33" s="43">
        <v>2015.0</v>
      </c>
      <c r="B33" s="44">
        <v>26225.0</v>
      </c>
      <c r="C33" s="70">
        <v>26225.0</v>
      </c>
      <c r="D33" s="75" t="s">
        <v>174</v>
      </c>
      <c r="E33" s="84"/>
      <c r="F33" s="44">
        <v>2725704.0</v>
      </c>
      <c r="G33" s="70">
        <v>2725704.0</v>
      </c>
      <c r="H33" s="75" t="s">
        <v>174</v>
      </c>
      <c r="I33" s="1"/>
      <c r="J33" s="45">
        <v>502.0</v>
      </c>
      <c r="K33" s="49">
        <v>502.0</v>
      </c>
      <c r="L33" s="76" t="s">
        <v>174</v>
      </c>
      <c r="M33" s="1"/>
      <c r="N33" s="45">
        <v>7796.0</v>
      </c>
      <c r="O33" s="49">
        <v>7796.0</v>
      </c>
      <c r="P33" s="76" t="s">
        <v>174</v>
      </c>
      <c r="Q33" s="1"/>
      <c r="R33" s="44">
        <v>3337.0</v>
      </c>
      <c r="S33" s="70">
        <v>3337.0</v>
      </c>
      <c r="T33" s="75" t="s">
        <v>174</v>
      </c>
      <c r="U33" s="1"/>
      <c r="V33" s="44">
        <v>1.6470818E7</v>
      </c>
      <c r="W33" s="70">
        <v>1.6470818E7</v>
      </c>
      <c r="X33" s="75" t="s">
        <v>174</v>
      </c>
      <c r="Y33" s="1"/>
      <c r="Z33" s="44">
        <v>259702.0</v>
      </c>
      <c r="AA33" s="70">
        <v>259702.0</v>
      </c>
      <c r="AB33" s="75" t="s">
        <v>174</v>
      </c>
      <c r="AC33" s="1"/>
      <c r="AD33" s="45">
        <v>92.0</v>
      </c>
      <c r="AE33" s="49">
        <v>92.0</v>
      </c>
      <c r="AF33" s="76" t="s">
        <v>174</v>
      </c>
      <c r="AG33" s="1"/>
      <c r="AH33" s="44">
        <v>69933.0</v>
      </c>
      <c r="AI33" s="70">
        <v>69933.0</v>
      </c>
      <c r="AJ33" s="75" t="s">
        <v>174</v>
      </c>
      <c r="AK33" s="125"/>
      <c r="AL33" s="125"/>
      <c r="AM33" s="125"/>
      <c r="AN33" s="125"/>
      <c r="AO33" s="125"/>
      <c r="AP33" s="125"/>
    </row>
    <row r="34">
      <c r="C34" s="1" t="s">
        <v>200</v>
      </c>
      <c r="D34" s="77">
        <f>Average(D25:D32)</f>
        <v>57615.65222</v>
      </c>
      <c r="E34" s="77"/>
      <c r="G34" s="1" t="s">
        <v>200</v>
      </c>
      <c r="H34" s="77">
        <f>Average(H25:H32)</f>
        <v>283269.9687</v>
      </c>
      <c r="I34" s="77"/>
      <c r="K34" s="1" t="s">
        <v>200</v>
      </c>
      <c r="L34" s="77">
        <f>Average(L25:L32)</f>
        <v>16178.08959</v>
      </c>
      <c r="O34" s="1" t="s">
        <v>200</v>
      </c>
      <c r="P34" s="77">
        <f>Average(P25:P32)</f>
        <v>213224.1748</v>
      </c>
      <c r="S34" s="1" t="s">
        <v>200</v>
      </c>
      <c r="T34" s="77">
        <f>Average(T25:T32)</f>
        <v>3155.050719</v>
      </c>
      <c r="W34" s="1" t="s">
        <v>200</v>
      </c>
      <c r="X34" s="77">
        <f>Average(X25:X32)</f>
        <v>1656639.807</v>
      </c>
      <c r="AA34" s="1" t="s">
        <v>200</v>
      </c>
      <c r="AB34" s="77">
        <f>Average(AB25:AB32)</f>
        <v>90161.64157</v>
      </c>
      <c r="AE34" s="1" t="s">
        <v>200</v>
      </c>
      <c r="AF34" s="77">
        <f>Average(AF25:AF32)</f>
        <v>44003.20225</v>
      </c>
      <c r="AI34" s="1" t="s">
        <v>200</v>
      </c>
      <c r="AJ34" s="77">
        <f>Average(AJ25:AJ32)</f>
        <v>22902.07997</v>
      </c>
    </row>
    <row r="35">
      <c r="C35" s="1" t="s">
        <v>147</v>
      </c>
      <c r="D35" s="77">
        <f>average(D25^2, D26^2, D27^2, D28^2,D29^2,D30^2, D31^2, D32^2)</f>
        <v>8026824164</v>
      </c>
      <c r="E35" s="77"/>
      <c r="G35" s="1" t="s">
        <v>147</v>
      </c>
      <c r="H35" s="77">
        <f>average(H25^2, H26^2, H27^2, H28^2,H29^2,H30^2, H31^2, H32^2)</f>
        <v>170852992568</v>
      </c>
      <c r="I35" s="77"/>
      <c r="K35" s="1" t="s">
        <v>147</v>
      </c>
      <c r="L35" s="77">
        <f>average(L25^2, L26^2, L27^2, L28^2,L29^2,L30^2, L31^2, L32^2)</f>
        <v>457060672.6</v>
      </c>
      <c r="M35" s="77"/>
      <c r="O35" s="1" t="s">
        <v>147</v>
      </c>
      <c r="P35" s="21">
        <f>average(P25^2, P26^2, P27^2, P28^2,P29^2,P30^2, P31^2, P32^2)</f>
        <v>111807634610</v>
      </c>
      <c r="S35" s="1" t="s">
        <v>147</v>
      </c>
      <c r="T35" s="77">
        <f>average(T25^2, T26^2, T27^2, T28^2,T29^2,T30^2, T31^2, T32^2)</f>
        <v>26635543.59</v>
      </c>
      <c r="U35" s="77"/>
      <c r="W35" s="1" t="s">
        <v>147</v>
      </c>
      <c r="X35" s="21">
        <f>average(X25^2, X26^2, X27^2, X28^2,X29^2,X30^2, X31^2, X32^2)</f>
        <v>4005121940992</v>
      </c>
      <c r="AA35" s="1" t="s">
        <v>147</v>
      </c>
      <c r="AB35" s="21">
        <f>average(AB25^2, AB26^2, AB27^2, AB28^2,AB29^2,AB30^2, AB31^2, AB32^2)</f>
        <v>12530138079</v>
      </c>
      <c r="AE35" s="1" t="s">
        <v>147</v>
      </c>
      <c r="AF35" s="21">
        <f>average(AF25^2, AF26^2, AF27^2, AF28^2,AF29^2,AF30^2, AF31^2, AF32^2)</f>
        <v>4091597720</v>
      </c>
      <c r="AI35" s="1" t="s">
        <v>147</v>
      </c>
      <c r="AJ35" s="21">
        <f>average(AJ25^2, AJ26^2, AJ27^2, AJ28^2,AJ29^2,AJ30^2, AJ31^2, AJ32^2)</f>
        <v>938490665.5</v>
      </c>
    </row>
    <row r="36">
      <c r="C36" s="1" t="s">
        <v>148</v>
      </c>
      <c r="D36" s="77">
        <f>SQRT(D35)</f>
        <v>89592.54525</v>
      </c>
      <c r="E36" s="77"/>
      <c r="G36" s="1" t="s">
        <v>148</v>
      </c>
      <c r="H36" s="77">
        <f>SQRT(H35)</f>
        <v>413343.6737</v>
      </c>
      <c r="I36" s="77"/>
      <c r="K36" s="1" t="s">
        <v>148</v>
      </c>
      <c r="L36" s="77">
        <f>SQRT(L35)</f>
        <v>21378.97735</v>
      </c>
      <c r="M36" s="77"/>
      <c r="O36" s="1" t="s">
        <v>148</v>
      </c>
      <c r="P36" s="77">
        <f>SQRT(P35)</f>
        <v>334376.4863</v>
      </c>
      <c r="Q36" s="77"/>
      <c r="S36" s="1" t="s">
        <v>148</v>
      </c>
      <c r="T36" s="77">
        <f>SQRT(T35)</f>
        <v>5160.963436</v>
      </c>
      <c r="U36" s="77"/>
      <c r="W36" s="1" t="s">
        <v>148</v>
      </c>
      <c r="X36" s="77">
        <f>SQRT(X35)</f>
        <v>2001280.076</v>
      </c>
      <c r="Y36" s="77"/>
      <c r="AA36" s="1" t="s">
        <v>148</v>
      </c>
      <c r="AB36" s="77">
        <f>SQRT(AB35)</f>
        <v>111938.0993</v>
      </c>
      <c r="AC36" s="77"/>
      <c r="AE36" s="1" t="s">
        <v>148</v>
      </c>
      <c r="AF36" s="77">
        <f>SQRT(AF35)</f>
        <v>63965.59794</v>
      </c>
      <c r="AG36" s="77"/>
      <c r="AI36" s="1" t="s">
        <v>148</v>
      </c>
      <c r="AJ36" s="77">
        <f>SQRT(AJ35)</f>
        <v>30634.79501</v>
      </c>
      <c r="AK36" s="77"/>
      <c r="AL36" s="77"/>
      <c r="AM36" s="77"/>
      <c r="AN36" s="77"/>
      <c r="AO36" s="77"/>
      <c r="AP36" s="77"/>
    </row>
    <row r="37">
      <c r="C37" s="1" t="s">
        <v>201</v>
      </c>
      <c r="D37" s="79">
        <f>average(D25/B25,D26/B26,D27/B27,D28/B28,D29/B29,D30/B30,D31/B31,D32/B32)</f>
        <v>0.2950100464</v>
      </c>
      <c r="G37" s="1" t="s">
        <v>201</v>
      </c>
      <c r="H37" s="79">
        <f>average(H25/F25,H26/F26,H27/F27,H28/F28,H29/F29,H30/F30,H31/F31,H32/F32)</f>
        <v>0.125147768</v>
      </c>
      <c r="K37" s="1" t="s">
        <v>201</v>
      </c>
      <c r="L37" s="79">
        <f>average(L25/J25,L26/J26,L27/J27,L28/J28,L29/J29,L30/J30,L31/J31,L32/J32)</f>
        <v>25.92853986</v>
      </c>
      <c r="O37" s="1" t="s">
        <v>201</v>
      </c>
      <c r="P37" s="79">
        <f>average(P25/N25,P26/N26,P27/N27,P28/N28,P29/N29,P30/N30,P31/N31,P32/N32)</f>
        <v>0.4902705743</v>
      </c>
      <c r="S37" s="1" t="s">
        <v>201</v>
      </c>
      <c r="T37" s="79">
        <f>average(T25/R25,T26/R26,T27/R27,T28/R28,T29/R29,T30/R30,T31/R31,T32/R32)</f>
        <v>0.2214957154</v>
      </c>
      <c r="W37" s="1" t="s">
        <v>201</v>
      </c>
      <c r="X37" s="79">
        <f>average(X25/V25,X26/V26,X27/V27,X28/V28,X29/V29,X30/V30,X31/V31,X32/V32)</f>
        <v>0.09303603828</v>
      </c>
      <c r="AA37" s="1" t="s">
        <v>201</v>
      </c>
      <c r="AB37" s="79">
        <f>average(AB25/Z25,AB26/Z26,AB27/Z27,AB28/Z28,AB29/Z29,AB30/Z30,AB31/Z31,AB32/Z32)</f>
        <v>0.2534804001</v>
      </c>
      <c r="AE37" s="1" t="s">
        <v>201</v>
      </c>
      <c r="AF37" s="79">
        <f>average(AF25/AD25,AF26/AD26,AF27/AD27,AF28/AD28,AF29/AD29,AF30/AD30,AF31/AD31,AF32/AD32)</f>
        <v>0.5338477737</v>
      </c>
      <c r="AI37" s="1" t="s">
        <v>201</v>
      </c>
      <c r="AJ37" s="79">
        <f>average(AJ25/AH25,AJ26/AH26,AJ27/AH27,AJ28/AH28,AJ29/AH29,AJ30/AH30,AJ31/AH31,AJ32/AH32)</f>
        <v>0.7997479748</v>
      </c>
      <c r="AK37" s="79"/>
      <c r="AL37" s="79"/>
      <c r="AM37" s="79"/>
      <c r="AN37" s="79"/>
      <c r="AO37" s="79"/>
      <c r="AP37" s="79"/>
    </row>
    <row r="39">
      <c r="B39" s="1" t="s">
        <v>195</v>
      </c>
      <c r="C39" s="1">
        <v>0.9</v>
      </c>
      <c r="F39" s="1" t="s">
        <v>195</v>
      </c>
      <c r="G39" s="1">
        <v>0.9</v>
      </c>
    </row>
    <row r="40">
      <c r="A40" s="42" t="s">
        <v>150</v>
      </c>
      <c r="B40" s="66" t="s">
        <v>202</v>
      </c>
      <c r="C40" s="69" t="s">
        <v>203</v>
      </c>
      <c r="D40" s="63" t="s">
        <v>153</v>
      </c>
      <c r="E40" s="80"/>
      <c r="F40" s="61" t="s">
        <v>175</v>
      </c>
      <c r="G40" s="69" t="s">
        <v>204</v>
      </c>
      <c r="H40" s="63" t="s">
        <v>153</v>
      </c>
      <c r="I40" s="80"/>
      <c r="AC40" s="42" t="s">
        <v>150</v>
      </c>
      <c r="AD40" s="66" t="s">
        <v>170</v>
      </c>
      <c r="AE40" s="69" t="s">
        <v>171</v>
      </c>
      <c r="AF40" s="68" t="s">
        <v>153</v>
      </c>
    </row>
    <row r="41">
      <c r="A41" s="43">
        <v>2024.0</v>
      </c>
      <c r="B41" s="66"/>
      <c r="C41" s="126">
        <f t="shared" ref="C41:C49" si="20">($C$39*B42 + (1-$C$39)*C42)</f>
        <v>1793677.659</v>
      </c>
      <c r="D41" s="63"/>
      <c r="E41" s="80"/>
      <c r="F41" s="61"/>
      <c r="G41" s="126">
        <f t="shared" ref="G41:G49" si="21">($G$39*F42 + (1-$G$39)*G42)</f>
        <v>21945826.39</v>
      </c>
      <c r="H41" s="63"/>
      <c r="I41" s="80"/>
      <c r="AC41" s="43">
        <v>2024.0</v>
      </c>
      <c r="AD41" s="66"/>
      <c r="AE41" s="81">
        <f t="shared" ref="AE41:AE45" si="22">($AE$22*AD42 + (1-$AE$22)*AE42)</f>
        <v>316915.7126</v>
      </c>
      <c r="AF41" s="68"/>
    </row>
    <row r="42">
      <c r="A42" s="42">
        <v>2023.0</v>
      </c>
      <c r="B42" s="45">
        <v>1866322.0</v>
      </c>
      <c r="C42" s="70">
        <f t="shared" si="20"/>
        <v>1139878.59</v>
      </c>
      <c r="D42" s="71">
        <f t="shared" ref="D42:D49" si="23">abs(B42-C42)</f>
        <v>726443.4097</v>
      </c>
      <c r="E42" s="83"/>
      <c r="F42" s="44">
        <v>2.214249E7</v>
      </c>
      <c r="G42" s="70">
        <f t="shared" si="21"/>
        <v>20175853.89</v>
      </c>
      <c r="H42" s="71">
        <f t="shared" ref="H42:H49" si="24">abs(F42-G42)</f>
        <v>1966636.111</v>
      </c>
      <c r="I42" s="83"/>
      <c r="AC42" s="42">
        <v>2023.0</v>
      </c>
      <c r="AD42" s="45">
        <v>331515.0</v>
      </c>
      <c r="AE42" s="123">
        <f t="shared" si="22"/>
        <v>185522.126</v>
      </c>
      <c r="AF42" s="73">
        <f t="shared" ref="AF42:AF45" si="25">abs(AD42-AE42)</f>
        <v>145992.874</v>
      </c>
    </row>
    <row r="43">
      <c r="A43" s="42">
        <v>2022.0</v>
      </c>
      <c r="B43" s="45">
        <v>1218331.0</v>
      </c>
      <c r="C43" s="70">
        <f t="shared" si="20"/>
        <v>433806.9033</v>
      </c>
      <c r="D43" s="71">
        <f t="shared" si="23"/>
        <v>784524.0967</v>
      </c>
      <c r="E43" s="83"/>
      <c r="F43" s="44">
        <v>2.0361312E7</v>
      </c>
      <c r="G43" s="70">
        <f t="shared" si="21"/>
        <v>18506730.89</v>
      </c>
      <c r="H43" s="71">
        <f t="shared" si="24"/>
        <v>1854581.113</v>
      </c>
      <c r="I43" s="83"/>
      <c r="AC43" s="42">
        <v>2022.0</v>
      </c>
      <c r="AD43" s="45">
        <v>192591.0</v>
      </c>
      <c r="AE43" s="123">
        <f t="shared" si="22"/>
        <v>121902.26</v>
      </c>
      <c r="AF43" s="73">
        <f t="shared" si="25"/>
        <v>70688.74</v>
      </c>
    </row>
    <row r="44">
      <c r="A44" s="42">
        <v>2021.0</v>
      </c>
      <c r="B44" s="45">
        <v>457574.0</v>
      </c>
      <c r="C44" s="70">
        <f t="shared" si="20"/>
        <v>219903.0326</v>
      </c>
      <c r="D44" s="71">
        <f t="shared" si="23"/>
        <v>237670.9674</v>
      </c>
      <c r="E44" s="83"/>
      <c r="F44" s="44">
        <v>1.8454751E7</v>
      </c>
      <c r="G44" s="70">
        <f t="shared" si="21"/>
        <v>18974549.87</v>
      </c>
      <c r="H44" s="71">
        <f t="shared" si="24"/>
        <v>519798.871</v>
      </c>
      <c r="I44" s="83"/>
      <c r="AC44" s="42">
        <v>2021.0</v>
      </c>
      <c r="AD44" s="45">
        <v>125963.0</v>
      </c>
      <c r="AE44" s="123">
        <f t="shared" si="22"/>
        <v>85355.6</v>
      </c>
      <c r="AF44" s="73">
        <f t="shared" si="25"/>
        <v>40607.4</v>
      </c>
    </row>
    <row r="45">
      <c r="A45" s="42">
        <v>2020.0</v>
      </c>
      <c r="B45" s="45">
        <v>213951.0</v>
      </c>
      <c r="C45" s="70">
        <f t="shared" si="20"/>
        <v>273471.3263</v>
      </c>
      <c r="D45" s="71">
        <f t="shared" si="23"/>
        <v>59520.3263</v>
      </c>
      <c r="E45" s="83"/>
      <c r="F45" s="44">
        <v>1.8417887E7</v>
      </c>
      <c r="G45" s="70">
        <f t="shared" si="21"/>
        <v>23984515.71</v>
      </c>
      <c r="H45" s="71">
        <f t="shared" si="24"/>
        <v>5566628.71</v>
      </c>
      <c r="I45" s="83"/>
      <c r="AC45" s="42">
        <v>2020.0</v>
      </c>
      <c r="AD45" s="45">
        <v>86363.0</v>
      </c>
      <c r="AE45" s="123">
        <f t="shared" si="22"/>
        <v>76289</v>
      </c>
      <c r="AF45" s="73">
        <f t="shared" si="25"/>
        <v>10074</v>
      </c>
    </row>
    <row r="46">
      <c r="A46" s="42">
        <v>2019.0</v>
      </c>
      <c r="B46" s="45">
        <v>282274.0</v>
      </c>
      <c r="C46" s="70">
        <f t="shared" si="20"/>
        <v>194247.263</v>
      </c>
      <c r="D46" s="71">
        <f t="shared" si="23"/>
        <v>88026.737</v>
      </c>
      <c r="E46" s="83"/>
      <c r="F46" s="44">
        <v>2.3872599E7</v>
      </c>
      <c r="G46" s="70">
        <f t="shared" si="21"/>
        <v>24991766.1</v>
      </c>
      <c r="H46" s="71">
        <f t="shared" si="24"/>
        <v>1119167.102</v>
      </c>
      <c r="I46" s="83"/>
      <c r="AC46" s="42">
        <v>2019.0</v>
      </c>
      <c r="AD46" s="45">
        <v>76289.0</v>
      </c>
      <c r="AE46" s="127">
        <v>76289.0</v>
      </c>
      <c r="AF46" s="128" t="s">
        <v>174</v>
      </c>
    </row>
    <row r="47">
      <c r="A47" s="43">
        <v>2018.0</v>
      </c>
      <c r="B47" s="45">
        <v>201546.0</v>
      </c>
      <c r="C47" s="70">
        <f t="shared" si="20"/>
        <v>128558.63</v>
      </c>
      <c r="D47" s="71">
        <f t="shared" si="23"/>
        <v>72987.37</v>
      </c>
      <c r="E47" s="83"/>
      <c r="F47" s="44">
        <v>2.5217424E7</v>
      </c>
      <c r="G47" s="70">
        <f t="shared" si="21"/>
        <v>22960845.02</v>
      </c>
      <c r="H47" s="71">
        <f t="shared" si="24"/>
        <v>2256578.98</v>
      </c>
      <c r="I47" s="83"/>
      <c r="AE47" s="1" t="s">
        <v>200</v>
      </c>
      <c r="AF47" s="77">
        <f>Average(AF42:AF46)</f>
        <v>66840.7535</v>
      </c>
    </row>
    <row r="48">
      <c r="A48" s="43">
        <v>2017.0</v>
      </c>
      <c r="B48" s="45">
        <v>136579.0</v>
      </c>
      <c r="C48" s="70">
        <f t="shared" si="20"/>
        <v>56375.3</v>
      </c>
      <c r="D48" s="71">
        <f t="shared" si="23"/>
        <v>80203.7</v>
      </c>
      <c r="E48" s="83"/>
      <c r="F48" s="44">
        <v>2.3166477E7</v>
      </c>
      <c r="G48" s="70">
        <f t="shared" si="21"/>
        <v>21110157.2</v>
      </c>
      <c r="H48" s="71">
        <f t="shared" si="24"/>
        <v>2056319.8</v>
      </c>
      <c r="I48" s="83"/>
      <c r="AE48" s="1" t="s">
        <v>147</v>
      </c>
      <c r="AF48" s="21">
        <f>average(AF42^2,AF43^2, AF44^2, AF45^2)</f>
        <v>7015315908</v>
      </c>
      <c r="AG48" s="109"/>
    </row>
    <row r="49">
      <c r="A49" s="43">
        <v>2016.0</v>
      </c>
      <c r="B49" s="45">
        <v>61707.0</v>
      </c>
      <c r="C49" s="70">
        <f t="shared" si="20"/>
        <v>8390</v>
      </c>
      <c r="D49" s="71">
        <f t="shared" si="23"/>
        <v>53317</v>
      </c>
      <c r="E49" s="83"/>
      <c r="F49" s="44">
        <v>2.1270404E7</v>
      </c>
      <c r="G49" s="70">
        <f t="shared" si="21"/>
        <v>19667936</v>
      </c>
      <c r="H49" s="71">
        <f t="shared" si="24"/>
        <v>1602468</v>
      </c>
      <c r="I49" s="83"/>
      <c r="AE49" s="1" t="s">
        <v>148</v>
      </c>
      <c r="AF49" s="77">
        <f>SQRT(AF48)</f>
        <v>83757.4827</v>
      </c>
      <c r="AG49" s="109"/>
    </row>
    <row r="50">
      <c r="A50" s="43">
        <v>2015.0</v>
      </c>
      <c r="B50" s="45">
        <v>8390.0</v>
      </c>
      <c r="C50" s="70">
        <v>8390.0</v>
      </c>
      <c r="D50" s="75" t="s">
        <v>174</v>
      </c>
      <c r="E50" s="84"/>
      <c r="F50" s="44">
        <v>1.9667936E7</v>
      </c>
      <c r="G50" s="49">
        <v>1.9667936E7</v>
      </c>
      <c r="H50" s="75" t="s">
        <v>174</v>
      </c>
      <c r="I50" s="84"/>
      <c r="AE50" s="1" t="s">
        <v>201</v>
      </c>
      <c r="AF50" s="79">
        <f>average(AF42/AD42,AF43/AD43,AF44/AD44,AF45/AD45)</f>
        <v>0.3116111042</v>
      </c>
      <c r="AG50" s="77"/>
    </row>
    <row r="51">
      <c r="C51" s="1" t="s">
        <v>200</v>
      </c>
      <c r="D51" s="77">
        <f>Average(D42:D49)</f>
        <v>262836.7009</v>
      </c>
      <c r="E51" s="77"/>
      <c r="G51" s="1" t="s">
        <v>200</v>
      </c>
      <c r="H51" s="77">
        <f>Average(H42:H49)</f>
        <v>2117772.336</v>
      </c>
      <c r="I51" s="77"/>
      <c r="AE51" s="1" t="s">
        <v>200</v>
      </c>
      <c r="AF51" s="21">
        <f>(abs(AD42-AE42) + abs(AD43-AE43) + abs(AD44-AE44) + abs(AD45-AE45)) /4</f>
        <v>66840.7535</v>
      </c>
      <c r="AG51" s="77"/>
    </row>
    <row r="52">
      <c r="C52" s="1" t="s">
        <v>147</v>
      </c>
      <c r="D52" s="77">
        <f>average(D42^2, D43^2, D44^2, D45^2,D46^2,D47^2, D48^2, D49^2)</f>
        <v>153197430298</v>
      </c>
      <c r="E52" s="77"/>
      <c r="G52" s="1" t="s">
        <v>147</v>
      </c>
      <c r="H52" s="77">
        <f>average(H42^2, H43^2, H44^2, H45^2,H46^2,H47^2, H48^2, H49^2)</f>
        <v>6463214158520</v>
      </c>
      <c r="I52" s="77"/>
      <c r="AG52" s="77"/>
    </row>
    <row r="53">
      <c r="C53" s="1" t="s">
        <v>148</v>
      </c>
      <c r="D53" s="77">
        <f>SQRT(D52)</f>
        <v>391404.4332</v>
      </c>
      <c r="E53" s="77"/>
      <c r="G53" s="1" t="s">
        <v>148</v>
      </c>
      <c r="H53" s="77">
        <f>SQRT(H52)</f>
        <v>2542285.224</v>
      </c>
      <c r="I53" s="77"/>
      <c r="AG53" s="77"/>
    </row>
    <row r="54">
      <c r="C54" s="1" t="s">
        <v>201</v>
      </c>
      <c r="D54" s="79">
        <f>average(D42/B42,D43/B43,D44/B44,D45/B45,D46/B46,D47/B47,D48/B48,D49/B49)</f>
        <v>0.4945046068</v>
      </c>
      <c r="G54" s="1" t="s">
        <v>201</v>
      </c>
      <c r="H54" s="79">
        <f>average(H42/F42,H43/F43,H44/F44,H45/F45,H46/F46,H47/F47,H48/F48,H49/F49)</f>
        <v>0.1013467181</v>
      </c>
      <c r="AG54" s="77"/>
    </row>
    <row r="55">
      <c r="AG55" s="77"/>
    </row>
    <row r="56">
      <c r="A56" s="42" t="s">
        <v>150</v>
      </c>
      <c r="B56" s="66" t="s">
        <v>202</v>
      </c>
      <c r="C56" s="69" t="s">
        <v>203</v>
      </c>
      <c r="D56" s="63" t="s">
        <v>153</v>
      </c>
      <c r="AG56" s="77"/>
    </row>
    <row r="57">
      <c r="A57" s="43">
        <v>2024.0</v>
      </c>
      <c r="B57" s="66"/>
      <c r="C57" s="126">
        <f t="shared" ref="C57:C64" si="26">($C$39*B58 + (1-$C$39)*C58)</f>
        <v>1793677.66</v>
      </c>
      <c r="D57" s="63"/>
      <c r="AG57" s="1"/>
    </row>
    <row r="58">
      <c r="A58" s="42">
        <v>2023.0</v>
      </c>
      <c r="B58" s="45">
        <v>1866322.0</v>
      </c>
      <c r="C58" s="70">
        <f t="shared" si="26"/>
        <v>1139878.596</v>
      </c>
      <c r="D58" s="71">
        <f t="shared" ref="D58:D65" si="27">abs(B58-C58)</f>
        <v>726443.4043</v>
      </c>
    </row>
    <row r="59">
      <c r="A59" s="42">
        <v>2022.0</v>
      </c>
      <c r="B59" s="45">
        <v>1218331.0</v>
      </c>
      <c r="C59" s="70">
        <f t="shared" si="26"/>
        <v>433806.9566</v>
      </c>
      <c r="D59" s="71">
        <f t="shared" si="27"/>
        <v>784524.0434</v>
      </c>
    </row>
    <row r="60">
      <c r="A60" s="42">
        <v>2021.0</v>
      </c>
      <c r="B60" s="45">
        <v>457574.0</v>
      </c>
      <c r="C60" s="70">
        <f t="shared" si="26"/>
        <v>219903.5658</v>
      </c>
      <c r="D60" s="71">
        <f t="shared" si="27"/>
        <v>237670.4342</v>
      </c>
    </row>
    <row r="61">
      <c r="A61" s="42">
        <v>2020.0</v>
      </c>
      <c r="B61" s="45">
        <v>213951.0</v>
      </c>
      <c r="C61" s="70">
        <f t="shared" si="26"/>
        <v>273476.658</v>
      </c>
      <c r="D61" s="71">
        <f t="shared" si="27"/>
        <v>59525.658</v>
      </c>
    </row>
    <row r="62">
      <c r="A62" s="42">
        <v>2019.0</v>
      </c>
      <c r="B62" s="45">
        <v>282274.0</v>
      </c>
      <c r="C62" s="70">
        <f t="shared" si="26"/>
        <v>194300.58</v>
      </c>
      <c r="D62" s="71">
        <f t="shared" si="27"/>
        <v>87973.42</v>
      </c>
    </row>
    <row r="63">
      <c r="A63" s="43">
        <v>2018.0</v>
      </c>
      <c r="B63" s="45">
        <v>201546.0</v>
      </c>
      <c r="C63" s="70">
        <f t="shared" si="26"/>
        <v>129091.8</v>
      </c>
      <c r="D63" s="71">
        <f t="shared" si="27"/>
        <v>72454.2</v>
      </c>
    </row>
    <row r="64">
      <c r="A64" s="43">
        <v>2017.0</v>
      </c>
      <c r="B64" s="45">
        <v>136579.0</v>
      </c>
      <c r="C64" s="70">
        <f t="shared" si="26"/>
        <v>61707</v>
      </c>
      <c r="D64" s="71">
        <f t="shared" si="27"/>
        <v>74872</v>
      </c>
    </row>
    <row r="65">
      <c r="A65" s="43">
        <v>2016.0</v>
      </c>
      <c r="B65" s="45">
        <v>61707.0</v>
      </c>
      <c r="C65" s="70">
        <v>61707.0</v>
      </c>
      <c r="D65" s="71">
        <f t="shared" si="27"/>
        <v>0</v>
      </c>
    </row>
    <row r="66">
      <c r="C66" s="1" t="s">
        <v>200</v>
      </c>
      <c r="D66" s="77">
        <f>Average(D57:D64)</f>
        <v>291923.3086</v>
      </c>
    </row>
    <row r="67">
      <c r="C67" s="1" t="s">
        <v>147</v>
      </c>
      <c r="D67" s="77">
        <f>average(D57^2, D58^2, D59^2, D60^2,D61^2,D62^2, D63^2, D64^2)</f>
        <v>152727910472</v>
      </c>
    </row>
    <row r="68">
      <c r="C68" s="1" t="s">
        <v>148</v>
      </c>
      <c r="D68" s="77">
        <f>SQRT(D67)</f>
        <v>390804.1843</v>
      </c>
    </row>
    <row r="69">
      <c r="C69" s="1" t="s">
        <v>201</v>
      </c>
      <c r="D69" s="79">
        <f>average(D58/B58,D59/B59,D60/B60,D61/B61,D62/B62,D63/B63,D64/B64)</f>
        <v>0.4357362748</v>
      </c>
    </row>
  </sheetData>
  <mergeCells count="1">
    <mergeCell ref="C17:R1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3" max="3" width="13.5"/>
    <col customWidth="1" min="14" max="14" width="14.0"/>
    <col customWidth="1" min="15" max="15" width="18.75"/>
    <col customWidth="1" min="16" max="17" width="19.63"/>
    <col customWidth="1" min="20" max="20" width="14.25"/>
    <col customWidth="1" min="21" max="21" width="25.25"/>
    <col customWidth="1" min="22" max="22" width="17.25"/>
    <col customWidth="1" min="23" max="23" width="21.88"/>
    <col customWidth="1" min="27" max="27" width="25.25"/>
    <col customWidth="1" min="28" max="28" width="17.25"/>
    <col customWidth="1" min="29" max="29" width="21.88"/>
    <col customWidth="1" min="33" max="33" width="25.25"/>
    <col customWidth="1" min="34" max="34" width="17.25"/>
    <col customWidth="1" min="35" max="35" width="21.88"/>
    <col customWidth="1" min="39" max="39" width="25.25"/>
    <col customWidth="1" min="40" max="40" width="17.25"/>
    <col customWidth="1" min="41" max="41" width="21.88"/>
    <col customWidth="1" min="45" max="45" width="25.25"/>
    <col customWidth="1" min="46" max="46" width="17.25"/>
    <col customWidth="1" min="47" max="47" width="21.88"/>
    <col customWidth="1" min="51" max="51" width="25.25"/>
    <col customWidth="1" min="52" max="52" width="17.25"/>
    <col customWidth="1" min="53" max="53" width="21.88"/>
  </cols>
  <sheetData>
    <row r="1">
      <c r="B1" s="42" t="s">
        <v>1</v>
      </c>
      <c r="C1" s="42" t="s">
        <v>2</v>
      </c>
      <c r="D1" s="42">
        <v>2023.0</v>
      </c>
      <c r="E1" s="42">
        <v>2022.0</v>
      </c>
      <c r="F1" s="42">
        <v>2021.0</v>
      </c>
      <c r="G1" s="42">
        <v>2020.0</v>
      </c>
      <c r="H1" s="42">
        <v>2019.0</v>
      </c>
      <c r="I1" s="43">
        <v>2018.0</v>
      </c>
      <c r="J1" s="43">
        <v>2017.0</v>
      </c>
      <c r="K1" s="43">
        <v>2016.0</v>
      </c>
      <c r="L1" s="43">
        <v>2015.0</v>
      </c>
      <c r="M1" s="43" t="s">
        <v>121</v>
      </c>
      <c r="Q1" s="129"/>
    </row>
    <row r="2">
      <c r="B2" s="44">
        <v>1.0</v>
      </c>
      <c r="C2" s="44" t="s">
        <v>4</v>
      </c>
      <c r="D2" s="44">
        <v>421145.0</v>
      </c>
      <c r="E2" s="44">
        <v>297430.0</v>
      </c>
      <c r="F2" s="44">
        <v>166328.0</v>
      </c>
      <c r="G2" s="44">
        <v>43227.0</v>
      </c>
      <c r="H2" s="44">
        <v>33459.0</v>
      </c>
      <c r="I2" s="44">
        <v>31429.0</v>
      </c>
      <c r="J2" s="44">
        <v>26150.0</v>
      </c>
      <c r="K2" s="44">
        <v>29888.0</v>
      </c>
      <c r="L2" s="44">
        <v>26225.0</v>
      </c>
      <c r="M2" s="44">
        <f t="shared" ref="M2:M10" si="1">SUM(D2:L2)</f>
        <v>1075281</v>
      </c>
      <c r="Q2" s="101"/>
    </row>
    <row r="3">
      <c r="B3" s="44">
        <v>2.0</v>
      </c>
      <c r="C3" s="44" t="s">
        <v>9</v>
      </c>
      <c r="D3" s="44">
        <v>2568218.0</v>
      </c>
      <c r="E3" s="44">
        <v>2345606.0</v>
      </c>
      <c r="F3" s="44">
        <v>2013620.0</v>
      </c>
      <c r="G3" s="44">
        <v>2025020.0</v>
      </c>
      <c r="H3" s="44">
        <v>2924814.0</v>
      </c>
      <c r="I3" s="44">
        <v>3182474.0</v>
      </c>
      <c r="J3" s="44">
        <v>2865401.0</v>
      </c>
      <c r="K3" s="44">
        <v>2752178.0</v>
      </c>
      <c r="L3" s="44">
        <v>2725704.0</v>
      </c>
      <c r="M3" s="44">
        <f t="shared" si="1"/>
        <v>23403035</v>
      </c>
      <c r="Q3" s="101"/>
    </row>
    <row r="4">
      <c r="B4" s="45">
        <v>3.0</v>
      </c>
      <c r="C4" s="45" t="s">
        <v>16</v>
      </c>
      <c r="D4" s="45">
        <v>2462.0</v>
      </c>
      <c r="E4" s="45">
        <v>737.0</v>
      </c>
      <c r="F4" s="45">
        <v>35.0</v>
      </c>
      <c r="G4" s="45">
        <v>2917.0</v>
      </c>
      <c r="H4" s="45">
        <v>39104.0</v>
      </c>
      <c r="I4" s="45">
        <v>59540.0</v>
      </c>
      <c r="J4" s="45">
        <v>48477.0</v>
      </c>
      <c r="K4" s="45">
        <v>11347.0</v>
      </c>
      <c r="L4" s="45">
        <v>502.0</v>
      </c>
      <c r="M4" s="45">
        <f t="shared" si="1"/>
        <v>165121</v>
      </c>
      <c r="Q4" s="101"/>
    </row>
    <row r="5">
      <c r="B5" s="45">
        <v>4.0</v>
      </c>
      <c r="C5" s="45" t="s">
        <v>20</v>
      </c>
      <c r="D5" s="45">
        <v>1532344.0</v>
      </c>
      <c r="E5" s="45">
        <v>1025003.0</v>
      </c>
      <c r="F5" s="45">
        <v>331576.0</v>
      </c>
      <c r="G5" s="45">
        <v>124671.0</v>
      </c>
      <c r="H5" s="45">
        <v>166881.0</v>
      </c>
      <c r="I5" s="45">
        <v>130248.0</v>
      </c>
      <c r="J5" s="45">
        <v>87395.0</v>
      </c>
      <c r="K5" s="45">
        <v>49832.0</v>
      </c>
      <c r="L5" s="45">
        <v>7796.0</v>
      </c>
      <c r="M5" s="45">
        <f t="shared" si="1"/>
        <v>3455746</v>
      </c>
      <c r="Q5" s="101"/>
    </row>
    <row r="6">
      <c r="B6" s="44">
        <v>5.0</v>
      </c>
      <c r="C6" s="44" t="s">
        <v>29</v>
      </c>
      <c r="D6" s="44">
        <v>26812.0</v>
      </c>
      <c r="E6" s="44">
        <v>14404.0</v>
      </c>
      <c r="F6" s="44">
        <v>13408.0</v>
      </c>
      <c r="G6" s="44">
        <v>9910.0</v>
      </c>
      <c r="H6" s="44">
        <v>3866.0</v>
      </c>
      <c r="I6" s="44">
        <v>4068.0</v>
      </c>
      <c r="J6" s="44">
        <v>3814.0</v>
      </c>
      <c r="K6" s="44">
        <v>3976.0</v>
      </c>
      <c r="L6" s="44">
        <v>3337.0</v>
      </c>
      <c r="M6" s="44">
        <f t="shared" si="1"/>
        <v>83595</v>
      </c>
      <c r="Q6" s="101"/>
    </row>
    <row r="7">
      <c r="B7" s="44">
        <v>6.0</v>
      </c>
      <c r="C7" s="44" t="s">
        <v>33</v>
      </c>
      <c r="D7" s="44">
        <v>1.8138477E7</v>
      </c>
      <c r="E7" s="44">
        <v>1.7185926E7</v>
      </c>
      <c r="F7" s="44">
        <v>1.5888229E7</v>
      </c>
      <c r="G7" s="44">
        <v>1.5982228E7</v>
      </c>
      <c r="H7" s="44">
        <v>2.029547E7</v>
      </c>
      <c r="I7" s="44">
        <v>2.1301973E7</v>
      </c>
      <c r="J7" s="44">
        <v>1.9731563E7</v>
      </c>
      <c r="K7" s="44">
        <v>1.7936356E7</v>
      </c>
      <c r="L7" s="44">
        <v>1.6470818E7</v>
      </c>
      <c r="M7" s="44">
        <f t="shared" si="1"/>
        <v>162931040</v>
      </c>
      <c r="Q7" s="101"/>
    </row>
    <row r="8">
      <c r="B8" s="44">
        <v>7.0</v>
      </c>
      <c r="C8" s="44" t="s">
        <v>40</v>
      </c>
      <c r="D8" s="44">
        <v>536677.0</v>
      </c>
      <c r="E8" s="44">
        <v>425922.0</v>
      </c>
      <c r="F8" s="44">
        <v>270806.0</v>
      </c>
      <c r="G8" s="44">
        <v>233511.0</v>
      </c>
      <c r="H8" s="44">
        <v>416682.0</v>
      </c>
      <c r="I8" s="44">
        <v>459314.0</v>
      </c>
      <c r="J8" s="44">
        <v>342522.0</v>
      </c>
      <c r="K8" s="44">
        <v>334236.0</v>
      </c>
      <c r="L8" s="44">
        <v>259702.0</v>
      </c>
      <c r="M8" s="44">
        <f t="shared" si="1"/>
        <v>3279372</v>
      </c>
      <c r="Q8" s="101"/>
    </row>
    <row r="9">
      <c r="B9" s="45">
        <v>8.0</v>
      </c>
      <c r="C9" s="45" t="s">
        <v>50</v>
      </c>
      <c r="D9" s="45">
        <v>331515.0</v>
      </c>
      <c r="E9" s="45">
        <v>192591.0</v>
      </c>
      <c r="F9" s="45">
        <v>125963.0</v>
      </c>
      <c r="G9" s="45">
        <v>86363.0</v>
      </c>
      <c r="H9" s="45">
        <v>76289.0</v>
      </c>
      <c r="I9" s="45">
        <v>11758.0</v>
      </c>
      <c r="J9" s="45">
        <v>707.0</v>
      </c>
      <c r="K9" s="45">
        <v>528.0</v>
      </c>
      <c r="L9" s="45">
        <v>92.0</v>
      </c>
      <c r="M9" s="45">
        <f t="shared" si="1"/>
        <v>825806</v>
      </c>
      <c r="Q9" s="101"/>
    </row>
    <row r="10">
      <c r="B10" s="44">
        <v>9.0</v>
      </c>
      <c r="C10" s="44" t="s">
        <v>55</v>
      </c>
      <c r="D10" s="44">
        <v>4693.0</v>
      </c>
      <c r="E10" s="44">
        <v>11544.0</v>
      </c>
      <c r="F10" s="44">
        <v>19833.0</v>
      </c>
      <c r="G10" s="44">
        <v>39929.0</v>
      </c>
      <c r="H10" s="44">
        <v>108995.0</v>
      </c>
      <c r="I10" s="44">
        <v>123813.0</v>
      </c>
      <c r="J10" s="44">
        <v>87934.0</v>
      </c>
      <c r="K10" s="44">
        <v>82483.0</v>
      </c>
      <c r="L10" s="44">
        <v>69933.0</v>
      </c>
      <c r="M10" s="44">
        <f t="shared" si="1"/>
        <v>549157</v>
      </c>
      <c r="Q10" s="101"/>
    </row>
    <row r="12">
      <c r="B12" s="90" t="s">
        <v>150</v>
      </c>
      <c r="C12" s="91">
        <v>2023.0</v>
      </c>
      <c r="D12" s="91">
        <v>2022.0</v>
      </c>
      <c r="E12" s="91">
        <v>2021.0</v>
      </c>
      <c r="F12" s="91">
        <v>2020.0</v>
      </c>
      <c r="G12" s="91">
        <v>2019.0</v>
      </c>
      <c r="H12" s="90">
        <v>2018.0</v>
      </c>
      <c r="I12" s="90">
        <v>2017.0</v>
      </c>
      <c r="J12" s="90">
        <v>2016.0</v>
      </c>
      <c r="K12" s="90">
        <v>2015.0</v>
      </c>
      <c r="L12" s="90" t="s">
        <v>121</v>
      </c>
    </row>
    <row r="13">
      <c r="B13" s="95" t="s">
        <v>100</v>
      </c>
      <c r="C13" s="96">
        <v>1866322.0</v>
      </c>
      <c r="D13" s="96">
        <v>1218331.0</v>
      </c>
      <c r="E13" s="96">
        <v>457574.0</v>
      </c>
      <c r="F13" s="96">
        <v>213951.0</v>
      </c>
      <c r="G13" s="96">
        <v>282274.0</v>
      </c>
      <c r="H13" s="96">
        <v>201546.0</v>
      </c>
      <c r="I13" s="96">
        <v>136579.0</v>
      </c>
      <c r="J13" s="96">
        <v>61707.0</v>
      </c>
      <c r="K13" s="96">
        <v>8390.0</v>
      </c>
      <c r="L13" s="96">
        <v>4446674.0</v>
      </c>
    </row>
    <row r="14">
      <c r="B14" s="98" t="s">
        <v>101</v>
      </c>
      <c r="C14" s="99">
        <v>2.214249E7</v>
      </c>
      <c r="D14" s="99">
        <v>2.0361312E7</v>
      </c>
      <c r="E14" s="99">
        <v>1.8454751E7</v>
      </c>
      <c r="F14" s="99">
        <v>1.8417887E7</v>
      </c>
      <c r="G14" s="99">
        <v>2.3872599E7</v>
      </c>
      <c r="H14" s="99">
        <v>2.5217424E7</v>
      </c>
      <c r="I14" s="99">
        <v>2.3166477E7</v>
      </c>
      <c r="J14" s="99">
        <v>2.1270404E7</v>
      </c>
      <c r="K14" s="99">
        <v>1.9667936E7</v>
      </c>
      <c r="L14" s="99">
        <v>1.9257128E8</v>
      </c>
    </row>
    <row r="17">
      <c r="C17" s="102" t="s">
        <v>205</v>
      </c>
    </row>
    <row r="19">
      <c r="C19" s="103" t="s">
        <v>152</v>
      </c>
      <c r="D19" s="101"/>
      <c r="E19" s="104" t="s">
        <v>153</v>
      </c>
    </row>
    <row r="20">
      <c r="C20" s="105" t="s">
        <v>154</v>
      </c>
      <c r="D20" s="101"/>
      <c r="E20" s="106" t="s">
        <v>155</v>
      </c>
    </row>
    <row r="21">
      <c r="C21" s="130"/>
      <c r="D21" s="130"/>
      <c r="E21" s="130"/>
      <c r="F21" s="101"/>
      <c r="G21" s="130"/>
    </row>
    <row r="22">
      <c r="A22" s="1" t="s">
        <v>195</v>
      </c>
      <c r="B22" s="1">
        <v>0.9</v>
      </c>
      <c r="C22" s="130"/>
      <c r="D22" s="130"/>
      <c r="E22" s="130"/>
      <c r="F22" s="101"/>
      <c r="G22" s="131"/>
      <c r="H22" s="1" t="s">
        <v>195</v>
      </c>
      <c r="I22" s="1">
        <v>0.9</v>
      </c>
      <c r="N22" s="117" t="s">
        <v>195</v>
      </c>
      <c r="O22" s="132">
        <v>0.9</v>
      </c>
      <c r="T22" s="117" t="s">
        <v>195</v>
      </c>
      <c r="U22" s="132">
        <v>0.9</v>
      </c>
      <c r="Z22" s="117" t="s">
        <v>195</v>
      </c>
      <c r="AA22" s="132">
        <v>0.9</v>
      </c>
      <c r="AF22" s="117" t="s">
        <v>195</v>
      </c>
      <c r="AG22" s="132">
        <v>0.9</v>
      </c>
      <c r="AL22" s="117" t="s">
        <v>195</v>
      </c>
      <c r="AM22" s="132">
        <v>0.9</v>
      </c>
      <c r="AR22" s="117" t="s">
        <v>195</v>
      </c>
      <c r="AS22" s="132">
        <v>0.6</v>
      </c>
      <c r="AX22" s="117" t="s">
        <v>195</v>
      </c>
      <c r="AY22" s="132">
        <v>0.9</v>
      </c>
    </row>
    <row r="23">
      <c r="A23" s="1" t="s">
        <v>206</v>
      </c>
      <c r="B23" s="1">
        <v>0.9</v>
      </c>
      <c r="H23" s="1" t="s">
        <v>206</v>
      </c>
      <c r="I23" s="1">
        <v>0.2</v>
      </c>
      <c r="N23" s="117" t="s">
        <v>206</v>
      </c>
      <c r="O23" s="132">
        <v>0.3</v>
      </c>
      <c r="T23" s="117" t="s">
        <v>206</v>
      </c>
      <c r="U23" s="132">
        <v>0.9</v>
      </c>
      <c r="Z23" s="117" t="s">
        <v>206</v>
      </c>
      <c r="AA23" s="132">
        <v>0.5</v>
      </c>
      <c r="AF23" s="117" t="s">
        <v>206</v>
      </c>
      <c r="AG23" s="132">
        <v>0.1</v>
      </c>
      <c r="AL23" s="117" t="s">
        <v>206</v>
      </c>
      <c r="AM23" s="132">
        <v>0.1</v>
      </c>
      <c r="AR23" s="117" t="s">
        <v>206</v>
      </c>
      <c r="AS23" s="132">
        <v>0.9</v>
      </c>
      <c r="AX23" s="117" t="s">
        <v>206</v>
      </c>
      <c r="AY23" s="132">
        <v>0.2</v>
      </c>
    </row>
    <row r="25">
      <c r="A25" s="42" t="s">
        <v>150</v>
      </c>
      <c r="B25" s="61" t="s">
        <v>156</v>
      </c>
      <c r="C25" s="62" t="s">
        <v>207</v>
      </c>
      <c r="D25" s="62" t="s">
        <v>208</v>
      </c>
      <c r="E25" s="62" t="s">
        <v>209</v>
      </c>
      <c r="F25" s="63" t="s">
        <v>153</v>
      </c>
      <c r="G25" s="80"/>
      <c r="H25" s="61" t="s">
        <v>158</v>
      </c>
      <c r="I25" s="62" t="s">
        <v>210</v>
      </c>
      <c r="J25" s="62" t="s">
        <v>211</v>
      </c>
      <c r="K25" s="62" t="s">
        <v>212</v>
      </c>
      <c r="L25" s="63" t="s">
        <v>153</v>
      </c>
      <c r="M25" s="94"/>
      <c r="N25" s="66" t="s">
        <v>160</v>
      </c>
      <c r="O25" s="69" t="s">
        <v>213</v>
      </c>
      <c r="P25" s="69" t="s">
        <v>214</v>
      </c>
      <c r="Q25" s="69" t="s">
        <v>215</v>
      </c>
      <c r="R25" s="68" t="s">
        <v>153</v>
      </c>
      <c r="S25" s="94"/>
      <c r="T25" s="66" t="s">
        <v>162</v>
      </c>
      <c r="U25" s="69" t="s">
        <v>216</v>
      </c>
      <c r="V25" s="69" t="s">
        <v>217</v>
      </c>
      <c r="W25" s="69" t="s">
        <v>218</v>
      </c>
      <c r="X25" s="68" t="s">
        <v>153</v>
      </c>
      <c r="Y25" s="94"/>
      <c r="Z25" s="61" t="s">
        <v>164</v>
      </c>
      <c r="AA25" s="69" t="s">
        <v>219</v>
      </c>
      <c r="AB25" s="69" t="s">
        <v>220</v>
      </c>
      <c r="AC25" s="69" t="s">
        <v>221</v>
      </c>
      <c r="AD25" s="68" t="s">
        <v>153</v>
      </c>
      <c r="AE25" s="109"/>
      <c r="AF25" s="61" t="s">
        <v>166</v>
      </c>
      <c r="AG25" s="69" t="s">
        <v>222</v>
      </c>
      <c r="AH25" s="69" t="s">
        <v>223</v>
      </c>
      <c r="AI25" s="69" t="s">
        <v>224</v>
      </c>
      <c r="AJ25" s="68" t="s">
        <v>153</v>
      </c>
      <c r="AK25" s="109"/>
      <c r="AL25" s="61" t="s">
        <v>168</v>
      </c>
      <c r="AM25" s="69" t="s">
        <v>225</v>
      </c>
      <c r="AN25" s="69" t="s">
        <v>226</v>
      </c>
      <c r="AO25" s="69" t="s">
        <v>227</v>
      </c>
      <c r="AP25" s="68" t="s">
        <v>153</v>
      </c>
      <c r="AQ25" s="109"/>
      <c r="AR25" s="66" t="s">
        <v>170</v>
      </c>
      <c r="AS25" s="69" t="s">
        <v>228</v>
      </c>
      <c r="AT25" s="69" t="s">
        <v>229</v>
      </c>
      <c r="AU25" s="69" t="s">
        <v>230</v>
      </c>
      <c r="AV25" s="68" t="s">
        <v>153</v>
      </c>
      <c r="AW25" s="109"/>
      <c r="AX25" s="61" t="s">
        <v>172</v>
      </c>
      <c r="AY25" s="69" t="s">
        <v>231</v>
      </c>
      <c r="AZ25" s="69" t="s">
        <v>232</v>
      </c>
      <c r="BA25" s="69" t="s">
        <v>233</v>
      </c>
      <c r="BB25" s="68" t="s">
        <v>153</v>
      </c>
    </row>
    <row r="26">
      <c r="A26" s="43">
        <v>2024.0</v>
      </c>
      <c r="B26" s="61"/>
      <c r="C26" s="70">
        <f t="shared" ref="C26:C34" si="2">$B$22*(B27) + (1-$B$22)*(C27+D27)</f>
        <v>421855.0943</v>
      </c>
      <c r="D26" s="70">
        <f t="shared" ref="D26:D34" si="3">$B$23*(C26-C27) + (1-$B$23)*D27</f>
        <v>129141.7301</v>
      </c>
      <c r="E26" s="81">
        <f t="shared" ref="E26:E35" si="4">C26+D26</f>
        <v>550996.8244</v>
      </c>
      <c r="F26" s="63"/>
      <c r="G26" s="80"/>
      <c r="H26" s="61"/>
      <c r="I26" s="70">
        <f t="shared" ref="I26:I34" si="5">$I$22*(H27) + (1-$I$22)*(I27+J27)</f>
        <v>2541075.989</v>
      </c>
      <c r="J26" s="70">
        <f t="shared" ref="J26:J34" si="6">$I$23*(I26-I27) + (1-$I$23)*J27</f>
        <v>40961.12022</v>
      </c>
      <c r="K26" s="81">
        <f t="shared" ref="K26:K35" si="7">I26+J26</f>
        <v>2582037.109</v>
      </c>
      <c r="L26" s="63"/>
      <c r="M26" s="94"/>
      <c r="N26" s="66"/>
      <c r="O26" s="70">
        <f t="shared" ref="O26:O34" si="8">$O$22*(N27) + (1-$O$22)*(O27+P27)</f>
        <v>1674.704905</v>
      </c>
      <c r="P26" s="70">
        <f t="shared" ref="P26:P34" si="9">$O$23*(O26-O27) + (1-$O$23)*P27</f>
        <v>-3191.750129</v>
      </c>
      <c r="Q26" s="81">
        <f t="shared" ref="Q26:Q35" si="10">O26+P26</f>
        <v>-1517.045225</v>
      </c>
      <c r="R26" s="68"/>
      <c r="S26" s="94"/>
      <c r="T26" s="66"/>
      <c r="U26" s="70">
        <f t="shared" ref="U26:U34" si="11">$U$22*(T27) + (1-$U$22)*(U27+V27)</f>
        <v>1536968.55</v>
      </c>
      <c r="V26" s="70">
        <f t="shared" ref="V26:V34" si="12">$U$23*(U26-U27) + (1-$U$23)*V27</f>
        <v>572150.1854</v>
      </c>
      <c r="W26" s="81">
        <f t="shared" ref="W26:W35" si="13">U26+V26</f>
        <v>2109118.735</v>
      </c>
      <c r="X26" s="68"/>
      <c r="Y26" s="94"/>
      <c r="Z26" s="61"/>
      <c r="AA26" s="70">
        <f t="shared" ref="AA26:AA34" si="14">$AA$22*(Z27) + (1-$AA$22)*(AA27+AB27)</f>
        <v>25827.667</v>
      </c>
      <c r="AB26" s="70">
        <f t="shared" ref="AB26:AB34" si="15">$AA$23*(AA26-AA27) + (1-$AA$23)*AB27</f>
        <v>6774.146844</v>
      </c>
      <c r="AC26" s="81">
        <f t="shared" ref="AC26:AC35" si="16">AA26+AB26</f>
        <v>32601.81384</v>
      </c>
      <c r="AD26" s="68"/>
      <c r="AE26" s="109"/>
      <c r="AF26" s="61"/>
      <c r="AG26" s="70">
        <f t="shared" ref="AG26:AG34" si="17">$AG$22*(AF27) + (1-$AG$22)*(AG27+AH27)</f>
        <v>18105487.01</v>
      </c>
      <c r="AH26" s="70">
        <f t="shared" ref="AH26:AH34" si="18">$AG$23*(AG26-AG27) + (1-$AG$23)*AH27</f>
        <v>704961.9673</v>
      </c>
      <c r="AI26" s="81">
        <f t="shared" ref="AI26:AI35" si="19">AG26+AH26</f>
        <v>18810448.98</v>
      </c>
      <c r="AJ26" s="68"/>
      <c r="AK26" s="109"/>
      <c r="AL26" s="61"/>
      <c r="AM26" s="70">
        <f t="shared" ref="AM26:AM34" si="20">$AM$22*(AL27) + (1-$AM$22)*(AM27+AN27)</f>
        <v>528360.7655</v>
      </c>
      <c r="AN26" s="70">
        <f t="shared" ref="AN26:AN34" si="21">$AM$23*(AM26-AM27) + (1-$AM$23)*AN27</f>
        <v>47528.1924</v>
      </c>
      <c r="AO26" s="81">
        <f t="shared" ref="AO26:AO35" si="22">AM26+AN26</f>
        <v>575888.9579</v>
      </c>
      <c r="AP26" s="68"/>
      <c r="AQ26" s="109"/>
      <c r="AR26" s="66"/>
      <c r="AS26" s="70">
        <f t="shared" ref="AS26:AS34" si="23">$AS$22*(AR27) + (1-$AS$22)*(AS27+AT27)</f>
        <v>292595.8759</v>
      </c>
      <c r="AT26" s="70">
        <f t="shared" ref="AT26:AT34" si="24">$AS$23*(AS26-AS27) + (1-$AS$23)*AT27</f>
        <v>105848.4941</v>
      </c>
      <c r="AU26" s="81">
        <f t="shared" ref="AU26:AU35" si="25">AS26+AT26</f>
        <v>398444.37</v>
      </c>
      <c r="AV26" s="68"/>
      <c r="AW26" s="109"/>
      <c r="AX26" s="61"/>
      <c r="AY26" s="70">
        <f t="shared" ref="AY26:AY34" si="26">$AY$22*(AX27) + (1-$AY$22)*(AY27+AZ27)</f>
        <v>4437.11174</v>
      </c>
      <c r="AZ26" s="70">
        <f t="shared" ref="AZ26:AZ34" si="27">$AY$23*(AY26-AY27) + (1-$AY$23)*AZ27</f>
        <v>-9078.050897</v>
      </c>
      <c r="BA26" s="81">
        <f t="shared" ref="BA26:BA35" si="28">AY26+AZ26</f>
        <v>-4640.939157</v>
      </c>
      <c r="BB26" s="68"/>
    </row>
    <row r="27">
      <c r="A27" s="42">
        <v>2023.0</v>
      </c>
      <c r="B27" s="44">
        <v>421145.0</v>
      </c>
      <c r="C27" s="70">
        <f t="shared" si="2"/>
        <v>293352.4491</v>
      </c>
      <c r="D27" s="70">
        <f t="shared" si="3"/>
        <v>134893.4939</v>
      </c>
      <c r="E27" s="70">
        <f t="shared" si="4"/>
        <v>428245.943</v>
      </c>
      <c r="F27" s="71">
        <f t="shared" ref="F27:F35" si="29">abs(B27-E27)</f>
        <v>7100.943011</v>
      </c>
      <c r="G27" s="83"/>
      <c r="H27" s="44">
        <v>2568218.0</v>
      </c>
      <c r="I27" s="70">
        <f t="shared" si="5"/>
        <v>2304692.386</v>
      </c>
      <c r="J27" s="70">
        <f t="shared" si="6"/>
        <v>-7894.500409</v>
      </c>
      <c r="K27" s="70">
        <f t="shared" si="7"/>
        <v>2296797.885</v>
      </c>
      <c r="L27" s="71">
        <f t="shared" ref="L27:L35" si="30">abs(H27-K27)</f>
        <v>271420.1146</v>
      </c>
      <c r="M27" s="77"/>
      <c r="N27" s="45">
        <v>2462.0</v>
      </c>
      <c r="O27" s="70">
        <f t="shared" si="8"/>
        <v>-93.50406578</v>
      </c>
      <c r="P27" s="70">
        <f t="shared" si="9"/>
        <v>-5317.446887</v>
      </c>
      <c r="Q27" s="70">
        <f t="shared" si="10"/>
        <v>-5410.950952</v>
      </c>
      <c r="R27" s="71">
        <f t="shared" ref="R27:R35" si="31">abs(N27-Q27)</f>
        <v>7872.950952</v>
      </c>
      <c r="S27" s="77"/>
      <c r="T27" s="45">
        <v>1532344.0</v>
      </c>
      <c r="U27" s="70">
        <f t="shared" si="11"/>
        <v>968980.4596</v>
      </c>
      <c r="V27" s="70">
        <f t="shared" si="12"/>
        <v>609609.0403</v>
      </c>
      <c r="W27" s="70">
        <f t="shared" si="13"/>
        <v>1578589.5</v>
      </c>
      <c r="X27" s="71">
        <f t="shared" ref="X27:X35" si="32">abs(T27-W27)</f>
        <v>46245.49996</v>
      </c>
      <c r="Y27" s="77"/>
      <c r="Z27" s="44">
        <v>26812.0</v>
      </c>
      <c r="AA27" s="70">
        <f t="shared" si="14"/>
        <v>14624.02166</v>
      </c>
      <c r="AB27" s="70">
        <f t="shared" si="15"/>
        <v>2344.648344</v>
      </c>
      <c r="AC27" s="70">
        <f t="shared" si="16"/>
        <v>16968.67</v>
      </c>
      <c r="AD27" s="71">
        <f t="shared" ref="AD27:AD35" si="33">abs(Z27-AC27)</f>
        <v>9843.329999</v>
      </c>
      <c r="AE27" s="77"/>
      <c r="AF27" s="44">
        <v>1.8138477E7</v>
      </c>
      <c r="AG27" s="70">
        <f t="shared" si="17"/>
        <v>17133306.12</v>
      </c>
      <c r="AH27" s="70">
        <f t="shared" si="18"/>
        <v>675270.9757</v>
      </c>
      <c r="AI27" s="70">
        <f t="shared" si="19"/>
        <v>17808577.09</v>
      </c>
      <c r="AJ27" s="71">
        <f t="shared" ref="AJ27:AJ35" si="34">abs(AF27-AI27)</f>
        <v>329899.9064</v>
      </c>
      <c r="AK27" s="77"/>
      <c r="AL27" s="44">
        <v>536677.0</v>
      </c>
      <c r="AM27" s="70">
        <f t="shared" si="20"/>
        <v>413471.0738</v>
      </c>
      <c r="AN27" s="70">
        <f t="shared" si="21"/>
        <v>40043.58136</v>
      </c>
      <c r="AO27" s="70">
        <f t="shared" si="22"/>
        <v>453514.6552</v>
      </c>
      <c r="AP27" s="71">
        <f t="shared" ref="AP27:AP35" si="35">abs(AL27-AO27)</f>
        <v>83162.34483</v>
      </c>
      <c r="AQ27" s="77"/>
      <c r="AR27" s="45">
        <v>331515.0</v>
      </c>
      <c r="AS27" s="70">
        <f t="shared" si="23"/>
        <v>180909.5131</v>
      </c>
      <c r="AT27" s="70">
        <f t="shared" si="24"/>
        <v>53307.67653</v>
      </c>
      <c r="AU27" s="70">
        <f t="shared" si="25"/>
        <v>234217.1897</v>
      </c>
      <c r="AV27" s="71">
        <f t="shared" ref="AV27:AV35" si="36">abs(AR27-AU27)</f>
        <v>97297.81035</v>
      </c>
      <c r="AW27" s="77"/>
      <c r="AX27" s="44">
        <v>4693.0</v>
      </c>
      <c r="AY27" s="70">
        <f t="shared" si="26"/>
        <v>11672.76716</v>
      </c>
      <c r="AZ27" s="70">
        <f t="shared" si="27"/>
        <v>-9538.649765</v>
      </c>
      <c r="BA27" s="70">
        <f t="shared" si="28"/>
        <v>2134.117397</v>
      </c>
      <c r="BB27" s="71">
        <f t="shared" ref="BB27:BB35" si="37">abs(AX27-BA27)</f>
        <v>2558.882603</v>
      </c>
    </row>
    <row r="28">
      <c r="A28" s="42">
        <v>2022.0</v>
      </c>
      <c r="B28" s="44">
        <v>297430.0</v>
      </c>
      <c r="C28" s="70">
        <f t="shared" si="2"/>
        <v>154789.1593</v>
      </c>
      <c r="D28" s="70">
        <f t="shared" si="3"/>
        <v>101865.3314</v>
      </c>
      <c r="E28" s="70">
        <f t="shared" si="4"/>
        <v>256654.4907</v>
      </c>
      <c r="F28" s="71">
        <f t="shared" si="29"/>
        <v>40775.50932</v>
      </c>
      <c r="G28" s="83"/>
      <c r="H28" s="44">
        <v>2345606.0</v>
      </c>
      <c r="I28" s="70">
        <f t="shared" si="5"/>
        <v>2018008.864</v>
      </c>
      <c r="J28" s="70">
        <f t="shared" si="6"/>
        <v>-81539.00593</v>
      </c>
      <c r="K28" s="70">
        <f t="shared" si="7"/>
        <v>1936469.858</v>
      </c>
      <c r="L28" s="71">
        <f t="shared" si="30"/>
        <v>409136.1418</v>
      </c>
      <c r="M28" s="77"/>
      <c r="N28" s="45">
        <v>737.0</v>
      </c>
      <c r="O28" s="70">
        <f t="shared" si="8"/>
        <v>-8.232793579</v>
      </c>
      <c r="P28" s="70">
        <f t="shared" si="9"/>
        <v>-7559.807864</v>
      </c>
      <c r="Q28" s="70">
        <f t="shared" si="10"/>
        <v>-7568.040658</v>
      </c>
      <c r="R28" s="71">
        <f t="shared" si="31"/>
        <v>8305.040658</v>
      </c>
      <c r="S28" s="77"/>
      <c r="T28" s="45">
        <v>1025003.0</v>
      </c>
      <c r="U28" s="70">
        <f t="shared" si="11"/>
        <v>308951.133</v>
      </c>
      <c r="V28" s="70">
        <f t="shared" si="12"/>
        <v>155826.4634</v>
      </c>
      <c r="W28" s="70">
        <f t="shared" si="13"/>
        <v>464777.5964</v>
      </c>
      <c r="X28" s="71">
        <f t="shared" si="32"/>
        <v>560225.4036</v>
      </c>
      <c r="Y28" s="77"/>
      <c r="Z28" s="44">
        <v>14404.0</v>
      </c>
      <c r="AA28" s="70">
        <f t="shared" si="14"/>
        <v>13269.47077</v>
      </c>
      <c r="AB28" s="70">
        <f t="shared" si="15"/>
        <v>3334.7458</v>
      </c>
      <c r="AC28" s="70">
        <f t="shared" si="16"/>
        <v>16604.21657</v>
      </c>
      <c r="AD28" s="71">
        <f t="shared" si="33"/>
        <v>2200.216568</v>
      </c>
      <c r="AE28" s="77"/>
      <c r="AF28" s="44">
        <v>1.7185926E7</v>
      </c>
      <c r="AG28" s="70">
        <f t="shared" si="17"/>
        <v>16031814.1</v>
      </c>
      <c r="AH28" s="70">
        <f t="shared" si="18"/>
        <v>627913.0818</v>
      </c>
      <c r="AI28" s="70">
        <f t="shared" si="19"/>
        <v>16659727.18</v>
      </c>
      <c r="AJ28" s="71">
        <f t="shared" si="34"/>
        <v>526198.8208</v>
      </c>
      <c r="AK28" s="77"/>
      <c r="AL28" s="44">
        <v>425922.0</v>
      </c>
      <c r="AM28" s="70">
        <f t="shared" si="20"/>
        <v>272574.9902</v>
      </c>
      <c r="AN28" s="70">
        <f t="shared" si="21"/>
        <v>28837.74779</v>
      </c>
      <c r="AO28" s="70">
        <f t="shared" si="22"/>
        <v>301412.738</v>
      </c>
      <c r="AP28" s="71">
        <f t="shared" si="35"/>
        <v>124509.262</v>
      </c>
      <c r="AQ28" s="77"/>
      <c r="AR28" s="45">
        <v>192591.0</v>
      </c>
      <c r="AS28" s="70">
        <f t="shared" si="23"/>
        <v>125849.6136</v>
      </c>
      <c r="AT28" s="70">
        <f t="shared" si="24"/>
        <v>37537.66924</v>
      </c>
      <c r="AU28" s="70">
        <f t="shared" si="25"/>
        <v>163387.2828</v>
      </c>
      <c r="AV28" s="71">
        <f t="shared" si="36"/>
        <v>29203.7172</v>
      </c>
      <c r="AW28" s="77"/>
      <c r="AX28" s="44">
        <v>11544.0</v>
      </c>
      <c r="AY28" s="70">
        <f t="shared" si="26"/>
        <v>22138.54049</v>
      </c>
      <c r="AZ28" s="70">
        <f t="shared" si="27"/>
        <v>-9306.868874</v>
      </c>
      <c r="BA28" s="70">
        <f t="shared" si="28"/>
        <v>12831.67162</v>
      </c>
      <c r="BB28" s="71">
        <f t="shared" si="37"/>
        <v>1287.671619</v>
      </c>
    </row>
    <row r="29">
      <c r="A29" s="42">
        <v>2021.0</v>
      </c>
      <c r="B29" s="44">
        <v>166328.0</v>
      </c>
      <c r="C29" s="70">
        <f t="shared" si="2"/>
        <v>42538.87125</v>
      </c>
      <c r="D29" s="70">
        <f t="shared" si="3"/>
        <v>8400.721607</v>
      </c>
      <c r="E29" s="70">
        <f t="shared" si="4"/>
        <v>50939.59286</v>
      </c>
      <c r="F29" s="71">
        <f t="shared" si="29"/>
        <v>115388.4071</v>
      </c>
      <c r="G29" s="83"/>
      <c r="H29" s="44">
        <v>2013620.0</v>
      </c>
      <c r="I29" s="70">
        <f t="shared" si="5"/>
        <v>2131147.692</v>
      </c>
      <c r="J29" s="70">
        <f t="shared" si="6"/>
        <v>-73639.05049</v>
      </c>
      <c r="K29" s="70">
        <f t="shared" si="7"/>
        <v>2057508.641</v>
      </c>
      <c r="L29" s="71">
        <f t="shared" si="30"/>
        <v>43888.64136</v>
      </c>
      <c r="M29" s="77"/>
      <c r="N29" s="45">
        <v>35.0</v>
      </c>
      <c r="O29" s="70">
        <f t="shared" si="8"/>
        <v>7279.208471</v>
      </c>
      <c r="P29" s="70">
        <f t="shared" si="9"/>
        <v>-7676.536407</v>
      </c>
      <c r="Q29" s="70">
        <f t="shared" si="10"/>
        <v>-397.3279358</v>
      </c>
      <c r="R29" s="71">
        <f t="shared" si="31"/>
        <v>432.3279358</v>
      </c>
      <c r="S29" s="77"/>
      <c r="T29" s="45">
        <v>331576.0</v>
      </c>
      <c r="U29" s="70">
        <f t="shared" si="11"/>
        <v>132762.2893</v>
      </c>
      <c r="V29" s="70">
        <f t="shared" si="12"/>
        <v>-27434.95949</v>
      </c>
      <c r="W29" s="70">
        <f t="shared" si="13"/>
        <v>105327.3298</v>
      </c>
      <c r="X29" s="71">
        <f t="shared" si="32"/>
        <v>226248.6702</v>
      </c>
      <c r="Y29" s="77"/>
      <c r="Z29" s="44">
        <v>13408.0</v>
      </c>
      <c r="AA29" s="70">
        <f t="shared" si="14"/>
        <v>9311.343424</v>
      </c>
      <c r="AB29" s="70">
        <f t="shared" si="15"/>
        <v>2711.364256</v>
      </c>
      <c r="AC29" s="70">
        <f t="shared" si="16"/>
        <v>12022.70768</v>
      </c>
      <c r="AD29" s="71">
        <f t="shared" si="33"/>
        <v>1385.292321</v>
      </c>
      <c r="AE29" s="77"/>
      <c r="AF29" s="44">
        <v>1.5888229E7</v>
      </c>
      <c r="AG29" s="70">
        <f t="shared" si="17"/>
        <v>16566940.3</v>
      </c>
      <c r="AH29" s="70">
        <f t="shared" si="18"/>
        <v>757139.6694</v>
      </c>
      <c r="AI29" s="70">
        <f t="shared" si="19"/>
        <v>17324079.97</v>
      </c>
      <c r="AJ29" s="71">
        <f t="shared" si="34"/>
        <v>1435850.973</v>
      </c>
      <c r="AK29" s="77"/>
      <c r="AL29" s="44">
        <v>270806.0</v>
      </c>
      <c r="AM29" s="70">
        <f t="shared" si="20"/>
        <v>258066.0632</v>
      </c>
      <c r="AN29" s="70">
        <f t="shared" si="21"/>
        <v>30429.83899</v>
      </c>
      <c r="AO29" s="70">
        <f t="shared" si="22"/>
        <v>288495.9022</v>
      </c>
      <c r="AP29" s="71">
        <f t="shared" si="35"/>
        <v>17689.90222</v>
      </c>
      <c r="AQ29" s="77"/>
      <c r="AR29" s="45">
        <v>125963.0</v>
      </c>
      <c r="AS29" s="70">
        <f t="shared" si="23"/>
        <v>88294.93634</v>
      </c>
      <c r="AT29" s="70">
        <f t="shared" si="24"/>
        <v>37384.59754</v>
      </c>
      <c r="AU29" s="70">
        <f t="shared" si="25"/>
        <v>125679.5339</v>
      </c>
      <c r="AV29" s="71">
        <f t="shared" si="36"/>
        <v>283.4661174</v>
      </c>
      <c r="AW29" s="77"/>
      <c r="AX29" s="44">
        <v>19833.0</v>
      </c>
      <c r="AY29" s="70">
        <f t="shared" si="26"/>
        <v>48045.30092</v>
      </c>
      <c r="AZ29" s="70">
        <f t="shared" si="27"/>
        <v>-5156.895986</v>
      </c>
      <c r="BA29" s="70">
        <f t="shared" si="28"/>
        <v>42888.40493</v>
      </c>
      <c r="BB29" s="71">
        <f t="shared" si="37"/>
        <v>23055.40493</v>
      </c>
    </row>
    <row r="30">
      <c r="A30" s="42">
        <v>2020.0</v>
      </c>
      <c r="B30" s="44">
        <v>43227.0</v>
      </c>
      <c r="C30" s="70">
        <f t="shared" si="2"/>
        <v>33518.83377</v>
      </c>
      <c r="D30" s="70">
        <f t="shared" si="3"/>
        <v>2826.878746</v>
      </c>
      <c r="E30" s="70">
        <f t="shared" si="4"/>
        <v>36345.71252</v>
      </c>
      <c r="F30" s="71">
        <f t="shared" si="29"/>
        <v>6881.287482</v>
      </c>
      <c r="G30" s="83"/>
      <c r="H30" s="44">
        <v>2025020.0</v>
      </c>
      <c r="I30" s="70">
        <f t="shared" si="5"/>
        <v>2968906.124</v>
      </c>
      <c r="J30" s="70">
        <f t="shared" si="6"/>
        <v>117390.7948</v>
      </c>
      <c r="K30" s="70">
        <f t="shared" si="7"/>
        <v>3086296.919</v>
      </c>
      <c r="L30" s="71">
        <f t="shared" si="30"/>
        <v>1061276.919</v>
      </c>
      <c r="M30" s="77"/>
      <c r="N30" s="45">
        <v>2917.0</v>
      </c>
      <c r="O30" s="70">
        <f t="shared" si="8"/>
        <v>42437.65825</v>
      </c>
      <c r="P30" s="70">
        <f t="shared" si="9"/>
        <v>4101.426465</v>
      </c>
      <c r="Q30" s="70">
        <f t="shared" si="10"/>
        <v>46539.08471</v>
      </c>
      <c r="R30" s="71">
        <f t="shared" si="31"/>
        <v>43622.08471</v>
      </c>
      <c r="S30" s="77"/>
      <c r="T30" s="45">
        <v>124671.0</v>
      </c>
      <c r="U30" s="70">
        <f t="shared" si="11"/>
        <v>167479.4091</v>
      </c>
      <c r="V30" s="70">
        <f t="shared" si="12"/>
        <v>38104.48377</v>
      </c>
      <c r="W30" s="70">
        <f t="shared" si="13"/>
        <v>205583.8929</v>
      </c>
      <c r="X30" s="71">
        <f t="shared" si="32"/>
        <v>80912.89292</v>
      </c>
      <c r="Y30" s="77"/>
      <c r="Z30" s="44">
        <v>9910.0</v>
      </c>
      <c r="AA30" s="70">
        <f t="shared" si="14"/>
        <v>3906.024575</v>
      </c>
      <c r="AB30" s="70">
        <f t="shared" si="15"/>
        <v>17.4096625</v>
      </c>
      <c r="AC30" s="70">
        <f t="shared" si="16"/>
        <v>3923.434238</v>
      </c>
      <c r="AD30" s="71">
        <f t="shared" si="33"/>
        <v>5986.565763</v>
      </c>
      <c r="AE30" s="77"/>
      <c r="AF30" s="44">
        <v>1.5982228E7</v>
      </c>
      <c r="AG30" s="70">
        <f t="shared" si="17"/>
        <v>20545970.3</v>
      </c>
      <c r="AH30" s="70">
        <f t="shared" si="18"/>
        <v>1283380.743</v>
      </c>
      <c r="AI30" s="70">
        <f t="shared" si="19"/>
        <v>21829351.04</v>
      </c>
      <c r="AJ30" s="71">
        <f t="shared" si="34"/>
        <v>5847123.038</v>
      </c>
      <c r="AK30" s="77"/>
      <c r="AL30" s="44">
        <v>233511.0</v>
      </c>
      <c r="AM30" s="70">
        <f t="shared" si="20"/>
        <v>426532.2364</v>
      </c>
      <c r="AN30" s="70">
        <f t="shared" si="21"/>
        <v>52529.39589</v>
      </c>
      <c r="AO30" s="70">
        <f t="shared" si="22"/>
        <v>479061.6323</v>
      </c>
      <c r="AP30" s="71">
        <f t="shared" si="35"/>
        <v>245550.6323</v>
      </c>
      <c r="AQ30" s="77"/>
      <c r="AR30" s="45">
        <v>86363.0</v>
      </c>
      <c r="AS30" s="70">
        <f t="shared" si="23"/>
        <v>51200.12925</v>
      </c>
      <c r="AT30" s="70">
        <f t="shared" si="24"/>
        <v>39992.7116</v>
      </c>
      <c r="AU30" s="70">
        <f t="shared" si="25"/>
        <v>91192.84086</v>
      </c>
      <c r="AV30" s="71">
        <f t="shared" si="36"/>
        <v>4829.840857</v>
      </c>
      <c r="AW30" s="77"/>
      <c r="AX30" s="44">
        <v>39929.0</v>
      </c>
      <c r="AY30" s="70">
        <f t="shared" si="26"/>
        <v>111639.5635</v>
      </c>
      <c r="AZ30" s="70">
        <f t="shared" si="27"/>
        <v>9452.445665</v>
      </c>
      <c r="BA30" s="70">
        <f t="shared" si="28"/>
        <v>121092.0092</v>
      </c>
      <c r="BB30" s="71">
        <f t="shared" si="37"/>
        <v>81163.00918</v>
      </c>
    </row>
    <row r="31">
      <c r="A31" s="42">
        <v>2019.0</v>
      </c>
      <c r="B31" s="44">
        <v>33459.0</v>
      </c>
      <c r="C31" s="70">
        <f t="shared" si="2"/>
        <v>30745.80542</v>
      </c>
      <c r="D31" s="70">
        <f t="shared" si="3"/>
        <v>3311.532298</v>
      </c>
      <c r="E31" s="70">
        <f t="shared" si="4"/>
        <v>34057.33772</v>
      </c>
      <c r="F31" s="71">
        <f t="shared" si="29"/>
        <v>598.337718</v>
      </c>
      <c r="G31" s="83"/>
      <c r="H31" s="44">
        <v>2924814.0</v>
      </c>
      <c r="I31" s="70">
        <f t="shared" si="5"/>
        <v>3168978.619</v>
      </c>
      <c r="J31" s="70">
        <f t="shared" si="6"/>
        <v>196756.6174</v>
      </c>
      <c r="K31" s="70">
        <f t="shared" si="7"/>
        <v>3365735.237</v>
      </c>
      <c r="L31" s="71">
        <f t="shared" si="30"/>
        <v>440921.2366</v>
      </c>
      <c r="M31" s="77"/>
      <c r="N31" s="45">
        <v>39104.0</v>
      </c>
      <c r="O31" s="70">
        <f t="shared" si="8"/>
        <v>59338.27873</v>
      </c>
      <c r="P31" s="70">
        <f t="shared" si="9"/>
        <v>13102.30373</v>
      </c>
      <c r="Q31" s="70">
        <f t="shared" si="10"/>
        <v>72440.58246</v>
      </c>
      <c r="R31" s="71">
        <f t="shared" si="31"/>
        <v>33336.58246</v>
      </c>
      <c r="S31" s="77"/>
      <c r="T31" s="45">
        <v>166881.0</v>
      </c>
      <c r="U31" s="70">
        <f t="shared" si="11"/>
        <v>129913.4936</v>
      </c>
      <c r="V31" s="70">
        <f t="shared" si="12"/>
        <v>42951.59784</v>
      </c>
      <c r="W31" s="70">
        <f t="shared" si="13"/>
        <v>172865.0914</v>
      </c>
      <c r="X31" s="71">
        <f t="shared" si="32"/>
        <v>5984.09144</v>
      </c>
      <c r="Y31" s="77"/>
      <c r="Z31" s="44">
        <v>3866.0</v>
      </c>
      <c r="AA31" s="70">
        <f t="shared" si="14"/>
        <v>4068.7255</v>
      </c>
      <c r="AB31" s="70">
        <f t="shared" si="15"/>
        <v>197.52025</v>
      </c>
      <c r="AC31" s="70">
        <f t="shared" si="16"/>
        <v>4266.24575</v>
      </c>
      <c r="AD31" s="71">
        <f t="shared" si="33"/>
        <v>400.24575</v>
      </c>
      <c r="AE31" s="77"/>
      <c r="AF31" s="44">
        <v>2.029547E7</v>
      </c>
      <c r="AG31" s="70">
        <f t="shared" si="17"/>
        <v>21291641.94</v>
      </c>
      <c r="AH31" s="70">
        <f t="shared" si="18"/>
        <v>1508831.009</v>
      </c>
      <c r="AI31" s="70">
        <f t="shared" si="19"/>
        <v>22800472.95</v>
      </c>
      <c r="AJ31" s="71">
        <f t="shared" si="34"/>
        <v>2505002.952</v>
      </c>
      <c r="AK31" s="77"/>
      <c r="AL31" s="44">
        <v>416682.0</v>
      </c>
      <c r="AM31" s="70">
        <f t="shared" si="20"/>
        <v>453789.7557</v>
      </c>
      <c r="AN31" s="70">
        <f t="shared" si="21"/>
        <v>61394.60869</v>
      </c>
      <c r="AO31" s="70">
        <f t="shared" si="22"/>
        <v>515184.3644</v>
      </c>
      <c r="AP31" s="71">
        <f t="shared" si="35"/>
        <v>98502.36437</v>
      </c>
      <c r="AQ31" s="77"/>
      <c r="AR31" s="45">
        <v>76289.0</v>
      </c>
      <c r="AS31" s="70">
        <f t="shared" si="23"/>
        <v>7444.08704</v>
      </c>
      <c r="AT31" s="70">
        <f t="shared" si="24"/>
        <v>6122.736096</v>
      </c>
      <c r="AU31" s="70">
        <f t="shared" si="25"/>
        <v>13566.82314</v>
      </c>
      <c r="AV31" s="71">
        <f t="shared" si="36"/>
        <v>62722.17686</v>
      </c>
      <c r="AW31" s="77"/>
      <c r="AX31" s="44">
        <v>108995.0</v>
      </c>
      <c r="AY31" s="70">
        <f t="shared" si="26"/>
        <v>121227.9751</v>
      </c>
      <c r="AZ31" s="70">
        <f t="shared" si="27"/>
        <v>14212.65998</v>
      </c>
      <c r="BA31" s="70">
        <f t="shared" si="28"/>
        <v>135440.6351</v>
      </c>
      <c r="BB31" s="71">
        <f t="shared" si="37"/>
        <v>26445.6351</v>
      </c>
    </row>
    <row r="32">
      <c r="A32" s="43">
        <v>2018.0</v>
      </c>
      <c r="B32" s="44">
        <v>31429.0</v>
      </c>
      <c r="C32" s="70">
        <f t="shared" si="2"/>
        <v>26819.398</v>
      </c>
      <c r="D32" s="70">
        <f t="shared" si="3"/>
        <v>-2222.3438</v>
      </c>
      <c r="E32" s="70">
        <f t="shared" si="4"/>
        <v>24597.0542</v>
      </c>
      <c r="F32" s="71">
        <f t="shared" si="29"/>
        <v>6831.9458</v>
      </c>
      <c r="G32" s="83"/>
      <c r="H32" s="44">
        <v>3182474.0</v>
      </c>
      <c r="I32" s="70">
        <f t="shared" si="5"/>
        <v>2875055.26</v>
      </c>
      <c r="J32" s="70">
        <f t="shared" si="6"/>
        <v>172464.932</v>
      </c>
      <c r="K32" s="70">
        <f t="shared" si="7"/>
        <v>3047520.192</v>
      </c>
      <c r="L32" s="71">
        <f t="shared" si="30"/>
        <v>134953.808</v>
      </c>
      <c r="M32" s="77"/>
      <c r="N32" s="45">
        <v>59540.0</v>
      </c>
      <c r="O32" s="70">
        <f t="shared" si="8"/>
        <v>44965.131</v>
      </c>
      <c r="P32" s="70">
        <f t="shared" si="9"/>
        <v>12557.6563</v>
      </c>
      <c r="Q32" s="70">
        <f t="shared" si="10"/>
        <v>57522.7873</v>
      </c>
      <c r="R32" s="71">
        <f t="shared" si="31"/>
        <v>2017.2127</v>
      </c>
      <c r="S32" s="77"/>
      <c r="T32" s="45">
        <v>130248.0</v>
      </c>
      <c r="U32" s="70">
        <f t="shared" si="11"/>
        <v>86660.84</v>
      </c>
      <c r="V32" s="70">
        <f t="shared" si="12"/>
        <v>40242.096</v>
      </c>
      <c r="W32" s="70">
        <f t="shared" si="13"/>
        <v>126902.936</v>
      </c>
      <c r="X32" s="71">
        <f t="shared" si="32"/>
        <v>3345.064</v>
      </c>
      <c r="Y32" s="77"/>
      <c r="Z32" s="44">
        <v>4068.0</v>
      </c>
      <c r="AA32" s="70">
        <f t="shared" si="14"/>
        <v>3874.47</v>
      </c>
      <c r="AB32" s="70">
        <f t="shared" si="15"/>
        <v>200.785</v>
      </c>
      <c r="AC32" s="70">
        <f t="shared" si="16"/>
        <v>4075.255</v>
      </c>
      <c r="AD32" s="71">
        <f t="shared" si="33"/>
        <v>7.255</v>
      </c>
      <c r="AE32" s="77"/>
      <c r="AF32" s="44">
        <v>2.1301973E7</v>
      </c>
      <c r="AG32" s="70">
        <f t="shared" si="17"/>
        <v>19699129.38</v>
      </c>
      <c r="AH32" s="70">
        <f t="shared" si="18"/>
        <v>1499533.058</v>
      </c>
      <c r="AI32" s="70">
        <f t="shared" si="19"/>
        <v>21198662.44</v>
      </c>
      <c r="AJ32" s="71">
        <f t="shared" si="34"/>
        <v>103310.562</v>
      </c>
      <c r="AK32" s="77"/>
      <c r="AL32" s="44">
        <v>459314.0</v>
      </c>
      <c r="AM32" s="70">
        <f t="shared" si="20"/>
        <v>347648.768</v>
      </c>
      <c r="AN32" s="70">
        <f t="shared" si="21"/>
        <v>56422.7888</v>
      </c>
      <c r="AO32" s="70">
        <f t="shared" si="22"/>
        <v>404071.5568</v>
      </c>
      <c r="AP32" s="71">
        <f t="shared" si="35"/>
        <v>55242.4432</v>
      </c>
      <c r="AQ32" s="77"/>
      <c r="AR32" s="45">
        <v>11758.0</v>
      </c>
      <c r="AS32" s="70">
        <f t="shared" si="23"/>
        <v>674.264</v>
      </c>
      <c r="AT32" s="70">
        <f t="shared" si="24"/>
        <v>298.9536</v>
      </c>
      <c r="AU32" s="70">
        <f t="shared" si="25"/>
        <v>973.2176</v>
      </c>
      <c r="AV32" s="71">
        <f t="shared" si="36"/>
        <v>10784.7824</v>
      </c>
      <c r="AW32" s="77"/>
      <c r="AX32" s="44">
        <v>123813.0</v>
      </c>
      <c r="AY32" s="70">
        <f t="shared" si="26"/>
        <v>88403.136</v>
      </c>
      <c r="AZ32" s="70">
        <f t="shared" si="27"/>
        <v>9559.6152</v>
      </c>
      <c r="BA32" s="70">
        <f t="shared" si="28"/>
        <v>97962.7512</v>
      </c>
      <c r="BB32" s="71">
        <f t="shared" si="37"/>
        <v>25850.2488</v>
      </c>
    </row>
    <row r="33">
      <c r="A33" s="43">
        <v>2017.0</v>
      </c>
      <c r="B33" s="44">
        <v>26150.0</v>
      </c>
      <c r="C33" s="70">
        <f t="shared" si="2"/>
        <v>29644.2</v>
      </c>
      <c r="D33" s="70">
        <f t="shared" si="3"/>
        <v>3199.78</v>
      </c>
      <c r="E33" s="70">
        <f t="shared" si="4"/>
        <v>32843.98</v>
      </c>
      <c r="F33" s="71">
        <f t="shared" si="29"/>
        <v>6693.98</v>
      </c>
      <c r="G33" s="83"/>
      <c r="H33" s="44">
        <v>2865401.0</v>
      </c>
      <c r="I33" s="70">
        <f t="shared" si="5"/>
        <v>2772101</v>
      </c>
      <c r="J33" s="70">
        <f t="shared" si="6"/>
        <v>189842.6</v>
      </c>
      <c r="K33" s="70">
        <f t="shared" si="7"/>
        <v>2961943.6</v>
      </c>
      <c r="L33" s="71">
        <f t="shared" si="30"/>
        <v>96542.6</v>
      </c>
      <c r="M33" s="77"/>
      <c r="N33" s="45">
        <v>48477.0</v>
      </c>
      <c r="O33" s="70">
        <f t="shared" si="8"/>
        <v>10282.7</v>
      </c>
      <c r="P33" s="70">
        <f t="shared" si="9"/>
        <v>3075.61</v>
      </c>
      <c r="Q33" s="70">
        <f t="shared" si="10"/>
        <v>13358.31</v>
      </c>
      <c r="R33" s="71">
        <f t="shared" si="31"/>
        <v>35118.69</v>
      </c>
      <c r="S33" s="77"/>
      <c r="T33" s="45">
        <v>87395.0</v>
      </c>
      <c r="U33" s="70">
        <f t="shared" si="11"/>
        <v>45758</v>
      </c>
      <c r="V33" s="70">
        <f t="shared" si="12"/>
        <v>34295.4</v>
      </c>
      <c r="W33" s="70">
        <f t="shared" si="13"/>
        <v>80053.4</v>
      </c>
      <c r="X33" s="71">
        <f t="shared" si="32"/>
        <v>7341.6</v>
      </c>
      <c r="Y33" s="77"/>
      <c r="Z33" s="44">
        <v>3814.0</v>
      </c>
      <c r="AA33" s="70">
        <f t="shared" si="14"/>
        <v>3945.8</v>
      </c>
      <c r="AB33" s="70">
        <f t="shared" si="15"/>
        <v>472.9</v>
      </c>
      <c r="AC33" s="70">
        <f t="shared" si="16"/>
        <v>4418.7</v>
      </c>
      <c r="AD33" s="71">
        <f t="shared" si="33"/>
        <v>604.7</v>
      </c>
      <c r="AE33" s="77"/>
      <c r="AF33" s="44">
        <v>1.9731563E7</v>
      </c>
      <c r="AG33" s="70">
        <f t="shared" si="17"/>
        <v>17936884</v>
      </c>
      <c r="AH33" s="70">
        <f t="shared" si="18"/>
        <v>1470342.8</v>
      </c>
      <c r="AI33" s="70">
        <f t="shared" si="19"/>
        <v>19407226.8</v>
      </c>
      <c r="AJ33" s="71">
        <f t="shared" si="34"/>
        <v>324336.2</v>
      </c>
      <c r="AK33" s="77"/>
      <c r="AL33" s="44">
        <v>342522.0</v>
      </c>
      <c r="AM33" s="70">
        <f t="shared" si="20"/>
        <v>332752.8</v>
      </c>
      <c r="AN33" s="70">
        <f t="shared" si="21"/>
        <v>61036.88</v>
      </c>
      <c r="AO33" s="70">
        <f t="shared" si="22"/>
        <v>393789.68</v>
      </c>
      <c r="AP33" s="71">
        <f t="shared" si="35"/>
        <v>51267.68</v>
      </c>
      <c r="AQ33" s="77"/>
      <c r="AR33" s="45">
        <v>707.0</v>
      </c>
      <c r="AS33" s="70">
        <f t="shared" si="23"/>
        <v>370.4</v>
      </c>
      <c r="AT33" s="70">
        <f t="shared" si="24"/>
        <v>254.76</v>
      </c>
      <c r="AU33" s="70">
        <f t="shared" si="25"/>
        <v>625.16</v>
      </c>
      <c r="AV33" s="71">
        <f t="shared" si="36"/>
        <v>81.84</v>
      </c>
      <c r="AW33" s="77"/>
      <c r="AX33" s="44">
        <v>87934.0</v>
      </c>
      <c r="AY33" s="70">
        <f t="shared" si="26"/>
        <v>82221.3</v>
      </c>
      <c r="AZ33" s="70">
        <f t="shared" si="27"/>
        <v>10404.06</v>
      </c>
      <c r="BA33" s="70">
        <f t="shared" si="28"/>
        <v>92625.36</v>
      </c>
      <c r="BB33" s="71">
        <f t="shared" si="37"/>
        <v>4691.36</v>
      </c>
    </row>
    <row r="34">
      <c r="A34" s="43">
        <v>2016.0</v>
      </c>
      <c r="B34" s="44">
        <v>29888.0</v>
      </c>
      <c r="C34" s="70">
        <f t="shared" si="2"/>
        <v>26225</v>
      </c>
      <c r="D34" s="70">
        <f t="shared" si="3"/>
        <v>1225</v>
      </c>
      <c r="E34" s="70">
        <f t="shared" si="4"/>
        <v>27450</v>
      </c>
      <c r="F34" s="71">
        <f t="shared" si="29"/>
        <v>2438</v>
      </c>
      <c r="G34" s="83"/>
      <c r="H34" s="44">
        <v>2752178.0</v>
      </c>
      <c r="I34" s="70">
        <f t="shared" si="5"/>
        <v>2725704</v>
      </c>
      <c r="J34" s="70">
        <f t="shared" si="6"/>
        <v>225704</v>
      </c>
      <c r="K34" s="70">
        <f t="shared" si="7"/>
        <v>2951408</v>
      </c>
      <c r="L34" s="71">
        <f t="shared" si="30"/>
        <v>199230</v>
      </c>
      <c r="M34" s="77"/>
      <c r="N34" s="45">
        <v>11347.0</v>
      </c>
      <c r="O34" s="70">
        <f t="shared" si="8"/>
        <v>502</v>
      </c>
      <c r="P34" s="70">
        <f t="shared" si="9"/>
        <v>202</v>
      </c>
      <c r="Q34" s="70">
        <f t="shared" si="10"/>
        <v>704</v>
      </c>
      <c r="R34" s="71">
        <f t="shared" si="31"/>
        <v>10643</v>
      </c>
      <c r="S34" s="77"/>
      <c r="T34" s="45">
        <v>49832.0</v>
      </c>
      <c r="U34" s="70">
        <f t="shared" si="11"/>
        <v>7796</v>
      </c>
      <c r="V34" s="70">
        <f t="shared" si="12"/>
        <v>1296</v>
      </c>
      <c r="W34" s="70">
        <f t="shared" si="13"/>
        <v>9092</v>
      </c>
      <c r="X34" s="71">
        <f t="shared" si="32"/>
        <v>40740</v>
      </c>
      <c r="Y34" s="77"/>
      <c r="Z34" s="44">
        <v>3976.0</v>
      </c>
      <c r="AA34" s="70">
        <f t="shared" si="14"/>
        <v>3337</v>
      </c>
      <c r="AB34" s="70">
        <f t="shared" si="15"/>
        <v>337</v>
      </c>
      <c r="AC34" s="70">
        <f t="shared" si="16"/>
        <v>3674</v>
      </c>
      <c r="AD34" s="71">
        <f t="shared" si="33"/>
        <v>302</v>
      </c>
      <c r="AE34" s="77"/>
      <c r="AF34" s="44">
        <v>1.7936356E7</v>
      </c>
      <c r="AG34" s="70">
        <f t="shared" si="17"/>
        <v>16470818</v>
      </c>
      <c r="AH34" s="70">
        <f t="shared" si="18"/>
        <v>1470818</v>
      </c>
      <c r="AI34" s="70">
        <f t="shared" si="19"/>
        <v>17941636</v>
      </c>
      <c r="AJ34" s="71">
        <f t="shared" si="34"/>
        <v>5280</v>
      </c>
      <c r="AK34" s="77"/>
      <c r="AL34" s="44">
        <v>334236.0</v>
      </c>
      <c r="AM34" s="70">
        <f t="shared" si="20"/>
        <v>259702</v>
      </c>
      <c r="AN34" s="70">
        <f t="shared" si="21"/>
        <v>59702</v>
      </c>
      <c r="AO34" s="70">
        <f t="shared" si="22"/>
        <v>319404</v>
      </c>
      <c r="AP34" s="71">
        <f t="shared" si="35"/>
        <v>14832</v>
      </c>
      <c r="AQ34" s="77"/>
      <c r="AR34" s="45">
        <v>528.0</v>
      </c>
      <c r="AS34" s="70">
        <f t="shared" si="23"/>
        <v>92</v>
      </c>
      <c r="AT34" s="70">
        <f t="shared" si="24"/>
        <v>42</v>
      </c>
      <c r="AU34" s="70">
        <f t="shared" si="25"/>
        <v>134</v>
      </c>
      <c r="AV34" s="71">
        <f t="shared" si="36"/>
        <v>394</v>
      </c>
      <c r="AW34" s="77"/>
      <c r="AX34" s="44">
        <v>82483.0</v>
      </c>
      <c r="AY34" s="70">
        <f t="shared" si="26"/>
        <v>69933</v>
      </c>
      <c r="AZ34" s="70">
        <f t="shared" si="27"/>
        <v>9933</v>
      </c>
      <c r="BA34" s="70">
        <f t="shared" si="28"/>
        <v>79866</v>
      </c>
      <c r="BB34" s="71">
        <f t="shared" si="37"/>
        <v>2617</v>
      </c>
    </row>
    <row r="35">
      <c r="A35" s="43">
        <v>2015.0</v>
      </c>
      <c r="B35" s="44">
        <v>26225.0</v>
      </c>
      <c r="C35" s="70">
        <v>25000.0</v>
      </c>
      <c r="D35" s="70">
        <f>B35-C35</f>
        <v>1225</v>
      </c>
      <c r="E35" s="70">
        <f t="shared" si="4"/>
        <v>26225</v>
      </c>
      <c r="F35" s="71">
        <f t="shared" si="29"/>
        <v>0</v>
      </c>
      <c r="G35" s="84"/>
      <c r="H35" s="44">
        <v>2725704.0</v>
      </c>
      <c r="I35" s="70">
        <v>2500000.0</v>
      </c>
      <c r="J35" s="70">
        <f>H35-I35</f>
        <v>225704</v>
      </c>
      <c r="K35" s="70">
        <f t="shared" si="7"/>
        <v>2725704</v>
      </c>
      <c r="L35" s="71">
        <f t="shared" si="30"/>
        <v>0</v>
      </c>
      <c r="M35" s="1"/>
      <c r="N35" s="45">
        <v>502.0</v>
      </c>
      <c r="O35" s="70">
        <v>300.0</v>
      </c>
      <c r="P35" s="70">
        <f>N35-O35</f>
        <v>202</v>
      </c>
      <c r="Q35" s="70">
        <f t="shared" si="10"/>
        <v>502</v>
      </c>
      <c r="R35" s="71">
        <f t="shared" si="31"/>
        <v>0</v>
      </c>
      <c r="S35" s="1"/>
      <c r="T35" s="45">
        <v>7796.0</v>
      </c>
      <c r="U35" s="70">
        <v>6500.0</v>
      </c>
      <c r="V35" s="70">
        <f>T35-U35</f>
        <v>1296</v>
      </c>
      <c r="W35" s="70">
        <f t="shared" si="13"/>
        <v>7796</v>
      </c>
      <c r="X35" s="71">
        <f t="shared" si="32"/>
        <v>0</v>
      </c>
      <c r="Y35" s="1"/>
      <c r="Z35" s="44">
        <v>3337.0</v>
      </c>
      <c r="AA35" s="70">
        <v>3000.0</v>
      </c>
      <c r="AB35" s="70">
        <f>Z35-AA35</f>
        <v>337</v>
      </c>
      <c r="AC35" s="70">
        <f t="shared" si="16"/>
        <v>3337</v>
      </c>
      <c r="AD35" s="71">
        <f t="shared" si="33"/>
        <v>0</v>
      </c>
      <c r="AE35" s="1"/>
      <c r="AF35" s="44">
        <v>1.6470818E7</v>
      </c>
      <c r="AG35" s="70">
        <v>1.5E7</v>
      </c>
      <c r="AH35" s="70">
        <f>AF35-AG35</f>
        <v>1470818</v>
      </c>
      <c r="AI35" s="70">
        <f t="shared" si="19"/>
        <v>16470818</v>
      </c>
      <c r="AJ35" s="71">
        <f t="shared" si="34"/>
        <v>0</v>
      </c>
      <c r="AK35" s="1"/>
      <c r="AL35" s="44">
        <v>259702.0</v>
      </c>
      <c r="AM35" s="70">
        <v>200000.0</v>
      </c>
      <c r="AN35" s="70">
        <f>AL35-AM35</f>
        <v>59702</v>
      </c>
      <c r="AO35" s="70">
        <f t="shared" si="22"/>
        <v>259702</v>
      </c>
      <c r="AP35" s="71">
        <f t="shared" si="35"/>
        <v>0</v>
      </c>
      <c r="AQ35" s="1"/>
      <c r="AR35" s="45">
        <v>92.0</v>
      </c>
      <c r="AS35" s="70">
        <v>50.0</v>
      </c>
      <c r="AT35" s="70">
        <f>AR35-AS35</f>
        <v>42</v>
      </c>
      <c r="AU35" s="70">
        <f t="shared" si="25"/>
        <v>92</v>
      </c>
      <c r="AV35" s="71">
        <f t="shared" si="36"/>
        <v>0</v>
      </c>
      <c r="AW35" s="1"/>
      <c r="AX35" s="44">
        <v>69933.0</v>
      </c>
      <c r="AY35" s="70">
        <v>60000.0</v>
      </c>
      <c r="AZ35" s="70">
        <f>AX35-AY35</f>
        <v>9933</v>
      </c>
      <c r="BA35" s="70">
        <f t="shared" si="28"/>
        <v>69933</v>
      </c>
      <c r="BB35" s="71">
        <f t="shared" si="37"/>
        <v>0</v>
      </c>
    </row>
    <row r="36">
      <c r="C36" s="1" t="s">
        <v>200</v>
      </c>
      <c r="E36" s="1"/>
      <c r="F36" s="77">
        <f>Average(F27:F34)</f>
        <v>23338.55131</v>
      </c>
      <c r="G36" s="77"/>
      <c r="I36" s="1" t="s">
        <v>200</v>
      </c>
      <c r="K36" s="1"/>
      <c r="L36" s="77">
        <f>Average(L27:L34)</f>
        <v>332171.1826</v>
      </c>
      <c r="M36" s="77"/>
      <c r="O36" s="1" t="s">
        <v>200</v>
      </c>
      <c r="Q36" s="1"/>
      <c r="R36" s="77">
        <f>Average(R27:R34)</f>
        <v>17668.48618</v>
      </c>
      <c r="U36" s="1" t="s">
        <v>200</v>
      </c>
      <c r="W36" s="1"/>
      <c r="X36" s="77">
        <f>Average(X27:X34)</f>
        <v>121380.4028</v>
      </c>
      <c r="AA36" s="1" t="s">
        <v>200</v>
      </c>
      <c r="AC36" s="1"/>
      <c r="AD36" s="77">
        <f>Average(AD27:AD34)</f>
        <v>2591.200675</v>
      </c>
      <c r="AG36" s="1" t="s">
        <v>200</v>
      </c>
      <c r="AI36" s="1"/>
      <c r="AJ36" s="77">
        <f>Average(AJ27:AJ34)</f>
        <v>1384625.307</v>
      </c>
      <c r="AM36" s="1" t="s">
        <v>200</v>
      </c>
      <c r="AO36" s="1"/>
      <c r="AP36" s="77">
        <f>Average(AP27:AP34)</f>
        <v>86344.57862</v>
      </c>
      <c r="AS36" s="1" t="s">
        <v>200</v>
      </c>
      <c r="AU36" s="1"/>
      <c r="AV36" s="77">
        <f>Average(AV27:AV34)</f>
        <v>25699.70422</v>
      </c>
      <c r="AY36" s="1" t="s">
        <v>200</v>
      </c>
      <c r="BA36" s="1"/>
      <c r="BB36" s="77">
        <f>Average(BB27:BB34)</f>
        <v>20958.65153</v>
      </c>
    </row>
    <row r="37">
      <c r="C37" s="1" t="s">
        <v>147</v>
      </c>
      <c r="E37" s="1"/>
      <c r="F37" s="77">
        <f>average(F27^2, F28^2, F29^2, F30^2,F31^2,F32^2, F33^2, F34^2)</f>
        <v>1896586109</v>
      </c>
      <c r="G37" s="77"/>
      <c r="I37" s="1" t="s">
        <v>147</v>
      </c>
      <c r="J37" s="1"/>
      <c r="K37" s="1"/>
      <c r="L37" s="77">
        <f>average(L27^2, L28^2, L29^2, L30^2,L31^2,L32^2, L33^2, L34^2)</f>
        <v>203866663182</v>
      </c>
      <c r="M37" s="77"/>
      <c r="O37" s="1" t="s">
        <v>147</v>
      </c>
      <c r="P37" s="1"/>
      <c r="Q37" s="1"/>
      <c r="R37" s="77">
        <f>average(R27^2, R28^2, R29^2, R30^2,R31^2,R32^2, R33^2, R34^2)</f>
        <v>562002869.1</v>
      </c>
      <c r="S37" s="77"/>
      <c r="U37" s="1" t="s">
        <v>147</v>
      </c>
      <c r="V37" s="1"/>
      <c r="W37" s="1"/>
      <c r="X37" s="21">
        <f>average(X27^2, X28^2, X29^2, X30^2,X31^2,X32^2, X33^2, X34^2)</f>
        <v>46935893958</v>
      </c>
      <c r="AA37" s="1" t="s">
        <v>147</v>
      </c>
      <c r="AB37" s="1"/>
      <c r="AC37" s="1"/>
      <c r="AD37" s="77">
        <f>average(AD27^2, AD28^2, AD29^2, AD30^2,AD31^2,AD32^2, AD33^2, AD34^2)</f>
        <v>17513402.28</v>
      </c>
      <c r="AE37" s="77"/>
      <c r="AG37" s="1" t="s">
        <v>147</v>
      </c>
      <c r="AH37" s="1"/>
      <c r="AI37" s="1"/>
      <c r="AJ37" s="21">
        <f>average(AJ27^2, AJ28^2, AJ29^2, AJ30^2,AJ31^2,AJ32^2, AJ33^2, AJ34^2)</f>
        <v>5378396212506</v>
      </c>
      <c r="AM37" s="1" t="s">
        <v>147</v>
      </c>
      <c r="AN37" s="1"/>
      <c r="AO37" s="1"/>
      <c r="AP37" s="21">
        <f>average(AP27^2, AP28^2, AP29^2, AP30^2,AP31^2,AP32^2, AP33^2, AP34^2)</f>
        <v>12328673019</v>
      </c>
      <c r="AS37" s="1" t="s">
        <v>147</v>
      </c>
      <c r="AT37" s="1"/>
      <c r="AU37" s="1"/>
      <c r="AV37" s="21">
        <f>average(AV27^2, AV28^2, AV29^2, AV30^2,AV31^2,AV32^2, AV33^2, AV34^2)</f>
        <v>1799209206</v>
      </c>
      <c r="AY37" s="1" t="s">
        <v>147</v>
      </c>
      <c r="AZ37" s="1"/>
      <c r="BA37" s="1"/>
      <c r="BB37" s="21">
        <f>average(BB27^2, BB28^2, BB29^2, BB30^2,BB31^2,BB32^2, BB33^2, BB34^2)</f>
        <v>1065457033</v>
      </c>
    </row>
    <row r="38">
      <c r="C38" s="1" t="s">
        <v>148</v>
      </c>
      <c r="E38" s="1"/>
      <c r="F38" s="77">
        <f>SQRT(F37)</f>
        <v>43549.81182</v>
      </c>
      <c r="G38" s="77"/>
      <c r="I38" s="1" t="s">
        <v>148</v>
      </c>
      <c r="J38" s="1"/>
      <c r="K38" s="1"/>
      <c r="L38" s="77">
        <f>SQRT(L37)</f>
        <v>451515.9612</v>
      </c>
      <c r="M38" s="77"/>
      <c r="O38" s="1" t="s">
        <v>148</v>
      </c>
      <c r="P38" s="1"/>
      <c r="Q38" s="1"/>
      <c r="R38" s="77">
        <f>SQRT(R37)</f>
        <v>23706.59969</v>
      </c>
      <c r="S38" s="77"/>
      <c r="U38" s="1" t="s">
        <v>148</v>
      </c>
      <c r="V38" s="1"/>
      <c r="W38" s="1"/>
      <c r="X38" s="77">
        <f>SQRT(X37)</f>
        <v>216646.9339</v>
      </c>
      <c r="Y38" s="77"/>
      <c r="AA38" s="1" t="s">
        <v>148</v>
      </c>
      <c r="AB38" s="1"/>
      <c r="AC38" s="1"/>
      <c r="AD38" s="77">
        <f>SQRT(AD37)</f>
        <v>4184.901705</v>
      </c>
      <c r="AE38" s="77"/>
      <c r="AG38" s="1" t="s">
        <v>148</v>
      </c>
      <c r="AH38" s="1"/>
      <c r="AI38" s="1"/>
      <c r="AJ38" s="77">
        <f>SQRT(AJ37)</f>
        <v>2319136.954</v>
      </c>
      <c r="AK38" s="77"/>
      <c r="AM38" s="1" t="s">
        <v>148</v>
      </c>
      <c r="AN38" s="1"/>
      <c r="AO38" s="1"/>
      <c r="AP38" s="77">
        <f>SQRT(AP37)</f>
        <v>111034.5578</v>
      </c>
      <c r="AQ38" s="77"/>
      <c r="AS38" s="1" t="s">
        <v>148</v>
      </c>
      <c r="AT38" s="1"/>
      <c r="AU38" s="1"/>
      <c r="AV38" s="77">
        <f>SQRT(AV37)</f>
        <v>42417.08625</v>
      </c>
      <c r="AW38" s="77"/>
      <c r="AY38" s="1" t="s">
        <v>148</v>
      </c>
      <c r="AZ38" s="1"/>
      <c r="BA38" s="1"/>
      <c r="BB38" s="77">
        <f>SQRT(BB37)</f>
        <v>32641.33932</v>
      </c>
    </row>
    <row r="39">
      <c r="C39" s="1" t="s">
        <v>201</v>
      </c>
      <c r="E39" s="1"/>
      <c r="F39" s="79">
        <f>average(F27/B27,F28/B28,F29/B29,F30/B30,F31/B31,F32/B32,F33/B33,F34/B34)</f>
        <v>0.1974623132</v>
      </c>
      <c r="I39" s="1" t="s">
        <v>201</v>
      </c>
      <c r="J39" s="1"/>
      <c r="K39" s="1"/>
      <c r="L39" s="79">
        <f>average(L27/H27,L28/H28,L29/H29,L30/H30,L31/H31,L32/H32,L33/H33,L34/H34)</f>
        <v>0.1406535747</v>
      </c>
      <c r="O39" s="1" t="s">
        <v>201</v>
      </c>
      <c r="P39" s="1"/>
      <c r="Q39" s="1"/>
      <c r="R39" s="79">
        <f>average(R27/N27,R28/N28,R29/N29,R30/N30,R31/N31,R32/N32,R33/N33,R34/N34)</f>
        <v>5.540243474</v>
      </c>
      <c r="U39" s="1" t="s">
        <v>201</v>
      </c>
      <c r="V39" s="1"/>
      <c r="W39" s="1"/>
      <c r="X39" s="79">
        <f>average(X27/T27,X28/T28,X29/T29,X30/T30,X31/T31,X32/T32,X33/T33,X34/T34)</f>
        <v>0.3588983103</v>
      </c>
      <c r="AA39" s="1" t="s">
        <v>201</v>
      </c>
      <c r="AB39" s="1"/>
      <c r="AC39" s="1"/>
      <c r="AD39" s="79">
        <f>average(AD27/Z27,AD28/Z28,AD29/Z29,AD30/Z30,AD31/Z31,AD32/Z32,AD33/Z33,AD34/Z34)</f>
        <v>0.1958878123</v>
      </c>
      <c r="AG39" s="1" t="s">
        <v>201</v>
      </c>
      <c r="AH39" s="1"/>
      <c r="AI39" s="1"/>
      <c r="AJ39" s="79">
        <f>average(AJ27/AF27,AJ28/AF28,AJ29/AF29,AJ30/AF30,AJ31/AF31,AJ32/AF32,AJ33/AF33,AJ34/AF34)</f>
        <v>0.08125471679</v>
      </c>
      <c r="AM39" s="1" t="s">
        <v>201</v>
      </c>
      <c r="AN39" s="1"/>
      <c r="AO39" s="1"/>
      <c r="AP39" s="79">
        <f>average(AP27/AL27,AP28/AL28,AP29/AL29,AP30/AL30,AP31/AL31,AP32/AL32,AP33/AL33,AP34/AL34)</f>
        <v>0.2643613116</v>
      </c>
      <c r="AS39" s="1" t="s">
        <v>201</v>
      </c>
      <c r="AT39" s="1"/>
      <c r="AU39" s="1"/>
      <c r="AV39" s="79">
        <f>average(AV27/AR27,AV28/AR28,AV29/AR29,AV30/AR30,AV31/AR31,AV32/AR32,AV33/AR33,AV34/AR34)</f>
        <v>0.3880836541</v>
      </c>
      <c r="AY39" s="1" t="s">
        <v>201</v>
      </c>
      <c r="AZ39" s="1"/>
      <c r="BA39" s="1"/>
      <c r="BB39" s="79">
        <f>average(BB27/AX27,BB28/AX28,BB29/AX29,BB30/AX30,BB31/AX31,BB32/AX32,BB33/AX33,BB34/AX34)</f>
        <v>0.5485568678</v>
      </c>
    </row>
    <row r="40">
      <c r="C40" s="1"/>
    </row>
    <row r="43">
      <c r="A43" s="1" t="s">
        <v>195</v>
      </c>
      <c r="B43" s="1">
        <v>0.9</v>
      </c>
      <c r="H43" s="1" t="s">
        <v>195</v>
      </c>
      <c r="I43" s="1">
        <v>0.9</v>
      </c>
      <c r="T43" s="1" t="s">
        <v>195</v>
      </c>
      <c r="U43" s="1">
        <v>0.9</v>
      </c>
      <c r="AR43" s="1" t="s">
        <v>195</v>
      </c>
      <c r="AS43" s="1">
        <v>0.9</v>
      </c>
    </row>
    <row r="44">
      <c r="A44" s="1" t="s">
        <v>206</v>
      </c>
      <c r="B44" s="1">
        <v>0.9</v>
      </c>
      <c r="H44" s="1" t="s">
        <v>206</v>
      </c>
      <c r="I44" s="1">
        <v>0.1</v>
      </c>
      <c r="T44" s="1" t="s">
        <v>206</v>
      </c>
      <c r="U44" s="1">
        <v>0.9</v>
      </c>
      <c r="AR44" s="1" t="s">
        <v>206</v>
      </c>
      <c r="AS44" s="1">
        <v>0.9</v>
      </c>
    </row>
    <row r="46">
      <c r="A46" s="42" t="s">
        <v>150</v>
      </c>
      <c r="B46" s="66" t="s">
        <v>202</v>
      </c>
      <c r="C46" s="62" t="s">
        <v>234</v>
      </c>
      <c r="D46" s="62" t="s">
        <v>235</v>
      </c>
      <c r="E46" s="62" t="s">
        <v>236</v>
      </c>
      <c r="F46" s="63" t="s">
        <v>153</v>
      </c>
      <c r="G46" s="80"/>
      <c r="H46" s="61" t="s">
        <v>175</v>
      </c>
      <c r="I46" s="62" t="s">
        <v>237</v>
      </c>
      <c r="J46" s="62" t="s">
        <v>238</v>
      </c>
      <c r="K46" s="62" t="s">
        <v>239</v>
      </c>
      <c r="L46" s="63" t="s">
        <v>153</v>
      </c>
      <c r="M46" s="80"/>
      <c r="S46" s="42" t="s">
        <v>150</v>
      </c>
      <c r="T46" s="66" t="s">
        <v>162</v>
      </c>
      <c r="U46" s="69" t="s">
        <v>216</v>
      </c>
      <c r="V46" s="69" t="s">
        <v>217</v>
      </c>
      <c r="W46" s="69" t="s">
        <v>218</v>
      </c>
      <c r="X46" s="68" t="s">
        <v>153</v>
      </c>
      <c r="AQ46" s="42" t="s">
        <v>150</v>
      </c>
      <c r="AR46" s="66" t="s">
        <v>170</v>
      </c>
      <c r="AS46" s="69" t="s">
        <v>228</v>
      </c>
      <c r="AT46" s="69" t="s">
        <v>229</v>
      </c>
      <c r="AU46" s="69" t="s">
        <v>230</v>
      </c>
      <c r="AV46" s="68" t="s">
        <v>153</v>
      </c>
    </row>
    <row r="47">
      <c r="A47" s="43">
        <v>2024.0</v>
      </c>
      <c r="B47" s="66"/>
      <c r="C47" s="70">
        <f t="shared" ref="C47:C55" si="38">$B$43*(B48) + (1-$B$43)*(C48+D48)</f>
        <v>1862607.06</v>
      </c>
      <c r="D47" s="70">
        <f t="shared" ref="D47:D55" si="39">$B$44*(C47-C48) + (1-$B$44)*D48</f>
        <v>701892.3695</v>
      </c>
      <c r="E47" s="81">
        <f t="shared" ref="E47:E56" si="40">C47+D47</f>
        <v>2564499.429</v>
      </c>
      <c r="F47" s="63"/>
      <c r="G47" s="80"/>
      <c r="H47" s="61"/>
      <c r="I47" s="70">
        <f t="shared" ref="I47:I55" si="41">$I$43*(H48) + (1-$I$43)*(I48+J48)</f>
        <v>22029688.26</v>
      </c>
      <c r="J47" s="70">
        <f t="shared" ref="J47:J55" si="42">$I$44*(I47-I48) + (1-$I$44)*J48</f>
        <v>864120.0147</v>
      </c>
      <c r="K47" s="81">
        <f t="shared" ref="K47:K56" si="43">I47+J47</f>
        <v>22893808.27</v>
      </c>
      <c r="L47" s="63"/>
      <c r="M47" s="80"/>
      <c r="S47" s="43">
        <v>2024.0</v>
      </c>
      <c r="T47" s="66"/>
      <c r="U47" s="70">
        <f t="shared" ref="U47:U53" si="44">$U$43*(T48) + (1-$U$43)*(U48+V48)</f>
        <v>1536966.45</v>
      </c>
      <c r="V47" s="70">
        <f t="shared" ref="V47:V53" si="45">$U$44*(U47-U48) + (1-$U$44)*V48</f>
        <v>572121.6107</v>
      </c>
      <c r="W47" s="81">
        <f t="shared" ref="W47:W54" si="46">U47+V47</f>
        <v>2109088.06</v>
      </c>
      <c r="X47" s="68"/>
      <c r="AQ47" s="43">
        <v>2024.0</v>
      </c>
      <c r="AR47" s="66"/>
      <c r="AS47" s="70">
        <f t="shared" ref="AS47:AS51" si="47">$AS$43*(AR48) + (1-$B$43)*(AS48+AT48)</f>
        <v>323527.6451</v>
      </c>
      <c r="AT47" s="70">
        <f t="shared" ref="AT47:AT51" si="48">$AS$44*(AS47-AS48) + (1-$B$44)*AT48</f>
        <v>127316.9615</v>
      </c>
      <c r="AU47" s="81">
        <f t="shared" ref="AU47:AU52" si="49">AS47+AT47</f>
        <v>450844.6067</v>
      </c>
      <c r="AV47" s="68"/>
    </row>
    <row r="48">
      <c r="A48" s="42">
        <v>2023.0</v>
      </c>
      <c r="B48" s="45">
        <v>1866322.0</v>
      </c>
      <c r="C48" s="70">
        <f t="shared" si="38"/>
        <v>1157371.244</v>
      </c>
      <c r="D48" s="70">
        <f t="shared" si="39"/>
        <v>671801.3531</v>
      </c>
      <c r="E48" s="70">
        <f t="shared" si="40"/>
        <v>1829172.597</v>
      </c>
      <c r="F48" s="71">
        <f t="shared" ref="F48:F56" si="50">abs(B48-E48)</f>
        <v>37149.40292</v>
      </c>
      <c r="G48" s="83"/>
      <c r="H48" s="44">
        <v>2.214249E7</v>
      </c>
      <c r="I48" s="70">
        <f t="shared" si="41"/>
        <v>20251874.11</v>
      </c>
      <c r="J48" s="70">
        <f t="shared" si="42"/>
        <v>762598.4443</v>
      </c>
      <c r="K48" s="70">
        <f t="shared" si="43"/>
        <v>21014472.55</v>
      </c>
      <c r="L48" s="71">
        <f t="shared" ref="L48:L56" si="51">abs(H48-K48)</f>
        <v>1128017.449</v>
      </c>
      <c r="M48" s="83"/>
      <c r="S48" s="42">
        <v>2023.0</v>
      </c>
      <c r="T48" s="45">
        <v>1532344.0</v>
      </c>
      <c r="U48" s="70">
        <f t="shared" si="44"/>
        <v>969005.0438</v>
      </c>
      <c r="V48" s="70">
        <f t="shared" si="45"/>
        <v>609563.4536</v>
      </c>
      <c r="W48" s="70">
        <f t="shared" si="46"/>
        <v>1578568.497</v>
      </c>
      <c r="X48" s="71">
        <f t="shared" ref="X48:X54" si="52">abs(T48-W48)</f>
        <v>46224.49731</v>
      </c>
      <c r="AQ48" s="42">
        <v>2023.0</v>
      </c>
      <c r="AR48" s="45">
        <v>331515.0</v>
      </c>
      <c r="AS48" s="70">
        <f t="shared" si="47"/>
        <v>189022.0642</v>
      </c>
      <c r="AT48" s="70">
        <f t="shared" si="48"/>
        <v>62619.38689</v>
      </c>
      <c r="AU48" s="70">
        <f t="shared" si="49"/>
        <v>251641.451</v>
      </c>
      <c r="AV48" s="71">
        <f t="shared" ref="AV48:AV52" si="53">abs(AR48-AU48)</f>
        <v>79873.54897</v>
      </c>
    </row>
    <row r="49">
      <c r="A49" s="42">
        <v>2022.0</v>
      </c>
      <c r="B49" s="45">
        <v>1218331.0</v>
      </c>
      <c r="C49" s="70">
        <f t="shared" si="38"/>
        <v>430706.1105</v>
      </c>
      <c r="D49" s="70">
        <f t="shared" si="39"/>
        <v>178027.3294</v>
      </c>
      <c r="E49" s="70">
        <f t="shared" si="40"/>
        <v>608733.4399</v>
      </c>
      <c r="F49" s="71">
        <f t="shared" si="50"/>
        <v>609597.5601</v>
      </c>
      <c r="G49" s="83"/>
      <c r="H49" s="44">
        <v>2.0361312E7</v>
      </c>
      <c r="I49" s="70">
        <f t="shared" si="41"/>
        <v>18602828.73</v>
      </c>
      <c r="J49" s="70">
        <f t="shared" si="42"/>
        <v>664104.3402</v>
      </c>
      <c r="K49" s="70">
        <f t="shared" si="43"/>
        <v>19266933.07</v>
      </c>
      <c r="L49" s="71">
        <f t="shared" si="51"/>
        <v>1094378.934</v>
      </c>
      <c r="M49" s="83"/>
      <c r="S49" s="42">
        <v>2022.0</v>
      </c>
      <c r="T49" s="45">
        <v>1025003.0</v>
      </c>
      <c r="U49" s="70">
        <f t="shared" si="44"/>
        <v>309043.4296</v>
      </c>
      <c r="V49" s="70">
        <f t="shared" si="45"/>
        <v>155980.008</v>
      </c>
      <c r="W49" s="70">
        <f t="shared" si="46"/>
        <v>465023.4376</v>
      </c>
      <c r="X49" s="71">
        <f t="shared" si="52"/>
        <v>559979.5624</v>
      </c>
      <c r="AQ49" s="42">
        <v>2022.0</v>
      </c>
      <c r="AR49" s="45">
        <v>192591.0</v>
      </c>
      <c r="AS49" s="70">
        <f t="shared" si="47"/>
        <v>123190.635</v>
      </c>
      <c r="AT49" s="70">
        <f t="shared" si="48"/>
        <v>33711.0065</v>
      </c>
      <c r="AU49" s="70">
        <f t="shared" si="49"/>
        <v>156901.6415</v>
      </c>
      <c r="AV49" s="71">
        <f t="shared" si="53"/>
        <v>35689.3585</v>
      </c>
    </row>
    <row r="50">
      <c r="A50" s="42">
        <v>2021.0</v>
      </c>
      <c r="B50" s="45">
        <v>457574.0</v>
      </c>
      <c r="C50" s="70">
        <f t="shared" si="38"/>
        <v>228497.6805</v>
      </c>
      <c r="D50" s="70">
        <f t="shared" si="39"/>
        <v>-39602.57571</v>
      </c>
      <c r="E50" s="70">
        <f t="shared" si="40"/>
        <v>188895.1048</v>
      </c>
      <c r="F50" s="71">
        <f t="shared" si="50"/>
        <v>268678.8952</v>
      </c>
      <c r="G50" s="83"/>
      <c r="H50" s="44">
        <v>1.8454751E7</v>
      </c>
      <c r="I50" s="70">
        <f t="shared" si="41"/>
        <v>19138153.96</v>
      </c>
      <c r="J50" s="70">
        <f t="shared" si="42"/>
        <v>797374.2931</v>
      </c>
      <c r="K50" s="70">
        <f t="shared" si="43"/>
        <v>19935528.25</v>
      </c>
      <c r="L50" s="71">
        <f t="shared" si="51"/>
        <v>1480777.254</v>
      </c>
      <c r="M50" s="83"/>
      <c r="S50" s="42">
        <v>2021.0</v>
      </c>
      <c r="T50" s="45">
        <v>331576.0</v>
      </c>
      <c r="U50" s="70">
        <f t="shared" si="44"/>
        <v>132784.1082</v>
      </c>
      <c r="V50" s="70">
        <f t="shared" si="45"/>
        <v>-26533.81238</v>
      </c>
      <c r="W50" s="70">
        <f t="shared" si="46"/>
        <v>106250.2958</v>
      </c>
      <c r="X50" s="71">
        <f t="shared" si="52"/>
        <v>225325.7042</v>
      </c>
      <c r="AQ50" s="42">
        <v>2021.0</v>
      </c>
      <c r="AR50" s="45">
        <v>125963.0</v>
      </c>
      <c r="AS50" s="70">
        <f t="shared" si="47"/>
        <v>86984.5</v>
      </c>
      <c r="AT50" s="70">
        <f t="shared" si="48"/>
        <v>11254.85</v>
      </c>
      <c r="AU50" s="70">
        <f t="shared" si="49"/>
        <v>98239.35</v>
      </c>
      <c r="AV50" s="71">
        <f t="shared" si="53"/>
        <v>27723.65</v>
      </c>
    </row>
    <row r="51">
      <c r="A51" s="42">
        <v>2020.0</v>
      </c>
      <c r="B51" s="45">
        <v>213951.0</v>
      </c>
      <c r="C51" s="70">
        <f t="shared" si="38"/>
        <v>281192.2687</v>
      </c>
      <c r="D51" s="70">
        <f t="shared" si="39"/>
        <v>78225.53668</v>
      </c>
      <c r="E51" s="70">
        <f t="shared" si="40"/>
        <v>359417.8054</v>
      </c>
      <c r="F51" s="71">
        <f t="shared" si="50"/>
        <v>145466.8054</v>
      </c>
      <c r="G51" s="83"/>
      <c r="H51" s="44">
        <v>1.8417887E7</v>
      </c>
      <c r="I51" s="70">
        <f t="shared" si="41"/>
        <v>24174942.05</v>
      </c>
      <c r="J51" s="70">
        <f t="shared" si="42"/>
        <v>1445614.558</v>
      </c>
      <c r="K51" s="70">
        <f t="shared" si="43"/>
        <v>25620556.61</v>
      </c>
      <c r="L51" s="71">
        <f t="shared" si="51"/>
        <v>7202669.609</v>
      </c>
      <c r="M51" s="83"/>
      <c r="S51" s="42">
        <v>2020.0</v>
      </c>
      <c r="T51" s="45">
        <v>124671.0</v>
      </c>
      <c r="U51" s="70">
        <f t="shared" si="44"/>
        <v>166619.718</v>
      </c>
      <c r="V51" s="70">
        <f t="shared" si="45"/>
        <v>39182.3642</v>
      </c>
      <c r="W51" s="70">
        <f t="shared" si="46"/>
        <v>205802.0822</v>
      </c>
      <c r="X51" s="71">
        <f t="shared" si="52"/>
        <v>81131.0822</v>
      </c>
      <c r="AQ51" s="42">
        <v>2020.0</v>
      </c>
      <c r="AR51" s="45">
        <v>86363.0</v>
      </c>
      <c r="AS51" s="70">
        <f t="shared" si="47"/>
        <v>76289</v>
      </c>
      <c r="AT51" s="70">
        <f t="shared" si="48"/>
        <v>16289</v>
      </c>
      <c r="AU51" s="70">
        <f t="shared" si="49"/>
        <v>92578</v>
      </c>
      <c r="AV51" s="71">
        <f t="shared" si="53"/>
        <v>6215</v>
      </c>
    </row>
    <row r="52">
      <c r="A52" s="42">
        <v>2019.0</v>
      </c>
      <c r="B52" s="45">
        <v>282274.0</v>
      </c>
      <c r="C52" s="70">
        <f t="shared" si="38"/>
        <v>201993.1739</v>
      </c>
      <c r="D52" s="70">
        <f t="shared" si="39"/>
        <v>69463.51347</v>
      </c>
      <c r="E52" s="70">
        <f t="shared" si="40"/>
        <v>271456.6874</v>
      </c>
      <c r="F52" s="71">
        <f t="shared" si="50"/>
        <v>10817.3126</v>
      </c>
      <c r="G52" s="83"/>
      <c r="H52" s="44">
        <v>2.3872599E7</v>
      </c>
      <c r="I52" s="70">
        <f t="shared" si="41"/>
        <v>25178306.21</v>
      </c>
      <c r="J52" s="70">
        <f t="shared" si="42"/>
        <v>1717723.304</v>
      </c>
      <c r="K52" s="70">
        <f t="shared" si="43"/>
        <v>26896029.51</v>
      </c>
      <c r="L52" s="71">
        <f t="shared" si="51"/>
        <v>3023430.509</v>
      </c>
      <c r="M52" s="83"/>
      <c r="S52" s="42">
        <v>2019.0</v>
      </c>
      <c r="T52" s="45">
        <v>166881.0</v>
      </c>
      <c r="U52" s="70">
        <f t="shared" si="44"/>
        <v>127202.2</v>
      </c>
      <c r="V52" s="70">
        <f t="shared" si="45"/>
        <v>37065.98</v>
      </c>
      <c r="W52" s="70">
        <f t="shared" si="46"/>
        <v>164268.18</v>
      </c>
      <c r="X52" s="71">
        <f t="shared" si="52"/>
        <v>2612.82</v>
      </c>
      <c r="AQ52" s="42">
        <v>2019.0</v>
      </c>
      <c r="AR52" s="45">
        <v>76289.0</v>
      </c>
      <c r="AS52" s="70">
        <f>60000</f>
        <v>60000</v>
      </c>
      <c r="AT52" s="70">
        <f>AR52-AS52</f>
        <v>16289</v>
      </c>
      <c r="AU52" s="70">
        <f t="shared" si="49"/>
        <v>76289</v>
      </c>
      <c r="AV52" s="71">
        <f t="shared" si="53"/>
        <v>0</v>
      </c>
    </row>
    <row r="53">
      <c r="A53" s="43">
        <v>2018.0</v>
      </c>
      <c r="B53" s="45">
        <v>201546.0</v>
      </c>
      <c r="C53" s="70">
        <f t="shared" si="38"/>
        <v>132932.117</v>
      </c>
      <c r="D53" s="70">
        <f t="shared" si="39"/>
        <v>73085.6223</v>
      </c>
      <c r="E53" s="70">
        <f t="shared" si="40"/>
        <v>206017.7393</v>
      </c>
      <c r="F53" s="71">
        <f t="shared" si="50"/>
        <v>4471.7393</v>
      </c>
      <c r="G53" s="83"/>
      <c r="H53" s="44">
        <v>2.5217424E7</v>
      </c>
      <c r="I53" s="70">
        <f t="shared" si="41"/>
        <v>23143728.77</v>
      </c>
      <c r="J53" s="70">
        <f t="shared" si="42"/>
        <v>1682517.289</v>
      </c>
      <c r="K53" s="70">
        <f t="shared" si="43"/>
        <v>24826246.06</v>
      </c>
      <c r="L53" s="71">
        <f t="shared" si="51"/>
        <v>391177.9432</v>
      </c>
      <c r="M53" s="83"/>
      <c r="S53" s="43">
        <v>2018.0</v>
      </c>
      <c r="T53" s="45">
        <v>130248.0</v>
      </c>
      <c r="U53" s="70">
        <f t="shared" si="44"/>
        <v>87395</v>
      </c>
      <c r="V53" s="70">
        <f t="shared" si="45"/>
        <v>12395</v>
      </c>
      <c r="W53" s="70">
        <f t="shared" si="46"/>
        <v>99790</v>
      </c>
      <c r="X53" s="71">
        <f t="shared" si="52"/>
        <v>30458</v>
      </c>
      <c r="AS53" s="1" t="s">
        <v>200</v>
      </c>
      <c r="AU53" s="1"/>
      <c r="AV53" s="77">
        <f>Average(AV48:AV51)</f>
        <v>37375.38937</v>
      </c>
    </row>
    <row r="54">
      <c r="A54" s="43">
        <v>2017.0</v>
      </c>
      <c r="B54" s="45">
        <v>136579.0</v>
      </c>
      <c r="C54" s="70">
        <f t="shared" si="38"/>
        <v>56564.3</v>
      </c>
      <c r="D54" s="70">
        <f t="shared" si="39"/>
        <v>43545.87</v>
      </c>
      <c r="E54" s="70">
        <f t="shared" si="40"/>
        <v>100110.17</v>
      </c>
      <c r="F54" s="71">
        <f t="shared" si="50"/>
        <v>36468.83</v>
      </c>
      <c r="G54" s="83"/>
      <c r="H54" s="44">
        <v>2.3166477E7</v>
      </c>
      <c r="I54" s="70">
        <f t="shared" si="41"/>
        <v>21276950.8</v>
      </c>
      <c r="J54" s="70">
        <f t="shared" si="42"/>
        <v>1662043.88</v>
      </c>
      <c r="K54" s="70">
        <f t="shared" si="43"/>
        <v>22938994.68</v>
      </c>
      <c r="L54" s="71">
        <f t="shared" si="51"/>
        <v>227482.32</v>
      </c>
      <c r="M54" s="83"/>
      <c r="S54" s="43">
        <v>2017.0</v>
      </c>
      <c r="T54" s="45">
        <v>87395.0</v>
      </c>
      <c r="U54" s="70">
        <v>75000.0</v>
      </c>
      <c r="V54" s="70">
        <f>T54-U54</f>
        <v>12395</v>
      </c>
      <c r="W54" s="70">
        <f t="shared" si="46"/>
        <v>87395</v>
      </c>
      <c r="X54" s="71">
        <f t="shared" si="52"/>
        <v>0</v>
      </c>
      <c r="AS54" s="1" t="s">
        <v>147</v>
      </c>
      <c r="AT54" s="1"/>
      <c r="AU54" s="1"/>
      <c r="AV54" s="21">
        <f>average(AV48^2,AV49^2, AV50^2, AV51^2)</f>
        <v>2115185282</v>
      </c>
      <c r="AW54" s="109"/>
    </row>
    <row r="55">
      <c r="A55" s="43">
        <v>2016.0</v>
      </c>
      <c r="B55" s="45">
        <v>61707.0</v>
      </c>
      <c r="C55" s="70">
        <f t="shared" si="38"/>
        <v>8390</v>
      </c>
      <c r="D55" s="70">
        <f t="shared" si="39"/>
        <v>1890</v>
      </c>
      <c r="E55" s="70">
        <f t="shared" si="40"/>
        <v>10280</v>
      </c>
      <c r="F55" s="71">
        <f t="shared" si="50"/>
        <v>51427</v>
      </c>
      <c r="G55" s="83"/>
      <c r="H55" s="44">
        <v>2.1270404E7</v>
      </c>
      <c r="I55" s="70">
        <f t="shared" si="41"/>
        <v>19667936</v>
      </c>
      <c r="J55" s="70">
        <f t="shared" si="42"/>
        <v>1667936</v>
      </c>
      <c r="K55" s="70">
        <f t="shared" si="43"/>
        <v>21335872</v>
      </c>
      <c r="L55" s="71">
        <f t="shared" si="51"/>
        <v>65468</v>
      </c>
      <c r="M55" s="83"/>
      <c r="U55" s="1" t="s">
        <v>200</v>
      </c>
      <c r="W55" s="1"/>
      <c r="X55" s="77">
        <f>Average(X48:X53)</f>
        <v>157621.9444</v>
      </c>
      <c r="AS55" s="1" t="s">
        <v>148</v>
      </c>
      <c r="AT55" s="1"/>
      <c r="AU55" s="1"/>
      <c r="AV55" s="77">
        <f>SQRT(AV54)</f>
        <v>45991.14352</v>
      </c>
      <c r="AW55" s="109"/>
    </row>
    <row r="56">
      <c r="A56" s="43">
        <v>2015.0</v>
      </c>
      <c r="B56" s="45">
        <v>8390.0</v>
      </c>
      <c r="C56" s="70">
        <v>6500.0</v>
      </c>
      <c r="D56" s="70">
        <f>B56-C56</f>
        <v>1890</v>
      </c>
      <c r="E56" s="70">
        <f t="shared" si="40"/>
        <v>8390</v>
      </c>
      <c r="F56" s="71">
        <f t="shared" si="50"/>
        <v>0</v>
      </c>
      <c r="G56" s="84"/>
      <c r="H56" s="44">
        <v>1.9667936E7</v>
      </c>
      <c r="I56" s="70">
        <v>1.8E7</v>
      </c>
      <c r="J56" s="70">
        <f>H56-I56</f>
        <v>1667936</v>
      </c>
      <c r="K56" s="70">
        <f t="shared" si="43"/>
        <v>19667936</v>
      </c>
      <c r="L56" s="71">
        <f t="shared" si="51"/>
        <v>0</v>
      </c>
      <c r="M56" s="84"/>
      <c r="U56" s="1" t="s">
        <v>147</v>
      </c>
      <c r="V56" s="1"/>
      <c r="W56" s="1"/>
      <c r="X56" s="21">
        <f>average(X48^2, X49^2,X50^2,X51^2, X52^2, X53^2)</f>
        <v>62333709423</v>
      </c>
      <c r="AS56" s="1" t="s">
        <v>201</v>
      </c>
      <c r="AT56" s="1"/>
      <c r="AU56" s="1"/>
      <c r="AV56" s="79">
        <f>average(AV48/AR48,AV49/AR49,AV50/AR50,AV51/AR51)</f>
        <v>0.1795759743</v>
      </c>
      <c r="AW56" s="77"/>
    </row>
    <row r="57">
      <c r="C57" s="1" t="s">
        <v>200</v>
      </c>
      <c r="E57" s="1"/>
      <c r="F57" s="77">
        <f>Average(F48:F55)</f>
        <v>145509.6932</v>
      </c>
      <c r="G57" s="77"/>
      <c r="I57" s="1" t="s">
        <v>200</v>
      </c>
      <c r="K57" s="1"/>
      <c r="L57" s="77">
        <f>Average(L48:L55)</f>
        <v>1826675.252</v>
      </c>
      <c r="M57" s="77"/>
      <c r="U57" s="1" t="s">
        <v>148</v>
      </c>
      <c r="V57" s="1"/>
      <c r="W57" s="1"/>
      <c r="X57" s="77">
        <f>SQRT(X56)</f>
        <v>249667.1973</v>
      </c>
      <c r="AW57" s="77"/>
    </row>
    <row r="58">
      <c r="C58" s="1" t="s">
        <v>147</v>
      </c>
      <c r="D58" s="1"/>
      <c r="E58" s="1"/>
      <c r="F58" s="77">
        <f>average(F48^2, F49^2, F50^2, F51^2,F52^2,F53^2, F54^2, F55^2)</f>
        <v>58806240781</v>
      </c>
      <c r="G58" s="77"/>
      <c r="I58" s="1" t="s">
        <v>147</v>
      </c>
      <c r="J58" s="1"/>
      <c r="K58" s="1"/>
      <c r="L58" s="77">
        <f>average(L48^2, L49^2, L50^2, L51^2,L52^2,L53^2, L54^2, L55^2)</f>
        <v>8236428234979</v>
      </c>
      <c r="M58" s="77"/>
      <c r="U58" s="1" t="s">
        <v>201</v>
      </c>
      <c r="V58" s="1"/>
      <c r="W58" s="1"/>
      <c r="X58" s="79">
        <f>average(X48/T48,X49/T49,X50/T50,X51/T51,X52/T52,X53/T53)</f>
        <v>0.359385</v>
      </c>
      <c r="AW58" s="77"/>
    </row>
    <row r="59">
      <c r="C59" s="1" t="s">
        <v>148</v>
      </c>
      <c r="D59" s="1"/>
      <c r="E59" s="1"/>
      <c r="F59" s="77">
        <f>SQRT(F58)</f>
        <v>242499.981</v>
      </c>
      <c r="G59" s="77"/>
      <c r="I59" s="1" t="s">
        <v>148</v>
      </c>
      <c r="J59" s="1"/>
      <c r="K59" s="1"/>
      <c r="L59" s="77">
        <f>SQRT(L58)</f>
        <v>2869917.81</v>
      </c>
      <c r="M59" s="77"/>
      <c r="AW59" s="77"/>
    </row>
    <row r="60">
      <c r="C60" s="1" t="s">
        <v>201</v>
      </c>
      <c r="D60" s="1"/>
      <c r="E60" s="1"/>
      <c r="F60" s="79">
        <f>average(F48/B48,F49/B49,F50/B50,F51/B51,F52/B52,F53/B53,F54/B54,F55/B55)</f>
        <v>0.3685350044</v>
      </c>
      <c r="I60" s="1" t="s">
        <v>201</v>
      </c>
      <c r="J60" s="1"/>
      <c r="K60" s="1"/>
      <c r="L60" s="79">
        <f>average(L48/H48,L49/H49,L50/H50,L51/H51,L52/H52,L53/H53,L54/H54,L55/H55)</f>
        <v>0.0913821492</v>
      </c>
      <c r="AW60" s="77"/>
    </row>
  </sheetData>
  <mergeCells count="17">
    <mergeCell ref="AM36:AN36"/>
    <mergeCell ref="AS36:AT36"/>
    <mergeCell ref="AY36:AZ36"/>
    <mergeCell ref="AS53:AT53"/>
    <mergeCell ref="C37:D37"/>
    <mergeCell ref="C38:D38"/>
    <mergeCell ref="C39:D39"/>
    <mergeCell ref="U55:V55"/>
    <mergeCell ref="C57:D57"/>
    <mergeCell ref="I57:J57"/>
    <mergeCell ref="C17:R17"/>
    <mergeCell ref="C36:D36"/>
    <mergeCell ref="I36:J36"/>
    <mergeCell ref="O36:P36"/>
    <mergeCell ref="U36:V36"/>
    <mergeCell ref="AA36:AB36"/>
    <mergeCell ref="AG36:AH3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