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x_sun8_exeter_ac_uk/Documents/Documents/Bob/7_Scotland_fieldtrip/seond_day_code/"/>
    </mc:Choice>
  </mc:AlternateContent>
  <xr:revisionPtr revIDLastSave="58" documentId="8_{CD19239C-E3F0-46B4-993D-1131F10F980A}" xr6:coauthVersionLast="47" xr6:coauthVersionMax="47" xr10:uidLastSave="{C5B630AA-9E77-4BC0-8BC0-65D73751F018}"/>
  <bookViews>
    <workbookView xWindow="-110" yWindow="-110" windowWidth="19420" windowHeight="10420" xr2:uid="{B3BB97C3-2A3B-486D-A6C2-9925E2D5A17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J6" i="1"/>
  <c r="K10" i="1"/>
  <c r="K8" i="1"/>
  <c r="K5" i="1"/>
  <c r="K6" i="1"/>
  <c r="K3" i="1"/>
  <c r="K7" i="1"/>
  <c r="K4" i="1"/>
  <c r="K2" i="1"/>
  <c r="J8" i="1"/>
  <c r="J7" i="1"/>
  <c r="J9" i="1"/>
  <c r="K9" i="1"/>
  <c r="J10" i="1"/>
  <c r="J12" i="1"/>
  <c r="J5" i="1"/>
  <c r="J11" i="1"/>
  <c r="J4" i="1"/>
  <c r="J3" i="1"/>
  <c r="J2" i="1"/>
  <c r="AC8" i="1"/>
  <c r="U11" i="1"/>
  <c r="AC12" i="1"/>
  <c r="U3" i="1"/>
  <c r="U5" i="1"/>
  <c r="AC11" i="1"/>
  <c r="AC9" i="1"/>
  <c r="AC10" i="1"/>
  <c r="AC7" i="1"/>
  <c r="AC6" i="1"/>
  <c r="AA12" i="1"/>
  <c r="AA11" i="1"/>
  <c r="AA10" i="1"/>
  <c r="AA9" i="1"/>
  <c r="AA8" i="1"/>
  <c r="AA7" i="1"/>
  <c r="AA6" i="1"/>
  <c r="AC5" i="1"/>
  <c r="AA5" i="1"/>
  <c r="T5" i="1"/>
  <c r="S5" i="1"/>
  <c r="AC4" i="1"/>
  <c r="AB4" i="1"/>
  <c r="AA4" i="1"/>
  <c r="T3" i="1"/>
  <c r="S3" i="1"/>
</calcChain>
</file>

<file path=xl/sharedStrings.xml><?xml version="1.0" encoding="utf-8"?>
<sst xmlns="http://schemas.openxmlformats.org/spreadsheetml/2006/main" count="147" uniqueCount="114">
  <si>
    <t>loch_name</t>
  </si>
  <si>
    <t>station_number</t>
  </si>
  <si>
    <t>station_name</t>
  </si>
  <si>
    <t xml:space="preserve">date </t>
  </si>
  <si>
    <t>time</t>
  </si>
  <si>
    <t xml:space="preserve">latitude </t>
  </si>
  <si>
    <t>longitude</t>
  </si>
  <si>
    <t>lat_dec</t>
  </si>
  <si>
    <r>
      <t>air_temp(</t>
    </r>
    <r>
      <rPr>
        <sz val="11"/>
        <color theme="1"/>
        <rFont val="Calibri"/>
        <family val="2"/>
      </rPr>
      <t>°</t>
    </r>
    <r>
      <rPr>
        <sz val="9.25"/>
        <color theme="1"/>
        <rFont val="Calibri"/>
        <family val="2"/>
      </rPr>
      <t>C)</t>
    </r>
  </si>
  <si>
    <t>wind_speed(mph)</t>
  </si>
  <si>
    <t>cloud_cover(%)</t>
  </si>
  <si>
    <t>sounding_depth</t>
  </si>
  <si>
    <t>secchi_depth1</t>
  </si>
  <si>
    <t>secchi_depth2</t>
  </si>
  <si>
    <t>secchi_depth3</t>
  </si>
  <si>
    <t>secchi_depth_median</t>
  </si>
  <si>
    <t>secchi_depth_mean</t>
  </si>
  <si>
    <t xml:space="preserve">standard_deviation </t>
  </si>
  <si>
    <t>secchi_colour1</t>
  </si>
  <si>
    <t>secchi_colour2</t>
  </si>
  <si>
    <t>secchi_colour3</t>
  </si>
  <si>
    <t>secchi_colour4</t>
  </si>
  <si>
    <t>secchi_colour5</t>
  </si>
  <si>
    <t>secchi_colour_median</t>
  </si>
  <si>
    <t>secchi_colour_mean</t>
  </si>
  <si>
    <t>CTD _deployed (Y/N)</t>
  </si>
  <si>
    <t>water_samples (Y/N)</t>
  </si>
  <si>
    <t>Notes</t>
  </si>
  <si>
    <t>Y</t>
  </si>
  <si>
    <t>Loch Creran</t>
  </si>
  <si>
    <t>LY0</t>
  </si>
  <si>
    <t>25.05.23</t>
  </si>
  <si>
    <t>56°27.844 N</t>
  </si>
  <si>
    <t>5°31.032W</t>
  </si>
  <si>
    <t>11.5</t>
  </si>
  <si>
    <t>6.7</t>
  </si>
  <si>
    <t>N</t>
  </si>
  <si>
    <t>Offshore</t>
  </si>
  <si>
    <t>LY1</t>
  </si>
  <si>
    <t>25.05.24</t>
  </si>
  <si>
    <t>56°28.680 N</t>
  </si>
  <si>
    <t>5°30.229 W</t>
  </si>
  <si>
    <t>LY2</t>
  </si>
  <si>
    <t>25.05.25</t>
  </si>
  <si>
    <t>56°30.235 N</t>
  </si>
  <si>
    <t>5°27.888W</t>
  </si>
  <si>
    <t>55.6</t>
  </si>
  <si>
    <t>Sun glint</t>
  </si>
  <si>
    <t>LY4</t>
  </si>
  <si>
    <t>25.05.26</t>
  </si>
  <si>
    <t>56°31.828 N</t>
  </si>
  <si>
    <t>5°26.158 W</t>
  </si>
  <si>
    <t>Strog sun glint</t>
  </si>
  <si>
    <t>CYLL</t>
  </si>
  <si>
    <t>25.05.27</t>
  </si>
  <si>
    <t>56°32.365 N</t>
  </si>
  <si>
    <t>5°24.190 W</t>
  </si>
  <si>
    <t>28.7</t>
  </si>
  <si>
    <t>8.9</t>
  </si>
  <si>
    <t>Reposition because of barge</t>
  </si>
  <si>
    <t>C1</t>
  </si>
  <si>
    <t>25.05.28</t>
  </si>
  <si>
    <t>56°31.823 N</t>
  </si>
  <si>
    <t>5°23.841 W</t>
  </si>
  <si>
    <t>15.9</t>
  </si>
  <si>
    <t>9.4</t>
  </si>
  <si>
    <t>7.5</t>
  </si>
  <si>
    <t>C2</t>
  </si>
  <si>
    <t>25.05.29</t>
  </si>
  <si>
    <t>56°31.297 N</t>
  </si>
  <si>
    <t>5°23.291 W</t>
  </si>
  <si>
    <t>20.2</t>
  </si>
  <si>
    <t>7.46</t>
  </si>
  <si>
    <t>6.3</t>
  </si>
  <si>
    <t>C3</t>
  </si>
  <si>
    <t>25.05.30</t>
  </si>
  <si>
    <t>56°30.976 N</t>
  </si>
  <si>
    <t>5°22.483 W</t>
  </si>
  <si>
    <t>47.2</t>
  </si>
  <si>
    <t>C4</t>
  </si>
  <si>
    <t>25.05.31</t>
  </si>
  <si>
    <t>56° 31.557 N</t>
  </si>
  <si>
    <t>5° 20.812 W</t>
  </si>
  <si>
    <t>6.5</t>
  </si>
  <si>
    <t>Many jellyfish</t>
  </si>
  <si>
    <t>C5</t>
  </si>
  <si>
    <t>25.05.32</t>
  </si>
  <si>
    <t>56° 31.999 N</t>
  </si>
  <si>
    <t>5° 19.814 W</t>
  </si>
  <si>
    <t>29.5</t>
  </si>
  <si>
    <t>5.9</t>
  </si>
  <si>
    <t>6</t>
  </si>
  <si>
    <t>6.63</t>
  </si>
  <si>
    <t>11.33</t>
  </si>
  <si>
    <t>C6</t>
  </si>
  <si>
    <t>25.05.33</t>
  </si>
  <si>
    <t>56° 32.841 N</t>
  </si>
  <si>
    <t>5° 18.248 W</t>
  </si>
  <si>
    <t>24.5</t>
  </si>
  <si>
    <t>10.67</t>
  </si>
  <si>
    <t>CTD_NAME</t>
    <phoneticPr fontId="4" type="noConversion"/>
  </si>
  <si>
    <t>CTD_TIME</t>
    <phoneticPr fontId="4" type="noConversion"/>
  </si>
  <si>
    <t>lon_dec</t>
    <phoneticPr fontId="4" type="noConversion"/>
  </si>
  <si>
    <t>1_1m.asc</t>
  </si>
  <si>
    <t>ly1_1m.asc</t>
  </si>
  <si>
    <t>ly2_1m.asc</t>
  </si>
  <si>
    <t>ly4_1m.asc</t>
  </si>
  <si>
    <t>sill_1m.asc</t>
  </si>
  <si>
    <t>c1_1m.asc</t>
  </si>
  <si>
    <t>c2_1m.asc</t>
  </si>
  <si>
    <t>c3_1m.asc</t>
  </si>
  <si>
    <t>c4_1m.asc</t>
  </si>
  <si>
    <t>c5_1m.asc</t>
  </si>
  <si>
    <t>c6_1m.asc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</si>
</sst>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11"/>
      <color theme="1"/>
      <name val="Calibri"/>
      <family val="2"/>
    </font>
    <font>
      <sz val="9.25"/>
      <color theme="1"/>
      <name val="Calibri"/>
      <family val="2"/>
    </font>
    <font>
      <sz val="11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6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20" fontId="0" fillId="6" borderId="0" xfId="0" applyNumberFormat="1" applyFill="1" applyAlignment="1">
      <alignment horizontal="left"/>
    </xf>
    <xf numFmtId="20" fontId="0" fillId="0" borderId="1" xfId="0" applyNumberFormat="1" applyBorder="1" applyAlignment="1">
      <alignment horizontal="left"/>
    </xf>
    <xf numFmtId="16" fontId="0" fillId="0" borderId="1" xfId="0" quotePrefix="1" applyNumberFormat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0" fillId="2" borderId="3" xfId="0" quotePrefix="1" applyFill="1" applyBorder="1" applyAlignment="1">
      <alignment horizontal="left"/>
    </xf>
    <xf numFmtId="17" fontId="0" fillId="2" borderId="1" xfId="0" quotePrefix="1" applyNumberFormat="1" applyFill="1" applyBorder="1" applyAlignment="1">
      <alignment horizontal="left"/>
    </xf>
    <xf numFmtId="16" fontId="0" fillId="2" borderId="1" xfId="0" quotePrefix="1" applyNumberFormat="1" applyFill="1" applyBorder="1" applyAlignment="1">
      <alignment horizontal="left"/>
    </xf>
    <xf numFmtId="0" fontId="0" fillId="0" borderId="4" xfId="0" applyBorder="1" applyAlignment="1">
      <alignment horizontal="left"/>
    </xf>
    <xf numFmtId="20" fontId="0" fillId="0" borderId="4" xfId="0" applyNumberFormat="1" applyBorder="1" applyAlignment="1">
      <alignment horizontal="left"/>
    </xf>
    <xf numFmtId="0" fontId="0" fillId="5" borderId="4" xfId="0" applyFill="1" applyBorder="1" applyAlignment="1">
      <alignment horizontal="left"/>
    </xf>
    <xf numFmtId="16" fontId="0" fillId="0" borderId="4" xfId="0" quotePrefix="1" applyNumberFormat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6" xfId="0" quotePrefix="1" applyFill="1" applyBorder="1" applyAlignment="1">
      <alignment horizontal="left"/>
    </xf>
    <xf numFmtId="16" fontId="0" fillId="0" borderId="6" xfId="0" quotePrefix="1" applyNumberFormat="1" applyBorder="1" applyAlignment="1">
      <alignment horizontal="left"/>
    </xf>
    <xf numFmtId="0" fontId="0" fillId="0" borderId="6" xfId="0" quotePrefix="1" applyBorder="1" applyAlignment="1">
      <alignment horizontal="left"/>
    </xf>
    <xf numFmtId="0" fontId="0" fillId="0" borderId="6" xfId="0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4" xfId="0" quotePrefix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6A7F-F6A8-457C-875E-ADEB87959A40}">
  <dimension ref="A1:AF70"/>
  <sheetViews>
    <sheetView tabSelected="1" zoomScale="84" workbookViewId="0">
      <selection activeCell="J15" sqref="J15:K16"/>
    </sheetView>
  </sheetViews>
  <sheetFormatPr defaultRowHeight="15" customHeight="1"/>
  <cols>
    <col min="1" max="2" width="15.83203125" style="9" customWidth="1"/>
    <col min="3" max="3" width="14.1640625" style="9" customWidth="1"/>
    <col min="4" max="4" width="14.25" style="9" bestFit="1" customWidth="1"/>
    <col min="5" max="5" width="12.25" style="9" bestFit="1" customWidth="1"/>
    <col min="6" max="6" width="8.6640625" style="9"/>
    <col min="7" max="7" width="11.83203125" style="9" bestFit="1" customWidth="1"/>
    <col min="8" max="8" width="10.75" style="9" bestFit="1" customWidth="1"/>
    <col min="9" max="11" width="11.75" style="9" customWidth="1"/>
    <col min="12" max="12" width="11.75" style="9" bestFit="1" customWidth="1"/>
    <col min="13" max="13" width="12.25" style="9" bestFit="1" customWidth="1"/>
    <col min="14" max="14" width="14.58203125" style="9" bestFit="1" customWidth="1"/>
    <col min="15" max="15" width="14.25" style="9" bestFit="1" customWidth="1"/>
    <col min="16" max="16" width="17.83203125" style="9" bestFit="1" customWidth="1"/>
    <col min="17" max="17" width="13" style="9" bestFit="1" customWidth="1"/>
    <col min="18" max="18" width="20.4140625" style="9" bestFit="1" customWidth="1"/>
    <col min="19" max="19" width="17.58203125" style="9" bestFit="1" customWidth="1"/>
    <col min="20" max="20" width="17.58203125" style="9" customWidth="1"/>
    <col min="21" max="21" width="15.4140625" style="2" customWidth="1"/>
    <col min="22" max="22" width="14.1640625" style="2" customWidth="1"/>
    <col min="23" max="25" width="15.58203125" style="2" customWidth="1"/>
    <col min="26" max="26" width="19.58203125" style="2" bestFit="1" customWidth="1"/>
    <col min="27" max="28" width="17.58203125" style="2" bestFit="1" customWidth="1"/>
    <col min="29" max="29" width="17.83203125" style="2" bestFit="1" customWidth="1"/>
    <col min="30" max="30" width="32.4140625" style="2" customWidth="1"/>
    <col min="31" max="31" width="32.4140625" style="9" customWidth="1"/>
    <col min="32" max="32" width="35.1640625" style="9" bestFit="1" customWidth="1"/>
    <col min="33" max="16384" width="8.6640625" style="9"/>
  </cols>
  <sheetData>
    <row r="1" spans="1:32" ht="15" customHeight="1">
      <c r="A1" s="1" t="s">
        <v>100</v>
      </c>
      <c r="B1" s="1" t="s">
        <v>101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3" t="s">
        <v>102</v>
      </c>
      <c r="L1" s="2" t="s">
        <v>8</v>
      </c>
      <c r="M1" s="2" t="s">
        <v>9</v>
      </c>
      <c r="N1" s="2" t="s">
        <v>10</v>
      </c>
      <c r="O1" s="2" t="s">
        <v>11</v>
      </c>
      <c r="P1" s="4" t="s">
        <v>12</v>
      </c>
      <c r="Q1" s="4" t="s">
        <v>13</v>
      </c>
      <c r="R1" s="5" t="s">
        <v>14</v>
      </c>
      <c r="S1" s="6" t="s">
        <v>15</v>
      </c>
      <c r="T1" s="6" t="s">
        <v>16</v>
      </c>
      <c r="U1" s="6" t="s">
        <v>17</v>
      </c>
      <c r="V1" s="7" t="s">
        <v>18</v>
      </c>
      <c r="W1" s="7" t="s">
        <v>19</v>
      </c>
      <c r="X1" s="7" t="s">
        <v>20</v>
      </c>
      <c r="Y1" s="7" t="s">
        <v>21</v>
      </c>
      <c r="Z1" s="7" t="s">
        <v>22</v>
      </c>
      <c r="AA1" s="2" t="s">
        <v>23</v>
      </c>
      <c r="AB1" s="2" t="s">
        <v>24</v>
      </c>
      <c r="AC1" s="2" t="s">
        <v>17</v>
      </c>
      <c r="AD1" s="2" t="s">
        <v>25</v>
      </c>
      <c r="AE1" s="2" t="s">
        <v>26</v>
      </c>
      <c r="AF1" s="8" t="s">
        <v>27</v>
      </c>
    </row>
    <row r="2" spans="1:32" ht="14">
      <c r="A2" s="1" t="s">
        <v>103</v>
      </c>
      <c r="B2" s="10">
        <v>0.36944444444444446</v>
      </c>
      <c r="C2" s="2" t="s">
        <v>29</v>
      </c>
      <c r="D2" s="2">
        <v>1</v>
      </c>
      <c r="E2" s="2" t="s">
        <v>30</v>
      </c>
      <c r="F2" s="2" t="s">
        <v>31</v>
      </c>
      <c r="G2" s="11">
        <v>0.4069444444444445</v>
      </c>
      <c r="H2" s="2" t="s">
        <v>32</v>
      </c>
      <c r="I2" s="2" t="s">
        <v>33</v>
      </c>
      <c r="J2" s="3">
        <f>56+(27.844/60)</f>
        <v>56.464066666666668</v>
      </c>
      <c r="K2" s="3">
        <f>-(5+(31.032/60))</f>
        <v>-5.5171999999999999</v>
      </c>
      <c r="L2" s="12" t="s">
        <v>34</v>
      </c>
      <c r="M2" s="2">
        <v>3</v>
      </c>
      <c r="N2" s="2">
        <v>40</v>
      </c>
      <c r="O2" s="2">
        <v>48</v>
      </c>
      <c r="P2" s="13" t="s">
        <v>35</v>
      </c>
      <c r="Q2" s="4"/>
      <c r="R2" s="14"/>
      <c r="S2" s="15" t="s">
        <v>35</v>
      </c>
      <c r="T2" s="16">
        <v>6.7</v>
      </c>
      <c r="U2" s="16">
        <v>0</v>
      </c>
      <c r="V2" s="7">
        <v>8</v>
      </c>
      <c r="W2" s="7"/>
      <c r="X2" s="7"/>
      <c r="Y2" s="7"/>
      <c r="Z2" s="7"/>
      <c r="AA2" s="2">
        <v>8</v>
      </c>
      <c r="AB2" s="2">
        <v>8</v>
      </c>
      <c r="AC2" s="2">
        <v>0</v>
      </c>
      <c r="AD2" s="2" t="s">
        <v>28</v>
      </c>
      <c r="AE2" s="2" t="s">
        <v>36</v>
      </c>
      <c r="AF2" s="8" t="s">
        <v>37</v>
      </c>
    </row>
    <row r="3" spans="1:32" ht="14">
      <c r="A3" s="1" t="s">
        <v>104</v>
      </c>
      <c r="B3" s="10">
        <v>0.38263888888888892</v>
      </c>
      <c r="C3" s="2" t="s">
        <v>29</v>
      </c>
      <c r="D3" s="2">
        <v>2</v>
      </c>
      <c r="E3" s="2" t="s">
        <v>38</v>
      </c>
      <c r="F3" s="2" t="s">
        <v>39</v>
      </c>
      <c r="G3" s="11">
        <v>0.4236111111111111</v>
      </c>
      <c r="H3" s="2" t="s">
        <v>40</v>
      </c>
      <c r="I3" s="2" t="s">
        <v>41</v>
      </c>
      <c r="J3" s="3">
        <f>56+(28.68/60)</f>
        <v>56.478000000000002</v>
      </c>
      <c r="K3" s="3">
        <f>-(5+(30.229/60))</f>
        <v>-5.5038166666666664</v>
      </c>
      <c r="L3" s="2">
        <v>12</v>
      </c>
      <c r="M3" s="2">
        <v>1</v>
      </c>
      <c r="N3" s="2">
        <v>35</v>
      </c>
      <c r="O3" s="2">
        <v>52</v>
      </c>
      <c r="P3" s="4">
        <v>9</v>
      </c>
      <c r="Q3" s="4">
        <v>10.4</v>
      </c>
      <c r="R3" s="14"/>
      <c r="S3" s="16">
        <f>MEDIAN(P3,Q3)</f>
        <v>9.6999999999999993</v>
      </c>
      <c r="T3" s="16">
        <f>AVERAGE(P3,Q3)</f>
        <v>9.6999999999999993</v>
      </c>
      <c r="U3" s="16">
        <f>STDEV(P3,Q3)</f>
        <v>0.9899494936611668</v>
      </c>
      <c r="V3" s="7">
        <v>9</v>
      </c>
      <c r="W3" s="7">
        <v>9</v>
      </c>
      <c r="X3" s="7"/>
      <c r="Y3" s="7"/>
      <c r="Z3" s="7"/>
      <c r="AA3" s="2">
        <v>9</v>
      </c>
      <c r="AB3" s="2">
        <v>9</v>
      </c>
      <c r="AC3" s="2">
        <v>0</v>
      </c>
      <c r="AD3" s="2" t="s">
        <v>28</v>
      </c>
      <c r="AE3" s="2" t="s">
        <v>36</v>
      </c>
      <c r="AF3" s="8"/>
    </row>
    <row r="4" spans="1:32" ht="14">
      <c r="A4" s="1" t="s">
        <v>105</v>
      </c>
      <c r="B4" s="10">
        <v>0.40277777777777773</v>
      </c>
      <c r="C4" s="2" t="s">
        <v>29</v>
      </c>
      <c r="D4" s="2">
        <v>3</v>
      </c>
      <c r="E4" s="2" t="s">
        <v>42</v>
      </c>
      <c r="F4" s="2" t="s">
        <v>43</v>
      </c>
      <c r="G4" s="11">
        <v>0.44305555555555554</v>
      </c>
      <c r="H4" s="2" t="s">
        <v>44</v>
      </c>
      <c r="I4" s="2" t="s">
        <v>45</v>
      </c>
      <c r="J4" s="3">
        <f>56+(30.235/60)</f>
        <v>56.503916666666669</v>
      </c>
      <c r="K4" s="3">
        <f>-(5+(27.888/60))</f>
        <v>-5.4648000000000003</v>
      </c>
      <c r="L4" s="2">
        <v>13</v>
      </c>
      <c r="M4" s="2">
        <v>4</v>
      </c>
      <c r="N4" s="2">
        <v>20</v>
      </c>
      <c r="O4" s="17" t="s">
        <v>46</v>
      </c>
      <c r="P4" s="13" t="s">
        <v>35</v>
      </c>
      <c r="Q4" s="4"/>
      <c r="R4" s="14"/>
      <c r="S4" s="16">
        <v>6.7</v>
      </c>
      <c r="T4" s="16">
        <v>6.7</v>
      </c>
      <c r="U4" s="16">
        <v>0</v>
      </c>
      <c r="V4" s="7">
        <v>8</v>
      </c>
      <c r="W4" s="7">
        <v>9</v>
      </c>
      <c r="X4" s="7">
        <v>10</v>
      </c>
      <c r="Y4" s="7">
        <v>10</v>
      </c>
      <c r="Z4" s="7">
        <v>12</v>
      </c>
      <c r="AA4" s="2">
        <f>MEDIAN(V4,W4,X4,Y4,Z4)</f>
        <v>10</v>
      </c>
      <c r="AB4" s="2">
        <f>AVERAGE(V4,W4,X4,Y4,Z4)</f>
        <v>9.8000000000000007</v>
      </c>
      <c r="AC4" s="2">
        <f>STDEV(V4,W4,X4,Y4,Z4)</f>
        <v>1.4832396974191335</v>
      </c>
      <c r="AD4" s="2" t="s">
        <v>28</v>
      </c>
      <c r="AE4" s="2" t="s">
        <v>36</v>
      </c>
      <c r="AF4" s="8" t="s">
        <v>47</v>
      </c>
    </row>
    <row r="5" spans="1:32" ht="14">
      <c r="A5" s="1" t="s">
        <v>106</v>
      </c>
      <c r="B5" s="10">
        <v>0.42222222222222222</v>
      </c>
      <c r="C5" s="2" t="s">
        <v>29</v>
      </c>
      <c r="D5" s="2">
        <v>4</v>
      </c>
      <c r="E5" s="2" t="s">
        <v>48</v>
      </c>
      <c r="F5" s="2" t="s">
        <v>49</v>
      </c>
      <c r="G5" s="11">
        <v>0.46249999999999997</v>
      </c>
      <c r="H5" s="2" t="s">
        <v>50</v>
      </c>
      <c r="I5" s="2" t="s">
        <v>51</v>
      </c>
      <c r="J5" s="3">
        <f>56+(31.828/60)</f>
        <v>56.530466666666669</v>
      </c>
      <c r="K5" s="3">
        <f>-(5+(26.156/60))</f>
        <v>-5.4359333333333337</v>
      </c>
      <c r="L5" s="2">
        <v>13</v>
      </c>
      <c r="M5" s="2">
        <v>6</v>
      </c>
      <c r="N5" s="2">
        <v>15</v>
      </c>
      <c r="O5" s="2">
        <v>34</v>
      </c>
      <c r="P5" s="4">
        <v>8</v>
      </c>
      <c r="Q5" s="4">
        <v>8.1</v>
      </c>
      <c r="R5" s="14"/>
      <c r="S5" s="16">
        <f>MEDIAN(P5,Q5)</f>
        <v>8.0500000000000007</v>
      </c>
      <c r="T5" s="16">
        <f>AVERAGE(P5,Q5)</f>
        <v>8.0500000000000007</v>
      </c>
      <c r="U5" s="16">
        <f>STDEV(P5,Q5)</f>
        <v>7.0710678118654502E-2</v>
      </c>
      <c r="V5" s="7">
        <v>10</v>
      </c>
      <c r="W5" s="7">
        <v>10</v>
      </c>
      <c r="X5" s="7">
        <v>10</v>
      </c>
      <c r="Y5" s="7">
        <v>10</v>
      </c>
      <c r="Z5" s="7"/>
      <c r="AA5" s="2">
        <f>MEDIAN(V5,W5,X5,Y5)</f>
        <v>10</v>
      </c>
      <c r="AB5" s="2">
        <v>10</v>
      </c>
      <c r="AC5" s="2">
        <f>STDEV(V5,W5,X5,Y5)</f>
        <v>0</v>
      </c>
      <c r="AD5" s="2" t="s">
        <v>28</v>
      </c>
      <c r="AE5" s="2" t="s">
        <v>36</v>
      </c>
      <c r="AF5" s="8" t="s">
        <v>52</v>
      </c>
    </row>
    <row r="6" spans="1:32" ht="14">
      <c r="A6" s="1" t="s">
        <v>107</v>
      </c>
      <c r="B6" s="10">
        <v>0.43611111111111112</v>
      </c>
      <c r="C6" s="2" t="s">
        <v>29</v>
      </c>
      <c r="D6" s="2">
        <v>5</v>
      </c>
      <c r="E6" s="2" t="s">
        <v>53</v>
      </c>
      <c r="F6" s="2" t="s">
        <v>54</v>
      </c>
      <c r="G6" s="11">
        <v>0.4770833333333333</v>
      </c>
      <c r="H6" s="2" t="s">
        <v>55</v>
      </c>
      <c r="I6" s="18" t="s">
        <v>56</v>
      </c>
      <c r="J6" s="19">
        <f>56+(32.365/60)</f>
        <v>56.539416666666668</v>
      </c>
      <c r="K6" s="19">
        <f>-(5+(24.19/60))</f>
        <v>-5.4031666666666665</v>
      </c>
      <c r="L6" s="2">
        <v>14</v>
      </c>
      <c r="M6" s="2">
        <v>1</v>
      </c>
      <c r="N6" s="2">
        <v>10</v>
      </c>
      <c r="O6" s="17" t="s">
        <v>57</v>
      </c>
      <c r="P6" s="13" t="s">
        <v>58</v>
      </c>
      <c r="Q6" s="4">
        <v>8</v>
      </c>
      <c r="R6" s="14"/>
      <c r="S6" s="16">
        <v>8.4499999999999993</v>
      </c>
      <c r="T6" s="16">
        <v>8.4499999999999993</v>
      </c>
      <c r="U6" s="16">
        <v>0.63639610306788996</v>
      </c>
      <c r="V6" s="7">
        <v>9</v>
      </c>
      <c r="W6" s="7">
        <v>10</v>
      </c>
      <c r="X6" s="7"/>
      <c r="Y6" s="7"/>
      <c r="Z6" s="7"/>
      <c r="AA6" s="2">
        <f>MEDIAN(V6:W6)</f>
        <v>9.5</v>
      </c>
      <c r="AB6" s="2">
        <v>9.5</v>
      </c>
      <c r="AC6" s="2">
        <f>STDEV(V6:W6)</f>
        <v>0.70710678118654757</v>
      </c>
      <c r="AD6" s="2" t="s">
        <v>28</v>
      </c>
      <c r="AE6" s="2" t="s">
        <v>36</v>
      </c>
      <c r="AF6" s="8" t="s">
        <v>59</v>
      </c>
    </row>
    <row r="7" spans="1:32" ht="14">
      <c r="A7" s="1" t="s">
        <v>108</v>
      </c>
      <c r="B7" s="10">
        <v>0.45208333333333334</v>
      </c>
      <c r="C7" s="2" t="s">
        <v>29</v>
      </c>
      <c r="D7" s="2">
        <v>6</v>
      </c>
      <c r="E7" s="2" t="s">
        <v>60</v>
      </c>
      <c r="F7" s="2" t="s">
        <v>61</v>
      </c>
      <c r="G7" s="11">
        <v>0.49236111111111108</v>
      </c>
      <c r="H7" s="2" t="s">
        <v>62</v>
      </c>
      <c r="I7" s="18" t="s">
        <v>63</v>
      </c>
      <c r="J7" s="19">
        <f>56+(31.823/60)</f>
        <v>56.530383333333333</v>
      </c>
      <c r="K7" s="19">
        <f>-(5+(23.841/60))</f>
        <v>-5.3973500000000003</v>
      </c>
      <c r="L7" s="2">
        <v>14</v>
      </c>
      <c r="M7" s="2">
        <v>4</v>
      </c>
      <c r="N7" s="2">
        <v>15</v>
      </c>
      <c r="O7" s="17" t="s">
        <v>64</v>
      </c>
      <c r="P7" s="13" t="s">
        <v>65</v>
      </c>
      <c r="Q7" s="4">
        <v>8</v>
      </c>
      <c r="R7" s="20" t="s">
        <v>66</v>
      </c>
      <c r="S7" s="16">
        <v>8</v>
      </c>
      <c r="T7" s="16">
        <v>8.3000000000000007</v>
      </c>
      <c r="U7" s="16">
        <v>0.98488578017961004</v>
      </c>
      <c r="V7" s="7">
        <v>11</v>
      </c>
      <c r="W7" s="7">
        <v>12</v>
      </c>
      <c r="X7" s="7">
        <v>11</v>
      </c>
      <c r="Y7" s="7">
        <v>14</v>
      </c>
      <c r="Z7" s="7">
        <v>9</v>
      </c>
      <c r="AA7" s="2">
        <f>MEDIAN(V7:Z7)</f>
        <v>11</v>
      </c>
      <c r="AB7" s="2">
        <v>11.4</v>
      </c>
      <c r="AC7" s="2">
        <f>STDEV(V7:Z7)</f>
        <v>1.8165902124584981</v>
      </c>
      <c r="AD7" s="2" t="s">
        <v>28</v>
      </c>
      <c r="AE7" s="2" t="s">
        <v>36</v>
      </c>
      <c r="AF7" s="8"/>
    </row>
    <row r="8" spans="1:32" ht="14">
      <c r="A8" s="1" t="s">
        <v>109</v>
      </c>
      <c r="B8" s="10">
        <v>0.47916666666666669</v>
      </c>
      <c r="C8" s="2" t="s">
        <v>29</v>
      </c>
      <c r="D8" s="2">
        <v>7</v>
      </c>
      <c r="E8" s="2" t="s">
        <v>67</v>
      </c>
      <c r="F8" s="2" t="s">
        <v>68</v>
      </c>
      <c r="G8" s="11">
        <v>0.52152777777777781</v>
      </c>
      <c r="H8" s="2" t="s">
        <v>69</v>
      </c>
      <c r="I8" s="18" t="s">
        <v>70</v>
      </c>
      <c r="J8" s="19">
        <f>56+(31.297/60)</f>
        <v>56.521616666666667</v>
      </c>
      <c r="K8" s="19">
        <f>-(5+(23.291/60))</f>
        <v>-5.3881833333333331</v>
      </c>
      <c r="L8" s="2">
        <v>15</v>
      </c>
      <c r="M8" s="2">
        <v>8</v>
      </c>
      <c r="N8" s="2">
        <v>15</v>
      </c>
      <c r="O8" s="17" t="s">
        <v>71</v>
      </c>
      <c r="P8" s="13" t="s">
        <v>72</v>
      </c>
      <c r="Q8" s="4">
        <v>6.85</v>
      </c>
      <c r="R8" s="20" t="s">
        <v>73</v>
      </c>
      <c r="S8" s="16">
        <v>6.85</v>
      </c>
      <c r="T8" s="16">
        <v>6.87</v>
      </c>
      <c r="U8" s="16">
        <v>0.58025856305615997</v>
      </c>
      <c r="V8" s="7">
        <v>11</v>
      </c>
      <c r="W8" s="7">
        <v>12</v>
      </c>
      <c r="X8" s="7">
        <v>10</v>
      </c>
      <c r="Y8" s="7"/>
      <c r="Z8" s="7"/>
      <c r="AA8" s="2">
        <f>MEDIAN(V8:X8)</f>
        <v>11</v>
      </c>
      <c r="AB8" s="2">
        <v>11</v>
      </c>
      <c r="AC8" s="2">
        <f>STDEV(V8:X8)</f>
        <v>1</v>
      </c>
      <c r="AD8" s="2" t="s">
        <v>28</v>
      </c>
      <c r="AE8" s="2" t="s">
        <v>36</v>
      </c>
      <c r="AF8" s="8"/>
    </row>
    <row r="9" spans="1:32" ht="14">
      <c r="A9" s="1" t="s">
        <v>110</v>
      </c>
      <c r="B9" s="10">
        <v>0.49027777777777781</v>
      </c>
      <c r="C9" s="2" t="s">
        <v>29</v>
      </c>
      <c r="D9" s="2">
        <v>8</v>
      </c>
      <c r="E9" s="2" t="s">
        <v>74</v>
      </c>
      <c r="F9" s="2" t="s">
        <v>75</v>
      </c>
      <c r="G9" s="11">
        <v>0.53125</v>
      </c>
      <c r="H9" s="18" t="s">
        <v>76</v>
      </c>
      <c r="I9" s="18" t="s">
        <v>77</v>
      </c>
      <c r="J9" s="19">
        <f>56+(30.976/60)</f>
        <v>56.516266666666667</v>
      </c>
      <c r="K9" s="19">
        <f>-(5+(22.483/60))</f>
        <v>-5.374716666666667</v>
      </c>
      <c r="L9" s="2">
        <v>15</v>
      </c>
      <c r="M9" s="2">
        <v>4</v>
      </c>
      <c r="N9" s="2">
        <v>10</v>
      </c>
      <c r="O9" s="17" t="s">
        <v>78</v>
      </c>
      <c r="P9" s="4">
        <v>7</v>
      </c>
      <c r="Q9" s="4">
        <v>7.8</v>
      </c>
      <c r="R9" s="14"/>
      <c r="S9" s="16">
        <v>7.4</v>
      </c>
      <c r="T9" s="16">
        <v>7.4</v>
      </c>
      <c r="U9" s="16">
        <v>0.56568542494924001</v>
      </c>
      <c r="V9" s="7">
        <v>11</v>
      </c>
      <c r="W9" s="7">
        <v>12</v>
      </c>
      <c r="X9" s="7">
        <v>11</v>
      </c>
      <c r="Y9" s="7">
        <v>11</v>
      </c>
      <c r="Z9" s="7"/>
      <c r="AA9" s="2">
        <f>MEDIAN(V9:Y9)</f>
        <v>11</v>
      </c>
      <c r="AB9" s="2">
        <v>11.25</v>
      </c>
      <c r="AC9" s="2">
        <f>STDEV(V9:Y9)</f>
        <v>0.5</v>
      </c>
      <c r="AD9" s="2" t="s">
        <v>28</v>
      </c>
      <c r="AE9" s="2" t="s">
        <v>36</v>
      </c>
      <c r="AF9" s="8"/>
    </row>
    <row r="10" spans="1:32" ht="14">
      <c r="A10" s="1" t="s">
        <v>111</v>
      </c>
      <c r="B10" s="10">
        <v>0.50763888888888886</v>
      </c>
      <c r="C10" s="2" t="s">
        <v>29</v>
      </c>
      <c r="D10" s="2">
        <v>9</v>
      </c>
      <c r="E10" s="2" t="s">
        <v>79</v>
      </c>
      <c r="F10" s="2" t="s">
        <v>80</v>
      </c>
      <c r="G10" s="11">
        <v>0.54722222222222217</v>
      </c>
      <c r="H10" s="2" t="s">
        <v>81</v>
      </c>
      <c r="I10" s="2" t="s">
        <v>82</v>
      </c>
      <c r="J10" s="3">
        <f>56+(31.557/60)</f>
        <v>56.525950000000002</v>
      </c>
      <c r="K10" s="3">
        <f>-(5+(20.812/60))</f>
        <v>-5.3468666666666671</v>
      </c>
      <c r="L10" s="2">
        <v>16</v>
      </c>
      <c r="M10" s="2">
        <v>3</v>
      </c>
      <c r="N10" s="2">
        <v>10</v>
      </c>
      <c r="O10" s="2">
        <v>18</v>
      </c>
      <c r="P10" s="21" t="s">
        <v>66</v>
      </c>
      <c r="Q10" s="22" t="s">
        <v>83</v>
      </c>
      <c r="R10" s="14"/>
      <c r="S10" s="16">
        <v>7</v>
      </c>
      <c r="T10" s="16">
        <v>7</v>
      </c>
      <c r="U10" s="16">
        <v>0.70710678118655002</v>
      </c>
      <c r="V10" s="7">
        <v>11</v>
      </c>
      <c r="W10" s="7">
        <v>10</v>
      </c>
      <c r="X10" s="7"/>
      <c r="Y10" s="7"/>
      <c r="Z10" s="7"/>
      <c r="AA10" s="2">
        <f>MEDIAN(V10:W10)</f>
        <v>10.5</v>
      </c>
      <c r="AB10" s="2">
        <v>10.5</v>
      </c>
      <c r="AC10" s="2">
        <f>STDEV(V10:W10)</f>
        <v>0.70710678118654757</v>
      </c>
      <c r="AD10" s="2" t="s">
        <v>28</v>
      </c>
      <c r="AE10" s="2" t="s">
        <v>36</v>
      </c>
      <c r="AF10" s="8" t="s">
        <v>84</v>
      </c>
    </row>
    <row r="11" spans="1:32" ht="14">
      <c r="A11" s="1" t="s">
        <v>112</v>
      </c>
      <c r="B11" s="10">
        <v>0.51666666666666672</v>
      </c>
      <c r="C11" s="23" t="s">
        <v>29</v>
      </c>
      <c r="D11" s="23">
        <v>10</v>
      </c>
      <c r="E11" s="23" t="s">
        <v>85</v>
      </c>
      <c r="F11" s="2" t="s">
        <v>86</v>
      </c>
      <c r="G11" s="24">
        <v>0.55694444444444446</v>
      </c>
      <c r="H11" s="23" t="s">
        <v>87</v>
      </c>
      <c r="I11" s="23" t="s">
        <v>88</v>
      </c>
      <c r="J11" s="25">
        <f>56+(31.999/60)</f>
        <v>56.533316666666664</v>
      </c>
      <c r="K11" s="25">
        <f>-(5+(19.814/60))</f>
        <v>-5.3302333333333332</v>
      </c>
      <c r="L11" s="23">
        <v>16</v>
      </c>
      <c r="M11" s="23">
        <v>5</v>
      </c>
      <c r="N11" s="23">
        <v>15</v>
      </c>
      <c r="O11" s="26" t="s">
        <v>89</v>
      </c>
      <c r="P11" s="27">
        <v>8</v>
      </c>
      <c r="Q11" s="27">
        <v>6</v>
      </c>
      <c r="R11" s="28" t="s">
        <v>90</v>
      </c>
      <c r="S11" s="29" t="s">
        <v>91</v>
      </c>
      <c r="T11" s="30" t="s">
        <v>92</v>
      </c>
      <c r="U11" s="31">
        <f>STDEV(P11:R11)</f>
        <v>1.4142135623730951</v>
      </c>
      <c r="V11" s="32">
        <v>11</v>
      </c>
      <c r="W11" s="32">
        <v>12</v>
      </c>
      <c r="X11" s="32">
        <v>11</v>
      </c>
      <c r="Y11" s="32"/>
      <c r="Z11" s="32"/>
      <c r="AA11" s="23">
        <f>MEDIAN(V11:X11)</f>
        <v>11</v>
      </c>
      <c r="AB11" s="33" t="s">
        <v>93</v>
      </c>
      <c r="AC11" s="23">
        <f>STDEV(V11:X11)</f>
        <v>0.57735026918962573</v>
      </c>
      <c r="AD11" s="23" t="s">
        <v>28</v>
      </c>
      <c r="AE11" s="23" t="s">
        <v>36</v>
      </c>
      <c r="AF11" s="34"/>
    </row>
    <row r="12" spans="1:32" ht="14">
      <c r="A12" s="1" t="s">
        <v>113</v>
      </c>
      <c r="B12" s="10">
        <v>0.52986111111111112</v>
      </c>
      <c r="C12" s="2" t="s">
        <v>29</v>
      </c>
      <c r="D12" s="2">
        <v>11</v>
      </c>
      <c r="E12" s="2" t="s">
        <v>94</v>
      </c>
      <c r="F12" s="2" t="s">
        <v>95</v>
      </c>
      <c r="G12" s="11">
        <v>0.57013888888888886</v>
      </c>
      <c r="H12" s="2" t="s">
        <v>96</v>
      </c>
      <c r="I12" s="2" t="s">
        <v>97</v>
      </c>
      <c r="J12" s="3">
        <f>56+(32.841/60)</f>
        <v>56.547350000000002</v>
      </c>
      <c r="K12" s="3">
        <f>-(5+(18.248/60))</f>
        <v>-5.3041333333333336</v>
      </c>
      <c r="L12" s="2">
        <v>16</v>
      </c>
      <c r="M12" s="2">
        <v>6</v>
      </c>
      <c r="N12" s="2">
        <v>25</v>
      </c>
      <c r="O12" s="12" t="s">
        <v>98</v>
      </c>
      <c r="P12" s="4">
        <v>5</v>
      </c>
      <c r="Q12" s="4">
        <v>7</v>
      </c>
      <c r="R12" s="4"/>
      <c r="S12" s="2">
        <v>6</v>
      </c>
      <c r="T12" s="2">
        <v>6</v>
      </c>
      <c r="U12" s="2">
        <v>1.4142135623731</v>
      </c>
      <c r="V12" s="7">
        <v>8</v>
      </c>
      <c r="W12" s="7">
        <v>12</v>
      </c>
      <c r="X12" s="7">
        <v>12</v>
      </c>
      <c r="Y12" s="7"/>
      <c r="Z12" s="7"/>
      <c r="AA12" s="2">
        <f>MEDIAN(V12:X12)</f>
        <v>12</v>
      </c>
      <c r="AB12" s="17" t="s">
        <v>99</v>
      </c>
      <c r="AC12" s="2">
        <f>STDEV(V12:X12)</f>
        <v>2.3094010767585051</v>
      </c>
      <c r="AD12" s="2" t="s">
        <v>28</v>
      </c>
      <c r="AE12" s="2"/>
      <c r="AF12" s="8"/>
    </row>
    <row r="13" spans="1:32" ht="14"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2" ht="14"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2" ht="14"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2" ht="14"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="9" customFormat="1" ht="14"/>
    <row r="18" s="9" customFormat="1" ht="14"/>
    <row r="19" s="9" customFormat="1" ht="14"/>
    <row r="20" s="9" customFormat="1" ht="14"/>
    <row r="21" s="9" customFormat="1" ht="14"/>
    <row r="22" s="9" customFormat="1" ht="14"/>
    <row r="23" s="9" customFormat="1" ht="14"/>
    <row r="24" s="9" customFormat="1" ht="14"/>
    <row r="25" s="9" customFormat="1" ht="14"/>
    <row r="26" s="9" customFormat="1" ht="14"/>
    <row r="27" s="9" customFormat="1" ht="14"/>
    <row r="28" s="9" customFormat="1" ht="14"/>
    <row r="29" s="9" customFormat="1" ht="14"/>
    <row r="30" s="9" customFormat="1" ht="14"/>
    <row r="31" s="9" customFormat="1" ht="14"/>
    <row r="32" s="9" customFormat="1" ht="14"/>
    <row r="33" s="9" customFormat="1" ht="14"/>
    <row r="34" s="9" customFormat="1" ht="14"/>
    <row r="35" s="9" customFormat="1" ht="14"/>
    <row r="36" s="9" customFormat="1" ht="14"/>
    <row r="37" s="9" customFormat="1" ht="14"/>
    <row r="38" s="9" customFormat="1" ht="14"/>
    <row r="39" s="9" customFormat="1" ht="14"/>
    <row r="40" s="9" customFormat="1" ht="14"/>
    <row r="41" s="9" customFormat="1" ht="14"/>
    <row r="42" s="9" customFormat="1" ht="14"/>
    <row r="43" s="9" customFormat="1" ht="14"/>
    <row r="44" s="9" customFormat="1" ht="14"/>
    <row r="45" s="9" customFormat="1" ht="14"/>
    <row r="46" s="9" customFormat="1" ht="14"/>
    <row r="47" s="9" customFormat="1" ht="14"/>
    <row r="48" s="9" customFormat="1" ht="14"/>
    <row r="49" s="9" customFormat="1" ht="14"/>
    <row r="50" s="9" customFormat="1" ht="14"/>
    <row r="51" s="9" customFormat="1" ht="14"/>
    <row r="52" s="9" customFormat="1" ht="14"/>
    <row r="53" s="9" customFormat="1" ht="14"/>
    <row r="54" s="9" customFormat="1" ht="14"/>
    <row r="55" s="9" customFormat="1" ht="14"/>
    <row r="56" s="9" customFormat="1" ht="14"/>
    <row r="57" s="9" customFormat="1" ht="14"/>
    <row r="58" s="9" customFormat="1" ht="14"/>
    <row r="59" s="9" customFormat="1" ht="14"/>
    <row r="60" s="9" customFormat="1" ht="14"/>
    <row r="61" s="9" customFormat="1" ht="14"/>
    <row r="62" s="9" customFormat="1" ht="14"/>
    <row r="63" s="9" customFormat="1" ht="14"/>
    <row r="64" s="9" customFormat="1" ht="14"/>
    <row r="65" spans="21:30" ht="14"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21:30" ht="14"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21:30" ht="14"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21:30" ht="14"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21:30" ht="14"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21:30" ht="14">
      <c r="U70" s="35"/>
      <c r="V70" s="35"/>
      <c r="W70" s="35"/>
      <c r="X70" s="35"/>
      <c r="Y70" s="35"/>
      <c r="Z70" s="35"/>
      <c r="AA70" s="35"/>
      <c r="AB70" s="35"/>
      <c r="AC70" s="35"/>
      <c r="AD70" s="35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 Brookes</dc:creator>
  <cp:keywords/>
  <dc:description/>
  <cp:lastModifiedBy>Sun, Xuerong</cp:lastModifiedBy>
  <cp:revision/>
  <dcterms:created xsi:type="dcterms:W3CDTF">2023-05-26T08:25:13Z</dcterms:created>
  <dcterms:modified xsi:type="dcterms:W3CDTF">2023-05-28T09:51:13Z</dcterms:modified>
  <cp:category/>
  <cp:contentStatus/>
</cp:coreProperties>
</file>