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mc:AlternateContent xmlns:mc="http://schemas.openxmlformats.org/markup-compatibility/2006">
    <mc:Choice Requires="x15">
      <x15ac:absPath xmlns:x15ac="http://schemas.microsoft.com/office/spreadsheetml/2010/11/ac" url="C:\Users\HP-AF0200010\Documents\"/>
    </mc:Choice>
  </mc:AlternateContent>
  <xr:revisionPtr revIDLastSave="0" documentId="8_{D105CB1D-0FCE-4004-9CA4-26F72FC9738A}" xr6:coauthVersionLast="47" xr6:coauthVersionMax="47" xr10:uidLastSave="{00000000-0000-0000-0000-000000000000}"/>
  <bookViews>
    <workbookView xWindow="-120" yWindow="-120" windowWidth="20730" windowHeight="11040" tabRatio="900" firstSheet="1" activeTab="1" xr2:uid="{C447978D-F707-41AB-A9C0-D12472EDE712}"/>
  </bookViews>
  <sheets>
    <sheet name="HUELLA_CO2" sheetId="71" state="hidden" r:id="rId1"/>
    <sheet name="CALCULADORA_2021" sheetId="49" r:id="rId2"/>
    <sheet name="Hoja3" sheetId="72" state="hidden" r:id="rId3"/>
    <sheet name="CALCU_OTRAS" sheetId="25" state="hidden" r:id="rId4"/>
    <sheet name="20ANIV_DATOS" sheetId="67" state="hidden" r:id="rId5"/>
    <sheet name="BEFORE_AFTER" sheetId="54" state="hidden" r:id="rId6"/>
    <sheet name="REFERENCIAS PZA" sheetId="2" state="hidden" r:id="rId7"/>
    <sheet name="PET" sheetId="1" state="hidden" r:id="rId8"/>
    <sheet name="PEAD" sheetId="6" state="hidden" r:id="rId9"/>
    <sheet name="PEBD" sheetId="7" state="hidden" r:id="rId10"/>
    <sheet name="ALUMINIO" sheetId="8" state="hidden" r:id="rId11"/>
    <sheet name="HOJALATA" sheetId="9" state="hidden" r:id="rId12"/>
    <sheet name="MULTICAPA" sheetId="12" state="hidden" r:id="rId13"/>
    <sheet name="VIDRIO" sheetId="13" state="hidden" r:id="rId14"/>
    <sheet name="PP." sheetId="18" state="hidden" r:id="rId15"/>
    <sheet name="CALCU_AU_MAYO21" sheetId="24" state="hidden" r:id="rId16"/>
    <sheet name="CERT_TRUEQUE" sheetId="28" r:id="rId17"/>
    <sheet name="FUENTE" sheetId="36" r:id="rId18"/>
    <sheet name="BIBLIA" sheetId="42" r:id="rId19"/>
    <sheet name="CERT_MercaditoTRUEQUE" sheetId="70" state="hidden" r:id="rId20"/>
    <sheet name="CERT_AU_MAYO21" sheetId="23" state="hidden" r:id="rId21"/>
    <sheet name="20 ANIV" sheetId="66" state="hidden" r:id="rId22"/>
    <sheet name="Hoja2" sheetId="68" state="hidden" r:id="rId23"/>
    <sheet name="SOLIA SER" sheetId="56" state="hidden" r:id="rId24"/>
    <sheet name="Hoja4" sheetId="73" state="hidden" r:id="rId25"/>
    <sheet name="SABIAS QUE..2022" sheetId="69" state="hidden" r:id="rId26"/>
    <sheet name="PESOS" sheetId="60" state="hidden" r:id="rId27"/>
    <sheet name="CERTIFICACION" sheetId="64" state="hidden" r:id="rId28"/>
    <sheet name="CERT_ESCUELAS" sheetId="74" state="hidden" r:id="rId29"/>
  </sheets>
  <definedNames>
    <definedName name="AGUASCALIENTES">#REF!</definedName>
    <definedName name="Alvaro_Obregon">#REF!</definedName>
    <definedName name="_xlnm.Print_Area" localSheetId="5">BEFORE_AFTER!$A$1:$K$72</definedName>
    <definedName name="_xlnm.Print_Area" localSheetId="25">'SABIAS QUE..2022'!$A$1:$J$75</definedName>
    <definedName name="Azcapotzalco">#REF!</definedName>
    <definedName name="BAJA_CALIFORNIA">#REF!</definedName>
    <definedName name="BAJA_CALIFORNIA_SUR">#REF!</definedName>
    <definedName name="Benito_Juarez">#REF!</definedName>
    <definedName name="CAMPECHE">#REF!</definedName>
    <definedName name="CHIAPAS">#REF!</definedName>
    <definedName name="CHIHUAHUA">#REF!</definedName>
    <definedName name="CIUDAD_DE_MEXICO">#REF!</definedName>
    <definedName name="Ciudad_Mexico">#REF!</definedName>
    <definedName name="COAHUILA">#REF!</definedName>
    <definedName name="COLIMA">#REF!</definedName>
    <definedName name="DURANGO">#REF!</definedName>
    <definedName name="GUANAJUATO">#REF!</definedName>
    <definedName name="GUERRERO">#REF!</definedName>
    <definedName name="HIDALGO">#REF!</definedName>
    <definedName name="JALISCO">#REF!</definedName>
    <definedName name="MEXICO">#REF!</definedName>
    <definedName name="MICHOACAN">#REF!</definedName>
    <definedName name="MORELOS">#REF!</definedName>
    <definedName name="NAYARIT">#REF!</definedName>
    <definedName name="NUEVO_LEON">#REF!</definedName>
    <definedName name="OAXACA">#REF!</definedName>
    <definedName name="Print_Area" localSheetId="21">'20 ANIV'!$A$3:$M$58</definedName>
    <definedName name="Print_Area" localSheetId="5">BEFORE_AFTER!$A$1:$F$89</definedName>
    <definedName name="Print_Area" localSheetId="18">BIBLIA!$A$1:$N$531</definedName>
    <definedName name="Print_Area" localSheetId="15">CALCU_AU_MAYO21!$B$1:$S$51</definedName>
    <definedName name="Print_Area" localSheetId="20">CERT_AU_MAYO21!$A$3:$M$51</definedName>
    <definedName name="Print_Area" localSheetId="28">CERT_ESCUELAS!$B$2:$N$61</definedName>
    <definedName name="Print_Area" localSheetId="19">CERT_MercaditoTRUEQUE!$B$2:$N$65</definedName>
    <definedName name="Print_Area" localSheetId="16">CERT_TRUEQUE!$B$2:$N$61</definedName>
    <definedName name="Print_Area" localSheetId="23">'SOLIA SER'!$A$1:$G$73</definedName>
    <definedName name="Print_Titles" localSheetId="18">BIBLIA!$1:$2</definedName>
    <definedName name="PUEBLA">#REF!</definedName>
    <definedName name="QUERETARO">#REF!</definedName>
    <definedName name="QUINTANA_ROO">#REF!</definedName>
    <definedName name="Resumen_Nacional">#REF!</definedName>
    <definedName name="SAN_LUIS_POTOSI">#REF!</definedName>
    <definedName name="SINALOA">#REF!</definedName>
    <definedName name="SONORA">#REF!</definedName>
    <definedName name="TABASCO">#REF!</definedName>
    <definedName name="TAMAULIPAS">#REF!</definedName>
    <definedName name="TLAXCALA">#REF!</definedName>
    <definedName name="VERACRUZ">#REF!</definedName>
    <definedName name="YUCATAN">#REF!</definedName>
    <definedName name="ZACATECAS">#REF!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49" l="1"/>
  <c r="I26" i="74" s="1"/>
  <c r="J26" i="74" s="1"/>
  <c r="I25" i="74"/>
  <c r="J25" i="74" s="1"/>
  <c r="I24" i="74"/>
  <c r="J24" i="74" s="1"/>
  <c r="I23" i="74"/>
  <c r="J23" i="74" s="1"/>
  <c r="I22" i="74"/>
  <c r="J22" i="74" s="1"/>
  <c r="I21" i="74"/>
  <c r="J21" i="74" s="1"/>
  <c r="I20" i="74"/>
  <c r="J20" i="74" s="1"/>
  <c r="I19" i="74"/>
  <c r="J19" i="74" s="1"/>
  <c r="I18" i="74"/>
  <c r="J18" i="74" s="1"/>
  <c r="I17" i="74"/>
  <c r="J17" i="74" s="1"/>
  <c r="J27" i="74" l="1"/>
  <c r="AF10" i="49"/>
  <c r="AH10" i="49" s="1"/>
  <c r="P67" i="42"/>
  <c r="AG10" i="49" l="1"/>
  <c r="C23" i="49" l="1"/>
  <c r="AU14" i="49"/>
  <c r="AA14" i="49" s="1"/>
  <c r="AC14" i="49" s="1"/>
  <c r="J26" i="28"/>
  <c r="J25" i="28"/>
  <c r="J24" i="28"/>
  <c r="J23" i="28"/>
  <c r="J22" i="28"/>
  <c r="I21" i="28"/>
  <c r="J21" i="28" s="1"/>
  <c r="J20" i="28"/>
  <c r="J19" i="28"/>
  <c r="J18" i="28"/>
  <c r="J17" i="28"/>
  <c r="AJ10" i="49"/>
  <c r="AN10" i="49" s="1"/>
  <c r="AP10" i="49" s="1"/>
  <c r="AL10" i="49"/>
  <c r="C33" i="36" s="1"/>
  <c r="D33" i="36" s="1"/>
  <c r="AU10" i="49"/>
  <c r="E16" i="49"/>
  <c r="I16" i="49" s="1"/>
  <c r="AU11" i="49"/>
  <c r="AA11" i="49" s="1"/>
  <c r="AC11" i="49" s="1"/>
  <c r="AU12" i="49"/>
  <c r="AU13" i="49"/>
  <c r="AU15" i="49"/>
  <c r="C217" i="36" s="1"/>
  <c r="D217" i="36" s="1"/>
  <c r="AU16" i="49"/>
  <c r="Z16" i="49" s="1"/>
  <c r="AU17" i="49"/>
  <c r="Z17" i="49" s="1"/>
  <c r="AB17" i="49" s="1"/>
  <c r="C310" i="36" s="1"/>
  <c r="AU18" i="49"/>
  <c r="C385" i="36" s="1"/>
  <c r="AU19" i="49"/>
  <c r="C442" i="36" s="1"/>
  <c r="AU20" i="49"/>
  <c r="AA20" i="49" s="1"/>
  <c r="AC20" i="49" s="1"/>
  <c r="AU21" i="49"/>
  <c r="AX21" i="49" s="1"/>
  <c r="AY21" i="49" s="1"/>
  <c r="AU22" i="49"/>
  <c r="AA22" i="49" s="1"/>
  <c r="AC22" i="49" s="1"/>
  <c r="N14" i="49"/>
  <c r="X14" i="49" s="1"/>
  <c r="E11" i="49"/>
  <c r="I11" i="49" s="1"/>
  <c r="H13" i="49"/>
  <c r="H17" i="49"/>
  <c r="Z10" i="49"/>
  <c r="N11" i="49"/>
  <c r="W11" i="49" s="1"/>
  <c r="N12" i="49"/>
  <c r="W12" i="49" s="1"/>
  <c r="N15" i="49"/>
  <c r="V15" i="49" s="1"/>
  <c r="C191" i="36" s="1"/>
  <c r="D191" i="36" s="1"/>
  <c r="N16" i="49"/>
  <c r="X16" i="49" s="1"/>
  <c r="C248" i="36" s="1"/>
  <c r="N19" i="49"/>
  <c r="P19" i="49" s="1"/>
  <c r="C413" i="36" s="1"/>
  <c r="N20" i="49"/>
  <c r="BS20" i="49" s="1"/>
  <c r="N21" i="49"/>
  <c r="Q21" i="49" s="1"/>
  <c r="N22" i="49"/>
  <c r="T22" i="49" s="1"/>
  <c r="W13" i="49"/>
  <c r="W17" i="49"/>
  <c r="W18" i="49"/>
  <c r="W10" i="49"/>
  <c r="F19" i="70"/>
  <c r="D175" i="36"/>
  <c r="E15" i="49"/>
  <c r="F15" i="49" s="1"/>
  <c r="C176" i="36" s="1"/>
  <c r="D176" i="36" s="1"/>
  <c r="D181" i="36"/>
  <c r="C182" i="36"/>
  <c r="D182" i="36" s="1"/>
  <c r="D183" i="36"/>
  <c r="D193" i="36"/>
  <c r="D196" i="36"/>
  <c r="AF15" i="49"/>
  <c r="AH15" i="49" s="1"/>
  <c r="C199" i="36" s="1"/>
  <c r="D199" i="36" s="1"/>
  <c r="D200" i="36"/>
  <c r="AF14" i="49"/>
  <c r="AG14" i="49" s="1"/>
  <c r="C202" i="36" s="1"/>
  <c r="D202" i="36" s="1"/>
  <c r="D204" i="36"/>
  <c r="AJ15" i="49"/>
  <c r="AK15" i="49" s="1"/>
  <c r="C206" i="36"/>
  <c r="D206" i="36" s="1"/>
  <c r="D207" i="36"/>
  <c r="D215" i="36"/>
  <c r="D216" i="36"/>
  <c r="D218" i="36"/>
  <c r="AF13" i="49"/>
  <c r="AG13" i="49" s="1"/>
  <c r="C141" i="36" s="1"/>
  <c r="D141" i="36" s="1"/>
  <c r="D143" i="36"/>
  <c r="AJ13" i="49"/>
  <c r="AN13" i="49" s="1"/>
  <c r="AS13" i="49" s="1"/>
  <c r="C153" i="36" s="1"/>
  <c r="D153" i="36" s="1"/>
  <c r="AL13" i="49"/>
  <c r="C145" i="36" s="1"/>
  <c r="D145" i="36" s="1"/>
  <c r="D146" i="36"/>
  <c r="D154" i="36"/>
  <c r="D155" i="36"/>
  <c r="C157" i="36"/>
  <c r="D157" i="36" s="1"/>
  <c r="D158" i="36"/>
  <c r="D163" i="36"/>
  <c r="D164" i="36"/>
  <c r="D165" i="36"/>
  <c r="D166" i="36"/>
  <c r="D167" i="36"/>
  <c r="D168" i="36"/>
  <c r="D169" i="36"/>
  <c r="D170" i="36"/>
  <c r="D171" i="36"/>
  <c r="D61" i="36"/>
  <c r="D67" i="36"/>
  <c r="C68" i="36"/>
  <c r="D68" i="36" s="1"/>
  <c r="D69" i="36"/>
  <c r="D79" i="36"/>
  <c r="D82" i="36"/>
  <c r="AF11" i="49"/>
  <c r="AG11" i="49" s="1"/>
  <c r="C84" i="36" s="1"/>
  <c r="D84" i="36" s="1"/>
  <c r="D86" i="36"/>
  <c r="AJ11" i="49"/>
  <c r="AN11" i="49" s="1"/>
  <c r="AL11" i="49"/>
  <c r="C88" i="36" s="1"/>
  <c r="D88" i="36" s="1"/>
  <c r="D89" i="36"/>
  <c r="D97" i="36"/>
  <c r="D98" i="36"/>
  <c r="D6" i="36"/>
  <c r="E10" i="49"/>
  <c r="I10" i="49" s="1"/>
  <c r="D12" i="36"/>
  <c r="C13" i="36"/>
  <c r="D13" i="36" s="1"/>
  <c r="D14" i="36"/>
  <c r="C15" i="36"/>
  <c r="D15" i="36" s="1"/>
  <c r="P10" i="49"/>
  <c r="C16" i="36" s="1"/>
  <c r="D16" i="36" s="1"/>
  <c r="Q10" i="49"/>
  <c r="C17" i="36" s="1"/>
  <c r="D17" i="36" s="1"/>
  <c r="R10" i="49"/>
  <c r="C18" i="36" s="1"/>
  <c r="D18" i="36" s="1"/>
  <c r="S10" i="49"/>
  <c r="C19" i="36" s="1"/>
  <c r="D19" i="36" s="1"/>
  <c r="T10" i="49"/>
  <c r="C20" i="36" s="1"/>
  <c r="D20" i="36" s="1"/>
  <c r="U10" i="49"/>
  <c r="C21" i="36" s="1"/>
  <c r="D21" i="36" s="1"/>
  <c r="V10" i="49"/>
  <c r="C22" i="36" s="1"/>
  <c r="D22" i="36" s="1"/>
  <c r="X10" i="49"/>
  <c r="C23" i="36" s="1"/>
  <c r="D23" i="36" s="1"/>
  <c r="D24" i="36"/>
  <c r="D27" i="36"/>
  <c r="D31" i="36"/>
  <c r="D34" i="36"/>
  <c r="D42" i="36"/>
  <c r="D43" i="36"/>
  <c r="C270" i="36"/>
  <c r="C100" i="36"/>
  <c r="C45" i="36"/>
  <c r="BQ10" i="49"/>
  <c r="K31" i="70"/>
  <c r="F14" i="70"/>
  <c r="F12" i="70"/>
  <c r="F13" i="70"/>
  <c r="F15" i="70"/>
  <c r="F16" i="70"/>
  <c r="F17" i="70"/>
  <c r="F18" i="70"/>
  <c r="O23" i="24"/>
  <c r="O24" i="24"/>
  <c r="O25" i="24"/>
  <c r="O26" i="24"/>
  <c r="O27" i="24"/>
  <c r="O28" i="24"/>
  <c r="O29" i="24"/>
  <c r="O30" i="24"/>
  <c r="O31" i="24"/>
  <c r="O32" i="24"/>
  <c r="O33" i="24"/>
  <c r="O34" i="24"/>
  <c r="Q29" i="24"/>
  <c r="Q30" i="24"/>
  <c r="Q33" i="24"/>
  <c r="Q34" i="24"/>
  <c r="S23" i="24"/>
  <c r="S24" i="24"/>
  <c r="S25" i="24"/>
  <c r="S26" i="24"/>
  <c r="S27" i="24"/>
  <c r="S28" i="24"/>
  <c r="S29" i="24"/>
  <c r="S30" i="24"/>
  <c r="S31" i="24"/>
  <c r="S32" i="24"/>
  <c r="S33" i="24"/>
  <c r="S34" i="24"/>
  <c r="M23" i="24"/>
  <c r="M24" i="24"/>
  <c r="M25" i="24"/>
  <c r="M27" i="24"/>
  <c r="M28" i="24"/>
  <c r="M29" i="24"/>
  <c r="M30" i="24"/>
  <c r="M31" i="24"/>
  <c r="M33" i="24"/>
  <c r="M34" i="24"/>
  <c r="F23" i="24"/>
  <c r="F24" i="24"/>
  <c r="F25" i="24"/>
  <c r="F26" i="24"/>
  <c r="F31" i="24"/>
  <c r="F32" i="24"/>
  <c r="K24" i="24"/>
  <c r="K25" i="24"/>
  <c r="K27" i="24"/>
  <c r="K28" i="24"/>
  <c r="K29" i="24"/>
  <c r="K30" i="24"/>
  <c r="K31" i="24"/>
  <c r="K33" i="24"/>
  <c r="K34" i="24"/>
  <c r="I23" i="24"/>
  <c r="I24" i="24"/>
  <c r="I25" i="24"/>
  <c r="I26" i="24"/>
  <c r="I27" i="24"/>
  <c r="I28" i="24"/>
  <c r="I29" i="24"/>
  <c r="I30" i="24"/>
  <c r="I33" i="24"/>
  <c r="I34" i="24"/>
  <c r="AJ19" i="49"/>
  <c r="C430" i="36" s="1"/>
  <c r="AD19" i="49"/>
  <c r="C424" i="36" s="1"/>
  <c r="E22" i="49"/>
  <c r="F22" i="49" s="1"/>
  <c r="E21" i="49"/>
  <c r="J21" i="49" s="1"/>
  <c r="E20" i="49"/>
  <c r="H20" i="49" s="1"/>
  <c r="C463" i="36" s="1"/>
  <c r="E19" i="49"/>
  <c r="F19" i="49" s="1"/>
  <c r="C404" i="36" s="1"/>
  <c r="E18" i="49"/>
  <c r="G18" i="49" s="1"/>
  <c r="C348" i="36" s="1"/>
  <c r="D47" i="67"/>
  <c r="D32" i="67"/>
  <c r="D17" i="67"/>
  <c r="BS10" i="49"/>
  <c r="BR10" i="49"/>
  <c r="BR11" i="49"/>
  <c r="BR12" i="49"/>
  <c r="BR13" i="49"/>
  <c r="BR14" i="49"/>
  <c r="BR15" i="49"/>
  <c r="BR16" i="49"/>
  <c r="BR17" i="49"/>
  <c r="BR18" i="49"/>
  <c r="BR19" i="49"/>
  <c r="BR20" i="49"/>
  <c r="BR21" i="49"/>
  <c r="BR22" i="49"/>
  <c r="BP11" i="49"/>
  <c r="BQ11" i="49"/>
  <c r="BP12" i="49"/>
  <c r="BQ12" i="49"/>
  <c r="BP13" i="49"/>
  <c r="BQ13" i="49"/>
  <c r="BS13" i="49"/>
  <c r="BP14" i="49"/>
  <c r="BQ14" i="49"/>
  <c r="BP15" i="49"/>
  <c r="BQ15" i="49"/>
  <c r="BP16" i="49"/>
  <c r="BQ16" i="49"/>
  <c r="BP17" i="49"/>
  <c r="BQ17" i="49"/>
  <c r="BS17" i="49"/>
  <c r="BP18" i="49"/>
  <c r="BQ18" i="49"/>
  <c r="BS18" i="49"/>
  <c r="BP19" i="49"/>
  <c r="BQ19" i="49"/>
  <c r="BP20" i="49"/>
  <c r="BQ20" i="49"/>
  <c r="BP21" i="49"/>
  <c r="BQ21" i="49"/>
  <c r="BP22" i="49"/>
  <c r="BQ22" i="49"/>
  <c r="BP10" i="49"/>
  <c r="E12" i="49"/>
  <c r="G12" i="49" s="1"/>
  <c r="E14" i="49"/>
  <c r="I14" i="49" s="1"/>
  <c r="AF12" i="49"/>
  <c r="AH12" i="49" s="1"/>
  <c r="AF16" i="49"/>
  <c r="C253" i="36" s="1"/>
  <c r="AF17" i="49"/>
  <c r="C312" i="36" s="1"/>
  <c r="AF18" i="49"/>
  <c r="C368" i="36" s="1"/>
  <c r="AF19" i="49"/>
  <c r="C426" i="36" s="1"/>
  <c r="AF20" i="49"/>
  <c r="AH20" i="49" s="1"/>
  <c r="C485" i="36" s="1"/>
  <c r="AF21" i="49"/>
  <c r="AG21" i="49" s="1"/>
  <c r="AF22" i="49"/>
  <c r="AG22" i="49" s="1"/>
  <c r="AJ12" i="49"/>
  <c r="AN12" i="49" s="1"/>
  <c r="AP12" i="49" s="1"/>
  <c r="AQ12" i="49" s="1"/>
  <c r="AR12" i="49" s="1"/>
  <c r="AJ14" i="49"/>
  <c r="AN14" i="49" s="1"/>
  <c r="AJ20" i="49"/>
  <c r="C487" i="36" s="1"/>
  <c r="AJ21" i="49"/>
  <c r="AN21" i="49" s="1"/>
  <c r="AJ22" i="49"/>
  <c r="AN22" i="49" s="1"/>
  <c r="AD20" i="49"/>
  <c r="C481" i="36" s="1"/>
  <c r="AD21" i="49"/>
  <c r="AD22" i="49"/>
  <c r="AL12" i="49"/>
  <c r="AL16" i="49"/>
  <c r="C258" i="36" s="1"/>
  <c r="AL17" i="49"/>
  <c r="C317" i="36" s="1"/>
  <c r="AL18" i="49"/>
  <c r="C373" i="36" s="1"/>
  <c r="V13" i="49"/>
  <c r="V17" i="49"/>
  <c r="V18" i="49"/>
  <c r="V23" i="24"/>
  <c r="V24" i="24"/>
  <c r="V25" i="24"/>
  <c r="V26" i="24"/>
  <c r="V27" i="24"/>
  <c r="V28" i="24"/>
  <c r="V29" i="24"/>
  <c r="V30" i="24"/>
  <c r="V31" i="24"/>
  <c r="V32" i="24"/>
  <c r="V33" i="24"/>
  <c r="V34" i="24"/>
  <c r="V35" i="24"/>
  <c r="V36" i="24"/>
  <c r="V37" i="24"/>
  <c r="U23" i="24"/>
  <c r="U24" i="24"/>
  <c r="U25" i="24"/>
  <c r="U26" i="24"/>
  <c r="U27" i="24"/>
  <c r="U28" i="24"/>
  <c r="U29" i="24"/>
  <c r="U30" i="24"/>
  <c r="U31" i="24"/>
  <c r="U32" i="24"/>
  <c r="U33" i="24"/>
  <c r="U34" i="24"/>
  <c r="U36" i="24"/>
  <c r="U37" i="24"/>
  <c r="T23" i="24"/>
  <c r="T24" i="24"/>
  <c r="T25" i="24"/>
  <c r="T26" i="24"/>
  <c r="T27" i="24"/>
  <c r="T28" i="24"/>
  <c r="T29" i="24"/>
  <c r="T30" i="24"/>
  <c r="T31" i="24"/>
  <c r="T32" i="24"/>
  <c r="T33" i="24"/>
  <c r="T34" i="24"/>
  <c r="T36" i="24"/>
  <c r="T37" i="24"/>
  <c r="BO10" i="49"/>
  <c r="BO11" i="49"/>
  <c r="BO12" i="49"/>
  <c r="BO13" i="49"/>
  <c r="BO14" i="49"/>
  <c r="BO15" i="49"/>
  <c r="BO16" i="49"/>
  <c r="BO17" i="49"/>
  <c r="BO18" i="49"/>
  <c r="BO19" i="49"/>
  <c r="BO20" i="49"/>
  <c r="BO21" i="49"/>
  <c r="BO22" i="49"/>
  <c r="G12" i="66"/>
  <c r="G11" i="66"/>
  <c r="A9" i="66"/>
  <c r="J13" i="49"/>
  <c r="J17" i="49"/>
  <c r="BH23" i="49"/>
  <c r="BG23" i="49"/>
  <c r="BF23" i="49"/>
  <c r="BD23" i="49"/>
  <c r="G14" i="23"/>
  <c r="G13" i="23"/>
  <c r="G12" i="23"/>
  <c r="G11" i="23"/>
  <c r="A9" i="23"/>
  <c r="AK18" i="49"/>
  <c r="AO18" i="49" s="1"/>
  <c r="Q13" i="49"/>
  <c r="Q17" i="49"/>
  <c r="Q18" i="49"/>
  <c r="R13" i="49"/>
  <c r="R17" i="49"/>
  <c r="R18" i="49"/>
  <c r="AN16" i="49"/>
  <c r="C261" i="36" s="1"/>
  <c r="AN17" i="49"/>
  <c r="AS17" i="49" s="1"/>
  <c r="AN18" i="49"/>
  <c r="AP18" i="49" s="1"/>
  <c r="AQ18" i="49" s="1"/>
  <c r="AR18" i="49" s="1"/>
  <c r="F17" i="49"/>
  <c r="F13" i="49"/>
  <c r="AK16" i="49"/>
  <c r="AO16" i="49" s="1"/>
  <c r="C262" i="36" s="1"/>
  <c r="AK17" i="49"/>
  <c r="AO17" i="49" s="1"/>
  <c r="X13" i="49"/>
  <c r="X17" i="49"/>
  <c r="X18" i="49"/>
  <c r="K13" i="49"/>
  <c r="K17" i="49"/>
  <c r="I13" i="49"/>
  <c r="I17" i="49"/>
  <c r="G13" i="49"/>
  <c r="G17" i="49"/>
  <c r="C467" i="36"/>
  <c r="C410" i="36"/>
  <c r="C316" i="36"/>
  <c r="C297" i="36"/>
  <c r="C238" i="36"/>
  <c r="U13" i="49"/>
  <c r="U17" i="49"/>
  <c r="U18" i="49"/>
  <c r="T13" i="49"/>
  <c r="T17" i="49"/>
  <c r="T18" i="49"/>
  <c r="S13" i="49"/>
  <c r="S17" i="49"/>
  <c r="S18" i="49"/>
  <c r="P13" i="49"/>
  <c r="P17" i="49"/>
  <c r="P18" i="49"/>
  <c r="E20" i="8"/>
  <c r="F8" i="8" s="1"/>
  <c r="E21" i="8"/>
  <c r="G8" i="8" s="1"/>
  <c r="S11" i="18"/>
  <c r="S20" i="18" s="1"/>
  <c r="H17" i="1"/>
  <c r="I17" i="1"/>
  <c r="J17" i="1" s="1"/>
  <c r="G18" i="12"/>
  <c r="Q18" i="12" s="1"/>
  <c r="E27" i="1"/>
  <c r="H27" i="1" s="1"/>
  <c r="F27" i="1"/>
  <c r="L21" i="18"/>
  <c r="M12" i="18"/>
  <c r="M21" i="18" s="1"/>
  <c r="K21" i="18"/>
  <c r="L20" i="18"/>
  <c r="M11" i="18"/>
  <c r="M20" i="18" s="1"/>
  <c r="K20" i="18"/>
  <c r="O26" i="6"/>
  <c r="P16" i="6"/>
  <c r="P26" i="6" s="1"/>
  <c r="N26" i="6"/>
  <c r="O25" i="6"/>
  <c r="P15" i="6"/>
  <c r="P25" i="6" s="1"/>
  <c r="N25" i="6"/>
  <c r="P17" i="1"/>
  <c r="P27" i="1" s="1"/>
  <c r="O28" i="1"/>
  <c r="P18" i="1"/>
  <c r="P28" i="1" s="1"/>
  <c r="N28" i="1"/>
  <c r="N27" i="1"/>
  <c r="O27" i="1"/>
  <c r="S12" i="18"/>
  <c r="S21" i="18" s="1"/>
  <c r="R21" i="18"/>
  <c r="Q21" i="18"/>
  <c r="R20" i="18"/>
  <c r="Q20" i="18"/>
  <c r="W26" i="6"/>
  <c r="X16" i="6"/>
  <c r="X26" i="6" s="1"/>
  <c r="V26" i="6"/>
  <c r="W25" i="6"/>
  <c r="X15" i="6"/>
  <c r="X25" i="6" s="1"/>
  <c r="V25" i="6"/>
  <c r="W28" i="1"/>
  <c r="X18" i="1"/>
  <c r="X28" i="1" s="1"/>
  <c r="V28" i="1"/>
  <c r="W27" i="1"/>
  <c r="X17" i="1"/>
  <c r="X27" i="1" s="1"/>
  <c r="V27" i="1"/>
  <c r="E21" i="18"/>
  <c r="G21" i="18" s="1"/>
  <c r="F21" i="18"/>
  <c r="H21" i="18" s="1"/>
  <c r="E20" i="18"/>
  <c r="G20" i="18" s="1"/>
  <c r="F20" i="18"/>
  <c r="H20" i="18" s="1"/>
  <c r="G12" i="18"/>
  <c r="H12" i="18"/>
  <c r="G11" i="18"/>
  <c r="H11" i="18"/>
  <c r="H16" i="6"/>
  <c r="H26" i="6" s="1"/>
  <c r="I16" i="6"/>
  <c r="I26" i="6" s="1"/>
  <c r="G16" i="6"/>
  <c r="G26" i="6" s="1"/>
  <c r="H15" i="6"/>
  <c r="H25" i="6" s="1"/>
  <c r="I15" i="6"/>
  <c r="I25" i="6" s="1"/>
  <c r="G15" i="6"/>
  <c r="G25" i="6" s="1"/>
  <c r="F25" i="6"/>
  <c r="E26" i="6"/>
  <c r="E25" i="6"/>
  <c r="E28" i="1"/>
  <c r="G28" i="1" s="1"/>
  <c r="I28" i="1"/>
  <c r="G18" i="1"/>
  <c r="H18" i="1"/>
  <c r="I18" i="1"/>
  <c r="G17" i="1"/>
  <c r="K14" i="18"/>
  <c r="G23" i="18"/>
  <c r="G14" i="18" s="1"/>
  <c r="E14" i="18"/>
  <c r="L13" i="18"/>
  <c r="G22" i="18"/>
  <c r="G13" i="18" s="1"/>
  <c r="E13" i="18"/>
  <c r="N16" i="1"/>
  <c r="H26" i="1"/>
  <c r="H16" i="1" s="1"/>
  <c r="E16" i="1"/>
  <c r="K10" i="18"/>
  <c r="G19" i="18"/>
  <c r="G10" i="18" s="1"/>
  <c r="E10" i="18"/>
  <c r="G18" i="18"/>
  <c r="G9" i="18" s="1"/>
  <c r="I15" i="7"/>
  <c r="L18" i="18"/>
  <c r="E15" i="7"/>
  <c r="H15" i="7" s="1"/>
  <c r="E14" i="7"/>
  <c r="H14" i="7" s="1"/>
  <c r="E10" i="7"/>
  <c r="H10" i="7" s="1"/>
  <c r="K14" i="7"/>
  <c r="H23" i="7"/>
  <c r="H22" i="7"/>
  <c r="N14" i="6"/>
  <c r="J22" i="7"/>
  <c r="N22" i="7" s="1"/>
  <c r="I22" i="7"/>
  <c r="M22" i="7" s="1"/>
  <c r="E14" i="6"/>
  <c r="H14" i="6" s="1"/>
  <c r="E31" i="6"/>
  <c r="F10" i="6" s="1"/>
  <c r="E30" i="6"/>
  <c r="E10" i="6" s="1"/>
  <c r="H20" i="6"/>
  <c r="H24" i="6"/>
  <c r="I24" i="6"/>
  <c r="K24" i="6"/>
  <c r="L24" i="6"/>
  <c r="K13" i="7"/>
  <c r="L13" i="7" s="1"/>
  <c r="Q28" i="49"/>
  <c r="Q26" i="49"/>
  <c r="BJ23" i="49"/>
  <c r="AM23" i="49"/>
  <c r="L23" i="49"/>
  <c r="G21" i="6"/>
  <c r="Q21" i="6" s="1"/>
  <c r="E32" i="1"/>
  <c r="F11" i="1" s="1"/>
  <c r="F21" i="1" s="1"/>
  <c r="I21" i="1" s="1"/>
  <c r="O21" i="1" s="1"/>
  <c r="S21" i="1" s="1"/>
  <c r="C4" i="1"/>
  <c r="C11" i="1" s="1"/>
  <c r="G9" i="8"/>
  <c r="J9" i="8" s="1"/>
  <c r="F9" i="8"/>
  <c r="M9" i="8" s="1"/>
  <c r="I21" i="7"/>
  <c r="J21" i="7"/>
  <c r="N21" i="7" s="1"/>
  <c r="I16" i="8"/>
  <c r="P16" i="8" s="1"/>
  <c r="J16" i="8"/>
  <c r="Q16" i="8" s="1"/>
  <c r="M16" i="8"/>
  <c r="N16" i="8"/>
  <c r="H16" i="8"/>
  <c r="S16" i="8" s="1"/>
  <c r="E31" i="1"/>
  <c r="E12" i="1" s="1"/>
  <c r="G20" i="12"/>
  <c r="X20" i="12"/>
  <c r="P20" i="12"/>
  <c r="P19" i="12"/>
  <c r="H46" i="2"/>
  <c r="H22" i="8"/>
  <c r="H21" i="8"/>
  <c r="I15" i="8"/>
  <c r="H15" i="8"/>
  <c r="L15" i="8" s="1"/>
  <c r="F42" i="2"/>
  <c r="F41" i="2"/>
  <c r="F40" i="2"/>
  <c r="F17" i="2"/>
  <c r="F16" i="2"/>
  <c r="E7" i="2"/>
  <c r="F15" i="2"/>
  <c r="D8" i="8"/>
  <c r="D9" i="8"/>
  <c r="D14" i="8" s="1"/>
  <c r="D11" i="8"/>
  <c r="L25" i="1"/>
  <c r="K25" i="1"/>
  <c r="J25" i="1"/>
  <c r="I25" i="1"/>
  <c r="H25" i="1"/>
  <c r="Q8" i="1"/>
  <c r="M8" i="1"/>
  <c r="L8" i="1"/>
  <c r="K8" i="1"/>
  <c r="J8" i="1"/>
  <c r="I8" i="1"/>
  <c r="H8" i="1"/>
  <c r="M15" i="1"/>
  <c r="L15" i="1"/>
  <c r="K15" i="1"/>
  <c r="J15" i="1"/>
  <c r="I15" i="1"/>
  <c r="H15" i="1"/>
  <c r="I14" i="8"/>
  <c r="P14" i="8" s="1"/>
  <c r="J14" i="8"/>
  <c r="J15" i="8"/>
  <c r="G16" i="12"/>
  <c r="Q16" i="12" s="1"/>
  <c r="H23" i="12"/>
  <c r="Q5" i="12"/>
  <c r="Q6" i="12"/>
  <c r="Q7" i="12"/>
  <c r="Q11" i="12"/>
  <c r="Q12" i="12"/>
  <c r="Q17" i="12"/>
  <c r="K18" i="12"/>
  <c r="L18" i="12"/>
  <c r="I18" i="12"/>
  <c r="O18" i="12" s="1"/>
  <c r="S18" i="12" s="1"/>
  <c r="H18" i="12"/>
  <c r="N18" i="12" s="1"/>
  <c r="H10" i="9"/>
  <c r="N10" i="9" s="1"/>
  <c r="I10" i="9"/>
  <c r="O10" i="9" s="1"/>
  <c r="L30" i="25"/>
  <c r="I30" i="25"/>
  <c r="H30" i="25"/>
  <c r="F30" i="25"/>
  <c r="E30" i="25"/>
  <c r="D30" i="25"/>
  <c r="C30" i="25"/>
  <c r="B30" i="25"/>
  <c r="J18" i="25"/>
  <c r="I18" i="25"/>
  <c r="H18" i="25"/>
  <c r="G18" i="25"/>
  <c r="F18" i="25"/>
  <c r="E18" i="25"/>
  <c r="D18" i="25"/>
  <c r="C18" i="25"/>
  <c r="B18" i="25"/>
  <c r="I16" i="12"/>
  <c r="O16" i="12" s="1"/>
  <c r="H16" i="12"/>
  <c r="N16" i="12" s="1"/>
  <c r="R16" i="12" s="1"/>
  <c r="F10" i="12"/>
  <c r="I10" i="12" s="1"/>
  <c r="C4" i="12"/>
  <c r="C10" i="12" s="1"/>
  <c r="D10" i="12" s="1"/>
  <c r="C11" i="6"/>
  <c r="C21" i="6" s="1"/>
  <c r="X16" i="12"/>
  <c r="Y16" i="12" s="1"/>
  <c r="K18" i="18"/>
  <c r="M9" i="18"/>
  <c r="N23" i="6"/>
  <c r="R23" i="6" s="1"/>
  <c r="C7" i="13"/>
  <c r="C10" i="13" s="1"/>
  <c r="E7" i="9"/>
  <c r="K7" i="9" s="1"/>
  <c r="C4" i="9"/>
  <c r="D4" i="9" s="1"/>
  <c r="F7" i="9"/>
  <c r="I7" i="9" s="1"/>
  <c r="O7" i="9" s="1"/>
  <c r="H14" i="1"/>
  <c r="N14" i="1" s="1"/>
  <c r="R14" i="1" s="1"/>
  <c r="I14" i="1"/>
  <c r="D6" i="6"/>
  <c r="I10" i="13"/>
  <c r="E4" i="13"/>
  <c r="I5" i="12"/>
  <c r="O5" i="12" s="1"/>
  <c r="U6" i="12"/>
  <c r="I11" i="12"/>
  <c r="O11" i="12" s="1"/>
  <c r="S11" i="12" s="1"/>
  <c r="U12" i="12"/>
  <c r="I17" i="12"/>
  <c r="O17" i="12" s="1"/>
  <c r="H5" i="12"/>
  <c r="J5" i="12" s="1"/>
  <c r="T6" i="12"/>
  <c r="E10" i="12"/>
  <c r="K10" i="12" s="1"/>
  <c r="H11" i="12"/>
  <c r="T12" i="12"/>
  <c r="H17" i="12"/>
  <c r="N17" i="12" s="1"/>
  <c r="S6" i="12"/>
  <c r="S12" i="12"/>
  <c r="R6" i="12"/>
  <c r="R12" i="12"/>
  <c r="K16" i="12"/>
  <c r="L16" i="12"/>
  <c r="Z10" i="12"/>
  <c r="AA10" i="12" s="1"/>
  <c r="AB5" i="12"/>
  <c r="AB11" i="12"/>
  <c r="AB12" i="12"/>
  <c r="AB16" i="12"/>
  <c r="AB17" i="12"/>
  <c r="AB18" i="12"/>
  <c r="H12" i="12"/>
  <c r="I12" i="12"/>
  <c r="P12" i="12"/>
  <c r="K5" i="12"/>
  <c r="L5" i="12"/>
  <c r="K11" i="12"/>
  <c r="L11" i="12"/>
  <c r="K12" i="12"/>
  <c r="L12" i="12"/>
  <c r="K17" i="12"/>
  <c r="L17" i="12"/>
  <c r="K10" i="9"/>
  <c r="L10" i="9"/>
  <c r="N14" i="8"/>
  <c r="M14" i="8"/>
  <c r="C13" i="1"/>
  <c r="Y14" i="8"/>
  <c r="Z14" i="8" s="1"/>
  <c r="G14" i="1"/>
  <c r="Q14" i="1" s="1"/>
  <c r="C7" i="1"/>
  <c r="D7" i="1" s="1"/>
  <c r="J18" i="18"/>
  <c r="Q11" i="7"/>
  <c r="E12" i="7"/>
  <c r="H12" i="7" s="1"/>
  <c r="H20" i="7"/>
  <c r="E11" i="7"/>
  <c r="E19" i="7" s="1"/>
  <c r="H19" i="7"/>
  <c r="C4" i="6"/>
  <c r="C10" i="6" s="1"/>
  <c r="N5" i="7"/>
  <c r="N6" i="7"/>
  <c r="N7" i="7"/>
  <c r="N10" i="7"/>
  <c r="N11" i="7"/>
  <c r="N12" i="7"/>
  <c r="N13" i="7"/>
  <c r="N18" i="7"/>
  <c r="N19" i="7"/>
  <c r="N20" i="7"/>
  <c r="N4" i="7"/>
  <c r="M5" i="7"/>
  <c r="M6" i="7"/>
  <c r="M7" i="7"/>
  <c r="M10" i="7"/>
  <c r="M11" i="7"/>
  <c r="M12" i="7"/>
  <c r="M13" i="7"/>
  <c r="M18" i="7"/>
  <c r="I19" i="7"/>
  <c r="M19" i="7" s="1"/>
  <c r="M20" i="7"/>
  <c r="M4" i="7"/>
  <c r="K20" i="7"/>
  <c r="L20" i="7" s="1"/>
  <c r="K18" i="7"/>
  <c r="L18" i="7" s="1"/>
  <c r="K11" i="7"/>
  <c r="L11" i="7" s="1"/>
  <c r="K12" i="7"/>
  <c r="L12" i="7" s="1"/>
  <c r="K10" i="7"/>
  <c r="L10" i="7" s="1"/>
  <c r="K5" i="7"/>
  <c r="L5" i="7" s="1"/>
  <c r="K6" i="7"/>
  <c r="L6" i="7" s="1"/>
  <c r="K7" i="7"/>
  <c r="L7" i="7" s="1"/>
  <c r="K4" i="7"/>
  <c r="L4" i="7" s="1"/>
  <c r="H21" i="7"/>
  <c r="H18" i="7"/>
  <c r="H13" i="7"/>
  <c r="H6" i="7"/>
  <c r="H7" i="7"/>
  <c r="C4" i="7"/>
  <c r="C10" i="7" s="1"/>
  <c r="C19" i="7"/>
  <c r="C5" i="7"/>
  <c r="D5" i="7" s="1"/>
  <c r="D21" i="7"/>
  <c r="D12" i="7"/>
  <c r="D13" i="7"/>
  <c r="D7" i="7"/>
  <c r="D6" i="7"/>
  <c r="O23" i="6"/>
  <c r="P13" i="6"/>
  <c r="Q13" i="6" s="1"/>
  <c r="C12" i="6"/>
  <c r="C23" i="6" s="1"/>
  <c r="D22" i="6"/>
  <c r="D5" i="6"/>
  <c r="I21" i="6"/>
  <c r="O21" i="6" s="1"/>
  <c r="S21" i="6" s="1"/>
  <c r="I22" i="6"/>
  <c r="O22" i="6" s="1"/>
  <c r="I12" i="6"/>
  <c r="O12" i="6" s="1"/>
  <c r="S12" i="6" s="1"/>
  <c r="S13" i="6"/>
  <c r="R13" i="6"/>
  <c r="S6" i="6"/>
  <c r="S7" i="6"/>
  <c r="H21" i="6"/>
  <c r="H22" i="6"/>
  <c r="N22" i="6" s="1"/>
  <c r="R22" i="6" s="1"/>
  <c r="E11" i="6"/>
  <c r="H11" i="6" s="1"/>
  <c r="H6" i="6"/>
  <c r="N6" i="6" s="1"/>
  <c r="R6" i="6" s="1"/>
  <c r="R7" i="6"/>
  <c r="P7" i="6"/>
  <c r="L6" i="6"/>
  <c r="L13" i="6"/>
  <c r="L23" i="6" s="1"/>
  <c r="L7" i="6"/>
  <c r="L12" i="6"/>
  <c r="L22" i="6" s="1"/>
  <c r="K6" i="6"/>
  <c r="I23" i="6"/>
  <c r="I13" i="6"/>
  <c r="I7" i="6"/>
  <c r="E24" i="1"/>
  <c r="H24" i="1" s="1"/>
  <c r="F24" i="1"/>
  <c r="I24" i="1" s="1"/>
  <c r="O24" i="1" s="1"/>
  <c r="S24" i="1" s="1"/>
  <c r="N25" i="1"/>
  <c r="R25" i="1" s="1"/>
  <c r="O25" i="1"/>
  <c r="S25" i="1" s="1"/>
  <c r="P15" i="1"/>
  <c r="Q15" i="1" s="1"/>
  <c r="C5" i="1"/>
  <c r="C12" i="1" s="1"/>
  <c r="U22" i="1"/>
  <c r="P8" i="1"/>
  <c r="S29" i="1"/>
  <c r="K14" i="1"/>
  <c r="K24" i="1" s="1"/>
  <c r="L14" i="1"/>
  <c r="L24" i="1" s="1"/>
  <c r="R9" i="1"/>
  <c r="D4" i="13"/>
  <c r="R8" i="1"/>
  <c r="S15" i="1"/>
  <c r="S8" i="1"/>
  <c r="R15" i="1"/>
  <c r="Y14" i="1"/>
  <c r="D4" i="18"/>
  <c r="D8" i="18"/>
  <c r="D17" i="18"/>
  <c r="C11" i="12"/>
  <c r="C17" i="12" s="1"/>
  <c r="U11" i="1"/>
  <c r="V10" i="12"/>
  <c r="W10" i="12"/>
  <c r="P4" i="18"/>
  <c r="O8" i="18"/>
  <c r="O4" i="18" s="1"/>
  <c r="E27" i="18"/>
  <c r="E26" i="18"/>
  <c r="P8" i="18"/>
  <c r="G7" i="13"/>
  <c r="K10" i="13"/>
  <c r="V7" i="9"/>
  <c r="W7" i="9"/>
  <c r="X10" i="9"/>
  <c r="Y10" i="9" s="1"/>
  <c r="E5" i="8"/>
  <c r="E4" i="8"/>
  <c r="D6" i="1"/>
  <c r="O10" i="7"/>
  <c r="P10" i="7"/>
  <c r="U21" i="6"/>
  <c r="U19" i="6"/>
  <c r="U10" i="6" s="1"/>
  <c r="U13" i="1"/>
  <c r="U23" i="1" s="1"/>
  <c r="U24" i="1"/>
  <c r="T14" i="1"/>
  <c r="T11" i="6"/>
  <c r="T12" i="1"/>
  <c r="T22" i="1" s="1"/>
  <c r="T13" i="1"/>
  <c r="T11" i="1"/>
  <c r="U12" i="1"/>
  <c r="T10" i="6"/>
  <c r="E23" i="12"/>
  <c r="B44" i="12"/>
  <c r="B43" i="12"/>
  <c r="C43" i="12" s="1"/>
  <c r="G18" i="7"/>
  <c r="C257" i="36"/>
  <c r="BM23" i="49"/>
  <c r="BK23" i="49"/>
  <c r="BI23" i="49"/>
  <c r="BL23" i="49"/>
  <c r="O35" i="24"/>
  <c r="T35" i="24"/>
  <c r="S35" i="24"/>
  <c r="D38" i="24"/>
  <c r="B26" i="23" s="1"/>
  <c r="M35" i="24"/>
  <c r="U35" i="24"/>
  <c r="F35" i="24"/>
  <c r="E11" i="1"/>
  <c r="E13" i="1"/>
  <c r="H13" i="1" s="1"/>
  <c r="G10" i="7"/>
  <c r="C28" i="36"/>
  <c r="D28" i="36" s="1"/>
  <c r="F20" i="70" l="1"/>
  <c r="C39" i="70" s="1"/>
  <c r="S12" i="49"/>
  <c r="M18" i="18"/>
  <c r="N18" i="18" s="1"/>
  <c r="J12" i="12"/>
  <c r="K16" i="8"/>
  <c r="I12" i="18"/>
  <c r="N5" i="12"/>
  <c r="R5" i="12" s="1"/>
  <c r="L10" i="12"/>
  <c r="M10" i="12" s="1"/>
  <c r="H28" i="1"/>
  <c r="J28" i="1" s="1"/>
  <c r="D4" i="7"/>
  <c r="C7" i="9"/>
  <c r="D7" i="9" s="1"/>
  <c r="F13" i="1"/>
  <c r="F6" i="1" s="1"/>
  <c r="F12" i="1"/>
  <c r="I12" i="1" s="1"/>
  <c r="O12" i="1" s="1"/>
  <c r="S12" i="1" s="1"/>
  <c r="M24" i="6"/>
  <c r="P23" i="6"/>
  <c r="Q23" i="6" s="1"/>
  <c r="I9" i="8"/>
  <c r="P9" i="8" s="1"/>
  <c r="T9" i="8" s="1"/>
  <c r="K4" i="13"/>
  <c r="D7" i="13"/>
  <c r="M11" i="12"/>
  <c r="M18" i="12"/>
  <c r="D11" i="6"/>
  <c r="D4" i="1"/>
  <c r="J11" i="12"/>
  <c r="D11" i="7"/>
  <c r="M16" i="12"/>
  <c r="U6" i="1"/>
  <c r="M5" i="12"/>
  <c r="H10" i="12"/>
  <c r="N10" i="12" s="1"/>
  <c r="T10" i="12" s="1"/>
  <c r="F38" i="24"/>
  <c r="H25" i="23" s="1"/>
  <c r="D13" i="1"/>
  <c r="H9" i="8"/>
  <c r="S9" i="8" s="1"/>
  <c r="U4" i="6"/>
  <c r="V11" i="12"/>
  <c r="V17" i="12" s="1"/>
  <c r="C23" i="1"/>
  <c r="D23" i="1" s="1"/>
  <c r="N9" i="8"/>
  <c r="O9" i="8" s="1"/>
  <c r="X10" i="12"/>
  <c r="Y10" i="12" s="1"/>
  <c r="J6" i="6"/>
  <c r="D4" i="12"/>
  <c r="K21" i="7"/>
  <c r="L21" i="7" s="1"/>
  <c r="J18" i="1"/>
  <c r="G27" i="1"/>
  <c r="C260" i="36"/>
  <c r="I10" i="6"/>
  <c r="O10" i="6" s="1"/>
  <c r="S10" i="6" s="1"/>
  <c r="F19" i="6"/>
  <c r="I19" i="6" s="1"/>
  <c r="O19" i="6" s="1"/>
  <c r="S19" i="6" s="1"/>
  <c r="L10" i="6"/>
  <c r="L19" i="6" s="1"/>
  <c r="G4" i="13"/>
  <c r="D10" i="13"/>
  <c r="F5" i="6"/>
  <c r="L5" i="6" s="1"/>
  <c r="E5" i="6"/>
  <c r="D21" i="6"/>
  <c r="T5" i="6"/>
  <c r="AC10" i="12"/>
  <c r="AB10" i="12"/>
  <c r="AD10" i="12" s="1"/>
  <c r="P4" i="7"/>
  <c r="T16" i="12"/>
  <c r="L22" i="7"/>
  <c r="J21" i="6"/>
  <c r="L7" i="9"/>
  <c r="M7" i="9" s="1"/>
  <c r="O14" i="8"/>
  <c r="M10" i="9"/>
  <c r="M21" i="7"/>
  <c r="J15" i="6"/>
  <c r="J25" i="6" s="1"/>
  <c r="L11" i="1"/>
  <c r="L21" i="1" s="1"/>
  <c r="N21" i="6"/>
  <c r="P21" i="6" s="1"/>
  <c r="J22" i="6"/>
  <c r="T6" i="1"/>
  <c r="F7" i="13"/>
  <c r="I21" i="18"/>
  <c r="E6" i="1"/>
  <c r="K13" i="1"/>
  <c r="K23" i="1" s="1"/>
  <c r="N11" i="12"/>
  <c r="P11" i="12" s="1"/>
  <c r="M12" i="12"/>
  <c r="S23" i="6"/>
  <c r="F4" i="12"/>
  <c r="J24" i="1"/>
  <c r="K11" i="6"/>
  <c r="K21" i="6" s="1"/>
  <c r="X7" i="9"/>
  <c r="Y7" i="9" s="1"/>
  <c r="R16" i="8"/>
  <c r="S7" i="9"/>
  <c r="U7" i="9"/>
  <c r="N8" i="8"/>
  <c r="J8" i="8"/>
  <c r="Q8" i="8" s="1"/>
  <c r="U8" i="8" s="1"/>
  <c r="G13" i="8"/>
  <c r="N13" i="8" s="1"/>
  <c r="E22" i="1"/>
  <c r="K12" i="1"/>
  <c r="H12" i="1"/>
  <c r="F4" i="1"/>
  <c r="D11" i="1"/>
  <c r="C21" i="1"/>
  <c r="T4" i="1"/>
  <c r="E4" i="1"/>
  <c r="J18" i="12"/>
  <c r="U5" i="6"/>
  <c r="T12" i="49"/>
  <c r="P25" i="1"/>
  <c r="Q25" i="1" s="1"/>
  <c r="G11" i="1"/>
  <c r="G21" i="1" s="1"/>
  <c r="G24" i="1"/>
  <c r="Q24" i="1" s="1"/>
  <c r="J14" i="1"/>
  <c r="I11" i="18"/>
  <c r="K19" i="7"/>
  <c r="L19" i="7" s="1"/>
  <c r="T23" i="1"/>
  <c r="D5" i="1"/>
  <c r="T38" i="24"/>
  <c r="U38" i="24"/>
  <c r="V38" i="24"/>
  <c r="I38" i="24"/>
  <c r="H38" i="70" s="1"/>
  <c r="K38" i="24"/>
  <c r="H23" i="23" s="1"/>
  <c r="M38" i="24"/>
  <c r="H44" i="70" s="1"/>
  <c r="S38" i="24"/>
  <c r="H32" i="23" s="1"/>
  <c r="Q38" i="24"/>
  <c r="H29" i="23" s="1"/>
  <c r="O38" i="24"/>
  <c r="O39" i="24" s="1"/>
  <c r="I11" i="1"/>
  <c r="O11" i="1" s="1"/>
  <c r="S11" i="1" s="1"/>
  <c r="M14" i="1"/>
  <c r="M24" i="1" s="1"/>
  <c r="K15" i="8"/>
  <c r="I13" i="1"/>
  <c r="O13" i="1" s="1"/>
  <c r="S13" i="1" s="1"/>
  <c r="U11" i="12"/>
  <c r="O16" i="8"/>
  <c r="I20" i="18"/>
  <c r="G4" i="8"/>
  <c r="N4" i="8" s="1"/>
  <c r="D19" i="7"/>
  <c r="K14" i="8"/>
  <c r="M17" i="12"/>
  <c r="J17" i="12"/>
  <c r="N13" i="1"/>
  <c r="F4" i="6"/>
  <c r="D10" i="6"/>
  <c r="C19" i="6"/>
  <c r="Q9" i="8"/>
  <c r="U9" i="8" s="1"/>
  <c r="C22" i="1"/>
  <c r="E5" i="1"/>
  <c r="D12" i="1"/>
  <c r="N11" i="6"/>
  <c r="P22" i="6"/>
  <c r="S22" i="6"/>
  <c r="S17" i="12"/>
  <c r="U17" i="12"/>
  <c r="U10" i="9"/>
  <c r="S10" i="9"/>
  <c r="I8" i="8"/>
  <c r="M8" i="8"/>
  <c r="H8" i="8"/>
  <c r="F13" i="8"/>
  <c r="F4" i="8"/>
  <c r="P10" i="9"/>
  <c r="Q10" i="9" s="1"/>
  <c r="T10" i="9"/>
  <c r="R10" i="9"/>
  <c r="F5" i="8"/>
  <c r="E14" i="8"/>
  <c r="G5" i="8"/>
  <c r="R18" i="12"/>
  <c r="T18" i="12"/>
  <c r="P18" i="12"/>
  <c r="P17" i="12"/>
  <c r="O10" i="12"/>
  <c r="K10" i="6"/>
  <c r="E4" i="6"/>
  <c r="E19" i="6"/>
  <c r="H19" i="6" s="1"/>
  <c r="G10" i="6"/>
  <c r="G19" i="6" s="1"/>
  <c r="H10" i="6"/>
  <c r="U5" i="12"/>
  <c r="S5" i="12"/>
  <c r="P16" i="12"/>
  <c r="S16" i="12"/>
  <c r="U16" i="12"/>
  <c r="H11" i="1"/>
  <c r="E8" i="8"/>
  <c r="N24" i="1"/>
  <c r="C14" i="1"/>
  <c r="R17" i="12"/>
  <c r="H7" i="9"/>
  <c r="Q14" i="8"/>
  <c r="U14" i="8" s="1"/>
  <c r="E9" i="8"/>
  <c r="L16" i="8"/>
  <c r="I27" i="1"/>
  <c r="J27" i="1" s="1"/>
  <c r="C16" i="12"/>
  <c r="E12" i="6"/>
  <c r="E21" i="1"/>
  <c r="H21" i="1" s="1"/>
  <c r="D12" i="6"/>
  <c r="D10" i="7"/>
  <c r="D4" i="6"/>
  <c r="O14" i="1"/>
  <c r="T14" i="8"/>
  <c r="C8" i="8"/>
  <c r="J16" i="6"/>
  <c r="J26" i="6" s="1"/>
  <c r="E4" i="12"/>
  <c r="O4" i="7"/>
  <c r="E23" i="1"/>
  <c r="H23" i="1" s="1"/>
  <c r="K11" i="1"/>
  <c r="D13" i="8"/>
  <c r="C18" i="7"/>
  <c r="J10" i="9"/>
  <c r="J16" i="12"/>
  <c r="G10" i="12"/>
  <c r="Q10" i="12" s="1"/>
  <c r="C140" i="36"/>
  <c r="D140" i="36" s="1"/>
  <c r="T17" i="12"/>
  <c r="E4" i="9"/>
  <c r="U11" i="6"/>
  <c r="U18" i="12"/>
  <c r="J20" i="49"/>
  <c r="C464" i="36" s="1"/>
  <c r="AH22" i="49"/>
  <c r="BA21" i="49"/>
  <c r="BB21" i="49" s="1"/>
  <c r="AZ21" i="49"/>
  <c r="C35" i="28"/>
  <c r="I27" i="74"/>
  <c r="C35" i="74" s="1"/>
  <c r="W16" i="49"/>
  <c r="AH11" i="49"/>
  <c r="C85" i="36" s="1"/>
  <c r="D85" i="36" s="1"/>
  <c r="C197" i="36"/>
  <c r="D197" i="36" s="1"/>
  <c r="AG16" i="49"/>
  <c r="C254" i="36" s="1"/>
  <c r="AP17" i="49"/>
  <c r="AQ17" i="49" s="1"/>
  <c r="AR17" i="49" s="1"/>
  <c r="I19" i="49"/>
  <c r="G20" i="49"/>
  <c r="C462" i="36" s="1"/>
  <c r="AS18" i="49"/>
  <c r="AH19" i="49"/>
  <c r="C428" i="36" s="1"/>
  <c r="W22" i="49"/>
  <c r="AS16" i="49"/>
  <c r="C266" i="36" s="1"/>
  <c r="AP16" i="49"/>
  <c r="AA10" i="49"/>
  <c r="AC10" i="49" s="1"/>
  <c r="AK12" i="49"/>
  <c r="AO12" i="49" s="1"/>
  <c r="AG12" i="49"/>
  <c r="AB16" i="49"/>
  <c r="C251" i="36" s="1"/>
  <c r="C250" i="36"/>
  <c r="F18" i="49"/>
  <c r="C347" i="36" s="1"/>
  <c r="C328" i="36"/>
  <c r="P12" i="49"/>
  <c r="AK19" i="49"/>
  <c r="C433" i="36" s="1"/>
  <c r="G19" i="49"/>
  <c r="C405" i="36" s="1"/>
  <c r="C402" i="36"/>
  <c r="C483" i="36"/>
  <c r="K19" i="49"/>
  <c r="C408" i="36" s="1"/>
  <c r="BS22" i="49"/>
  <c r="J19" i="49"/>
  <c r="C407" i="36" s="1"/>
  <c r="R11" i="49"/>
  <c r="C73" i="36" s="1"/>
  <c r="D73" i="36" s="1"/>
  <c r="W15" i="49"/>
  <c r="X12" i="49"/>
  <c r="AX18" i="49"/>
  <c r="C387" i="36" s="1"/>
  <c r="AH13" i="49"/>
  <c r="C142" i="36" s="1"/>
  <c r="D142" i="36" s="1"/>
  <c r="J18" i="49"/>
  <c r="C350" i="36" s="1"/>
  <c r="AH17" i="49"/>
  <c r="C314" i="36" s="1"/>
  <c r="C469" i="36"/>
  <c r="V22" i="49"/>
  <c r="R22" i="49"/>
  <c r="X22" i="49"/>
  <c r="G11" i="49"/>
  <c r="C63" i="36" s="1"/>
  <c r="D63" i="36" s="1"/>
  <c r="AK21" i="49"/>
  <c r="AO21" i="49" s="1"/>
  <c r="AK13" i="49"/>
  <c r="C230" i="36"/>
  <c r="AA19" i="49"/>
  <c r="AC19" i="49" s="1"/>
  <c r="AA18" i="49"/>
  <c r="AC18" i="49" s="1"/>
  <c r="P14" i="49"/>
  <c r="U12" i="49"/>
  <c r="AN19" i="49"/>
  <c r="J12" i="49"/>
  <c r="C87" i="36"/>
  <c r="D87" i="36" s="1"/>
  <c r="H12" i="49"/>
  <c r="AN15" i="49"/>
  <c r="AK22" i="49"/>
  <c r="AO22" i="49" s="1"/>
  <c r="AG19" i="49"/>
  <c r="C427" i="36" s="1"/>
  <c r="Z18" i="49"/>
  <c r="K15" i="49"/>
  <c r="C180" i="36" s="1"/>
  <c r="D180" i="36" s="1"/>
  <c r="G15" i="49"/>
  <c r="C177" i="36" s="1"/>
  <c r="D177" i="36" s="1"/>
  <c r="C174" i="36"/>
  <c r="D174" i="36" s="1"/>
  <c r="T11" i="49"/>
  <c r="C75" i="36" s="1"/>
  <c r="D75" i="36" s="1"/>
  <c r="AX19" i="49"/>
  <c r="C444" i="36" s="1"/>
  <c r="V16" i="49"/>
  <c r="C247" i="36" s="1"/>
  <c r="Z19" i="49"/>
  <c r="I20" i="49"/>
  <c r="Q11" i="49"/>
  <c r="C72" i="36" s="1"/>
  <c r="D72" i="36" s="1"/>
  <c r="I12" i="49"/>
  <c r="AX22" i="49"/>
  <c r="AY22" i="49" s="1"/>
  <c r="C144" i="36"/>
  <c r="D144" i="36" s="1"/>
  <c r="U11" i="49"/>
  <c r="C76" i="36" s="1"/>
  <c r="D76" i="36" s="1"/>
  <c r="C205" i="36"/>
  <c r="D205" i="36" s="1"/>
  <c r="T20" i="49"/>
  <c r="C474" i="36" s="1"/>
  <c r="Z15" i="49"/>
  <c r="AB15" i="49" s="1"/>
  <c r="C195" i="36" s="1"/>
  <c r="D195" i="36" s="1"/>
  <c r="C83" i="36"/>
  <c r="D83" i="36" s="1"/>
  <c r="AG17" i="49"/>
  <c r="C313" i="36" s="1"/>
  <c r="T15" i="49"/>
  <c r="C189" i="36" s="1"/>
  <c r="D189" i="36" s="1"/>
  <c r="S11" i="49"/>
  <c r="C74" i="36" s="1"/>
  <c r="D74" i="36" s="1"/>
  <c r="C70" i="36"/>
  <c r="D70" i="36" s="1"/>
  <c r="C201" i="36"/>
  <c r="D201" i="36" s="1"/>
  <c r="C60" i="36"/>
  <c r="D60" i="36" s="1"/>
  <c r="C44" i="36"/>
  <c r="D44" i="36" s="1"/>
  <c r="H10" i="49"/>
  <c r="C9" i="36" s="1"/>
  <c r="D9" i="36" s="1"/>
  <c r="P11" i="49"/>
  <c r="C71" i="36" s="1"/>
  <c r="D71" i="36" s="1"/>
  <c r="C499" i="36"/>
  <c r="C184" i="36"/>
  <c r="D184" i="36" s="1"/>
  <c r="C5" i="36"/>
  <c r="D5" i="36" s="1"/>
  <c r="AG20" i="49"/>
  <c r="C484" i="36" s="1"/>
  <c r="BS11" i="49"/>
  <c r="AP21" i="49"/>
  <c r="AQ21" i="49" s="1"/>
  <c r="AR21" i="49" s="1"/>
  <c r="AS21" i="49"/>
  <c r="X21" i="49"/>
  <c r="U21" i="49"/>
  <c r="V21" i="49"/>
  <c r="R21" i="49"/>
  <c r="AH21" i="49"/>
  <c r="T21" i="49"/>
  <c r="P21" i="49"/>
  <c r="S21" i="49"/>
  <c r="BS21" i="49"/>
  <c r="Q20" i="49"/>
  <c r="C471" i="36" s="1"/>
  <c r="S20" i="49"/>
  <c r="C473" i="36" s="1"/>
  <c r="U20" i="49"/>
  <c r="C475" i="36" s="1"/>
  <c r="P20" i="49"/>
  <c r="C470" i="36" s="1"/>
  <c r="AD23" i="49"/>
  <c r="X20" i="49"/>
  <c r="C477" i="36" s="1"/>
  <c r="V20" i="49"/>
  <c r="C476" i="36" s="1"/>
  <c r="R20" i="49"/>
  <c r="C472" i="36" s="1"/>
  <c r="W20" i="49"/>
  <c r="H18" i="49"/>
  <c r="C349" i="36" s="1"/>
  <c r="AG18" i="49"/>
  <c r="C369" i="36" s="1"/>
  <c r="S16" i="49"/>
  <c r="C244" i="36" s="1"/>
  <c r="H16" i="49"/>
  <c r="C234" i="36" s="1"/>
  <c r="AH16" i="49"/>
  <c r="C255" i="36" s="1"/>
  <c r="H19" i="49"/>
  <c r="C406" i="36" s="1"/>
  <c r="AK11" i="49"/>
  <c r="C90" i="36" s="1"/>
  <c r="D90" i="36" s="1"/>
  <c r="X11" i="49"/>
  <c r="C78" i="36" s="1"/>
  <c r="D78" i="36" s="1"/>
  <c r="AX11" i="49"/>
  <c r="AY11" i="49" s="1"/>
  <c r="B24" i="49"/>
  <c r="B25" i="49" s="1"/>
  <c r="AX10" i="49"/>
  <c r="AY10" i="49" s="1"/>
  <c r="AN20" i="49"/>
  <c r="AK20" i="49"/>
  <c r="C208" i="36"/>
  <c r="D208" i="36" s="1"/>
  <c r="AO15" i="49"/>
  <c r="C210" i="36" s="1"/>
  <c r="D210" i="36" s="1"/>
  <c r="U19" i="49"/>
  <c r="C418" i="36" s="1"/>
  <c r="W19" i="49"/>
  <c r="X19" i="49"/>
  <c r="C420" i="36" s="1"/>
  <c r="Q19" i="49"/>
  <c r="C414" i="36" s="1"/>
  <c r="R19" i="49"/>
  <c r="C415" i="36" s="1"/>
  <c r="V19" i="49"/>
  <c r="C419" i="36" s="1"/>
  <c r="S19" i="49"/>
  <c r="C416" i="36" s="1"/>
  <c r="BS19" i="49"/>
  <c r="C412" i="36"/>
  <c r="T19" i="49"/>
  <c r="C417" i="36" s="1"/>
  <c r="G21" i="49"/>
  <c r="K21" i="49"/>
  <c r="H21" i="49"/>
  <c r="F21" i="49"/>
  <c r="I21" i="49"/>
  <c r="G22" i="49"/>
  <c r="K22" i="49"/>
  <c r="AA13" i="49"/>
  <c r="AC13" i="49" s="1"/>
  <c r="C156" i="36"/>
  <c r="D156" i="36" s="1"/>
  <c r="K12" i="49"/>
  <c r="T14" i="49"/>
  <c r="C309" i="36"/>
  <c r="P16" i="49"/>
  <c r="C241" i="36" s="1"/>
  <c r="I22" i="49"/>
  <c r="AX13" i="49"/>
  <c r="G16" i="49"/>
  <c r="C233" i="36" s="1"/>
  <c r="K16" i="49"/>
  <c r="C236" i="36" s="1"/>
  <c r="K10" i="49"/>
  <c r="C11" i="36" s="1"/>
  <c r="D11" i="36" s="1"/>
  <c r="F16" i="49"/>
  <c r="C232" i="36" s="1"/>
  <c r="T16" i="49"/>
  <c r="C245" i="36" s="1"/>
  <c r="Z20" i="49"/>
  <c r="H22" i="49"/>
  <c r="J10" i="49"/>
  <c r="C10" i="36" s="1"/>
  <c r="D10" i="36" s="1"/>
  <c r="AP13" i="49"/>
  <c r="U15" i="49"/>
  <c r="C190" i="36" s="1"/>
  <c r="D190" i="36" s="1"/>
  <c r="Q16" i="49"/>
  <c r="C242" i="36" s="1"/>
  <c r="W21" i="49"/>
  <c r="AP22" i="49"/>
  <c r="AQ22" i="49" s="1"/>
  <c r="AR22" i="49" s="1"/>
  <c r="AS22" i="49"/>
  <c r="C459" i="36"/>
  <c r="F20" i="49"/>
  <c r="C461" i="36" s="1"/>
  <c r="AB10" i="49"/>
  <c r="C26" i="36" s="1"/>
  <c r="D26" i="36" s="1"/>
  <c r="C25" i="36"/>
  <c r="D25" i="36" s="1"/>
  <c r="AA17" i="49"/>
  <c r="AC17" i="49" s="1"/>
  <c r="AX17" i="49"/>
  <c r="I18" i="49"/>
  <c r="C345" i="36"/>
  <c r="AA12" i="49"/>
  <c r="AC12" i="49" s="1"/>
  <c r="Z12" i="49"/>
  <c r="AB12" i="49" s="1"/>
  <c r="AH18" i="49"/>
  <c r="C370" i="36" s="1"/>
  <c r="C240" i="36"/>
  <c r="F12" i="49"/>
  <c r="AA21" i="49"/>
  <c r="AC21" i="49" s="1"/>
  <c r="Z21" i="49"/>
  <c r="AB21" i="49" s="1"/>
  <c r="AS12" i="49"/>
  <c r="U22" i="49"/>
  <c r="S22" i="49"/>
  <c r="J16" i="49"/>
  <c r="C235" i="36" s="1"/>
  <c r="R16" i="49"/>
  <c r="C243" i="36" s="1"/>
  <c r="Z13" i="49"/>
  <c r="J22" i="49"/>
  <c r="K18" i="49"/>
  <c r="C351" i="36" s="1"/>
  <c r="BS16" i="49"/>
  <c r="Q12" i="49"/>
  <c r="BS12" i="49"/>
  <c r="R12" i="49"/>
  <c r="V12" i="49"/>
  <c r="P22" i="49"/>
  <c r="Q22" i="49"/>
  <c r="U16" i="49"/>
  <c r="C246" i="36" s="1"/>
  <c r="AX12" i="49"/>
  <c r="AY12" i="49" s="1"/>
  <c r="C148" i="36"/>
  <c r="D148" i="36" s="1"/>
  <c r="K20" i="49"/>
  <c r="C465" i="36" s="1"/>
  <c r="AX20" i="49"/>
  <c r="H15" i="49"/>
  <c r="C178" i="36" s="1"/>
  <c r="D178" i="36" s="1"/>
  <c r="Z22" i="49"/>
  <c r="AB22" i="49" s="1"/>
  <c r="AA16" i="49"/>
  <c r="AC16" i="49" s="1"/>
  <c r="AX16" i="49"/>
  <c r="C269" i="36"/>
  <c r="V11" i="49"/>
  <c r="C77" i="36" s="1"/>
  <c r="D77" i="36" s="1"/>
  <c r="P15" i="49"/>
  <c r="C185" i="36" s="1"/>
  <c r="D185" i="36" s="1"/>
  <c r="R15" i="49"/>
  <c r="C187" i="36" s="1"/>
  <c r="D187" i="36" s="1"/>
  <c r="BS15" i="49"/>
  <c r="BR23" i="49"/>
  <c r="C33" i="66" s="1"/>
  <c r="I15" i="49"/>
  <c r="AG15" i="49"/>
  <c r="C198" i="36" s="1"/>
  <c r="D198" i="36" s="1"/>
  <c r="AH14" i="49"/>
  <c r="C203" i="36" s="1"/>
  <c r="D203" i="36" s="1"/>
  <c r="AA15" i="49"/>
  <c r="AC15" i="49" s="1"/>
  <c r="BP23" i="49"/>
  <c r="C30" i="66" s="1"/>
  <c r="Q15" i="49"/>
  <c r="C186" i="36" s="1"/>
  <c r="D186" i="36" s="1"/>
  <c r="S15" i="49"/>
  <c r="C188" i="36" s="1"/>
  <c r="D188" i="36" s="1"/>
  <c r="X15" i="49"/>
  <c r="C192" i="36" s="1"/>
  <c r="D192" i="36" s="1"/>
  <c r="AX15" i="49"/>
  <c r="J15" i="49"/>
  <c r="C179" i="36" s="1"/>
  <c r="D179" i="36" s="1"/>
  <c r="BO23" i="49"/>
  <c r="S14" i="49"/>
  <c r="J14" i="49"/>
  <c r="Z14" i="49"/>
  <c r="AB14" i="49" s="1"/>
  <c r="AX14" i="49"/>
  <c r="AY14" i="49" s="1"/>
  <c r="K14" i="49"/>
  <c r="AP14" i="49"/>
  <c r="AQ14" i="49" s="1"/>
  <c r="AR14" i="49" s="1"/>
  <c r="AS14" i="49"/>
  <c r="W14" i="49"/>
  <c r="BS14" i="49"/>
  <c r="H14" i="49"/>
  <c r="V14" i="49"/>
  <c r="F14" i="49"/>
  <c r="Q14" i="49"/>
  <c r="G14" i="49"/>
  <c r="N23" i="49"/>
  <c r="U14" i="49"/>
  <c r="R14" i="49"/>
  <c r="AK14" i="49"/>
  <c r="AO14" i="49" s="1"/>
  <c r="C91" i="36"/>
  <c r="D91" i="36" s="1"/>
  <c r="AS11" i="49"/>
  <c r="C96" i="36" s="1"/>
  <c r="D96" i="36" s="1"/>
  <c r="AP11" i="49"/>
  <c r="Z11" i="49"/>
  <c r="K11" i="49"/>
  <c r="C66" i="36" s="1"/>
  <c r="D66" i="36" s="1"/>
  <c r="H11" i="49"/>
  <c r="C64" i="36" s="1"/>
  <c r="D64" i="36" s="1"/>
  <c r="C99" i="36"/>
  <c r="D99" i="36" s="1"/>
  <c r="J11" i="49"/>
  <c r="F11" i="49"/>
  <c r="C62" i="36" s="1"/>
  <c r="D62" i="36" s="1"/>
  <c r="BQ23" i="49"/>
  <c r="C32" i="66" s="1"/>
  <c r="AU23" i="49"/>
  <c r="AJ23" i="49"/>
  <c r="H34" i="74" s="1"/>
  <c r="AF23" i="49"/>
  <c r="J27" i="28"/>
  <c r="AL23" i="49"/>
  <c r="C36" i="36"/>
  <c r="D36" i="36" s="1"/>
  <c r="AS10" i="49"/>
  <c r="B26" i="66"/>
  <c r="C27" i="66" s="1"/>
  <c r="C32" i="36"/>
  <c r="D32" i="36" s="1"/>
  <c r="G10" i="49"/>
  <c r="C30" i="36"/>
  <c r="D30" i="36" s="1"/>
  <c r="E23" i="49"/>
  <c r="H40" i="74" s="1"/>
  <c r="F10" i="49"/>
  <c r="AK10" i="49"/>
  <c r="H42" i="70" l="1"/>
  <c r="F5" i="1"/>
  <c r="G13" i="1"/>
  <c r="K9" i="8"/>
  <c r="R10" i="12"/>
  <c r="P10" i="12"/>
  <c r="L13" i="1"/>
  <c r="L23" i="1" s="1"/>
  <c r="F23" i="1"/>
  <c r="I23" i="1" s="1"/>
  <c r="O23" i="1" s="1"/>
  <c r="S23" i="1" s="1"/>
  <c r="C10" i="9"/>
  <c r="F4" i="9"/>
  <c r="L4" i="9" s="1"/>
  <c r="G12" i="1"/>
  <c r="G22" i="1" s="1"/>
  <c r="Q22" i="1" s="1"/>
  <c r="I6" i="1"/>
  <c r="O6" i="1" s="1"/>
  <c r="S6" i="1" s="1"/>
  <c r="G6" i="1"/>
  <c r="Q6" i="1" s="1"/>
  <c r="L6" i="1"/>
  <c r="R11" i="12"/>
  <c r="J10" i="12"/>
  <c r="G5" i="6"/>
  <c r="J13" i="8"/>
  <c r="Q13" i="8" s="1"/>
  <c r="U13" i="8" s="1"/>
  <c r="R21" i="6"/>
  <c r="H14" i="8"/>
  <c r="L14" i="8" s="1"/>
  <c r="T5" i="12"/>
  <c r="O8" i="8"/>
  <c r="T11" i="12"/>
  <c r="L9" i="8"/>
  <c r="H46" i="70"/>
  <c r="P5" i="12"/>
  <c r="L12" i="1"/>
  <c r="L22" i="1" s="1"/>
  <c r="F22" i="1"/>
  <c r="I22" i="1" s="1"/>
  <c r="O22" i="1" s="1"/>
  <c r="S22" i="1" s="1"/>
  <c r="J4" i="8"/>
  <c r="Q4" i="8" s="1"/>
  <c r="U4" i="8" s="1"/>
  <c r="H21" i="23"/>
  <c r="Q11" i="1"/>
  <c r="H52" i="70"/>
  <c r="F34" i="23"/>
  <c r="H27" i="23"/>
  <c r="S39" i="24"/>
  <c r="L4" i="12"/>
  <c r="I4" i="12"/>
  <c r="O4" i="12" s="1"/>
  <c r="AE10" i="12"/>
  <c r="K5" i="6"/>
  <c r="M5" i="6" s="1"/>
  <c r="H5" i="6"/>
  <c r="I5" i="6"/>
  <c r="O5" i="6" s="1"/>
  <c r="S5" i="6" s="1"/>
  <c r="F11" i="6"/>
  <c r="K6" i="1"/>
  <c r="H6" i="1"/>
  <c r="E7" i="13"/>
  <c r="F10" i="13"/>
  <c r="E10" i="13" s="1"/>
  <c r="H40" i="70"/>
  <c r="I4" i="1"/>
  <c r="O4" i="1" s="1"/>
  <c r="S4" i="1" s="1"/>
  <c r="L4" i="1"/>
  <c r="AO19" i="49"/>
  <c r="C435" i="36" s="1"/>
  <c r="J12" i="1"/>
  <c r="N12" i="1"/>
  <c r="H50" i="70"/>
  <c r="K22" i="1"/>
  <c r="M13" i="1"/>
  <c r="M23" i="1" s="1"/>
  <c r="H22" i="1"/>
  <c r="Q13" i="1"/>
  <c r="G23" i="1"/>
  <c r="Q23" i="1" s="1"/>
  <c r="K4" i="1"/>
  <c r="G4" i="1"/>
  <c r="Q4" i="1" s="1"/>
  <c r="H4" i="1"/>
  <c r="T5" i="1"/>
  <c r="U4" i="1"/>
  <c r="D21" i="1"/>
  <c r="J13" i="1"/>
  <c r="N23" i="1"/>
  <c r="D14" i="1"/>
  <c r="C24" i="1"/>
  <c r="E7" i="1"/>
  <c r="Y7" i="1"/>
  <c r="F7" i="1"/>
  <c r="H5" i="8"/>
  <c r="I5" i="8"/>
  <c r="M5" i="8"/>
  <c r="H12" i="6"/>
  <c r="N12" i="6" s="1"/>
  <c r="E23" i="6"/>
  <c r="K12" i="6"/>
  <c r="K22" i="6" s="1"/>
  <c r="N10" i="6"/>
  <c r="J10" i="6"/>
  <c r="R11" i="6"/>
  <c r="P24" i="1"/>
  <c r="R24" i="1"/>
  <c r="V4" i="12"/>
  <c r="D16" i="12"/>
  <c r="Z4" i="12"/>
  <c r="W4" i="12"/>
  <c r="G7" i="1"/>
  <c r="Q19" i="6"/>
  <c r="I4" i="8"/>
  <c r="M4" i="8"/>
  <c r="O4" i="8" s="1"/>
  <c r="H4" i="8"/>
  <c r="D19" i="6"/>
  <c r="T4" i="6"/>
  <c r="D18" i="7"/>
  <c r="E4" i="7"/>
  <c r="N11" i="1"/>
  <c r="J11" i="1"/>
  <c r="N19" i="6"/>
  <c r="J19" i="6"/>
  <c r="H13" i="8"/>
  <c r="M13" i="8"/>
  <c r="O13" i="8" s="1"/>
  <c r="I13" i="8"/>
  <c r="H4" i="12"/>
  <c r="K4" i="12"/>
  <c r="G4" i="12"/>
  <c r="Q4" i="12" s="1"/>
  <c r="H4" i="6"/>
  <c r="K4" i="6"/>
  <c r="G4" i="6"/>
  <c r="L8" i="8"/>
  <c r="S8" i="8"/>
  <c r="H5" i="1"/>
  <c r="G5" i="1"/>
  <c r="Q5" i="1" s="1"/>
  <c r="K5" i="1"/>
  <c r="I4" i="6"/>
  <c r="O4" i="6" s="1"/>
  <c r="S4" i="6" s="1"/>
  <c r="L4" i="6"/>
  <c r="G4" i="9"/>
  <c r="G7" i="9" s="1"/>
  <c r="G10" i="9" s="1"/>
  <c r="H4" i="9"/>
  <c r="K4" i="9"/>
  <c r="M4" i="9" s="1"/>
  <c r="M10" i="6"/>
  <c r="K19" i="6"/>
  <c r="M19" i="6" s="1"/>
  <c r="U5" i="1"/>
  <c r="D22" i="1"/>
  <c r="R9" i="8"/>
  <c r="C13" i="8"/>
  <c r="E13" i="8"/>
  <c r="R14" i="8"/>
  <c r="K8" i="8"/>
  <c r="P8" i="8"/>
  <c r="L5" i="1"/>
  <c r="I5" i="1"/>
  <c r="O5" i="1" s="1"/>
  <c r="S5" i="1" s="1"/>
  <c r="J21" i="1"/>
  <c r="N21" i="1"/>
  <c r="M11" i="1"/>
  <c r="M21" i="1" s="1"/>
  <c r="K21" i="1"/>
  <c r="P14" i="1"/>
  <c r="S14" i="1"/>
  <c r="N7" i="9"/>
  <c r="J7" i="9"/>
  <c r="S10" i="12"/>
  <c r="U10" i="12"/>
  <c r="N5" i="8"/>
  <c r="J5" i="8"/>
  <c r="Q5" i="8" s="1"/>
  <c r="U5" i="8" s="1"/>
  <c r="R13" i="1"/>
  <c r="P13" i="1"/>
  <c r="Q21" i="1"/>
  <c r="AO11" i="49"/>
  <c r="C92" i="36" s="1"/>
  <c r="D92" i="36" s="1"/>
  <c r="H46" i="28"/>
  <c r="H46" i="74"/>
  <c r="AY18" i="49"/>
  <c r="AZ18" i="49" s="1"/>
  <c r="BA22" i="49"/>
  <c r="BB22" i="49" s="1"/>
  <c r="AZ22" i="49"/>
  <c r="H36" i="28"/>
  <c r="H36" i="74"/>
  <c r="BA12" i="49"/>
  <c r="BB12" i="49" s="1"/>
  <c r="AZ12" i="49"/>
  <c r="H38" i="28"/>
  <c r="H38" i="74"/>
  <c r="H42" i="28"/>
  <c r="H42" i="74"/>
  <c r="H48" i="28"/>
  <c r="H48" i="74"/>
  <c r="BA14" i="49"/>
  <c r="BB14" i="49" s="1"/>
  <c r="AZ14" i="49"/>
  <c r="C104" i="36"/>
  <c r="AZ11" i="49"/>
  <c r="C103" i="36"/>
  <c r="AZ10" i="49"/>
  <c r="C48" i="36"/>
  <c r="AQ16" i="49"/>
  <c r="C263" i="36"/>
  <c r="BA11" i="49"/>
  <c r="BB11" i="49" s="1"/>
  <c r="C106" i="36" s="1"/>
  <c r="C209" i="36"/>
  <c r="D209" i="36" s="1"/>
  <c r="AP15" i="49"/>
  <c r="AS15" i="49"/>
  <c r="C214" i="36" s="1"/>
  <c r="D214" i="36" s="1"/>
  <c r="AP19" i="49"/>
  <c r="AS19" i="49"/>
  <c r="C439" i="36" s="1"/>
  <c r="C434" i="36"/>
  <c r="AB18" i="49"/>
  <c r="C366" i="36" s="1"/>
  <c r="C365" i="36"/>
  <c r="AN23" i="49"/>
  <c r="AY19" i="49"/>
  <c r="C147" i="36"/>
  <c r="D147" i="36" s="1"/>
  <c r="AO13" i="49"/>
  <c r="C149" i="36" s="1"/>
  <c r="D149" i="36" s="1"/>
  <c r="C422" i="36"/>
  <c r="AB19" i="49"/>
  <c r="C423" i="36" s="1"/>
  <c r="C47" i="36"/>
  <c r="W23" i="49"/>
  <c r="C194" i="36"/>
  <c r="D194" i="36" s="1"/>
  <c r="BA10" i="49"/>
  <c r="C49" i="36" s="1"/>
  <c r="T23" i="49"/>
  <c r="I23" i="49"/>
  <c r="H29" i="66"/>
  <c r="BS23" i="49"/>
  <c r="H23" i="66" s="1"/>
  <c r="R23" i="49"/>
  <c r="AB13" i="49"/>
  <c r="C138" i="36" s="1"/>
  <c r="C137" i="36"/>
  <c r="C159" i="36"/>
  <c r="D159" i="36" s="1"/>
  <c r="AY13" i="49"/>
  <c r="AZ13" i="49" s="1"/>
  <c r="U23" i="49"/>
  <c r="AY17" i="49"/>
  <c r="AZ17" i="49" s="1"/>
  <c r="C330" i="36"/>
  <c r="AQ13" i="49"/>
  <c r="C150" i="36"/>
  <c r="D150" i="36" s="1"/>
  <c r="AC23" i="49"/>
  <c r="C273" i="36"/>
  <c r="AY16" i="49"/>
  <c r="AZ16" i="49" s="1"/>
  <c r="H25" i="66"/>
  <c r="AB20" i="49"/>
  <c r="C480" i="36" s="1"/>
  <c r="C479" i="36"/>
  <c r="C490" i="36"/>
  <c r="AO20" i="49"/>
  <c r="C492" i="36" s="1"/>
  <c r="V23" i="49"/>
  <c r="H22" i="66" s="1"/>
  <c r="C491" i="36"/>
  <c r="AP20" i="49"/>
  <c r="AS20" i="49"/>
  <c r="C496" i="36" s="1"/>
  <c r="AH23" i="49"/>
  <c r="H35" i="66" s="1"/>
  <c r="P23" i="49"/>
  <c r="C501" i="36"/>
  <c r="AY20" i="49"/>
  <c r="AZ20" i="49" s="1"/>
  <c r="H23" i="49"/>
  <c r="AA23" i="49"/>
  <c r="S23" i="49"/>
  <c r="C219" i="36"/>
  <c r="D219" i="36" s="1"/>
  <c r="AY15" i="49"/>
  <c r="AZ15" i="49" s="1"/>
  <c r="X23" i="49"/>
  <c r="Q23" i="49"/>
  <c r="F44" i="66"/>
  <c r="AX23" i="49"/>
  <c r="H21" i="66"/>
  <c r="H32" i="66"/>
  <c r="AB11" i="49"/>
  <c r="C80" i="36"/>
  <c r="D80" i="36" s="1"/>
  <c r="Z23" i="49"/>
  <c r="G46" i="66" s="1"/>
  <c r="K23" i="49"/>
  <c r="AQ11" i="49"/>
  <c r="C93" i="36"/>
  <c r="D93" i="36" s="1"/>
  <c r="H19" i="66"/>
  <c r="H34" i="28"/>
  <c r="J23" i="49"/>
  <c r="C65" i="36"/>
  <c r="D65" i="36" s="1"/>
  <c r="C8" i="36"/>
  <c r="D8" i="36" s="1"/>
  <c r="G23" i="49"/>
  <c r="AO10" i="49"/>
  <c r="AK23" i="49"/>
  <c r="C35" i="36"/>
  <c r="D35" i="36" s="1"/>
  <c r="C7" i="36"/>
  <c r="D7" i="36" s="1"/>
  <c r="F23" i="49"/>
  <c r="C41" i="36"/>
  <c r="D41" i="36" s="1"/>
  <c r="AG23" i="49"/>
  <c r="H34" i="66" s="1"/>
  <c r="C29" i="36"/>
  <c r="D29" i="36" s="1"/>
  <c r="AQ10" i="49"/>
  <c r="C38" i="36"/>
  <c r="D38" i="36" s="1"/>
  <c r="AF25" i="49"/>
  <c r="BT23" i="49"/>
  <c r="H27" i="66"/>
  <c r="BT24" i="49"/>
  <c r="H40" i="28"/>
  <c r="S14" i="8" l="1"/>
  <c r="J23" i="1"/>
  <c r="Q12" i="1"/>
  <c r="M6" i="1"/>
  <c r="I4" i="9"/>
  <c r="O4" i="9" s="1"/>
  <c r="M12" i="1"/>
  <c r="M22" i="1" s="1"/>
  <c r="W4" i="9"/>
  <c r="D10" i="9"/>
  <c r="V4" i="9"/>
  <c r="X4" i="9" s="1"/>
  <c r="Y4" i="9" s="1"/>
  <c r="C105" i="36"/>
  <c r="M4" i="12"/>
  <c r="X4" i="12"/>
  <c r="Y4" i="12" s="1"/>
  <c r="N6" i="1"/>
  <c r="J6" i="1"/>
  <c r="I11" i="6"/>
  <c r="G11" i="6"/>
  <c r="L11" i="6"/>
  <c r="M4" i="1"/>
  <c r="N5" i="6"/>
  <c r="J5" i="6"/>
  <c r="U4" i="12"/>
  <c r="S4" i="12"/>
  <c r="O5" i="8"/>
  <c r="P12" i="1"/>
  <c r="R12" i="1"/>
  <c r="J4" i="1"/>
  <c r="N4" i="1"/>
  <c r="M5" i="1"/>
  <c r="N22" i="1"/>
  <c r="J22" i="1"/>
  <c r="M4" i="6"/>
  <c r="AA4" i="12"/>
  <c r="AC4" i="12" s="1"/>
  <c r="H23" i="6"/>
  <c r="E7" i="6"/>
  <c r="E13" i="6"/>
  <c r="R12" i="6"/>
  <c r="P12" i="6"/>
  <c r="P7" i="9"/>
  <c r="Q7" i="9" s="1"/>
  <c r="R7" i="9"/>
  <c r="T7" i="9"/>
  <c r="K5" i="8"/>
  <c r="P5" i="8"/>
  <c r="N4" i="6"/>
  <c r="J4" i="6"/>
  <c r="N4" i="12"/>
  <c r="J4" i="12"/>
  <c r="S5" i="8"/>
  <c r="L5" i="8"/>
  <c r="I7" i="1"/>
  <c r="O7" i="1" s="1"/>
  <c r="S7" i="1" s="1"/>
  <c r="L7" i="1"/>
  <c r="N4" i="9"/>
  <c r="L4" i="8"/>
  <c r="S4" i="8"/>
  <c r="L13" i="8"/>
  <c r="S13" i="8"/>
  <c r="H7" i="1"/>
  <c r="K7" i="1"/>
  <c r="R8" i="8"/>
  <c r="T8" i="8"/>
  <c r="P13" i="8"/>
  <c r="K13" i="8"/>
  <c r="P21" i="1"/>
  <c r="R21" i="1"/>
  <c r="J5" i="1"/>
  <c r="N5" i="1"/>
  <c r="K4" i="8"/>
  <c r="P4" i="8"/>
  <c r="D24" i="1"/>
  <c r="T7" i="1"/>
  <c r="U7" i="1"/>
  <c r="U14" i="1" s="1"/>
  <c r="H4" i="7"/>
  <c r="G4" i="7"/>
  <c r="R19" i="6"/>
  <c r="P19" i="6"/>
  <c r="Q7" i="1"/>
  <c r="R10" i="6"/>
  <c r="P10" i="6"/>
  <c r="Q10" i="6" s="1"/>
  <c r="P23" i="1"/>
  <c r="R23" i="1"/>
  <c r="R11" i="1"/>
  <c r="P11" i="1"/>
  <c r="BA18" i="49"/>
  <c r="C389" i="36" s="1"/>
  <c r="C388" i="36"/>
  <c r="C445" i="36"/>
  <c r="AZ19" i="49"/>
  <c r="AZ23" i="49" s="1"/>
  <c r="AY23" i="49"/>
  <c r="C264" i="36"/>
  <c r="AR16" i="49"/>
  <c r="C265" i="36" s="1"/>
  <c r="BB10" i="49"/>
  <c r="C50" i="36" s="1"/>
  <c r="BA19" i="49"/>
  <c r="BB19" i="49" s="1"/>
  <c r="C447" i="36" s="1"/>
  <c r="AQ19" i="49"/>
  <c r="C436" i="36"/>
  <c r="AQ15" i="49"/>
  <c r="C211" i="36"/>
  <c r="D211" i="36" s="1"/>
  <c r="AQ20" i="49"/>
  <c r="C493" i="36"/>
  <c r="AR13" i="49"/>
  <c r="C152" i="36" s="1"/>
  <c r="D152" i="36" s="1"/>
  <c r="C151" i="36"/>
  <c r="D151" i="36" s="1"/>
  <c r="AP23" i="49"/>
  <c r="C331" i="36"/>
  <c r="BA17" i="49"/>
  <c r="C160" i="36"/>
  <c r="D160" i="36" s="1"/>
  <c r="BA13" i="49"/>
  <c r="BA20" i="49"/>
  <c r="C502" i="36"/>
  <c r="AS23" i="49"/>
  <c r="BA16" i="49"/>
  <c r="C274" i="36"/>
  <c r="C220" i="36"/>
  <c r="D220" i="36" s="1"/>
  <c r="BA15" i="49"/>
  <c r="C81" i="36"/>
  <c r="D81" i="36" s="1"/>
  <c r="AB23" i="49"/>
  <c r="I46" i="66" s="1"/>
  <c r="AR11" i="49"/>
  <c r="C95" i="36" s="1"/>
  <c r="D95" i="36" s="1"/>
  <c r="C94" i="36"/>
  <c r="D94" i="36" s="1"/>
  <c r="AO23" i="49"/>
  <c r="C37" i="36"/>
  <c r="D37" i="36" s="1"/>
  <c r="AR10" i="49"/>
  <c r="C39" i="36"/>
  <c r="D39" i="36" s="1"/>
  <c r="J4" i="9" l="1"/>
  <c r="U4" i="9"/>
  <c r="S4" i="9"/>
  <c r="AB4" i="12"/>
  <c r="AD4" i="12" s="1"/>
  <c r="P5" i="6"/>
  <c r="Q5" i="6" s="1"/>
  <c r="R5" i="6"/>
  <c r="L21" i="6"/>
  <c r="M21" i="6" s="1"/>
  <c r="M11" i="6"/>
  <c r="O11" i="6"/>
  <c r="J11" i="6"/>
  <c r="R6" i="1"/>
  <c r="P6" i="1"/>
  <c r="R22" i="1"/>
  <c r="P22" i="1"/>
  <c r="P4" i="1"/>
  <c r="R4" i="1"/>
  <c r="R13" i="8"/>
  <c r="T13" i="8"/>
  <c r="H13" i="6"/>
  <c r="J13" i="6" s="1"/>
  <c r="K13" i="6"/>
  <c r="M7" i="1"/>
  <c r="K7" i="6"/>
  <c r="M7" i="6" s="1"/>
  <c r="H7" i="6"/>
  <c r="J7" i="6" s="1"/>
  <c r="BB18" i="49"/>
  <c r="C390" i="36" s="1"/>
  <c r="J7" i="1"/>
  <c r="N7" i="1"/>
  <c r="P4" i="12"/>
  <c r="T4" i="12"/>
  <c r="R4" i="12"/>
  <c r="T4" i="8"/>
  <c r="R4" i="8"/>
  <c r="R4" i="9"/>
  <c r="P4" i="9"/>
  <c r="Q4" i="9" s="1"/>
  <c r="T4" i="9"/>
  <c r="P4" i="6"/>
  <c r="Q4" i="6" s="1"/>
  <c r="R4" i="6"/>
  <c r="R5" i="1"/>
  <c r="P5" i="1"/>
  <c r="R5" i="8"/>
  <c r="T5" i="8"/>
  <c r="AQ23" i="49"/>
  <c r="C446" i="36"/>
  <c r="AR15" i="49"/>
  <c r="C213" i="36" s="1"/>
  <c r="D213" i="36" s="1"/>
  <c r="C212" i="36"/>
  <c r="D212" i="36" s="1"/>
  <c r="AR19" i="49"/>
  <c r="C438" i="36" s="1"/>
  <c r="C437" i="36"/>
  <c r="BB13" i="49"/>
  <c r="C162" i="36" s="1"/>
  <c r="D162" i="36" s="1"/>
  <c r="C161" i="36"/>
  <c r="D161" i="36" s="1"/>
  <c r="C332" i="36"/>
  <c r="BB17" i="49"/>
  <c r="C333" i="36" s="1"/>
  <c r="BB16" i="49"/>
  <c r="C276" i="36" s="1"/>
  <c r="C275" i="36"/>
  <c r="BB20" i="49"/>
  <c r="C504" i="36" s="1"/>
  <c r="C503" i="36"/>
  <c r="C494" i="36"/>
  <c r="AR20" i="49"/>
  <c r="C495" i="36" s="1"/>
  <c r="C221" i="36"/>
  <c r="D221" i="36" s="1"/>
  <c r="BB15" i="49"/>
  <c r="BA23" i="49"/>
  <c r="C40" i="36"/>
  <c r="D40" i="36" s="1"/>
  <c r="AE4" i="12" l="1"/>
  <c r="S11" i="6"/>
  <c r="P11" i="6"/>
  <c r="Q11" i="6" s="1"/>
  <c r="M13" i="6"/>
  <c r="K23" i="6"/>
  <c r="M23" i="6" s="1"/>
  <c r="R7" i="1"/>
  <c r="P7" i="1"/>
  <c r="AR23" i="49"/>
  <c r="C222" i="36"/>
  <c r="D222" i="36" s="1"/>
  <c r="BB23"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Isela</author>
  </authors>
  <commentList>
    <comment ref="BD4" authorId="0" shapeId="0" xr:uid="{9829254C-E0DE-4503-9FEE-9B463DD809C8}">
      <text>
        <r>
          <rPr>
            <b/>
            <sz val="9"/>
            <color indexed="81"/>
            <rFont val="Tahoma"/>
            <family val="2"/>
          </rPr>
          <t>Expresado en Dolares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Isela</author>
  </authors>
  <commentList>
    <comment ref="K14" authorId="0" shapeId="0" xr:uid="{00000000-0006-0000-1600-000001000000}">
      <text>
        <r>
          <rPr>
            <sz val="12"/>
            <color indexed="81"/>
            <rFont val="Tahoma"/>
            <family val="2"/>
          </rPr>
          <t>Fuente:
1 Ton de aluminio requieres 161 kg de piedra caliza, 110 kg de sal, 112 kg de carbón,</t>
        </r>
        <r>
          <rPr>
            <b/>
            <sz val="12"/>
            <color indexed="81"/>
            <rFont val="Tahoma"/>
            <family val="2"/>
          </rPr>
          <t xml:space="preserve"> 4983 kg de bauxita</t>
        </r>
        <r>
          <rPr>
            <sz val="12"/>
            <color indexed="81"/>
            <rFont val="Tahoma"/>
            <family val="2"/>
          </rPr>
          <t xml:space="preserve"> y 341 kg de petróleo crudo)
• Franklin Associates, LTD (1995). Apéndice C. Producción de envases para bebidas y cierres o tapas de Foil de aluminio. Pag 18 – 22</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Isela Rivas</author>
    <author>Rosa Isela</author>
    <author>Isela</author>
  </authors>
  <commentList>
    <comment ref="A2" authorId="0" shapeId="0" xr:uid="{00000000-0006-0000-0C00-000001000000}">
      <text>
        <r>
          <rPr>
            <b/>
            <sz val="9"/>
            <color indexed="81"/>
            <rFont val="Tahoma"/>
            <family val="2"/>
          </rPr>
          <t xml:space="preserve">
Para 500 y 600 ml</t>
        </r>
        <r>
          <rPr>
            <sz val="9"/>
            <color indexed="81"/>
            <rFont val="Tahoma"/>
            <family val="2"/>
          </rPr>
          <t xml:space="preserve">
En material reciclado  solo se tomo en cuenta el  pre-tratamieto y proceso de reciclado
En material virgen se incluye la extracción de materias primas, producción de resina, granza de PET
</t>
        </r>
        <r>
          <rPr>
            <b/>
            <sz val="9"/>
            <color indexed="81"/>
            <rFont val="Tahoma"/>
            <family val="2"/>
          </rPr>
          <t>Para 1lt</t>
        </r>
        <r>
          <rPr>
            <sz val="9"/>
            <color indexed="81"/>
            <rFont val="Tahoma"/>
            <family val="2"/>
          </rPr>
          <t xml:space="preserve">
En material reciclado solo se tomo en cuenta la energia eléctrica para la producción de botellas 
En material virgen solo se tomo en cuenta la energia eléctrica para extracción de mat. prima, polimerización, transporte a México y producción de botella</t>
        </r>
      </text>
    </comment>
    <comment ref="R3" authorId="1" shapeId="0" xr:uid="{00000000-0006-0000-0C00-000002000000}">
      <text>
        <r>
          <rPr>
            <sz val="9"/>
            <color indexed="81"/>
            <rFont val="Tahoma"/>
            <family val="2"/>
          </rPr>
          <t>Un foco de 60 w emite 39 g de CO2/hora
https://ec.europa.eu/clima/sites/campaign/pdf/table_appliances_es.pdf</t>
        </r>
      </text>
    </comment>
    <comment ref="B4" authorId="1" shapeId="0" xr:uid="{00000000-0006-0000-0C00-000003000000}">
      <text>
        <r>
          <rPr>
            <sz val="9"/>
            <color indexed="81"/>
            <rFont val="Tahoma"/>
            <family val="2"/>
          </rPr>
          <t xml:space="preserve">ECOEMBES-UNESCO
</t>
        </r>
      </text>
    </comment>
    <comment ref="B5" authorId="1" shapeId="0" xr:uid="{00000000-0006-0000-0C00-000004000000}">
      <text>
        <r>
          <rPr>
            <sz val="9"/>
            <color indexed="81"/>
            <rFont val="Tahoma"/>
            <family val="2"/>
          </rPr>
          <t xml:space="preserve">ECOEMBES-UNESCO
</t>
        </r>
      </text>
    </comment>
    <comment ref="B6" authorId="1" shapeId="0" xr:uid="{00000000-0006-0000-0C00-000005000000}">
      <text>
        <r>
          <rPr>
            <sz val="9"/>
            <color indexed="81"/>
            <rFont val="Tahoma"/>
            <family val="2"/>
          </rPr>
          <t xml:space="preserve">ECOEMBES-UNESCO
</t>
        </r>
      </text>
    </comment>
    <comment ref="B7" authorId="1" shapeId="0" xr:uid="{00000000-0006-0000-0C00-000006000000}">
      <text>
        <r>
          <rPr>
            <sz val="9"/>
            <color indexed="81"/>
            <rFont val="Tahoma"/>
            <family val="2"/>
          </rPr>
          <t xml:space="preserve">
Franklin associates, LTD
Deduje el ahorro de energia con el 92% de los datos anteriores (solo tenia datos en PET virgen)</t>
        </r>
      </text>
    </comment>
    <comment ref="B8" authorId="0" shapeId="0" xr:uid="{00000000-0006-0000-0C00-000007000000}">
      <text>
        <r>
          <rPr>
            <sz val="9"/>
            <color indexed="81"/>
            <rFont val="Tahoma"/>
            <family val="2"/>
          </rPr>
          <t xml:space="preserve">
Dato obtenido de Franklin, pdf. Pag 6-8.
https://plastics.americanchemistry.com/LifeCycle-Inventory-of-9-Plastics-Resins-and-4-Polyurethane-Precursors-Rpt-Only/</t>
        </r>
      </text>
    </comment>
    <comment ref="B11" authorId="1" shapeId="0" xr:uid="{00000000-0006-0000-0C00-000008000000}">
      <text>
        <r>
          <rPr>
            <sz val="9"/>
            <color indexed="81"/>
            <rFont val="Tahoma"/>
            <family val="2"/>
          </rPr>
          <t xml:space="preserve">ECOEMBES-UNESCO
</t>
        </r>
      </text>
    </comment>
    <comment ref="B12" authorId="1" shapeId="0" xr:uid="{00000000-0006-0000-0C00-000009000000}">
      <text>
        <r>
          <rPr>
            <sz val="9"/>
            <color indexed="81"/>
            <rFont val="Tahoma"/>
            <family val="2"/>
          </rPr>
          <t xml:space="preserve">ECOEMBES-UNESCO
</t>
        </r>
      </text>
    </comment>
    <comment ref="B13" authorId="1" shapeId="0" xr:uid="{00000000-0006-0000-0C00-00000A000000}">
      <text>
        <r>
          <rPr>
            <sz val="9"/>
            <color indexed="81"/>
            <rFont val="Tahoma"/>
            <family val="2"/>
          </rPr>
          <t>ECOEMBES-UNESCO
Pág. 23</t>
        </r>
      </text>
    </comment>
    <comment ref="B14" authorId="1" shapeId="0" xr:uid="{00000000-0006-0000-0C00-00000B000000}">
      <text>
        <r>
          <rPr>
            <sz val="9"/>
            <color indexed="81"/>
            <rFont val="Tahoma"/>
            <family val="2"/>
          </rPr>
          <t xml:space="preserve">
Franklin associates, LTD
Deduje el ahorro de energia con el 92% de los datos anteriores (solo tenia datos en PET virgen)</t>
        </r>
      </text>
    </comment>
    <comment ref="B15" authorId="0" shapeId="0" xr:uid="{00000000-0006-0000-0C00-00000C000000}">
      <text>
        <r>
          <rPr>
            <sz val="9"/>
            <color indexed="81"/>
            <rFont val="Tahoma"/>
            <family val="2"/>
          </rPr>
          <t xml:space="preserve">
Dato obtenido de Franklin, pdf. Pag 6-8.
https://plastics.americanchemistry.com/LifeCycle-Inventory-of-9-Plastics-Resins-and-4-Polyurethane-Precursors-Rpt-Only/</t>
        </r>
      </text>
    </comment>
    <comment ref="N15" authorId="0" shapeId="0" xr:uid="{00000000-0006-0000-0C00-00000D000000}">
      <text>
        <r>
          <rPr>
            <sz val="9"/>
            <color indexed="81"/>
            <rFont val="Tahoma"/>
            <family val="2"/>
          </rPr>
          <t xml:space="preserve">
Dato obtenido de ASIPLA
PAG. 23
</t>
        </r>
      </text>
    </comment>
    <comment ref="O15" authorId="0" shapeId="0" xr:uid="{00000000-0006-0000-0C00-00000E000000}">
      <text>
        <r>
          <rPr>
            <b/>
            <sz val="9"/>
            <color indexed="81"/>
            <rFont val="Tahoma"/>
            <family val="2"/>
          </rPr>
          <t xml:space="preserve">Isela Rivas:
</t>
        </r>
        <r>
          <rPr>
            <sz val="9"/>
            <color indexed="81"/>
            <rFont val="Tahoma"/>
            <family val="2"/>
          </rPr>
          <t>Dato obtenido deASIPLA
PAG. 23</t>
        </r>
      </text>
    </comment>
    <comment ref="B16" authorId="2" shapeId="0" xr:uid="{00000000-0006-0000-0C00-00000F000000}">
      <text>
        <r>
          <rPr>
            <b/>
            <sz val="9"/>
            <color indexed="81"/>
            <rFont val="Tahoma"/>
            <family val="2"/>
          </rPr>
          <t>Isela:</t>
        </r>
        <r>
          <rPr>
            <sz val="9"/>
            <color indexed="81"/>
            <rFont val="Tahoma"/>
            <family val="2"/>
          </rPr>
          <t xml:space="preserve">
https://plastics.americanchemistry.com/LifeCycle-Inventory-of-9-Plastics-Resins-and-4-Polyurethane-Precursors-Rpt-Only/
6-2
</t>
        </r>
      </text>
    </comment>
    <comment ref="B17" authorId="2" shapeId="0" xr:uid="{00000000-0006-0000-0C00-000010000000}">
      <text>
        <r>
          <rPr>
            <b/>
            <sz val="9"/>
            <color indexed="81"/>
            <rFont val="Tahoma"/>
            <family val="2"/>
          </rPr>
          <t>Isela:</t>
        </r>
        <r>
          <rPr>
            <sz val="9"/>
            <color indexed="81"/>
            <rFont val="Tahoma"/>
            <family val="2"/>
          </rPr>
          <t xml:space="preserve">
ACV_PETSTAR_PÁG_25</t>
        </r>
      </text>
    </comment>
    <comment ref="B18" authorId="2" shapeId="0" xr:uid="{00000000-0006-0000-0C00-000011000000}">
      <text>
        <r>
          <rPr>
            <b/>
            <sz val="9"/>
            <color indexed="81"/>
            <rFont val="Tahoma"/>
            <family val="2"/>
          </rPr>
          <t>Isela:</t>
        </r>
        <r>
          <rPr>
            <sz val="9"/>
            <color indexed="81"/>
            <rFont val="Tahoma"/>
            <family val="2"/>
          </rPr>
          <t xml:space="preserve">
ACV_PETSTAR_PÁG_25</t>
        </r>
      </text>
    </comment>
    <comment ref="B21" authorId="1" shapeId="0" xr:uid="{00000000-0006-0000-0C00-000012000000}">
      <text>
        <r>
          <rPr>
            <sz val="9"/>
            <color indexed="81"/>
            <rFont val="Tahoma"/>
            <family val="2"/>
          </rPr>
          <t xml:space="preserve">ECOEMBES-UNESCO
</t>
        </r>
      </text>
    </comment>
    <comment ref="T21" authorId="1" shapeId="0" xr:uid="{00000000-0006-0000-0C00-000013000000}">
      <text>
        <r>
          <rPr>
            <sz val="9"/>
            <color indexed="81"/>
            <rFont val="Tahoma"/>
            <family val="2"/>
          </rPr>
          <t xml:space="preserve">
ECOCE A.C
</t>
        </r>
      </text>
    </comment>
    <comment ref="B22" authorId="1" shapeId="0" xr:uid="{00000000-0006-0000-0C00-000014000000}">
      <text>
        <r>
          <rPr>
            <sz val="9"/>
            <color indexed="81"/>
            <rFont val="Tahoma"/>
            <family val="2"/>
          </rPr>
          <t xml:space="preserve">ECOEMBES-UNESCO
</t>
        </r>
      </text>
    </comment>
    <comment ref="B23" authorId="1" shapeId="0" xr:uid="{00000000-0006-0000-0C00-000015000000}">
      <text>
        <r>
          <rPr>
            <sz val="9"/>
            <color indexed="81"/>
            <rFont val="Tahoma"/>
            <family val="2"/>
          </rPr>
          <t xml:space="preserve">ECOEMBES-UNESCO
</t>
        </r>
      </text>
    </comment>
    <comment ref="B24" authorId="1" shapeId="0" xr:uid="{00000000-0006-0000-0C00-000016000000}">
      <text>
        <r>
          <rPr>
            <sz val="9"/>
            <color indexed="81"/>
            <rFont val="Tahoma"/>
            <family val="2"/>
          </rPr>
          <t xml:space="preserve">
Franklin associates, LTD
Deduje el ahorro de energia con el 92% de los datos anteriores (solo tenia datos en PET virgen)</t>
        </r>
      </text>
    </comment>
    <comment ref="E24" authorId="1" shapeId="0" xr:uid="{00000000-0006-0000-0C00-000017000000}">
      <text>
        <r>
          <rPr>
            <sz val="9"/>
            <color indexed="81"/>
            <rFont val="Tahoma"/>
            <family val="2"/>
          </rPr>
          <t xml:space="preserve">
Franklin Associates,LTD. Incluye extracción, polimerización, transporte, y produccion.</t>
        </r>
      </text>
    </comment>
    <comment ref="F24" authorId="1" shapeId="0" xr:uid="{00000000-0006-0000-0C00-000018000000}">
      <text>
        <r>
          <rPr>
            <sz val="9"/>
            <color indexed="81"/>
            <rFont val="Tahoma"/>
            <family val="2"/>
          </rPr>
          <t xml:space="preserve">
Con base a que el RPET equivale al 8.08% de gasto en comparacion con el virgen</t>
        </r>
      </text>
    </comment>
    <comment ref="G24" authorId="1" shapeId="0" xr:uid="{00000000-0006-0000-0C00-000019000000}">
      <text>
        <r>
          <rPr>
            <sz val="9"/>
            <color indexed="81"/>
            <rFont val="Tahoma"/>
            <family val="2"/>
          </rPr>
          <t>Equivalente al 91.92% de ahorro</t>
        </r>
      </text>
    </comment>
    <comment ref="Y24" authorId="1" shapeId="0" xr:uid="{00000000-0006-0000-0C00-00001A000000}">
      <text>
        <r>
          <rPr>
            <sz val="9"/>
            <color indexed="81"/>
            <rFont val="Tahoma"/>
            <family val="2"/>
          </rPr>
          <t>Para producir 1 Ton de resina de PET requiere de 622 kg de gas natural y 217 de petróleo
Dato obtenido de Franklin Associates, LTD. Pag 30</t>
        </r>
      </text>
    </comment>
    <comment ref="B25" authorId="0" shapeId="0" xr:uid="{00000000-0006-0000-0C00-00001B000000}">
      <text>
        <r>
          <rPr>
            <sz val="9"/>
            <color indexed="81"/>
            <rFont val="Tahoma"/>
            <family val="2"/>
          </rPr>
          <t xml:space="preserve">
Dato obtenido de Franklin, pdf. Pag 6-8.
https://plastics.americanchemistry.com/LifeCycle-Inventory-of-9-Plastics-Resins-and-4-Polyurethane-Precursors-Rpt-Only/</t>
        </r>
      </text>
    </comment>
    <comment ref="X25" authorId="1" shapeId="0" xr:uid="{00000000-0006-0000-0C00-00001C000000}">
      <text>
        <r>
          <rPr>
            <sz val="9"/>
            <color indexed="81"/>
            <rFont val="Tahoma"/>
            <family val="2"/>
          </rPr>
          <t xml:space="preserve">1 ton de Pet reciclado ahorra 40,000 l de agua.
Dato obtenido de inforgrafía ECOCE 
</t>
        </r>
      </text>
    </comment>
    <comment ref="B26" authorId="2" shapeId="0" xr:uid="{00000000-0006-0000-0C00-00001D000000}">
      <text>
        <r>
          <rPr>
            <b/>
            <sz val="9"/>
            <color indexed="81"/>
            <rFont val="Tahoma"/>
            <family val="2"/>
          </rPr>
          <t>Isela:</t>
        </r>
        <r>
          <rPr>
            <sz val="9"/>
            <color indexed="81"/>
            <rFont val="Tahoma"/>
            <family val="2"/>
          </rPr>
          <t xml:space="preserve">
https://plastics.americanchemistry.com/LifeCycle-Inventory-of-9-Plastics-Resins-and-4-Polyurethane-Precursors-Rpt-Only/
6-2 Y 8</t>
        </r>
      </text>
    </comment>
    <comment ref="B27" authorId="2" shapeId="0" xr:uid="{00000000-0006-0000-0C00-00001E000000}">
      <text>
        <r>
          <rPr>
            <b/>
            <sz val="9"/>
            <color indexed="81"/>
            <rFont val="Tahoma"/>
            <family val="2"/>
          </rPr>
          <t>Isela:</t>
        </r>
        <r>
          <rPr>
            <sz val="9"/>
            <color indexed="81"/>
            <rFont val="Tahoma"/>
            <family val="2"/>
          </rPr>
          <t xml:space="preserve">
ACV_PETSTAR_PÁG_25</t>
        </r>
      </text>
    </comment>
    <comment ref="G27" authorId="1" shapeId="0" xr:uid="{00000000-0006-0000-0C00-00001F000000}">
      <text>
        <r>
          <rPr>
            <sz val="9"/>
            <color indexed="81"/>
            <rFont val="Tahoma"/>
            <family val="2"/>
          </rPr>
          <t>Equivalente al 91.92% de ahorro</t>
        </r>
      </text>
    </comment>
    <comment ref="B28" authorId="2" shapeId="0" xr:uid="{00000000-0006-0000-0C00-000020000000}">
      <text>
        <r>
          <rPr>
            <b/>
            <sz val="9"/>
            <color indexed="81"/>
            <rFont val="Tahoma"/>
            <family val="2"/>
          </rPr>
          <t>Isela:</t>
        </r>
        <r>
          <rPr>
            <sz val="9"/>
            <color indexed="81"/>
            <rFont val="Tahoma"/>
            <family val="2"/>
          </rPr>
          <t xml:space="preserve">
ACV_PETSTAR_PÁG_25</t>
        </r>
      </text>
    </comment>
    <comment ref="A36" authorId="1" shapeId="0" xr:uid="{00000000-0006-0000-0C00-000021000000}">
      <text>
        <r>
          <rPr>
            <sz val="9"/>
            <color indexed="81"/>
            <rFont val="Tahoma"/>
            <family val="2"/>
          </rPr>
          <t>Para transformar la energia primaria utilizada en emisiones de CO2 ahorradas, se ha usado como transformador los kg de CO2 asociados a la produccion de un kwh en México
Obtenido de SENER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Isela Rivas</author>
    <author>Rosa Isela</author>
    <author>Isela</author>
  </authors>
  <commentList>
    <comment ref="A2" authorId="0" shapeId="0" xr:uid="{00000000-0006-0000-0D00-000001000000}">
      <text>
        <r>
          <rPr>
            <b/>
            <sz val="9"/>
            <color indexed="81"/>
            <rFont val="Tahoma"/>
            <family val="2"/>
          </rPr>
          <t>Isela Rivas:
ECOEMBES-UNESCO.
Para 27O ml</t>
        </r>
        <r>
          <rPr>
            <sz val="9"/>
            <color indexed="81"/>
            <rFont val="Tahoma"/>
            <family val="2"/>
          </rPr>
          <t xml:space="preserve">
En material reciclado  solo se tomo en cuenta el proceso de reciclado
En material virgen solo se tomo en cuenta la extracción de materias primas, producción de resina
</t>
        </r>
      </text>
    </comment>
    <comment ref="B4" authorId="1" shapeId="0" xr:uid="{00000000-0006-0000-0D00-000002000000}">
      <text>
        <r>
          <rPr>
            <sz val="9"/>
            <color indexed="81"/>
            <rFont val="Tahoma"/>
            <family val="2"/>
          </rPr>
          <t xml:space="preserve">
ECOEMBES-UNESCO
</t>
        </r>
      </text>
    </comment>
    <comment ref="B5" authorId="1" shapeId="0" xr:uid="{00000000-0006-0000-0D00-000003000000}">
      <text>
        <r>
          <rPr>
            <sz val="9"/>
            <color indexed="81"/>
            <rFont val="Tahoma"/>
            <family val="2"/>
          </rPr>
          <t xml:space="preserve">
Franklin Associates, LTD. Pag. I16/I20</t>
        </r>
      </text>
    </comment>
    <comment ref="B6" authorId="1" shapeId="0" xr:uid="{00000000-0006-0000-0D00-000004000000}">
      <text>
        <r>
          <rPr>
            <sz val="9"/>
            <color indexed="81"/>
            <rFont val="Tahoma"/>
            <family val="2"/>
          </rPr>
          <t xml:space="preserve">Bio Intelligence Service.
http://biblioteca.anipac.mx/wp-content/uploads/2017/10/Assessment-of-impacts-of-options-to-reduce-the-use-of-single-use-plastic-carrier-bags.pdf
</t>
        </r>
      </text>
    </comment>
    <comment ref="B10" authorId="1" shapeId="0" xr:uid="{00000000-0006-0000-0D00-000005000000}">
      <text>
        <r>
          <rPr>
            <sz val="9"/>
            <color indexed="81"/>
            <rFont val="Tahoma"/>
            <family val="2"/>
          </rPr>
          <t xml:space="preserve">
ECOEMBES-UNESCO
</t>
        </r>
      </text>
    </comment>
    <comment ref="B11" authorId="1" shapeId="0" xr:uid="{00000000-0006-0000-0D00-000006000000}">
      <text>
        <r>
          <rPr>
            <sz val="9"/>
            <color indexed="81"/>
            <rFont val="Tahoma"/>
            <family val="2"/>
          </rPr>
          <t xml:space="preserve">
Franklin Associates, LTD. Pag. I16/I20</t>
        </r>
      </text>
    </comment>
    <comment ref="B12" authorId="1" shapeId="0" xr:uid="{00000000-0006-0000-0D00-000007000000}">
      <text>
        <r>
          <rPr>
            <sz val="9"/>
            <color indexed="81"/>
            <rFont val="Tahoma"/>
            <family val="2"/>
          </rPr>
          <t xml:space="preserve">Bio Intelligence Service. Pág 
http://biblioteca.anipac.mx/wp-content/uploads/2017/10/Assessment-of-impacts-of-options-to-reduce-the-use-of-single-use-plastic-carrier-bags.pdf
</t>
        </r>
      </text>
    </comment>
    <comment ref="N13" authorId="0" shapeId="0" xr:uid="{00000000-0006-0000-0D00-000008000000}">
      <text>
        <r>
          <rPr>
            <b/>
            <sz val="9"/>
            <color indexed="81"/>
            <rFont val="Tahoma"/>
            <family val="2"/>
          </rPr>
          <t>Isela Rivas:</t>
        </r>
        <r>
          <rPr>
            <sz val="9"/>
            <color indexed="81"/>
            <rFont val="Tahoma"/>
            <family val="2"/>
          </rPr>
          <t xml:space="preserve">
Dato obtenido de ASIPLA pag. 26
</t>
        </r>
      </text>
    </comment>
    <comment ref="B14" authorId="2" shapeId="0" xr:uid="{00000000-0006-0000-0D00-000009000000}">
      <text>
        <r>
          <rPr>
            <sz val="9"/>
            <color indexed="81"/>
            <rFont val="Tahoma"/>
            <family val="2"/>
          </rPr>
          <t xml:space="preserve">
https://plastics.americanchemistry.com/LifeCycle-Inventory-of-9-Plastics-Resins-and-4-Polyurethane-Precursors-Rpt-Only/
Pág 2-2</t>
        </r>
      </text>
    </comment>
    <comment ref="B15" authorId="2" shapeId="0" xr:uid="{00000000-0006-0000-0D00-00000A000000}">
      <text>
        <r>
          <rPr>
            <sz val="9"/>
            <color indexed="81"/>
            <rFont val="Tahoma"/>
            <family val="2"/>
          </rPr>
          <t xml:space="preserve">
ACV_PETSTAR_31</t>
        </r>
      </text>
    </comment>
    <comment ref="B16" authorId="2" shapeId="0" xr:uid="{00000000-0006-0000-0D00-00000B000000}">
      <text>
        <r>
          <rPr>
            <sz val="9"/>
            <color indexed="81"/>
            <rFont val="Tahoma"/>
            <family val="2"/>
          </rPr>
          <t xml:space="preserve">
ACV_PETSTAR_31</t>
        </r>
      </text>
    </comment>
    <comment ref="B19" authorId="1" shapeId="0" xr:uid="{00000000-0006-0000-0D00-00000C000000}">
      <text>
        <r>
          <rPr>
            <sz val="9"/>
            <color indexed="81"/>
            <rFont val="Tahoma"/>
            <family val="2"/>
          </rPr>
          <t xml:space="preserve">
ECOEMBES-UNESCO
</t>
        </r>
      </text>
    </comment>
    <comment ref="B21" authorId="1" shapeId="0" xr:uid="{00000000-0006-0000-0D00-00000D000000}">
      <text>
        <r>
          <rPr>
            <sz val="9"/>
            <color indexed="81"/>
            <rFont val="Tahoma"/>
            <family val="2"/>
          </rPr>
          <t xml:space="preserve">
Franklin Associates, LTD. Pag. I16/I20</t>
        </r>
      </text>
    </comment>
    <comment ref="E21" authorId="1" shapeId="0" xr:uid="{00000000-0006-0000-0D00-00000E000000}">
      <text>
        <r>
          <rPr>
            <b/>
            <sz val="9"/>
            <color indexed="81"/>
            <rFont val="Tahoma"/>
            <family val="2"/>
          </rPr>
          <t>Rosa Isela:</t>
        </r>
        <r>
          <rPr>
            <sz val="9"/>
            <color indexed="81"/>
            <rFont val="Tahoma"/>
            <family val="2"/>
          </rPr>
          <t xml:space="preserve">
Franklin Associates, LTD.
Dato obtenido de la suma de los procesos </t>
        </r>
      </text>
    </comment>
    <comment ref="B24" authorId="2" shapeId="0" xr:uid="{00000000-0006-0000-0D00-00000F000000}">
      <text>
        <r>
          <rPr>
            <sz val="9"/>
            <color indexed="81"/>
            <rFont val="Tahoma"/>
            <family val="2"/>
          </rPr>
          <t xml:space="preserve">
https://plastics.americanchemistry.com/LifeCycle-Inventory-of-9-Plastics-Resins-and-4-Polyurethane-Precursors-Rpt-Only/
Pág 2-2</t>
        </r>
      </text>
    </comment>
    <comment ref="B25" authorId="2" shapeId="0" xr:uid="{00000000-0006-0000-0D00-000010000000}">
      <text>
        <r>
          <rPr>
            <sz val="9"/>
            <color indexed="81"/>
            <rFont val="Tahoma"/>
            <family val="2"/>
          </rPr>
          <t xml:space="preserve">
ACV_PETSTAR_31</t>
        </r>
      </text>
    </comment>
    <comment ref="B26" authorId="2" shapeId="0" xr:uid="{00000000-0006-0000-0D00-000011000000}">
      <text>
        <r>
          <rPr>
            <sz val="9"/>
            <color indexed="81"/>
            <rFont val="Tahoma"/>
            <family val="2"/>
          </rPr>
          <t xml:space="preserve">
ACV_PETSTAR_31</t>
        </r>
      </text>
    </comment>
    <comment ref="A33" authorId="1" shapeId="0" xr:uid="{00000000-0006-0000-0D00-000012000000}">
      <text>
        <r>
          <rPr>
            <sz val="9"/>
            <color indexed="81"/>
            <rFont val="Tahoma"/>
            <family val="2"/>
          </rPr>
          <t>Para transformar la energia primaria utilizada en emisiones de CO2 ahorradas, se ha usado como transformador los kg de CO2 asociados a la produccion de un kwh.
Obtenido de SENER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Rosa Isela</author>
    <author>Isela Rivas</author>
    <author>Usuario de Microsoft Office</author>
  </authors>
  <commentList>
    <comment ref="B4" authorId="0" shapeId="0" xr:uid="{00000000-0006-0000-0E00-000001000000}">
      <text>
        <r>
          <rPr>
            <sz val="9"/>
            <color indexed="81"/>
            <rFont val="Tahoma"/>
            <family val="2"/>
          </rPr>
          <t xml:space="preserve">
Franklin Associates, LTD.
Pag. I-21
</t>
        </r>
      </text>
    </comment>
    <comment ref="B5" authorId="0" shapeId="0" xr:uid="{00000000-0006-0000-0E00-000002000000}">
      <text>
        <r>
          <rPr>
            <sz val="9"/>
            <color indexed="81"/>
            <rFont val="Tahoma"/>
            <family val="2"/>
          </rPr>
          <t xml:space="preserve">
Bio Intelligence Service.
http://biblioteca.anipac.mx/wp-content/uploads/2017/10/Assessment-of-impacts-of-options-to-reduce-the-use-of-single-use-plastic-carrier-bags.pdf
</t>
        </r>
      </text>
    </comment>
    <comment ref="I5" authorId="0" shapeId="0" xr:uid="{00000000-0006-0000-0E00-000003000000}">
      <text>
        <r>
          <rPr>
            <b/>
            <sz val="9"/>
            <color indexed="81"/>
            <rFont val="Tahoma"/>
            <family val="2"/>
          </rPr>
          <t>Rosa Isela:</t>
        </r>
        <r>
          <rPr>
            <sz val="9"/>
            <color indexed="81"/>
            <rFont val="Tahoma"/>
            <family val="2"/>
          </rPr>
          <t xml:space="preserve">
Dato obteneido de faunatura.com</t>
        </r>
      </text>
    </comment>
    <comment ref="Q5" authorId="0" shapeId="0" xr:uid="{00000000-0006-0000-0E00-000004000000}">
      <text>
        <r>
          <rPr>
            <b/>
            <sz val="9"/>
            <color indexed="81"/>
            <rFont val="Tahoma"/>
            <family val="2"/>
          </rPr>
          <t xml:space="preserve">
</t>
        </r>
        <r>
          <rPr>
            <sz val="9"/>
            <color indexed="81"/>
            <rFont val="Tahoma"/>
            <family val="2"/>
          </rPr>
          <t xml:space="preserve">1000 bolsas necesitan 220 litros
http://www.letstalkplastics.com/es/facts/hablemos-en-serio-sobre-los-plasticos
</t>
        </r>
      </text>
    </comment>
    <comment ref="B6" authorId="1" shapeId="0" xr:uid="{00000000-0006-0000-0E00-000005000000}">
      <text>
        <r>
          <rPr>
            <sz val="9"/>
            <color indexed="81"/>
            <rFont val="Tahoma"/>
            <family val="2"/>
          </rPr>
          <t xml:space="preserve">
Dato obtenido de Franklin pdf
</t>
        </r>
      </text>
    </comment>
    <comment ref="B7" authorId="1" shapeId="0" xr:uid="{00000000-0006-0000-0E00-000006000000}">
      <text>
        <r>
          <rPr>
            <b/>
            <sz val="9"/>
            <color indexed="81"/>
            <rFont val="Tahoma"/>
            <family val="2"/>
          </rPr>
          <t xml:space="preserve">Isela Rivas:
</t>
        </r>
        <r>
          <rPr>
            <sz val="9"/>
            <color indexed="81"/>
            <rFont val="Tahoma"/>
            <family val="2"/>
          </rPr>
          <t>Dato obtenido deASIPLA
PAG. 23</t>
        </r>
      </text>
    </comment>
    <comment ref="B10" authorId="0" shapeId="0" xr:uid="{00000000-0006-0000-0E00-000007000000}">
      <text>
        <r>
          <rPr>
            <sz val="9"/>
            <color indexed="81"/>
            <rFont val="Tahoma"/>
            <family val="2"/>
          </rPr>
          <t xml:space="preserve">
Franklin Associates, LTD.
Pag. I-21
</t>
        </r>
      </text>
    </comment>
    <comment ref="B11" authorId="0" shapeId="0" xr:uid="{00000000-0006-0000-0E00-000008000000}">
      <text>
        <r>
          <rPr>
            <sz val="9"/>
            <color indexed="81"/>
            <rFont val="Tahoma"/>
            <family val="2"/>
          </rPr>
          <t xml:space="preserve">
Bio Intelligence Service.
http://biblioteca.anipac.mx/wp-content/uploads/2017/10/Assessment-of-impacts-of-options-to-reduce-the-use-of-single-use-plastic-carrier-bags.pdf
</t>
        </r>
      </text>
    </comment>
    <comment ref="H11" authorId="0" shapeId="0" xr:uid="{00000000-0006-0000-0E00-000009000000}">
      <text>
        <r>
          <rPr>
            <sz val="9"/>
            <color indexed="81"/>
            <rFont val="Tahoma"/>
            <family val="2"/>
          </rPr>
          <t xml:space="preserve">
Un kg de Bolsa de LDPE utiliza .932kwh/ kg de acuerdo a Environment Agency. Pag 28.
https://www.gov.uk/government/uploads/system/uploads/attachment_data/file/291023/scho0711buan-e-e.pdf</t>
        </r>
      </text>
    </comment>
    <comment ref="I11" authorId="0" shapeId="0" xr:uid="{00000000-0006-0000-0E00-00000A000000}">
      <text>
        <r>
          <rPr>
            <sz val="9"/>
            <color indexed="81"/>
            <rFont val="Tahoma"/>
            <family val="2"/>
          </rPr>
          <t xml:space="preserve">
Dato obtenido de Environment Agency pag. 46
</t>
        </r>
      </text>
    </comment>
    <comment ref="B12" authorId="1" shapeId="0" xr:uid="{00000000-0006-0000-0E00-00000B000000}">
      <text>
        <r>
          <rPr>
            <sz val="9"/>
            <color indexed="81"/>
            <rFont val="Tahoma"/>
            <family val="2"/>
          </rPr>
          <t xml:space="preserve">
Dato obtenido de Franklin pdf
</t>
        </r>
      </text>
    </comment>
    <comment ref="B13" authorId="1" shapeId="0" xr:uid="{00000000-0006-0000-0E00-00000C000000}">
      <text>
        <r>
          <rPr>
            <b/>
            <sz val="9"/>
            <color indexed="81"/>
            <rFont val="Tahoma"/>
            <family val="2"/>
          </rPr>
          <t xml:space="preserve">Isela Rivas:
</t>
        </r>
        <r>
          <rPr>
            <sz val="9"/>
            <color indexed="81"/>
            <rFont val="Tahoma"/>
            <family val="2"/>
          </rPr>
          <t>Dato obtenido deASIPLA
PAG. 23</t>
        </r>
      </text>
    </comment>
    <comment ref="I13" authorId="0" shapeId="0" xr:uid="{00000000-0006-0000-0E00-00000D000000}">
      <text>
        <r>
          <rPr>
            <sz val="9"/>
            <color indexed="81"/>
            <rFont val="Tahoma"/>
            <family val="2"/>
          </rPr>
          <t xml:space="preserve">ASIPLA
pag. 23
</t>
        </r>
      </text>
    </comment>
    <comment ref="J13" authorId="0" shapeId="0" xr:uid="{00000000-0006-0000-0E00-00000E000000}">
      <text>
        <r>
          <rPr>
            <sz val="9"/>
            <color indexed="81"/>
            <rFont val="Tahoma"/>
            <family val="2"/>
          </rPr>
          <t>ASIPLA
pag. 23</t>
        </r>
      </text>
    </comment>
    <comment ref="B14" authorId="1" shapeId="0" xr:uid="{00000000-0006-0000-0E00-00000F000000}">
      <text>
        <r>
          <rPr>
            <b/>
            <sz val="9"/>
            <color indexed="81"/>
            <rFont val="Tahoma"/>
            <family val="2"/>
          </rPr>
          <t xml:space="preserve">Isela Rivas:
</t>
        </r>
        <r>
          <rPr>
            <sz val="9"/>
            <color indexed="81"/>
            <rFont val="Tahoma"/>
            <family val="2"/>
          </rPr>
          <t xml:space="preserve">https://plastics.americanchemistry.com/LifeCycle-Inventory-of-9-Plastics-Resins-and-4-Polyurethane-Precursors-Rpt-Only/
PAG. 3-2
</t>
        </r>
      </text>
    </comment>
    <comment ref="B15" authorId="1" shapeId="0" xr:uid="{00000000-0006-0000-0E00-000010000000}">
      <text>
        <r>
          <rPr>
            <b/>
            <sz val="9"/>
            <color indexed="81"/>
            <rFont val="Tahoma"/>
            <family val="2"/>
          </rPr>
          <t xml:space="preserve">Isela Rivas:
</t>
        </r>
        <r>
          <rPr>
            <sz val="9"/>
            <color indexed="81"/>
            <rFont val="Tahoma"/>
            <family val="2"/>
          </rPr>
          <t xml:space="preserve">https://plastics.americanchemistry.com/LifeCycle-Inventory-of-9-Plastics-Resins-and-4-Polyurethane-Precursors-Rpt-Only/
PAG. 3-2
</t>
        </r>
      </text>
    </comment>
    <comment ref="B18" authorId="0" shapeId="0" xr:uid="{00000000-0006-0000-0E00-000011000000}">
      <text>
        <r>
          <rPr>
            <sz val="9"/>
            <color indexed="81"/>
            <rFont val="Tahoma"/>
            <family val="2"/>
          </rPr>
          <t xml:space="preserve">
Franklin Associates, LTD.
Pag. I-21
</t>
        </r>
      </text>
    </comment>
    <comment ref="P18" authorId="2" shapeId="0" xr:uid="{00000000-0006-0000-0E00-000012000000}">
      <text>
        <r>
          <rPr>
            <b/>
            <sz val="10"/>
            <color indexed="81"/>
            <rFont val="Calibri"/>
            <family val="2"/>
          </rPr>
          <t xml:space="preserve">Dato de Investigacion
</t>
        </r>
      </text>
    </comment>
    <comment ref="B19" authorId="0" shapeId="0" xr:uid="{00000000-0006-0000-0E00-000013000000}">
      <text>
        <r>
          <rPr>
            <sz val="9"/>
            <color indexed="81"/>
            <rFont val="Tahoma"/>
            <family val="2"/>
          </rPr>
          <t xml:space="preserve">
Bio Intelligence Service.
http://biblioteca.anipac.mx/wp-content/uploads/2017/10/Assessment-of-impacts-of-options-to-reduce-the-use-of-single-use-plastic-carrier-bags.pdf
</t>
        </r>
      </text>
    </comment>
    <comment ref="B20" authorId="1" shapeId="0" xr:uid="{00000000-0006-0000-0E00-000014000000}">
      <text>
        <r>
          <rPr>
            <sz val="9"/>
            <color indexed="81"/>
            <rFont val="Tahoma"/>
            <family val="2"/>
          </rPr>
          <t xml:space="preserve">
Dato obtenido de Franklin pdf
</t>
        </r>
      </text>
    </comment>
    <comment ref="I20" authorId="1" shapeId="0" xr:uid="{00000000-0006-0000-0E00-000015000000}">
      <text>
        <r>
          <rPr>
            <b/>
            <sz val="9"/>
            <color indexed="81"/>
            <rFont val="Tahoma"/>
            <family val="2"/>
          </rPr>
          <t>Isela Rivas:</t>
        </r>
        <r>
          <rPr>
            <sz val="9"/>
            <color indexed="81"/>
            <rFont val="Tahoma"/>
            <family val="2"/>
          </rPr>
          <t xml:space="preserve">
Dato obtenido de Franklin pdf pag. 49</t>
        </r>
      </text>
    </comment>
    <comment ref="B21" authorId="1" shapeId="0" xr:uid="{00000000-0006-0000-0E00-000016000000}">
      <text>
        <r>
          <rPr>
            <b/>
            <sz val="9"/>
            <color indexed="81"/>
            <rFont val="Tahoma"/>
            <family val="2"/>
          </rPr>
          <t xml:space="preserve">Isela Rivas:
</t>
        </r>
        <r>
          <rPr>
            <sz val="9"/>
            <color indexed="81"/>
            <rFont val="Tahoma"/>
            <family val="2"/>
          </rPr>
          <t>Dato obtenido deASIPLA
PAG. 23</t>
        </r>
      </text>
    </comment>
    <comment ref="B22" authorId="1" shapeId="0" xr:uid="{00000000-0006-0000-0E00-000017000000}">
      <text>
        <r>
          <rPr>
            <b/>
            <sz val="9"/>
            <color indexed="81"/>
            <rFont val="Tahoma"/>
            <family val="2"/>
          </rPr>
          <t xml:space="preserve">Isela Rivas:
</t>
        </r>
        <r>
          <rPr>
            <sz val="9"/>
            <color indexed="81"/>
            <rFont val="Tahoma"/>
            <family val="2"/>
          </rPr>
          <t xml:space="preserve">https://plastics.americanchemistry.com/LifeCycle-Inventory-of-9-Plastics-Resins-and-4-Polyurethane-Precursors-Rpt-Only/
PAG. 3-2
</t>
        </r>
      </text>
    </comment>
    <comment ref="B23" authorId="1" shapeId="0" xr:uid="{00000000-0006-0000-0E00-000018000000}">
      <text>
        <r>
          <rPr>
            <b/>
            <sz val="9"/>
            <color indexed="81"/>
            <rFont val="Tahoma"/>
            <family val="2"/>
          </rPr>
          <t xml:space="preserve">Isela Rivas:
</t>
        </r>
        <r>
          <rPr>
            <sz val="9"/>
            <color indexed="81"/>
            <rFont val="Tahoma"/>
            <family val="2"/>
          </rPr>
          <t xml:space="preserve">https://plastics.americanchemistry.com/LifeCycle-Inventory-of-9-Plastics-Resins-and-4-Polyurethane-Precursors-Rpt-Only/
PAG. 4-3
</t>
        </r>
      </text>
    </comment>
    <comment ref="A27" authorId="0" shapeId="0" xr:uid="{00000000-0006-0000-0E00-000019000000}">
      <text>
        <r>
          <rPr>
            <sz val="9"/>
            <color indexed="81"/>
            <rFont val="Tahoma"/>
            <family val="2"/>
          </rPr>
          <t>Para transformar la energia primaria utilizada en emisiones de CO2 ahorradas, se ha usado como transformador los kg de CO2 asociados a la produccion de un kwh.
Obtenido de SENER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Rosa Isela</author>
    <author>Isela Rivas</author>
    <author>Isela</author>
  </authors>
  <commentList>
    <comment ref="T3" authorId="0" shapeId="0" xr:uid="{00000000-0006-0000-0F00-000001000000}">
      <text>
        <r>
          <rPr>
            <sz val="9"/>
            <color indexed="81"/>
            <rFont val="Tahoma"/>
            <family val="2"/>
          </rPr>
          <t>Un foco de 60 w emite 39 g de CO2/hora
https://ec.europa.eu/clima/sites/campaign/pdf/table_appliances_es.pdf</t>
        </r>
      </text>
    </comment>
    <comment ref="B4" authorId="0" shapeId="0" xr:uid="{00000000-0006-0000-0F00-000002000000}">
      <text>
        <r>
          <rPr>
            <b/>
            <sz val="9"/>
            <color indexed="81"/>
            <rFont val="Tahoma"/>
            <family val="2"/>
          </rPr>
          <t>Rosa Isela:</t>
        </r>
        <r>
          <rPr>
            <sz val="9"/>
            <color indexed="81"/>
            <rFont val="Tahoma"/>
            <family val="2"/>
          </rPr>
          <t xml:space="preserve">
ECOEMBES-UNESCO
</t>
        </r>
      </text>
    </comment>
    <comment ref="B5" authorId="0" shapeId="0" xr:uid="{00000000-0006-0000-0F00-000003000000}">
      <text>
        <r>
          <rPr>
            <b/>
            <sz val="9"/>
            <color indexed="81"/>
            <rFont val="Tahoma"/>
            <family val="2"/>
          </rPr>
          <t>Rosa Isela:</t>
        </r>
        <r>
          <rPr>
            <sz val="9"/>
            <color indexed="81"/>
            <rFont val="Tahoma"/>
            <family val="2"/>
          </rPr>
          <t xml:space="preserve">
Franklin Assiciates, LTD.
</t>
        </r>
      </text>
    </comment>
    <comment ref="D5" authorId="0" shapeId="0" xr:uid="{00000000-0006-0000-0F00-000004000000}">
      <text>
        <r>
          <rPr>
            <b/>
            <sz val="9"/>
            <color indexed="81"/>
            <rFont val="Tahoma"/>
            <family val="2"/>
          </rPr>
          <t>Rosa Isela:</t>
        </r>
        <r>
          <rPr>
            <sz val="9"/>
            <color indexed="81"/>
            <rFont val="Tahoma"/>
            <family val="2"/>
          </rPr>
          <t xml:space="preserve">
Incluye tapa
</t>
        </r>
      </text>
    </comment>
    <comment ref="B8" authorId="0" shapeId="0" xr:uid="{00000000-0006-0000-0F00-000005000000}">
      <text>
        <r>
          <rPr>
            <b/>
            <sz val="9"/>
            <color indexed="81"/>
            <rFont val="Tahoma"/>
            <family val="2"/>
          </rPr>
          <t>Rosa Isela:</t>
        </r>
        <r>
          <rPr>
            <sz val="9"/>
            <color indexed="81"/>
            <rFont val="Tahoma"/>
            <family val="2"/>
          </rPr>
          <t xml:space="preserve">
ECOEMBES-UNESCO
</t>
        </r>
      </text>
    </comment>
    <comment ref="B9" authorId="0" shapeId="0" xr:uid="{00000000-0006-0000-0F00-000006000000}">
      <text>
        <r>
          <rPr>
            <b/>
            <sz val="9"/>
            <color indexed="81"/>
            <rFont val="Tahoma"/>
            <family val="2"/>
          </rPr>
          <t>Rosa Isela:</t>
        </r>
        <r>
          <rPr>
            <sz val="9"/>
            <color indexed="81"/>
            <rFont val="Tahoma"/>
            <family val="2"/>
          </rPr>
          <t xml:space="preserve">
Franklin Assiciates, LTD.
</t>
        </r>
      </text>
    </comment>
    <comment ref="B10" authorId="1" shapeId="0" xr:uid="{00000000-0006-0000-0F00-000007000000}">
      <text>
        <r>
          <rPr>
            <sz val="9"/>
            <color indexed="81"/>
            <rFont val="Tahoma"/>
            <family val="2"/>
          </rPr>
          <t xml:space="preserve">
Dato obtenido de ASIPLA, pag 23</t>
        </r>
      </text>
    </comment>
    <comment ref="B13" authorId="0" shapeId="0" xr:uid="{00000000-0006-0000-0F00-000008000000}">
      <text>
        <r>
          <rPr>
            <b/>
            <sz val="9"/>
            <color indexed="81"/>
            <rFont val="Tahoma"/>
            <family val="2"/>
          </rPr>
          <t>Rosa Isela:</t>
        </r>
        <r>
          <rPr>
            <sz val="9"/>
            <color indexed="81"/>
            <rFont val="Tahoma"/>
            <family val="2"/>
          </rPr>
          <t xml:space="preserve">
ECOEMBES-UNESCO
En material reciclado  solo se tomo en cuenta el  pre-tratamieto y reciclado
virgen se incluye la extracción de materias primas, producción de lingotes
</t>
        </r>
      </text>
    </comment>
    <comment ref="B14" authorId="0" shapeId="0" xr:uid="{00000000-0006-0000-0F00-000009000000}">
      <text>
        <r>
          <rPr>
            <b/>
            <sz val="9"/>
            <color indexed="81"/>
            <rFont val="Tahoma"/>
            <family val="2"/>
          </rPr>
          <t>Rosa Isela:</t>
        </r>
        <r>
          <rPr>
            <sz val="9"/>
            <color indexed="81"/>
            <rFont val="Tahoma"/>
            <family val="2"/>
          </rPr>
          <t xml:space="preserve">
Franklin Assiciates, LTD.
Virgen Incluye: Extracción de materiales, Produccion de lamina de aluminio, Producción de latas 
Reciclado Incluye: Recoleccion, densificación de envases, produccion de lamina de aluminio, producción de latas </t>
        </r>
      </text>
    </comment>
    <comment ref="V14" authorId="0" shapeId="0" xr:uid="{00000000-0006-0000-0F00-00000A000000}">
      <text>
        <r>
          <rPr>
            <sz val="9"/>
            <color indexed="81"/>
            <rFont val="Tahoma"/>
            <family val="2"/>
          </rPr>
          <t>Reciclar 1 Ton de latas de aluminio ahorra 90,000 l de agua
Dato obtenido de Infografia Ecoce</t>
        </r>
      </text>
    </comment>
    <comment ref="B15" authorId="1" shapeId="0" xr:uid="{00000000-0006-0000-0F00-00000B000000}">
      <text>
        <r>
          <rPr>
            <sz val="9"/>
            <color indexed="81"/>
            <rFont val="Tahoma"/>
            <family val="2"/>
          </rPr>
          <t xml:space="preserve">
Dato obtenido de SEDESOL
</t>
        </r>
      </text>
    </comment>
    <comment ref="L15" authorId="2" shapeId="0" xr:uid="{00000000-0006-0000-0F00-00000C000000}">
      <text>
        <r>
          <rPr>
            <sz val="9"/>
            <color indexed="81"/>
            <rFont val="Tahoma"/>
            <family val="2"/>
          </rPr>
          <t xml:space="preserve">
Sedesol indica que el ahorro es del 95 % pag. 26
</t>
        </r>
      </text>
    </comment>
    <comment ref="B16" authorId="1" shapeId="0" xr:uid="{00000000-0006-0000-0F00-00000D000000}">
      <text>
        <r>
          <rPr>
            <sz val="9"/>
            <color indexed="81"/>
            <rFont val="Tahoma"/>
            <family val="2"/>
          </rPr>
          <t xml:space="preserve">
Dato obtenido de http://recycling.world-aluminium.org/home/</t>
        </r>
      </text>
    </comment>
    <comment ref="L16" authorId="2" shapeId="0" xr:uid="{00000000-0006-0000-0F00-00000E000000}">
      <text>
        <r>
          <rPr>
            <sz val="9"/>
            <color indexed="81"/>
            <rFont val="Tahoma"/>
            <family val="2"/>
          </rPr>
          <t xml:space="preserve">
Sedesol indica que el ahorro es del 95 % pag. 26
</t>
        </r>
      </text>
    </comment>
    <comment ref="A23" authorId="0" shapeId="0" xr:uid="{00000000-0006-0000-0F00-00000F000000}">
      <text>
        <r>
          <rPr>
            <sz val="9"/>
            <color indexed="81"/>
            <rFont val="Tahoma"/>
            <family val="2"/>
          </rPr>
          <t>Para transformar la energia primaria utilizada en emisiones de CO2 ahorradas, se ha usado como transformador los kg de CO2 asociados a la produccion de un kwh.
Obtenido de SENER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Isela Rivas</author>
    <author>Rosa Isela</author>
    <author>Isela</author>
  </authors>
  <commentList>
    <comment ref="A2" authorId="0" shapeId="0" xr:uid="{00000000-0006-0000-1000-000001000000}">
      <text>
        <r>
          <rPr>
            <b/>
            <sz val="9"/>
            <color indexed="81"/>
            <rFont val="Tahoma"/>
            <family val="2"/>
          </rPr>
          <t xml:space="preserve">
Para 500 y 600 ml</t>
        </r>
        <r>
          <rPr>
            <sz val="9"/>
            <color indexed="81"/>
            <rFont val="Tahoma"/>
            <family val="2"/>
          </rPr>
          <t xml:space="preserve">
En material reciclado  solo se tomo en cuenta el  pre-tratamieto y proceso de reciclado
En material virgen se incluye la extracción de materias primas, producción de resina, granza de PET
</t>
        </r>
        <r>
          <rPr>
            <b/>
            <sz val="9"/>
            <color indexed="81"/>
            <rFont val="Tahoma"/>
            <family val="2"/>
          </rPr>
          <t>Para 1lt</t>
        </r>
        <r>
          <rPr>
            <sz val="9"/>
            <color indexed="81"/>
            <rFont val="Tahoma"/>
            <family val="2"/>
          </rPr>
          <t xml:space="preserve">
En material reciclado solo se tomo en cuenta la energia eléctrica para la producción de botellas 
En material virgen solo se tomo en cuenta la energia eléctrica para extracción de mat. prima, polimerización, transporte a México y producción de botella</t>
        </r>
      </text>
    </comment>
    <comment ref="R3" authorId="1" shapeId="0" xr:uid="{00000000-0006-0000-1000-000002000000}">
      <text>
        <r>
          <rPr>
            <sz val="12"/>
            <color indexed="81"/>
            <rFont val="Tahoma"/>
            <family val="2"/>
          </rPr>
          <t>Una Tv emite de 52 a 195 g de CO2/hra.</t>
        </r>
      </text>
    </comment>
    <comment ref="T3" authorId="1" shapeId="0" xr:uid="{00000000-0006-0000-1000-000003000000}">
      <text>
        <r>
          <rPr>
            <sz val="9"/>
            <color indexed="81"/>
            <rFont val="Tahoma"/>
            <family val="2"/>
          </rPr>
          <t>Un foco de 60 w emite 39 g de CO2/hora
https://ec.europa.eu/clima/sites/campaign/pdf/table_appliances_es.pdf</t>
        </r>
      </text>
    </comment>
    <comment ref="B4" authorId="1" shapeId="0" xr:uid="{00000000-0006-0000-1000-000004000000}">
      <text>
        <r>
          <rPr>
            <b/>
            <sz val="9"/>
            <color indexed="81"/>
            <rFont val="Tahoma"/>
            <family val="2"/>
          </rPr>
          <t>Rosa Isela:</t>
        </r>
        <r>
          <rPr>
            <sz val="9"/>
            <color indexed="81"/>
            <rFont val="Tahoma"/>
            <family val="2"/>
          </rPr>
          <t xml:space="preserve">
Franklin Associates, LTD.
Pag, E1
</t>
        </r>
      </text>
    </comment>
    <comment ref="B7" authorId="1" shapeId="0" xr:uid="{00000000-0006-0000-1000-000005000000}">
      <text>
        <r>
          <rPr>
            <b/>
            <sz val="9"/>
            <color indexed="81"/>
            <rFont val="Tahoma"/>
            <family val="2"/>
          </rPr>
          <t>Rosa Isela:</t>
        </r>
        <r>
          <rPr>
            <sz val="9"/>
            <color indexed="81"/>
            <rFont val="Tahoma"/>
            <family val="2"/>
          </rPr>
          <t xml:space="preserve">
Franklin Associates, LTD.
Pag, E1
</t>
        </r>
      </text>
    </comment>
    <comment ref="B10" authorId="1" shapeId="0" xr:uid="{00000000-0006-0000-1000-000006000000}">
      <text>
        <r>
          <rPr>
            <b/>
            <sz val="9"/>
            <color indexed="81"/>
            <rFont val="Tahoma"/>
            <family val="2"/>
          </rPr>
          <t>Rosa Isela:</t>
        </r>
        <r>
          <rPr>
            <sz val="9"/>
            <color indexed="81"/>
            <rFont val="Tahoma"/>
            <family val="2"/>
          </rPr>
          <t xml:space="preserve">
Franklin Associates, LTD.
Pag, E1
</t>
        </r>
      </text>
    </comment>
    <comment ref="E10" authorId="1" shapeId="0" xr:uid="{00000000-0006-0000-1000-000007000000}">
      <text>
        <r>
          <rPr>
            <sz val="9"/>
            <color indexed="81"/>
            <rFont val="Tahoma"/>
            <family val="2"/>
          </rPr>
          <t>Fuente
Incluye extracción, produccion de hojalata, transporte, producción de latas
671 kwh 
• Franklin Associates, LTD (1995). Apéndice E. Envases de Hojalata. Pag 7, 12 y 16</t>
        </r>
      </text>
    </comment>
    <comment ref="F10" authorId="2" shapeId="0" xr:uid="{00000000-0006-0000-1000-000008000000}">
      <text>
        <r>
          <rPr>
            <b/>
            <sz val="9"/>
            <color indexed="81"/>
            <rFont val="Tahoma"/>
            <family val="2"/>
          </rPr>
          <t xml:space="preserve">Fuente
</t>
        </r>
        <r>
          <rPr>
            <sz val="9"/>
            <color indexed="81"/>
            <rFont val="Tahoma"/>
            <family val="2"/>
          </rPr>
          <t>Incluye recuperación, procesamiento y  producción de latas
181  kwh 
• Franklin Associates, LTD (1995). Apéndice E. Envases de Hojalata. Pag 7, 12 y 1</t>
        </r>
      </text>
    </comment>
    <comment ref="X10" authorId="2" shapeId="0" xr:uid="{00000000-0006-0000-1000-000009000000}">
      <text>
        <r>
          <rPr>
            <b/>
            <sz val="9"/>
            <color indexed="81"/>
            <rFont val="Tahoma"/>
            <family val="2"/>
          </rPr>
          <t>Isela:</t>
        </r>
        <r>
          <rPr>
            <sz val="9"/>
            <color indexed="81"/>
            <rFont val="Tahoma"/>
            <family val="2"/>
          </rPr>
          <t xml:space="preserve">
De acuerdo a la Unión de Empresas Siderurgicas, por cada ton de acero reciclada, se ahorra tonelada y media de mineral de hierro
https://www.ecoembes.com/es/planeta-recicla/blog/el-acero-que-usamos-tiene-mas-de-150-anos
</t>
        </r>
      </text>
    </comment>
    <comment ref="E11" authorId="2" shapeId="0" xr:uid="{00000000-0006-0000-1000-00000A000000}">
      <text>
        <r>
          <rPr>
            <b/>
            <sz val="9"/>
            <color indexed="81"/>
            <rFont val="Tahoma"/>
            <family val="2"/>
          </rPr>
          <t>Isela:</t>
        </r>
        <r>
          <rPr>
            <sz val="9"/>
            <color indexed="81"/>
            <rFont val="Tahoma"/>
            <family val="2"/>
          </rPr>
          <t xml:space="preserve">
15.3
 Gj
México utiliza 15.3 Gj por cada tonelada de acero producido, 24.3% menos que el promedio mundial.
CANACERO</t>
        </r>
      </text>
    </comment>
    <comment ref="N11" authorId="2" shapeId="0" xr:uid="{00000000-0006-0000-1000-00000B000000}">
      <text>
        <r>
          <rPr>
            <b/>
            <sz val="9"/>
            <color indexed="81"/>
            <rFont val="Tahoma"/>
            <family val="2"/>
          </rPr>
          <t>Isela:</t>
        </r>
        <r>
          <rPr>
            <sz val="9"/>
            <color indexed="81"/>
            <rFont val="Tahoma"/>
            <family val="2"/>
          </rPr>
          <t xml:space="preserve">
1.044
 tCO2
El sector genera 1.044 tCO2 por cada tonelada de acero producido.
canacero</t>
        </r>
      </text>
    </comment>
    <comment ref="A15" authorId="1" shapeId="0" xr:uid="{00000000-0006-0000-1000-00000C000000}">
      <text>
        <r>
          <rPr>
            <sz val="9"/>
            <color indexed="81"/>
            <rFont val="Tahoma"/>
            <family val="2"/>
          </rPr>
          <t>Para transformar la energia primaria utilizada en emisiones de CO2 ahorradas, se ha usado como transformador los kg de CO2 asociados a la produccion de un kwh.
Obtenido de SENER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Rosa Isela</author>
    <author>Isela Rivas</author>
    <author>ECOCE MONICA</author>
    <author>Isela</author>
  </authors>
  <commentList>
    <comment ref="R3" authorId="0" shapeId="0" xr:uid="{00000000-0006-0000-1100-000001000000}">
      <text>
        <r>
          <rPr>
            <sz val="12"/>
            <color indexed="81"/>
            <rFont val="Tahoma"/>
            <family val="2"/>
          </rPr>
          <t>Una Tv emite de 52 a 195 g de CO2/hra.</t>
        </r>
      </text>
    </comment>
    <comment ref="T3" authorId="0" shapeId="0" xr:uid="{00000000-0006-0000-1100-000002000000}">
      <text>
        <r>
          <rPr>
            <sz val="9"/>
            <color indexed="81"/>
            <rFont val="Tahoma"/>
            <family val="2"/>
          </rPr>
          <t>Un foco de 60 w emite 39 g de CO2/hora
https://ec.europa.eu/clima/sites/campaign/pdf/table_appliances_es.pdf</t>
        </r>
      </text>
    </comment>
    <comment ref="B4" authorId="0" shapeId="0" xr:uid="{00000000-0006-0000-1100-000003000000}">
      <text>
        <r>
          <rPr>
            <sz val="9"/>
            <color indexed="81"/>
            <rFont val="Tahoma"/>
            <family val="2"/>
          </rPr>
          <t xml:space="preserve">
Datos obtenidos de transforma hogar.com
La información se dedujo de los datos y % que manejan en la pagina
</t>
        </r>
      </text>
    </comment>
    <comment ref="B5" authorId="0" shapeId="0" xr:uid="{00000000-0006-0000-1100-000004000000}">
      <text>
        <r>
          <rPr>
            <sz val="9"/>
            <color indexed="81"/>
            <rFont val="Tahoma"/>
            <family val="2"/>
          </rPr>
          <t xml:space="preserve">
http://qsource.com.mx/bolsas-de-papel-vs-bolsas-de-plastico-cual-es-mejor/</t>
        </r>
      </text>
    </comment>
    <comment ref="E5" authorId="0" shapeId="0" xr:uid="{00000000-0006-0000-1100-000005000000}">
      <text>
        <r>
          <rPr>
            <sz val="9"/>
            <color indexed="81"/>
            <rFont val="Tahoma"/>
            <family val="2"/>
          </rPr>
          <t xml:space="preserve">
Una bolsa de papel usa 4 veces más que una de plastico.
http://www.upsocl.com/verde/que-es-mas-ecologico-papel-o-plastico/
</t>
        </r>
      </text>
    </comment>
    <comment ref="V5" authorId="0" shapeId="0" xr:uid="{00000000-0006-0000-1100-000006000000}">
      <text>
        <r>
          <rPr>
            <sz val="9"/>
            <color indexed="81"/>
            <rFont val="Tahoma"/>
            <family val="2"/>
          </rPr>
          <t xml:space="preserve">
Dato obtenido por http://www.letstalkplastics.com/es/facts/hablemos-en-serio-sobre-los-plasticos
Mil bolsas requieren 3,800 l de agua
</t>
        </r>
      </text>
    </comment>
    <comment ref="B6" authorId="1" shapeId="0" xr:uid="{00000000-0006-0000-1100-000007000000}">
      <text>
        <r>
          <rPr>
            <sz val="9"/>
            <color indexed="81"/>
            <rFont val="Tahoma"/>
            <family val="2"/>
          </rPr>
          <t xml:space="preserve">
Dato obtenido de:
ASIPMA. PAG. 23</t>
        </r>
      </text>
    </comment>
    <comment ref="B7" authorId="1" shapeId="0" xr:uid="{00000000-0006-0000-1100-000008000000}">
      <text>
        <r>
          <rPr>
            <sz val="9"/>
            <color indexed="81"/>
            <rFont val="Tahoma"/>
            <family val="2"/>
          </rPr>
          <t xml:space="preserve">
Dato obtenido de:
ASIPMA. PAG. 23</t>
        </r>
      </text>
    </comment>
    <comment ref="B10" authorId="0" shapeId="0" xr:uid="{00000000-0006-0000-1100-000009000000}">
      <text>
        <r>
          <rPr>
            <sz val="9"/>
            <color indexed="81"/>
            <rFont val="Tahoma"/>
            <family val="2"/>
          </rPr>
          <t xml:space="preserve">
Datos obtenidos de transforma hogar.com
La información se dedujo de los datos y % que manejan en la pagina
</t>
        </r>
      </text>
    </comment>
    <comment ref="B11" authorId="0" shapeId="0" xr:uid="{00000000-0006-0000-1100-00000A000000}">
      <text>
        <r>
          <rPr>
            <sz val="9"/>
            <color indexed="81"/>
            <rFont val="Tahoma"/>
            <family val="2"/>
          </rPr>
          <t xml:space="preserve">
http://qsource.com.mx/bolsas-de-papel-vs-bolsas-de-plastico-cual-es-mejor/</t>
        </r>
      </text>
    </comment>
    <comment ref="B12" authorId="1" shapeId="0" xr:uid="{00000000-0006-0000-1100-00000B000000}">
      <text>
        <r>
          <rPr>
            <sz val="9"/>
            <color indexed="81"/>
            <rFont val="Tahoma"/>
            <family val="2"/>
          </rPr>
          <t xml:space="preserve">
Dato obtenido de:
ASIPMA. PAG. 23</t>
        </r>
      </text>
    </comment>
    <comment ref="N12" authorId="2" shapeId="0" xr:uid="{00000000-0006-0000-1100-00000C000000}">
      <text>
        <r>
          <rPr>
            <sz val="9"/>
            <color indexed="81"/>
            <rFont val="Tahoma"/>
            <family val="2"/>
          </rPr>
          <t>ASIPLA, pag 23</t>
        </r>
      </text>
    </comment>
    <comment ref="B13" authorId="1" shapeId="0" xr:uid="{00000000-0006-0000-1100-00000D000000}">
      <text>
        <r>
          <rPr>
            <sz val="9"/>
            <color indexed="81"/>
            <rFont val="Tahoma"/>
            <family val="2"/>
          </rPr>
          <t xml:space="preserve">
Dato obtenido de:
ASIPMA. PAG. 23</t>
        </r>
      </text>
    </comment>
    <comment ref="B16" authorId="0" shapeId="0" xr:uid="{00000000-0006-0000-1100-00000E000000}">
      <text>
        <r>
          <rPr>
            <sz val="9"/>
            <color indexed="81"/>
            <rFont val="Tahoma"/>
            <family val="2"/>
          </rPr>
          <t xml:space="preserve">
Datos obtenidos de transforma hogar.com
La información se dedujo de los datos y % que manejan en la pagina
</t>
        </r>
      </text>
    </comment>
    <comment ref="J16" authorId="2" shapeId="0" xr:uid="{00000000-0006-0000-1100-00000F000000}">
      <text>
        <r>
          <rPr>
            <b/>
            <sz val="9"/>
            <color indexed="81"/>
            <rFont val="Tahoma"/>
            <family val="2"/>
          </rPr>
          <t>Dato obtenido de transformahogar.com:</t>
        </r>
        <r>
          <rPr>
            <sz val="9"/>
            <color indexed="81"/>
            <rFont val="Tahoma"/>
            <family val="2"/>
          </rPr>
          <t xml:space="preserve">
</t>
        </r>
      </text>
    </comment>
    <comment ref="Z16" authorId="3" shapeId="0" xr:uid="{00000000-0006-0000-1100-000010000000}">
      <text>
        <r>
          <rPr>
            <b/>
            <sz val="9"/>
            <color indexed="81"/>
            <rFont val="Tahoma"/>
            <family val="2"/>
          </rPr>
          <t xml:space="preserve">Isela:Dato de Camara del papel
</t>
        </r>
      </text>
    </comment>
    <comment ref="B17" authorId="0" shapeId="0" xr:uid="{00000000-0006-0000-1100-000011000000}">
      <text>
        <r>
          <rPr>
            <sz val="9"/>
            <color indexed="81"/>
            <rFont val="Tahoma"/>
            <family val="2"/>
          </rPr>
          <t xml:space="preserve">
http://qsource.com.mx/bolsas-de-papel-vs-bolsas-de-plastico-cual-es-mejor/</t>
        </r>
      </text>
    </comment>
    <comment ref="B18" authorId="1" shapeId="0" xr:uid="{00000000-0006-0000-1100-000012000000}">
      <text>
        <r>
          <rPr>
            <sz val="9"/>
            <color indexed="81"/>
            <rFont val="Tahoma"/>
            <family val="2"/>
          </rPr>
          <t xml:space="preserve">
Dato obtenido de:
ASIPMA. PAG. 23</t>
        </r>
      </text>
    </comment>
    <comment ref="Q18" authorId="3" shapeId="0" xr:uid="{00000000-0006-0000-1100-000013000000}">
      <text>
        <r>
          <rPr>
            <b/>
            <sz val="9"/>
            <color indexed="81"/>
            <rFont val="Tahoma"/>
            <family val="2"/>
          </rPr>
          <t>Isela:</t>
        </r>
        <r>
          <rPr>
            <sz val="9"/>
            <color indexed="81"/>
            <rFont val="Tahoma"/>
            <family val="2"/>
          </rPr>
          <t xml:space="preserve">
Sedesol pag. 23
</t>
        </r>
      </text>
    </comment>
    <comment ref="X18" authorId="0" shapeId="0" xr:uid="{00000000-0006-0000-1100-000014000000}">
      <text>
        <r>
          <rPr>
            <sz val="9"/>
            <color indexed="81"/>
            <rFont val="Tahoma"/>
            <family val="2"/>
          </rPr>
          <t>Reciclar 1 ton de papel ahorra 7 m3  de agua 
Dato obtenido de Infografia impresa datos comparativos</t>
        </r>
      </text>
    </comment>
    <comment ref="Z18" authorId="3" shapeId="0" xr:uid="{00000000-0006-0000-1100-000015000000}">
      <text>
        <r>
          <rPr>
            <b/>
            <sz val="9"/>
            <color indexed="81"/>
            <rFont val="Tahoma"/>
            <family val="2"/>
          </rPr>
          <t>Isela:</t>
        </r>
        <r>
          <rPr>
            <sz val="9"/>
            <color indexed="81"/>
            <rFont val="Tahoma"/>
            <family val="2"/>
          </rPr>
          <t xml:space="preserve">
SEDESOL pag 23
</t>
        </r>
      </text>
    </comment>
    <comment ref="AD18" authorId="3" shapeId="0" xr:uid="{00000000-0006-0000-1100-000016000000}">
      <text>
        <r>
          <rPr>
            <b/>
            <sz val="9"/>
            <color indexed="81"/>
            <rFont val="Tahoma"/>
            <family val="2"/>
          </rPr>
          <t>Fuente.
Libro de Sedesol Pag 23</t>
        </r>
      </text>
    </comment>
    <comment ref="B19" authorId="1" shapeId="0" xr:uid="{00000000-0006-0000-1100-000017000000}">
      <text>
        <r>
          <rPr>
            <sz val="9"/>
            <color indexed="81"/>
            <rFont val="Tahoma"/>
            <family val="2"/>
          </rPr>
          <t xml:space="preserve">
Dato obtenido de:
ASIPMA. PAG. 23</t>
        </r>
      </text>
    </comment>
    <comment ref="B20" authorId="1" shapeId="0" xr:uid="{00000000-0006-0000-1100-000018000000}">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Rosa Isela</author>
    <author>Isela</author>
  </authors>
  <commentList>
    <comment ref="B4" authorId="0" shapeId="0" xr:uid="{00000000-0006-0000-1200-000001000000}">
      <text>
        <r>
          <rPr>
            <b/>
            <sz val="9"/>
            <color indexed="81"/>
            <rFont val="Tahoma"/>
            <family val="2"/>
          </rPr>
          <t>Rosa Isela:</t>
        </r>
        <r>
          <rPr>
            <sz val="9"/>
            <color indexed="81"/>
            <rFont val="Tahoma"/>
            <family val="2"/>
          </rPr>
          <t xml:space="preserve">
Informacion obtenida de stopbasura</t>
        </r>
      </text>
    </comment>
    <comment ref="C4" authorId="0" shapeId="0" xr:uid="{00000000-0006-0000-1200-000002000000}">
      <text>
        <r>
          <rPr>
            <sz val="9"/>
            <color indexed="81"/>
            <rFont val="Tahoma"/>
            <family val="2"/>
          </rPr>
          <t>Peso obtenido de stopbasura</t>
        </r>
      </text>
    </comment>
    <comment ref="F4" authorId="0" shapeId="0" xr:uid="{00000000-0006-0000-1200-000003000000}">
      <text>
        <r>
          <rPr>
            <sz val="9"/>
            <color indexed="81"/>
            <rFont val="Tahoma"/>
            <family val="2"/>
          </rPr>
          <t>Fuente:
Reciclar una botella equivale a mantener 1 foco de 120 vatios por 4 horas
http://www.conama11.vsf.es/conama10/download/files/conama2016/CT%202016/1998973493.pdf</t>
        </r>
      </text>
    </comment>
    <comment ref="B7" authorId="0" shapeId="0" xr:uid="{00000000-0006-0000-1200-000004000000}">
      <text>
        <r>
          <rPr>
            <b/>
            <sz val="9"/>
            <color indexed="81"/>
            <rFont val="Tahoma"/>
            <family val="2"/>
          </rPr>
          <t>Rosa Isela:</t>
        </r>
        <r>
          <rPr>
            <sz val="9"/>
            <color indexed="81"/>
            <rFont val="Tahoma"/>
            <family val="2"/>
          </rPr>
          <t xml:space="preserve">
Informacion obtenida de stopbasura</t>
        </r>
      </text>
    </comment>
    <comment ref="B10" authorId="0" shapeId="0" xr:uid="{00000000-0006-0000-1200-000005000000}">
      <text>
        <r>
          <rPr>
            <b/>
            <sz val="9"/>
            <color indexed="81"/>
            <rFont val="Tahoma"/>
            <family val="2"/>
          </rPr>
          <t>Rosa Isela:</t>
        </r>
        <r>
          <rPr>
            <sz val="9"/>
            <color indexed="81"/>
            <rFont val="Tahoma"/>
            <family val="2"/>
          </rPr>
          <t xml:space="preserve">
Informacion obtenida de stopbasura</t>
        </r>
      </text>
    </comment>
    <comment ref="E10" authorId="1" shapeId="0" xr:uid="{00000000-0006-0000-1200-000006000000}">
      <text>
        <r>
          <rPr>
            <sz val="9"/>
            <color indexed="81"/>
            <rFont val="Tahoma"/>
            <family val="2"/>
          </rPr>
          <t>Fuente:
Reciclar una botella equivale a a 1 foco de 110 por 4 horas
http://www.conama11.vsf.es/conama10/download/files/conama2016/CT%202016/1998973493.pdf
Visto tambien en:
http://www.reciclame.info/sabias-que/</t>
        </r>
      </text>
    </comment>
    <comment ref="G10" authorId="0" shapeId="0" xr:uid="{00000000-0006-0000-1200-000007000000}">
      <text>
        <r>
          <rPr>
            <b/>
            <sz val="9"/>
            <color indexed="81"/>
            <rFont val="Tahoma"/>
            <family val="2"/>
          </rPr>
          <t>Rosa Isela:</t>
        </r>
        <r>
          <rPr>
            <sz val="9"/>
            <color indexed="81"/>
            <rFont val="Tahoma"/>
            <family val="2"/>
          </rPr>
          <t xml:space="preserve">
Dato obteneido de.
http://www.conama11.vsf.es/conama10/download/files/conama2016/CT%202016/1998973493.pdf
Stop basura</t>
        </r>
      </text>
    </comment>
    <comment ref="H10" authorId="0" shapeId="0" xr:uid="{00000000-0006-0000-1200-000008000000}">
      <text>
        <r>
          <rPr>
            <sz val="9"/>
            <color indexed="81"/>
            <rFont val="Tahoma"/>
            <family val="2"/>
          </rPr>
          <t>Dato obtenido de eduartel.org
http://www.edualter.org/actualidad/ecologia/residus6.htm</t>
        </r>
      </text>
    </comment>
    <comment ref="J10" authorId="0" shapeId="0" xr:uid="{00000000-0006-0000-1200-000009000000}">
      <text>
        <r>
          <rPr>
            <b/>
            <sz val="9"/>
            <color indexed="81"/>
            <rFont val="Tahoma"/>
            <family val="2"/>
          </rPr>
          <t>Rosa Isela:</t>
        </r>
        <r>
          <rPr>
            <sz val="9"/>
            <color indexed="81"/>
            <rFont val="Tahoma"/>
            <family val="2"/>
          </rPr>
          <t xml:space="preserve">
Obtenido de reciclame.info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Isela Rivas</author>
    <author>Rosa Isela</author>
    <author>Isela</author>
  </authors>
  <commentList>
    <comment ref="A2" authorId="0" shapeId="0" xr:uid="{00000000-0006-0000-1300-000001000000}">
      <text>
        <r>
          <rPr>
            <b/>
            <sz val="9"/>
            <color indexed="81"/>
            <rFont val="Tahoma"/>
            <family val="2"/>
          </rPr>
          <t>Isela Rivas:
Para 500 y 600 ml</t>
        </r>
        <r>
          <rPr>
            <sz val="9"/>
            <color indexed="81"/>
            <rFont val="Tahoma"/>
            <family val="2"/>
          </rPr>
          <t xml:space="preserve">
En material reciclado  solo se tomo en cuenta el  pre-tratamieto y proceso de reciclado
En material virgen se incluye la extracción de materias primas, producción de resina, granza de PET
</t>
        </r>
        <r>
          <rPr>
            <b/>
            <sz val="9"/>
            <color indexed="81"/>
            <rFont val="Tahoma"/>
            <family val="2"/>
          </rPr>
          <t>Para 1lt</t>
        </r>
        <r>
          <rPr>
            <sz val="9"/>
            <color indexed="81"/>
            <rFont val="Tahoma"/>
            <family val="2"/>
          </rPr>
          <t xml:space="preserve">
En material reciclado solo se tomo en cuenta la energia eléctrica para la producción de botellas 
En material virgen solo se tomo en cuenta la energia eléctrica para extracción de mat. prima, polimerización, transporte a México y producción de botella</t>
        </r>
      </text>
    </comment>
    <comment ref="B4" authorId="1" shapeId="0" xr:uid="{00000000-0006-0000-1300-000002000000}">
      <text>
        <r>
          <rPr>
            <sz val="9"/>
            <color indexed="81"/>
            <rFont val="Tahoma"/>
            <family val="2"/>
          </rPr>
          <t xml:space="preserve">
https://upcommons.upc.edu/bitstream/handle/2099.1/22807/TFM%20-%20ACV%20Bolsas%20de%20compra%20-%20Floriane%20COLOMBANI.pdf?sequence=1</t>
        </r>
      </text>
    </comment>
    <comment ref="B5" authorId="0" shapeId="0" xr:uid="{00000000-0006-0000-1300-000003000000}">
      <text>
        <r>
          <rPr>
            <b/>
            <sz val="9"/>
            <color indexed="81"/>
            <rFont val="Tahoma"/>
            <family val="2"/>
          </rPr>
          <t>Isela Rivas:</t>
        </r>
        <r>
          <rPr>
            <sz val="9"/>
            <color indexed="81"/>
            <rFont val="Tahoma"/>
            <family val="2"/>
          </rPr>
          <t xml:space="preserve">
Dato obtenido de Franklin pdf, pag 5-3.
Cradle-to-fate life cycle inventory of nine plastic resins and for polyurethane precursos.
https://plastics.americanchemistry.com/LifeCycle-Inventory-of-9-Plastics-Resins-and-4-Polyurethane-Precursors-Rpt-Only/</t>
        </r>
      </text>
    </comment>
    <comment ref="B8" authorId="1" shapeId="0" xr:uid="{00000000-0006-0000-1300-000004000000}">
      <text>
        <r>
          <rPr>
            <sz val="9"/>
            <color indexed="81"/>
            <rFont val="Tahoma"/>
            <family val="2"/>
          </rPr>
          <t xml:space="preserve">
https://upcommons.upc.edu/bitstream/handle/2099.1/22807/TFM%20-%20ACV%20Bolsas%20de%20compra%20-%20Floriane%20COLOMBANI.pdf?sequence=1</t>
        </r>
      </text>
    </comment>
    <comment ref="B9" authorId="0" shapeId="0" xr:uid="{00000000-0006-0000-1300-000005000000}">
      <text>
        <r>
          <rPr>
            <b/>
            <sz val="9"/>
            <color indexed="81"/>
            <rFont val="Tahoma"/>
            <family val="2"/>
          </rPr>
          <t>Isela Rivas:</t>
        </r>
        <r>
          <rPr>
            <sz val="9"/>
            <color indexed="81"/>
            <rFont val="Tahoma"/>
            <family val="2"/>
          </rPr>
          <t xml:space="preserve">
Dato obtenido de Franklin pdf, pag 5-3.
Cradle-to-fate life cycle inventory of nine plastic resins and for polyurethane precursos.
https://plastics.americanchemistry.com/LifeCycle-Inventory-of-9-Plastics-Resins-and-4-Polyurethane-Precursors-Rpt-Only/</t>
        </r>
      </text>
    </comment>
    <comment ref="K9" authorId="0" shapeId="0" xr:uid="{00000000-0006-0000-1300-000006000000}">
      <text>
        <r>
          <rPr>
            <sz val="9"/>
            <color indexed="81"/>
            <rFont val="Tahoma"/>
            <family val="2"/>
          </rPr>
          <t xml:space="preserve">
Fuente
El factor de emision (kgCO2e/kg) en PP es 1.343 y resina reciclada es de  .672
http://www.acoplasticos.org/boletines/2011/Noticias_Ambientales_2011_04Julio/ASIPLA_Huella_de_Carbono.pdf pag. 23</t>
        </r>
      </text>
    </comment>
    <comment ref="B11" authorId="2" shapeId="0" xr:uid="{00000000-0006-0000-1300-000007000000}">
      <text>
        <r>
          <rPr>
            <sz val="9"/>
            <color indexed="81"/>
            <rFont val="Tahoma"/>
            <family val="2"/>
          </rPr>
          <t xml:space="preserve">
ACV_PETSTAR_31</t>
        </r>
      </text>
    </comment>
    <comment ref="B17" authorId="1" shapeId="0" xr:uid="{00000000-0006-0000-1300-000008000000}">
      <text>
        <r>
          <rPr>
            <sz val="9"/>
            <color indexed="81"/>
            <rFont val="Tahoma"/>
            <family val="2"/>
          </rPr>
          <t xml:space="preserve">
https://upcommons.upc.edu/bitstream/handle/2099.1/22807/TFM%20-%20ACV%20Bolsas%20de%20compra%20-%20Floriane%20COLOMBANI.pdf?sequence=1</t>
        </r>
      </text>
    </comment>
    <comment ref="O17" authorId="1" shapeId="0" xr:uid="{00000000-0006-0000-1300-000009000000}">
      <text>
        <r>
          <rPr>
            <sz val="9"/>
            <color indexed="81"/>
            <rFont val="Tahoma"/>
            <family val="2"/>
          </rPr>
          <t xml:space="preserve">
ECOCE
</t>
        </r>
      </text>
    </comment>
    <comment ref="P17" authorId="1" shapeId="0" xr:uid="{00000000-0006-0000-1300-00000A000000}">
      <text>
        <r>
          <rPr>
            <sz val="9"/>
            <color indexed="81"/>
            <rFont val="Tahoma"/>
            <family val="2"/>
          </rPr>
          <t xml:space="preserve">
ECOCE
</t>
        </r>
      </text>
    </comment>
    <comment ref="Q17" authorId="1" shapeId="0" xr:uid="{00000000-0006-0000-1300-00000B000000}">
      <text>
        <r>
          <rPr>
            <sz val="9"/>
            <color indexed="81"/>
            <rFont val="Tahoma"/>
            <family val="2"/>
          </rPr>
          <t xml:space="preserve">
ECOCE
</t>
        </r>
      </text>
    </comment>
    <comment ref="R17" authorId="1" shapeId="0" xr:uid="{00000000-0006-0000-1300-00000C000000}">
      <text>
        <r>
          <rPr>
            <sz val="9"/>
            <color indexed="81"/>
            <rFont val="Tahoma"/>
            <family val="2"/>
          </rPr>
          <t xml:space="preserve">
ECOCE
</t>
        </r>
      </text>
    </comment>
    <comment ref="S17" authorId="1" shapeId="0" xr:uid="{00000000-0006-0000-1300-00000D000000}">
      <text>
        <r>
          <rPr>
            <sz val="9"/>
            <color indexed="81"/>
            <rFont val="Tahoma"/>
            <family val="2"/>
          </rPr>
          <t xml:space="preserve">
ECOCE
</t>
        </r>
      </text>
    </comment>
    <comment ref="B18" authorId="0" shapeId="0" xr:uid="{00000000-0006-0000-1300-00000E000000}">
      <text>
        <r>
          <rPr>
            <sz val="9"/>
            <color indexed="81"/>
            <rFont val="Tahoma"/>
            <family val="2"/>
          </rPr>
          <t xml:space="preserve">
Dato obtenido de Franklin pdf, pag 5-3.
Cradle-to-fate life cycle inventory of nine plastic resins and for polyurethane precursos.
https://plastics.americanchemistry.com/LifeCycle-Inventory-of-9-Plastics-Resins-and-4-Polyurethane-Precursors-Rpt-Only/</t>
        </r>
      </text>
    </comment>
    <comment ref="K18" authorId="0" shapeId="0" xr:uid="{00000000-0006-0000-1300-00000F000000}">
      <text>
        <r>
          <rPr>
            <sz val="9"/>
            <color indexed="81"/>
            <rFont val="Tahoma"/>
            <family val="2"/>
          </rPr>
          <t xml:space="preserve">
Dato obtenido de ASIPLA</t>
        </r>
      </text>
    </comment>
    <comment ref="B20" authorId="2" shapeId="0" xr:uid="{00000000-0006-0000-1300-000010000000}">
      <text>
        <r>
          <rPr>
            <sz val="9"/>
            <color indexed="81"/>
            <rFont val="Tahoma"/>
            <family val="2"/>
          </rPr>
          <t xml:space="preserve">
ACV_PETSTAR_31</t>
        </r>
      </text>
    </comment>
    <comment ref="B22" authorId="2" shapeId="0" xr:uid="{00000000-0006-0000-1300-000011000000}">
      <text>
        <r>
          <rPr>
            <b/>
            <sz val="9"/>
            <color indexed="81"/>
            <rFont val="Tahoma"/>
            <family val="2"/>
          </rPr>
          <t>Isela:</t>
        </r>
        <r>
          <rPr>
            <sz val="9"/>
            <color indexed="81"/>
            <rFont val="Tahoma"/>
            <family val="2"/>
          </rPr>
          <t xml:space="preserve">
https://plastics.americanchemistry.com/LifeCycle-Inventory-of-9-Plastics-Resins-and-4-Polyurethane-Precursors-Rpt-Only/
7-1</t>
        </r>
      </text>
    </comment>
    <comment ref="A28" authorId="1" shapeId="0" xr:uid="{00000000-0006-0000-1300-000012000000}">
      <text>
        <r>
          <rPr>
            <sz val="9"/>
            <color indexed="81"/>
            <rFont val="Tahoma"/>
            <family val="2"/>
          </rPr>
          <t>Para transformar la energia primaria utilizada en emisiones de CO2 ahorradas, se ha usado como transformador los kg de CO2 asociados a la produccion de un kwh en México
Obtenido de SENER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Isela</author>
    <author>Rosa Isela</author>
  </authors>
  <commentList>
    <comment ref="S18" authorId="0" shapeId="0" xr:uid="{00000000-0006-0000-1800-000001000000}">
      <text>
        <r>
          <rPr>
            <b/>
            <sz val="9"/>
            <color indexed="81"/>
            <rFont val="Tahoma"/>
            <family val="2"/>
          </rPr>
          <t>PENDIENTE:
PP
TETRA 
VASO
ALUMINIO
HOJALATA
CARTON
VIDRIO</t>
        </r>
        <r>
          <rPr>
            <sz val="9"/>
            <color indexed="81"/>
            <rFont val="Tahoma"/>
            <family val="2"/>
          </rPr>
          <t xml:space="preserve">
</t>
        </r>
      </text>
    </comment>
    <comment ref="O22" authorId="1" shapeId="0" xr:uid="{00000000-0006-0000-1800-000002000000}">
      <text>
        <r>
          <rPr>
            <sz val="9"/>
            <color indexed="81"/>
            <rFont val="Tahoma"/>
            <family val="2"/>
          </rPr>
          <t xml:space="preserve">
</t>
        </r>
        <r>
          <rPr>
            <sz val="12"/>
            <color indexed="81"/>
            <rFont val="Calibri"/>
            <family val="2"/>
            <scheme val="minor"/>
          </rPr>
          <t>Producir 1kwh en México genera .458 kg de C02
Dato obtenido de:
http://www.geimexico.org/factor.html</t>
        </r>
      </text>
    </comment>
  </commentList>
</comments>
</file>

<file path=xl/sharedStrings.xml><?xml version="1.0" encoding="utf-8"?>
<sst xmlns="http://schemas.openxmlformats.org/spreadsheetml/2006/main" count="4351" uniqueCount="1498">
  <si>
    <t>Obtencion de aluminio virgen</t>
  </si>
  <si>
    <t>MJ/kg</t>
  </si>
  <si>
    <t>Obtencion de aluminio reciclado</t>
  </si>
  <si>
    <t>Obtencion de PET virgen</t>
  </si>
  <si>
    <t>Obtencion de PET reciclado</t>
  </si>
  <si>
    <t>Proceso</t>
  </si>
  <si>
    <t>Peso</t>
  </si>
  <si>
    <t>Unidad</t>
  </si>
  <si>
    <t>Ahorro</t>
  </si>
  <si>
    <t>Botella de PET (agua)</t>
  </si>
  <si>
    <t>Botella de PET refresco</t>
  </si>
  <si>
    <t>Lata de aluminio</t>
  </si>
  <si>
    <t>kg CO2 ahorrados/envase</t>
  </si>
  <si>
    <t>Petróleo ahorrado  (l)</t>
  </si>
  <si>
    <t>Concepto</t>
  </si>
  <si>
    <t>kg</t>
  </si>
  <si>
    <t>Ton</t>
  </si>
  <si>
    <t xml:space="preserve">Peso (kg) </t>
  </si>
  <si>
    <t>ALUMINIO</t>
  </si>
  <si>
    <t>J/kg</t>
  </si>
  <si>
    <t>Elefante</t>
  </si>
  <si>
    <t>KG</t>
  </si>
  <si>
    <t>Obtencion de PEAD virgen</t>
  </si>
  <si>
    <t>Obtencion de PEAD reciclado</t>
  </si>
  <si>
    <t>kwh</t>
  </si>
  <si>
    <t>Gasolina</t>
  </si>
  <si>
    <t>CO2</t>
  </si>
  <si>
    <t xml:space="preserve">kg </t>
  </si>
  <si>
    <t>ton</t>
  </si>
  <si>
    <t>Titanic</t>
  </si>
  <si>
    <t>Torre latinoamericana</t>
  </si>
  <si>
    <t>Refresco (600ml/aprox)</t>
  </si>
  <si>
    <t>Agua (500 ml/aprox)</t>
  </si>
  <si>
    <t>SD</t>
  </si>
  <si>
    <t>Ahorro (PET) de CO2/MJ</t>
  </si>
  <si>
    <t>Numero de Envases</t>
  </si>
  <si>
    <t>Champu (270ml)</t>
  </si>
  <si>
    <t>Factor utilizado</t>
  </si>
  <si>
    <t>Peso promedio utilizado (270 ml)</t>
  </si>
  <si>
    <t>Peso promedio utilizado agua 500 ml</t>
  </si>
  <si>
    <t>Peso promedio utilizado refresco 600 ml</t>
  </si>
  <si>
    <t>Peso promedio utilizado agua 1l</t>
  </si>
  <si>
    <t>Peso promedio utilizado ()</t>
  </si>
  <si>
    <t>ENVASES</t>
  </si>
  <si>
    <t>g</t>
  </si>
  <si>
    <t>75% de papel
20% de polietileno
5% de aluminio</t>
  </si>
  <si>
    <t xml:space="preserve">20
5.33
1.33
</t>
  </si>
  <si>
    <t>Lata de chiles 198 g</t>
  </si>
  <si>
    <t>PET</t>
  </si>
  <si>
    <t>Peso (g)</t>
  </si>
  <si>
    <t>Lata</t>
  </si>
  <si>
    <t>kg de CO2/kwh</t>
  </si>
  <si>
    <t>Ahorrado (kWh)</t>
  </si>
  <si>
    <t>PEBD</t>
  </si>
  <si>
    <t>HOJALATA</t>
  </si>
  <si>
    <t>VIDRIO</t>
  </si>
  <si>
    <t>Suavisante de PET (2L)</t>
  </si>
  <si>
    <t>Kg</t>
  </si>
  <si>
    <t>CONSUMO DE ENERGIA POR LA PRODUCCIÓN DE ENVASES DE PET.</t>
  </si>
  <si>
    <t>Bolsa para pan</t>
  </si>
  <si>
    <t>Lata (Aprox 355 ml)</t>
  </si>
  <si>
    <t>Tamaño (l)</t>
  </si>
  <si>
    <t>% de Ahorro de energía</t>
  </si>
  <si>
    <t>Papel Blanco</t>
  </si>
  <si>
    <t xml:space="preserve">Peso (g) </t>
  </si>
  <si>
    <t>Aceite comestible  (1 L)</t>
  </si>
  <si>
    <t>NUMERO DE ENVASES</t>
  </si>
  <si>
    <t>ENERGIA</t>
  </si>
  <si>
    <t>ARBOLES</t>
  </si>
  <si>
    <t>AGUA</t>
  </si>
  <si>
    <t>MATERIAL</t>
  </si>
  <si>
    <t>BARRILES</t>
  </si>
  <si>
    <t>LITROS</t>
  </si>
  <si>
    <t>KW/Hr</t>
  </si>
  <si>
    <t>M3</t>
  </si>
  <si>
    <t>PEAD</t>
  </si>
  <si>
    <t>PP</t>
  </si>
  <si>
    <t>CARTON</t>
  </si>
  <si>
    <t>TOTAL</t>
  </si>
  <si>
    <t>TIPO</t>
  </si>
  <si>
    <t>Peso promedio Bolsa para pan</t>
  </si>
  <si>
    <t>Litros</t>
  </si>
  <si>
    <t>Envase</t>
  </si>
  <si>
    <t>Minutos</t>
  </si>
  <si>
    <t>Horas</t>
  </si>
  <si>
    <t>Bolsa de papel</t>
  </si>
  <si>
    <t xml:space="preserve">Bolsa </t>
  </si>
  <si>
    <t>Resina PP</t>
  </si>
  <si>
    <t>Resina de PET</t>
  </si>
  <si>
    <t xml:space="preserve">Resina PEAD </t>
  </si>
  <si>
    <t>Papel</t>
  </si>
  <si>
    <t xml:space="preserve">Aluminio </t>
  </si>
  <si>
    <t>Resina Franklin</t>
  </si>
  <si>
    <t>Resina ASIPLA</t>
  </si>
  <si>
    <t>Champú (540ml)</t>
  </si>
  <si>
    <t>VASO</t>
  </si>
  <si>
    <t>LATA</t>
  </si>
  <si>
    <t>CAJA</t>
  </si>
  <si>
    <t>CANTIDAD</t>
  </si>
  <si>
    <t>MATERIA PRIMA</t>
  </si>
  <si>
    <t>PETRÓLEO</t>
  </si>
  <si>
    <t>gas natural</t>
  </si>
  <si>
    <t>madera</t>
  </si>
  <si>
    <t>fibra de celulosa</t>
  </si>
  <si>
    <t>gas natural y petróleo crudo</t>
  </si>
  <si>
    <t>petróleo crudo y gas natural</t>
  </si>
  <si>
    <t>U. medida</t>
  </si>
  <si>
    <t>Uso de energía (w/h) para la producción de material virgen</t>
  </si>
  <si>
    <t>Uso de energía (w/h) para la producción de material reciclado</t>
  </si>
  <si>
    <t>Diferencia de Energìa ahorrada (Joules)</t>
  </si>
  <si>
    <t xml:space="preserve">Uso de energíapara la producción de material reciclado  (Joules) </t>
  </si>
  <si>
    <t>Uso de energía para la producción de material virgen  (Joules)</t>
  </si>
  <si>
    <t>Ahorro de energía (%)</t>
  </si>
  <si>
    <t>CO2 Eqiv. Emitido a partir de producción de material reciclado</t>
  </si>
  <si>
    <t>N° de TV equivalentes a la emisión en CO2 utilizando factor de producción virgen</t>
  </si>
  <si>
    <t>N° de TV equivalentes a la emisión en CO2 utilizando factor de producción reciclada</t>
  </si>
  <si>
    <t>kg de CO2 Eqiv. Emitido a partir de producción de material virgen</t>
  </si>
  <si>
    <t>Diferencia de petróleo ahorrado  (Barriles)</t>
  </si>
  <si>
    <t>Diferencia de petróleo ahorrado  (litros)</t>
  </si>
  <si>
    <t>Uso de agua para producción de material virgen</t>
  </si>
  <si>
    <t>Uso de agua para producción de material reciclado</t>
  </si>
  <si>
    <t>Diferencia de agua ahorrada (Litros)</t>
  </si>
  <si>
    <t>% de Agua ahorrada (Litros)</t>
  </si>
  <si>
    <t>Uso de Mat. Prima para la producción de material virgen (Gas natural y petróleo crudo, kg)</t>
  </si>
  <si>
    <t>Diferencia de Mat. Prima ahorrada</t>
  </si>
  <si>
    <t>% de Mat.Prima ahorrado (Kg)</t>
  </si>
  <si>
    <t>N° de focos equivalentes a la emisión en CO2 utilizando factor de producción reciclada</t>
  </si>
  <si>
    <t>Ahorro de CO2 Equiv. Ahorrado (kg)</t>
  </si>
  <si>
    <t xml:space="preserve">Uso de energía para la producción de material reciclado  (Joules) </t>
  </si>
  <si>
    <t>Bolsa</t>
  </si>
  <si>
    <t>Diferencia de energía ahorrado (w/h)</t>
  </si>
  <si>
    <t>Uso de energía (kw/h) para la producción de material virgen</t>
  </si>
  <si>
    <t>Uso de energía (kw/h) para la producción de material reciclado</t>
  </si>
  <si>
    <t>Ahorro de CO2 Equiv. (kg)</t>
  </si>
  <si>
    <t>kg de CO2 Equiv. Emitido a partir de producción de material virgen</t>
  </si>
  <si>
    <t>kg de CO2 Eqiv. Emitido a partir de producción de material reciclado</t>
  </si>
  <si>
    <t>N° de focos equivalentes a la emisión en CO2 utilizando factor de producción virgen</t>
  </si>
  <si>
    <t>CONSUMO DE ENERGIA POR LA PRODUCCIÓN DE ENVASES DE PP</t>
  </si>
  <si>
    <t>Uso de Mat. Prima para la producción de material virgen (Bauxita kg)</t>
  </si>
  <si>
    <t>Uso de Mat. Prima para la producción de material reciclado (Bauxita kg)</t>
  </si>
  <si>
    <t>CONSUMO DE ENERGIA POR LA PRODUCCIÓN DE ENVASES DE HOJALATA</t>
  </si>
  <si>
    <t>CONSUMO DE ENERGIA POR LA PRODUCCIÓN DE ENVASES DE VIDRIO</t>
  </si>
  <si>
    <t>CONSUMO DE ENERGIA POR LA PRODUCCIÓN DE ENVASES DE CARTON LAMINADO</t>
  </si>
  <si>
    <t>Uso de Mat. Prima para la producción de material recicaldo (chatarra de acero, kg)</t>
  </si>
  <si>
    <t>Uso de Mat. Prima para la producción de material virgen (Árboles)</t>
  </si>
  <si>
    <t>UNIENDO FUERZA CONSTRUIMOS UN FUTURO SUSTENTABLE</t>
  </si>
  <si>
    <t>CONSUMO DE ENERGIA POR LA PRODUCCIÓN DE ENVASES DE PEAD</t>
  </si>
  <si>
    <t>CONSUMO DE ENERGIA POR LA PRODUCCIÓN DE ENVASES DE PEBD</t>
  </si>
  <si>
    <t>CONSUMO DE ENERGIA POR LA PRODUCCIÓN DE LATAS DE ALUMINIO</t>
  </si>
  <si>
    <t>ÁRBOLES</t>
  </si>
  <si>
    <t>Uniendo fuerzas construimos un futuro sustentable</t>
  </si>
  <si>
    <t>Uso de Mat. Prima para la producción de material reciclado  (Árboles)</t>
  </si>
  <si>
    <t>ENVASE</t>
  </si>
  <si>
    <t>ENVASE -CAJA</t>
  </si>
  <si>
    <t>NOMBRE DEL EVENTO:</t>
  </si>
  <si>
    <t>FECHA:</t>
  </si>
  <si>
    <t>PEAD-PIPETA</t>
  </si>
  <si>
    <t>PP- EMPAQUE</t>
  </si>
  <si>
    <t>VASO ENCERADO</t>
  </si>
  <si>
    <t>ORGANICOS</t>
  </si>
  <si>
    <t>BOTELLA</t>
  </si>
  <si>
    <t>TETRAPACK</t>
  </si>
  <si>
    <t>KILOGRAMOS</t>
  </si>
  <si>
    <t>BOLSA</t>
  </si>
  <si>
    <t xml:space="preserve">BOLSA </t>
  </si>
  <si>
    <t>CERTIFICA QUE:</t>
  </si>
  <si>
    <t>ORGANIZADOR:</t>
  </si>
  <si>
    <t>Se llevo a cabo como un evento ambientalmente responsable, al fomentar la recuperación y reciclaje de los residuos de envases y empaques, reduciendo la huella ecológica, con ahorros en: recursos naturales, materias primas, agua, energía y gases de efecto invernadero de acuerdo al siguiente cálculo:</t>
  </si>
  <si>
    <t>Residuos recolectados:</t>
  </si>
  <si>
    <t>Representan un ahorro de:</t>
  </si>
  <si>
    <t>Barriles de Petróleo</t>
  </si>
  <si>
    <t>Litros de Agua</t>
  </si>
  <si>
    <t>INORGANICOS RECICLABLES</t>
  </si>
  <si>
    <t>Kilogramos de materia prima</t>
  </si>
  <si>
    <t>Kilowatts/ hora</t>
  </si>
  <si>
    <t xml:space="preserve">m3 en relleno sanitario </t>
  </si>
  <si>
    <t>Evitando la emisión de</t>
  </si>
  <si>
    <t>kilogramos de CO2 que contribuyen al cambio climático global</t>
  </si>
  <si>
    <t>Felicidades por su compromiso ambiental</t>
  </si>
  <si>
    <t>MATERIA PRIMA AHORRADA, SALVADA O CONTAMINACION NO EMITIDA</t>
  </si>
  <si>
    <t xml:space="preserve">ARBOLES </t>
  </si>
  <si>
    <t xml:space="preserve">ESPACIO EN RELLENO SANITARIO </t>
  </si>
  <si>
    <t>KG DE CO2 EQUIV.</t>
  </si>
  <si>
    <t>bauxita, piedra caliza, sal, carbón</t>
  </si>
  <si>
    <t xml:space="preserve">Uso de Mat. Prima para la producción de material virgen </t>
  </si>
  <si>
    <t xml:space="preserve">Piedra caliza, mineral de hierro, carbón, oxígeno, chatarra de acero procesada </t>
  </si>
  <si>
    <t>envase aseptico</t>
  </si>
  <si>
    <t xml:space="preserve">arena, piedra caliza, carbonato de sodio, ceniza de soda, </t>
  </si>
  <si>
    <t xml:space="preserve">COMPARATIVO DE CALCULADORAS AMBIENTALES </t>
  </si>
  <si>
    <t>CALCULADORA ECOCE</t>
  </si>
  <si>
    <t>MATERIALES /AHORROS</t>
  </si>
  <si>
    <t>CANTIDAD KG</t>
  </si>
  <si>
    <t>ENERGÍA</t>
  </si>
  <si>
    <t>CO2 kg</t>
  </si>
  <si>
    <t>M3 RELLENO SANITARIO</t>
  </si>
  <si>
    <t>BARRILES DE PETROLEO</t>
  </si>
  <si>
    <t>MAT. PRIMA (kg)</t>
  </si>
  <si>
    <t>Kg de gas natural y petróleo crudo</t>
  </si>
  <si>
    <t>kg de materia prima</t>
  </si>
  <si>
    <t>NOTA: SOLO SE SUMA LOS MATERIALES QUE SE PUEDEN COMPARAR CON MEDIOS CON VALOR (PET, PEBD, ALUMINIO, CARTON Y VIDRIO)</t>
  </si>
  <si>
    <t>CALCULADORA MEDIOS CON VALOR</t>
  </si>
  <si>
    <t>AGUA L</t>
  </si>
  <si>
    <t>ENERGÍA kw/hr</t>
  </si>
  <si>
    <t>ARBOLES /EQUIVALENCIA</t>
  </si>
  <si>
    <t>KG DE PETRÓLEO</t>
  </si>
  <si>
    <t>MAT. PRIMA</t>
  </si>
  <si>
    <t>RETRIBUCIÓN $/ MENSUAL</t>
  </si>
  <si>
    <t>kg de etileno</t>
  </si>
  <si>
    <t>LATAS</t>
  </si>
  <si>
    <t>50,000 TV´s por 3 horas</t>
  </si>
  <si>
    <t>kg de bauxita</t>
  </si>
  <si>
    <t>PAPEL</t>
  </si>
  <si>
    <t>Si fueran maduros darían oxígeno a 64 personas y captarían 204 kg de bióxido de carbono</t>
  </si>
  <si>
    <t>PERIÓDICO</t>
  </si>
  <si>
    <t>Si fueran maduros darían oxígeno a 64 personas y captarían 204 kg de CO2</t>
  </si>
  <si>
    <t>590
197
197
69</t>
  </si>
  <si>
    <t xml:space="preserve">kg de arena
kg de ceniza
kg de piedra caliza
kg de feldespato
</t>
  </si>
  <si>
    <t>TARIMA</t>
  </si>
  <si>
    <t>Darían oxigeno a 192 personas y captarían 612 kg de CO2</t>
  </si>
  <si>
    <t>DATOS QUE COINCIDEN O APROXIMAN</t>
  </si>
  <si>
    <t>ECOCE A.C</t>
  </si>
  <si>
    <t>MEDIOS CON VALOR</t>
  </si>
  <si>
    <t>Agua en PET</t>
  </si>
  <si>
    <t>Mat. Prima en PET</t>
  </si>
  <si>
    <t>839 kg</t>
  </si>
  <si>
    <t>1,033 kg</t>
  </si>
  <si>
    <t>Bauxita en aluminio (Nota: Ecoce tiene más datos de mat. Prima)</t>
  </si>
  <si>
    <t>4,983 kg</t>
  </si>
  <si>
    <t>4,000 kg</t>
  </si>
  <si>
    <t>Energía en papel, cartón, y periódico</t>
  </si>
  <si>
    <t>6,000 kw/h</t>
  </si>
  <si>
    <t>7,000 kw/h</t>
  </si>
  <si>
    <t>kg CO2 en cartón</t>
  </si>
  <si>
    <t>748 kg</t>
  </si>
  <si>
    <t>1500 kg</t>
  </si>
  <si>
    <t>Árboles en papel, cartón y periódico</t>
  </si>
  <si>
    <t>17/15</t>
  </si>
  <si>
    <t>BOPP</t>
  </si>
  <si>
    <t>Madera (reciclado)</t>
  </si>
  <si>
    <t>Madera (PRODUCCIÓN) kg</t>
  </si>
  <si>
    <t>Vidrio</t>
  </si>
  <si>
    <t>REPORTE DE MATERIALES ACOPIADOS 
EN MERCADO DE TRUEQUE</t>
  </si>
  <si>
    <t>Lugar del evento :</t>
  </si>
  <si>
    <t>Organizado por:</t>
  </si>
  <si>
    <t>Fecha:</t>
  </si>
  <si>
    <t>Material</t>
  </si>
  <si>
    <t>Precio/ kg</t>
  </si>
  <si>
    <t>Monto</t>
  </si>
  <si>
    <t>Cartón Laminado</t>
  </si>
  <si>
    <t>Aluminio</t>
  </si>
  <si>
    <t>Hojalata</t>
  </si>
  <si>
    <t>Empaques Flexibles</t>
  </si>
  <si>
    <t>Cartón</t>
  </si>
  <si>
    <t xml:space="preserve">El reciclaje de envases y empaques ofrece ahorros en recursos naturales, materias primas, agua, energía y gases de efecto invernadero como se muestra a continuación: </t>
  </si>
  <si>
    <t>Beneficios ambientales</t>
  </si>
  <si>
    <t xml:space="preserve">Kg de Reciclables acopiados </t>
  </si>
  <si>
    <t xml:space="preserve">      Ahorra</t>
  </si>
  <si>
    <t xml:space="preserve">     Evita</t>
  </si>
  <si>
    <t>kilogramos de CO2 emitidos al ambiente,  gas efecto invernadero  que contribuye al cambio climático global</t>
  </si>
  <si>
    <t>LUGAR DEL EVENTO:</t>
  </si>
  <si>
    <t>REPORTE DE MATERIALES ACOPIADOS 
EN ECO-RESCATES, CARRERAS DEPORTIVAS, OTROS</t>
  </si>
  <si>
    <t>CARTÓN LAMINADO</t>
  </si>
  <si>
    <t>ASISTENTES:</t>
  </si>
  <si>
    <t>GRANEL</t>
  </si>
  <si>
    <t>Realizado en:</t>
  </si>
  <si>
    <t>Con fecha:</t>
  </si>
  <si>
    <t>Asistentes aproximados:</t>
  </si>
  <si>
    <t>Bosques de Chapultepec</t>
  </si>
  <si>
    <t>V</t>
  </si>
  <si>
    <t>Litros de petroleo</t>
  </si>
  <si>
    <t>Barriles</t>
  </si>
  <si>
    <t xml:space="preserve">ml de gasolina </t>
  </si>
  <si>
    <t>L de gasolina</t>
  </si>
  <si>
    <t>CONCEPTO</t>
  </si>
  <si>
    <t>UNIDAD</t>
  </si>
  <si>
    <t>PESO</t>
  </si>
  <si>
    <t>EQUIVALENCIA</t>
  </si>
  <si>
    <t>EMISION</t>
  </si>
  <si>
    <t>FUENTE BIBLIOGRAFICA</t>
  </si>
  <si>
    <t>OTRO</t>
  </si>
  <si>
    <t>litro</t>
  </si>
  <si>
    <r>
      <t>CO</t>
    </r>
    <r>
      <rPr>
        <sz val="11"/>
        <color theme="0"/>
        <rFont val="Calibri"/>
        <family val="2"/>
      </rPr>
      <t>²</t>
    </r>
    <r>
      <rPr>
        <sz val="11"/>
        <color theme="0"/>
        <rFont val="Calibri"/>
        <family val="2"/>
        <scheme val="minor"/>
      </rPr>
      <t>/KG</t>
    </r>
  </si>
  <si>
    <t>-</t>
  </si>
  <si>
    <t>VERIF</t>
  </si>
  <si>
    <t>Pza</t>
  </si>
  <si>
    <t>Kilo Watt</t>
  </si>
  <si>
    <t>kw</t>
  </si>
  <si>
    <t>Julio</t>
  </si>
  <si>
    <t>J</t>
  </si>
  <si>
    <t>Caja de Cereal</t>
  </si>
  <si>
    <t>Cantidad</t>
  </si>
  <si>
    <t>w/s</t>
  </si>
  <si>
    <t>libro</t>
  </si>
  <si>
    <t>caja de zapatos</t>
  </si>
  <si>
    <t>forro polar</t>
  </si>
  <si>
    <t>llanta de bicicleta</t>
  </si>
  <si>
    <t>olla de cocina</t>
  </si>
  <si>
    <t>camiseta</t>
  </si>
  <si>
    <t>silla</t>
  </si>
  <si>
    <t>arboles</t>
  </si>
  <si>
    <t>Tetra Pack</t>
  </si>
  <si>
    <t>Botella de Pet</t>
  </si>
  <si>
    <t>Lata de Refresco</t>
  </si>
  <si>
    <t>Lata de Hojalata</t>
  </si>
  <si>
    <t>Ton de Metano</t>
  </si>
  <si>
    <t>km recorridos</t>
  </si>
  <si>
    <t>Percapia</t>
  </si>
  <si>
    <t>Energia electrica</t>
  </si>
  <si>
    <t>kw/h</t>
  </si>
  <si>
    <t>Petroleo</t>
  </si>
  <si>
    <t>Barril</t>
  </si>
  <si>
    <t>Litros de gasolina</t>
  </si>
  <si>
    <t>Litro</t>
  </si>
  <si>
    <t>Barriles de petroleo</t>
  </si>
  <si>
    <t xml:space="preserve">Lata de Aluminio de 355 ml </t>
  </si>
  <si>
    <t>Eco saco</t>
  </si>
  <si>
    <t xml:space="preserve">Refrigerador 18-22 </t>
  </si>
  <si>
    <t>w/h</t>
  </si>
  <si>
    <t>COMBUSTIBLE</t>
  </si>
  <si>
    <t>OBJETOS</t>
  </si>
  <si>
    <t>BOTELLAS</t>
  </si>
  <si>
    <t>Botella</t>
  </si>
  <si>
    <t>Lata de Aluminio</t>
  </si>
  <si>
    <t>Barril de gasolina</t>
  </si>
  <si>
    <t>Ahorrado (kW/h)</t>
  </si>
  <si>
    <t>Pipa</t>
  </si>
  <si>
    <t>Rascacieol mas alto del mundo Burj Khalifa</t>
  </si>
  <si>
    <t>828 m altura</t>
  </si>
  <si>
    <t>443 m altura</t>
  </si>
  <si>
    <t>Empire State</t>
  </si>
  <si>
    <t>arena, piedra caliza, carbonato o sulfato de sodio</t>
  </si>
  <si>
    <t>https://www.facebook.com/Pemex/photos/a.366280850185662/1222718291208576/?type=1&amp;theater</t>
  </si>
  <si>
    <t>Empaque Flexible</t>
  </si>
  <si>
    <t>Caja</t>
  </si>
  <si>
    <t>Hojas</t>
  </si>
  <si>
    <t>Vaso</t>
  </si>
  <si>
    <t>Pead</t>
  </si>
  <si>
    <t>Pead pipeta</t>
  </si>
  <si>
    <t>Pebd</t>
  </si>
  <si>
    <t>Bopp</t>
  </si>
  <si>
    <t>Vaso encerado</t>
  </si>
  <si>
    <t>INGRESA TU ACOPIO</t>
  </si>
  <si>
    <t>Nombre de Materia Prima</t>
  </si>
  <si>
    <t>Kg de Materia Prima</t>
  </si>
  <si>
    <t>KgCO2e no emitidas</t>
  </si>
  <si>
    <t>% Beneficio de ahorro</t>
  </si>
  <si>
    <t>Duchas</t>
  </si>
  <si>
    <t>Días tomando agua</t>
  </si>
  <si>
    <t>Pzs de manzanas</t>
  </si>
  <si>
    <t>Alberca Olimpica</t>
  </si>
  <si>
    <t>Descargas en WC</t>
  </si>
  <si>
    <t>Árboles plantados</t>
  </si>
  <si>
    <t>Árboles no cortados</t>
  </si>
  <si>
    <t>AHORRO Y EQUIVALENCIAS</t>
  </si>
  <si>
    <t>M3 de R. Sanitario</t>
  </si>
  <si>
    <t>Camión de basura</t>
  </si>
  <si>
    <t>DIOXIDO DE CARBONO</t>
  </si>
  <si>
    <t>KM en coche</t>
  </si>
  <si>
    <t>Empaque</t>
  </si>
  <si>
    <t>Tanque de auto compacto</t>
  </si>
  <si>
    <t>Pzas</t>
  </si>
  <si>
    <t>CALCULADORA ECOLOGICA</t>
  </si>
  <si>
    <t>duchas de 10 minutos</t>
  </si>
  <si>
    <t>manzanas</t>
  </si>
  <si>
    <t>GLP</t>
  </si>
  <si>
    <t>L</t>
  </si>
  <si>
    <t>Ton co2</t>
  </si>
  <si>
    <t>Energía</t>
  </si>
  <si>
    <t>https://www.carbonfootprint.com/videos.html</t>
  </si>
  <si>
    <t xml:space="preserve">Km recorridos en auto </t>
  </si>
  <si>
    <t>Papel calculadora</t>
  </si>
  <si>
    <t>Árboles de 25 m de alto sean cortados</t>
  </si>
  <si>
    <t xml:space="preserve">Árboles de 25 m de alto </t>
  </si>
  <si>
    <t>BIBLIOGRAFÍA</t>
  </si>
  <si>
    <t>EMPAQUE</t>
  </si>
  <si>
    <t>FUENTE</t>
  </si>
  <si>
    <t>SUSTITUCIÓN</t>
  </si>
  <si>
    <t>RESULTADO</t>
  </si>
  <si>
    <t>VoBo</t>
  </si>
  <si>
    <t>ECUACIÓN</t>
  </si>
  <si>
    <t>Se estima que una casa tiene en promedio 7 focos de 60 w prendidos de 6 pm - 11 pm (5 horas al día)</t>
  </si>
  <si>
    <t>https://www.watercalculator.org/wfc2/complete/</t>
  </si>
  <si>
    <t>calculadora de agua</t>
  </si>
  <si>
    <t>1 Ton de PET reciclado ahorra 40,000 lts de agua</t>
  </si>
  <si>
    <t xml:space="preserve">ENERGIA AHORRADA
</t>
  </si>
  <si>
    <t>ECOEMBES - UNESCO, España (2017) Cálculo de emisiones de CO2 asociados a la fabricación de botellas de champú de PEAD a partir de material virgen o reciclado. Pág 6</t>
  </si>
  <si>
    <t>En las viviendas particulares habitadas del país hay 226.4 millones de focos, de los cuales 84 % son focos eficientes: fluorescentes o de tecnología LED.
*Estimación con foco de 60 w</t>
  </si>
  <si>
    <t>Información estimada</t>
  </si>
  <si>
    <t>X</t>
  </si>
  <si>
    <t>CADENA SER (2014) ¿Cuánta agua utilizamos durante la ducha?</t>
  </si>
  <si>
    <t>ECOCE (2017) ECOCE 15 años, Pág. 30</t>
  </si>
  <si>
    <t xml:space="preserve"> 274 millones de árboles equivale a 726 Bosques de Chapultepec</t>
  </si>
  <si>
    <t>VOLUMEN</t>
  </si>
  <si>
    <t>Reciclar 1 kg de PET equivale al ahorro de .030 m3 de espacio en relleno sanitario</t>
  </si>
  <si>
    <t>Estimado</t>
  </si>
  <si>
    <t xml:space="preserve">CAMIONES DE BASURA
</t>
  </si>
  <si>
    <t>Reciclar 1 kg de PET es equivalente a llenar .00 Estadios Azteca</t>
  </si>
  <si>
    <t>Reciclar 1 kg de PET ahorra 40 litros de agua</t>
  </si>
  <si>
    <t>DESCARGAS WC</t>
  </si>
  <si>
    <t>Reciclar 1 kg de PET es equivalente a .00 Bosques de Chapultepec</t>
  </si>
  <si>
    <t>*Para cantidades anuales</t>
  </si>
  <si>
    <t xml:space="preserve">
*Para cantidades anuales</t>
  </si>
  <si>
    <t>Reciclar 1 kg de PET es equivalente al ahorro de .0044 Barriles de petróleo</t>
  </si>
  <si>
    <t>Franklin Associates, LTD (1995). Envases de Tereftalato de Polietileno: Apéndice H. Envases de PET. Pag 12, 20</t>
  </si>
  <si>
    <t xml:space="preserve">LITROS DE GASOLINA
</t>
  </si>
  <si>
    <t>Reciclar 1 kg de PET es equivalente al ahorro de .293 Litros de gasolina</t>
  </si>
  <si>
    <t xml:space="preserve">NÚMERO DE PIPAS
</t>
  </si>
  <si>
    <t>Reciclar 1 kg de PET evita la emisión de 3.32 kg de CO2</t>
  </si>
  <si>
    <t>ECOCE (2017) ECOCE 15 años, Pág. 25</t>
  </si>
  <si>
    <t xml:space="preserve">CO2 AHORRADO
</t>
  </si>
  <si>
    <t>AHORRO ECONOMICO EN DOLARES</t>
  </si>
  <si>
    <t>Se estima que 1m3 de agua cuesta $47.5 M/N = 2.49 dolares
40 M3 de agua cuesta. $3,655.16
50 M3 de agua cuesta $2,379.82
*Precio del dolar: $19.07</t>
  </si>
  <si>
    <t>Reciclar 1 kg de PET ahorra .0996 dolares en ahorro de agua</t>
  </si>
  <si>
    <t xml:space="preserve">El $/kwh en la zona centro del país es de $4.922 MN  = .258 dolares
</t>
  </si>
  <si>
    <t>Reciclar 1 kg de PET ahorra 5 dolares en ahorro de energía</t>
  </si>
  <si>
    <t>Una botella de PET pesa 25 g</t>
  </si>
  <si>
    <t>Reciclar 1 kg de PET evita que 40 botellas esten en el ambiente</t>
  </si>
  <si>
    <t>focos LED prendidos 1 hora</t>
  </si>
  <si>
    <t>% ahorro comparando con la producción de PETv</t>
  </si>
  <si>
    <t>Litros de agua</t>
  </si>
  <si>
    <t>Albercas olimpicas</t>
  </si>
  <si>
    <t>descargas de agua para wc</t>
  </si>
  <si>
    <t>árboles plantados</t>
  </si>
  <si>
    <t>camiones recolectores de residuos</t>
  </si>
  <si>
    <t>Estadios Azteca</t>
  </si>
  <si>
    <t>kg de Materia Prima ahorrada</t>
  </si>
  <si>
    <t>litros de gasolina</t>
  </si>
  <si>
    <t>km en coche (el ahorro de combustible necesario  para)</t>
  </si>
  <si>
    <t xml:space="preserve">DÍAS CON REFRIGERADOR ENCENDIDO
</t>
  </si>
  <si>
    <t>Reciclar 1 kg de PET ahorra  CO2 equivalente a haber plantado .086 árboles</t>
  </si>
  <si>
    <t>ESTADIOS AZTECA</t>
  </si>
  <si>
    <t>tomates</t>
  </si>
  <si>
    <t>naranjas</t>
  </si>
  <si>
    <t>Pzs de tomates</t>
  </si>
  <si>
    <t>Pzs de naranjas</t>
  </si>
  <si>
    <t>REVISAR</t>
  </si>
  <si>
    <t>PEMEX, 2019</t>
  </si>
  <si>
    <t>https://www.pemex.com/negocio/gasolineras/nuestros-productos/Documents/HDS%20SAC%20Gasolinas%20(Premium%20y%20Magna).pdf</t>
  </si>
  <si>
    <t>https://www.excelsior.com.mx/opinion/alfredo-lamont/2014/12/19/998533</t>
  </si>
  <si>
    <t>http://atpplleal.com/userfiles/files/densidad-y-peso-especifico.pdf</t>
  </si>
  <si>
    <t>L de petróleo</t>
  </si>
  <si>
    <t>kilo</t>
  </si>
  <si>
    <t>747.5 kg/m3</t>
  </si>
  <si>
    <t>Página</t>
  </si>
  <si>
    <t>OK</t>
  </si>
  <si>
    <t>m3</t>
  </si>
  <si>
    <t>OECC (2020) Factores de emisión, Registro de Huella de Carbono, Compensación y Proyectos de Absorción de CO2, España pag 5-6</t>
  </si>
  <si>
    <t>Consejos para ganar en verde</t>
  </si>
  <si>
    <t>Ecovidrio</t>
  </si>
  <si>
    <t>Forbes (2017) ¿Cúanto pagas por cargar el celular?</t>
  </si>
  <si>
    <t xml:space="preserve">CARGAR PILA DE CEL/AÑO
</t>
  </si>
  <si>
    <t>ECOEMBES - UNESCO, España (2017) Cálculo de emisiones de CO2 asociadas a la fabricación de latas de bebidas a partir de material virgen o reciclado. Pág 6</t>
  </si>
  <si>
    <t xml:space="preserve">Video de reciclaje infinito de aluminio </t>
  </si>
  <si>
    <t>Metal Packaging Europe</t>
  </si>
  <si>
    <t>Reynaers</t>
  </si>
  <si>
    <t>Caracteristicas del aluminio</t>
  </si>
  <si>
    <t>En 15 años reciclamos 3,188,000 ton de PET, evitó la emisión de 10,577,474 ton co2 a la atmosfera, lo que equivale a haber plantado 274 millones de árboles o 726 Bosques de Chapultepec</t>
  </si>
  <si>
    <t>Infografia, ECOCE</t>
  </si>
  <si>
    <t>PVC</t>
  </si>
  <si>
    <t xml:space="preserve">PP </t>
  </si>
  <si>
    <t>IMSS, (2013) Una adecuada hidratación garantiza funciones óptimas del cuerpo</t>
  </si>
  <si>
    <t>Pzs de papa</t>
  </si>
  <si>
    <t xml:space="preserve">FAO (2009) ¿Cuánta agua hace falta para poder producir…? </t>
  </si>
  <si>
    <t>50 Litros de agua se requiere para producir una naranja</t>
  </si>
  <si>
    <t>13 Litros de agua se requiere para producir un tomate</t>
  </si>
  <si>
    <t>25 Litros de agua se requiere para producir una papa</t>
  </si>
  <si>
    <t xml:space="preserve">CEMI, Piscina de Natación
BBC (2016) Río 2016: por qué las piscinas olímpicas son mucho más rápidas que las otras piscinas
</t>
  </si>
  <si>
    <t>La batería de un teléfono móvil necesita una potencia media de 5 watts (0.005 kW) y suele cargarse entre una y dos horas. Una carga completa requeriría de 0.0095 kWh. Si planteamos que 1 usuario lo carga una vez por día (365 días del año) el consumo de electricidad alcanzaría los 3.46 kWh/año</t>
  </si>
  <si>
    <t>Estimación con foco LED de 9 w</t>
  </si>
  <si>
    <t xml:space="preserve">STEREN, Foco LED de luz cálida, 9w Consume 9 w pero ilumina como uno de 75 w </t>
  </si>
  <si>
    <t xml:space="preserve">De acuerdo a la Encuesta Nacional sobre consumo de Energéticos en Viviendas Particulares, el tiempo promedio de uso de focos al día, de las casas particulares habitadas que disponen de energía eléctrica, por áreas de la vivienda son 20.71 horas y el 27% de las viviendas usa de 6-7 focos </t>
  </si>
  <si>
    <t>INEGI - ENCEVI (2018) Encuesta Nacional sobre Consumo de Energéticos en Viviendas Particulares (excel 2.2) 
PP pdf pág 11</t>
  </si>
  <si>
    <t>CARGAR PILA DE CEL/AÑO</t>
  </si>
  <si>
    <t>IMSS indica que es necesario ingerir de dos a tres litros de agua diariamente. 
Para la muestra se tomo el promedio 2.5 L de agua / día</t>
  </si>
  <si>
    <t>70 Litros de agua se requieren para producir una manzana</t>
  </si>
  <si>
    <t>Se tomó como muestra un wc ahorrador con consumo de 3.9 L
Inodoro Ecológico consume 3 L y 4.8 L en descarga completa. 
Se utilizó como muestra el promedio de 3.9 L</t>
  </si>
  <si>
    <t>Sanitario urban alargado Blanco $1,797. Home depot (3.9 L)
Conoce los beneficios de usar sanitarios doble descarga (3 y 4.8 L)</t>
  </si>
  <si>
    <t>Árboles no cortados - No aplica</t>
  </si>
  <si>
    <t>Abono - No aplica</t>
  </si>
  <si>
    <t xml:space="preserve">Reciclar 1 ton de PET equivale al ahorro de 25-35 m3 en relleno sanitario. (33.33 kg/m3)
Se tomó como muestra el promedio de 30 m3
</t>
  </si>
  <si>
    <t>Se tomó como muestra un camión con capacidades de 10 m3</t>
  </si>
  <si>
    <t>Reciclar 1 kg de PET es equivalente a llenar .004 camiones recolectores</t>
  </si>
  <si>
    <t>Reciclar 1 Ton de PET equivale al ahorro de 4.44 barriles de petróleo</t>
  </si>
  <si>
    <t xml:space="preserve">1 barril de Petróleo son 159 L </t>
  </si>
  <si>
    <t>LITROS DE PETRÓLEO</t>
  </si>
  <si>
    <t>Reciclar 1 kg de PET es equivalente al ahorro de .7059 litros de petróleo</t>
  </si>
  <si>
    <t xml:space="preserve">
De 1 barril de petroleo se obtiene 66 L de gasolina, entre otros productos
</t>
  </si>
  <si>
    <t>De acuerdo a INEGI en 2019 los autos mas vendidos fueron los Subcompactos. 
General Motors fue la marca más vendidad con Beat y Aveo
AVEO
Rendimiento: 19.525 km/L combinado
Cap de tanque: 39 L
CO2 (g/km): 119.5 / 2,333 gco2/L
BEAT
Rendimiento: 20.67 km/L combinado
Tanque: 35 L
CO2 (g/km): 113 / 2,335 gco2/L
Se utilizó como muestra el promedio:
Rendimiento: 20.09 km/L
Cap de tanque: 37 L
CO2 (g/km): 111.7 / 2,334.3 gco2/L</t>
  </si>
  <si>
    <t xml:space="preserve">Fichas tecnicas de Aveo 2020
Ficha tecnica Beat 2020
AMDA (2019) Reporte de Mercado Interno Automotor, pág. 29-30 
INEGI (2019) Resumen de la venta al público de automoviles por marca y segmento
SENER- CONUEE (2020) Rendimiento de combustible en Vehículos ligeros de venta en México, pág 5
SENER- CONUEE. Guías para el Uso Eficiente de la Energía en el Transporte, pág. 6
Reglamento de Transito en Carreteras y Puetes de Jurisdicción Federal. Sección Sexta de los Limites de Velocidad </t>
  </si>
  <si>
    <t>Reciclar 1 kg de PET es equivalente a llenar .007 tanques de gasolina de auto semicompacto</t>
  </si>
  <si>
    <t xml:space="preserve">Fichas tecnicas de Aveo 2020
Ficha tecnica Beat 2020
</t>
  </si>
  <si>
    <t>Tanques con gasolina</t>
  </si>
  <si>
    <t xml:space="preserve">Reciclar una ton de PET ahorra 3.320 ton co2
</t>
  </si>
  <si>
    <t xml:space="preserve">
ASIPLA Análisis del Impacto de los GEF en el ciclo de vida de los Embalajes y Otros Productos plásticos en Cile V1.0, Pág 23</t>
  </si>
  <si>
    <t>SENER- CONUEE. Guías para el Uso Eficiente de la Energía en el Transporte, pág. 6</t>
  </si>
  <si>
    <t xml:space="preserve">Los motores de gasolina emiten 2,4 kg de CO2 por cada litro de gasolina quemado </t>
  </si>
  <si>
    <t xml:space="preserve">Se tomó el rendimiento de 20.09 km/ L de compactos
La velocidad de 110 km/h  </t>
  </si>
  <si>
    <t xml:space="preserve">SENER- CONUEE (2020) Rendimiento de combustible en Vehículos ligeros de venta en México, pág 5
Reglamento de Transito en Carreteras y Puetes de Jurisdicción Federal. Sección Sexta de los Limites de Velocidad </t>
  </si>
  <si>
    <t xml:space="preserve">NÚMERO DE FOCOS F
</t>
  </si>
  <si>
    <t xml:space="preserve">NÚMERO DE FOCOS FL
</t>
  </si>
  <si>
    <t xml:space="preserve">CASAS ILUMINADAS F
</t>
  </si>
  <si>
    <t xml:space="preserve">CASAS ILUMINADAS 
</t>
  </si>
  <si>
    <t>1. Inegi: En promedio 4 de cada 10 viviendas tiene refrigeradores de 11- 15 pies (se tomo el promedio de 13 pies)
2. Para la muestra se utilizó refrigerador con eficiencia energética Mabe 352 Kwh/año (.964 kwh/día)</t>
  </si>
  <si>
    <t>De acuerdo a INEGI, 2019 de los ususarios con celular el 88.1% es smartphone.
The CIU reveló las marcas de celulares más vendidas, y las de mayor crecimiento en el mercado de México son: Samsung, Motorola y Huawei
Se tomó como referencia el modelo más vendidio de Samsung A10 con bateria 3400mAh /3 horas de carga</t>
  </si>
  <si>
    <t>Una ducha de 10 minutos consume 200 litros de agua</t>
  </si>
  <si>
    <t>Según lo establecido por la FINA debe ser 50 m de largo y 25 m de ancho, profundidad mínima de 2 m y recomendada de 3 m si la piscina es una especie de usos múltiples 
Se utilizó 50*25*3 = (3,750,000 L)</t>
  </si>
  <si>
    <t xml:space="preserve">
Se tomó pipa de 20, 000 L de PEMEX 
</t>
  </si>
  <si>
    <t>Reciclar 1 kg de PET es equivalente a ahorrar  Dolares</t>
  </si>
  <si>
    <t xml:space="preserve">1 Ton de PET virgen cuesta  _dolares </t>
  </si>
  <si>
    <t xml:space="preserve">1 barril  de petróleo cuesta _62.76 dolares (08/05/19) </t>
  </si>
  <si>
    <t xml:space="preserve">Se estima que depositar 1 Ton de RSU en relleno sanitario cuesta $414.00 M/N)
Puebla $405.72 ton
Edomex- $120- $400 Ton
Pachuca: $436 Ton 
*Precio del dolar. 19.07 (CAMBIANTE)
</t>
  </si>
  <si>
    <t xml:space="preserve">Reciclar 1 kg de PET ahorra  dolares en Relleno Sanitario </t>
  </si>
  <si>
    <t>x</t>
  </si>
  <si>
    <t>Reciclar 1 kg de PEAD ahorra lo equivale a iluminar con focos ahorradores  2.025 casas</t>
  </si>
  <si>
    <t>Reciclar 1 kg de PEAD ahorra  CO2 equivalente a haber plantado .0520 árboles</t>
  </si>
  <si>
    <t>La emisión de 10,577,474 ton co2 a la atmosfera, lo que equivale a haber plantado 274 millones de árboles o 726 Bosques de Chapultepec</t>
  </si>
  <si>
    <t>Reciclar 1 kg de PEAD es equivalente a .00 Bosques de Chapultepec</t>
  </si>
  <si>
    <t>Se hizo la muestra con material a granel, se obtuvo:
 1m3 = 32.8 kg/m3. 
1 ton de PEAD son 30.487 m3</t>
  </si>
  <si>
    <t>Reciclar 1 kg de PEAD equivale al ahorro de .030 m3 de espacio en relleno sanitario</t>
  </si>
  <si>
    <t>Reciclar 1 kg de PEAD es equivalente a llenar .003 camiones recolectores</t>
  </si>
  <si>
    <t>3,188,000 ton de PET...se podría llenar el equivalente a 140 Estadios Azteca de piso a techo
¿Se puede replicar con otros materiales?</t>
  </si>
  <si>
    <t>Reciclar 1 Ton de PET equivale al ahorro de 4.44 barriles de petróleo. 
Se tomó el mismo dato para PEAD Y PEBD</t>
  </si>
  <si>
    <t>Reciclar 1 kg de PEAD es equivalente al ahorro de .0044 Barriles de petróleo</t>
  </si>
  <si>
    <t>Reciclar 1 kg de PEAD es equivalente al ahorro de .7059 litros de petróleo</t>
  </si>
  <si>
    <t>Franklin Associates, LTD (1995). Envases de Tereftalato de Polietileno: Apéndice I. Pag 16, 20</t>
  </si>
  <si>
    <t xml:space="preserve">Capacidad pipas sencillas de PEMEX </t>
  </si>
  <si>
    <t>Reciclar 1 kg de PEAD es equivalente a llenar .007 tanques de gasolina de auto semicompacto</t>
  </si>
  <si>
    <t xml:space="preserve">Reciclar una ton de PEAD ahorra 2 ton co2
</t>
  </si>
  <si>
    <t>Reciclar 1 kg de PEAD evita la emisión de 2 kg de CO2</t>
  </si>
  <si>
    <t>Reciclar 1 kg de PEAD es equivalente al ahorro de .293 Litros de gasolina</t>
  </si>
  <si>
    <t>Reciclar 1 kg de PEAD evita la contaminación generada equivalente a 9 min en coche</t>
  </si>
  <si>
    <t xml:space="preserve">Reciclar 1 kg de PEAD es equivalente al ahorro de  la capacidad de  0 pipas </t>
  </si>
  <si>
    <t>Reciclar 1 kg de PEAD es equivalente a ahorrar el combustible para recorrer  5.887 km en carretera o 3.2 minutos</t>
  </si>
  <si>
    <t>Reciclar 1 kg de PET es equivalente al ahorro de la capacidad de 0 pipas</t>
  </si>
  <si>
    <t>Reciclar 1 kg de PET es equivalente a ahorrar el combustible para recorrer 5.887 km en carretera o 3.2 minutos</t>
  </si>
  <si>
    <t>R</t>
  </si>
  <si>
    <t xml:space="preserve">Reciclar una Ton de PEAD ahorra 1,295 ton CO2e
El factor de emisión kgCO2e/kg 
</t>
  </si>
  <si>
    <t xml:space="preserve">CO2e ahorrado
</t>
  </si>
  <si>
    <t xml:space="preserve">Reciclar 1 ton de PEBD ahorra 1,294 tonCO2e
</t>
  </si>
  <si>
    <t xml:space="preserve">CO2e AHORRADO
</t>
  </si>
  <si>
    <t>Se hizo la muestra con material a granel, se obtuvo:
 1m3 = 42.1 kg/m3. 
1 ton de PEBD son 23.75 m3</t>
  </si>
  <si>
    <t>Reciclar 1 kg de PEBD equivale al ahorro de .023 m3 de espacio en relleno sanitario</t>
  </si>
  <si>
    <t>Reciclar 1 kg de BOPP equivale al ahorro de .036 m3 de espacio en relleno sanitario</t>
  </si>
  <si>
    <t>Se hizo la muestra con material a granel, se obtuvo:
 1m3 = 30 kg/m3 
1 ton de PP son 33.33 m3</t>
  </si>
  <si>
    <t>Reciclar 1 kg de PP equivale al ahorro de .033 m3 de espacio en relleno sanitario</t>
  </si>
  <si>
    <t>Reciclar 1 kg de PEBD es equivalente a llenar .0023 camiones recolectores</t>
  </si>
  <si>
    <t>Reciclar 1 kg de BOPP es equivalente a llenar .0036 camiones recolectores</t>
  </si>
  <si>
    <t>Reciclar 1 kg de PP es equivalente a llenar .0033 camiones recolectores</t>
  </si>
  <si>
    <t>Reciclar 1 kg de PET/PEAD/PEBD es equivalente al ahorro de .0044 Barriles de petróleo</t>
  </si>
  <si>
    <t xml:space="preserve">BARRILES DE PETRÓLEO
</t>
  </si>
  <si>
    <t xml:space="preserve">Recuperar dos toneladas de envases plásticos equivale al ahorro de 1 tonelada de petróleo. </t>
  </si>
  <si>
    <t>Reciclar 1 kg de Envases Plasticos - BOPP es equivalente al ahorro de .0036 Barriles de petróleo</t>
  </si>
  <si>
    <t>Reciclame.Info</t>
  </si>
  <si>
    <t>Reciclar 1 kg de Envases Plasticos - PP es equivalente al ahorro de .0036 Barriles de petróleo</t>
  </si>
  <si>
    <t>Reciclar 1 Ton de PET  equivale al ahorro de 4.44 barriles de petróleo</t>
  </si>
  <si>
    <t>Reciclar 1 kg de PET/PEAD/PEBD es equivalente al ahorro de .7059 litros de petróleo</t>
  </si>
  <si>
    <t>Reciclar 1 kg de Envases Plasticos - BOPP  es equivalente al ahorro de .573 litros de petróleo</t>
  </si>
  <si>
    <t>• Franklin Associates, LTD (1995). Envases de Tereftalato de Polietileno: Apéndice I.Pag 4 y 18</t>
  </si>
  <si>
    <t xml:space="preserve">Ver formula de converciones arriba </t>
  </si>
  <si>
    <t xml:space="preserve">Reciclar 1kg de PEBD ahorra:
.293 L de gasolina
.000 pipas de gasolina
5.88 km en coche
3.21 minutos
.008 Tanques de gasolina
</t>
  </si>
  <si>
    <t xml:space="preserve">Reciclar 1kg de BOPP Y PP ahorra:
.238 L de gasolina
.000 pipas de gasolina
4.78 km en coche
2.61 minutos
.006 Tanques de gasolina
</t>
  </si>
  <si>
    <t xml:space="preserve">Reciclar 1 ton de PP ahorra 671 tonCO2e
</t>
  </si>
  <si>
    <t>Reciclar 1 kg de PP evita la emisión de .671 kg de CO2e</t>
  </si>
  <si>
    <t>Reciclar 1 kg de PEBD evita:
lo que .54 L de gasolina emite
La contaminación de 11 km en auto o 5.9 minutos</t>
  </si>
  <si>
    <t>Reciclar 1 kg de BOPP Y PP evita:
lo que .28 L de gasolina emite
La contaminación de 6 km en auto o 3.1 minutos</t>
  </si>
  <si>
    <t>1 ton de aluminio requiere 217.11 millones de BTU (63,628 kwh)
Reciclar aluminio ahorra el 95%</t>
  </si>
  <si>
    <t>SEDESOL- INECOL (1993) Manejo y reciclaje de los residuos de envases y embalajes, pág. 26</t>
  </si>
  <si>
    <t>Recycling one aluminum beverage can save enough energy to run a 14 watt CFL bulb (60 watt incandescent equivalent) for 20 hours, a computer for 3 hours, or a TV for 2 hours.</t>
  </si>
  <si>
    <t>Reciclar 1 kg de Alu ahorra 21 kwh</t>
  </si>
  <si>
    <t>EPA. Environmental Factoids</t>
  </si>
  <si>
    <t>Reciclar 1 Ton de latas de aluminio ahorra 90,000 l de agua
Ecoce</t>
  </si>
  <si>
    <t>ECOCE</t>
  </si>
  <si>
    <t>1 kg de aluminio ahorra 90 L de agua
1 Ton de alu ahorra 90,000 L agua</t>
  </si>
  <si>
    <t>Reciclar 1 kg de aluminio ahorra  CO2 equivalente a haber plantado .179 árboles</t>
  </si>
  <si>
    <t>Reciclar 1 kg de aluminio es equivalente a .00 Bosques de Chapultepec</t>
  </si>
  <si>
    <t>Se hizo la muestra con material a granel, se obtuvo:
 1m3 = 30 kg/m3. 
1 ton de Aluminio son 33.3 m3</t>
  </si>
  <si>
    <t>Reciclar 1 kg de aluminio equivale al ahorro de .033 m3 de espacio en relleno sanitario</t>
  </si>
  <si>
    <t>Reciclar 1 kg de Aluminio es equivalente a llenar .0033 camiones recolectores</t>
  </si>
  <si>
    <t xml:space="preserve">Cada vez que reciclas una lata de aluminio ahorras la cantidad equivalente a la mitad de la misma lata de gasolina. 
ECOCE, 15 años  pag, 26
Ejemplo utilizado: 
lata de 355 ml (13.3g) (Cap gasolina 177.5ml) 
1 kg son 75 latas (Cap gasolina: 13.31 L)
1 ton ahorra 13,312.5 L de gasolina
Por cada 2.5 L de petroleo se obtiene 1 L de gasolina
</t>
  </si>
  <si>
    <t>Reciclar 1 kg de Aluminio es equivalente al ahorro de .2093 B petróleo</t>
  </si>
  <si>
    <t>Reciclar 1 kg de Aluminio es equivalente al ahorro de 33.28 litros de petróleo</t>
  </si>
  <si>
    <t>Reciclar 1 kg de Alu es equivalente al ahorro de 13.814 Litros de gasolina</t>
  </si>
  <si>
    <t>• Franklin Associates, LTD (1995). Apéndice C. Producción de envases para bebidas y cierres o tapas de Foil de aluminio. Pag 18 – 22, 31**</t>
  </si>
  <si>
    <t>1 Ton de aluminio reciclada equivale a 6.9 ton de co2</t>
  </si>
  <si>
    <t>Reciclar 1 kg de aluminio ahorra 6.9 kg de CO2</t>
  </si>
  <si>
    <t>S/Inf</t>
  </si>
  <si>
    <t>Se hizo la muestra con material a granel, se obtuvo:
 1m3 = 26.7 kg/m3. 
1 ton de Alu son 37.45 m3</t>
  </si>
  <si>
    <t>Reciclar 1 kg de Hojalata equivale al ahorro de .037 m3 de espacio en relleno sanitario</t>
  </si>
  <si>
    <t>Reciclar 1 kg de Hojalata es equivalente a llenar .004 camiones recolectores</t>
  </si>
  <si>
    <t>Franklin Associates, LTD (1995). Apéndice E. Envases de Hojalata. Pag 7, 12 y 16</t>
  </si>
  <si>
    <t xml:space="preserve">Reciclar 1 kg de Hoj es equivalente al ahorro de 1.32 kg de material </t>
  </si>
  <si>
    <t>Reciclar 1 kg de Hojalata  ahorra 1.5 kg de materia prima</t>
  </si>
  <si>
    <t>ECOEMBES, El acero que usamos tiene más de 150 años</t>
  </si>
  <si>
    <t>Reciclar 1 kg de Hoj es equivalente al ahorro de .572 litros de petróleo</t>
  </si>
  <si>
    <t>Reciclar 1 kg de Hojalata es equivalente al ahorro de .237  Litros de gasolina</t>
  </si>
  <si>
    <t>Reciclar 1 kg de Hoj es equivalente al ahorro de la capacidad de 0 pipas</t>
  </si>
  <si>
    <t>Reciclar 1 kg de Hojalata es equivalente a ahorrar el combustible para recorrer 4.76 km en carretera o 2.6 minutos</t>
  </si>
  <si>
    <t>Reciclar 1 kg de PET es equivalente a llenar 6.4 tanques de gasolina de auto semicompacto</t>
  </si>
  <si>
    <t>S/Inf
Incluye extracción, produccion de hojalata, transporte, producción de latas y recuperación 
1 ton requiere 671 kwh</t>
  </si>
  <si>
    <t>Reciclar 1 kg de vidrio ahorra 1.6kwh</t>
  </si>
  <si>
    <t>1 botella de vidrio ahorra la energía que usa un foco eficiente de 15 w en 24 horas (.360 kwh)
Por lo tanto, se estima 4 botellas/kg
.360*4=1.44 kwh</t>
  </si>
  <si>
    <t>Reciclar 1 kg de vidrio ahorra 1.4 kwh</t>
  </si>
  <si>
    <t>OI, Sustainability Glass Recycling. Video</t>
  </si>
  <si>
    <t>La energía que se ahorra del reciclaje de una botella de vidrio puede iluminar un foco de 100 w durante 4 horas
Por lo tanto, se estima 4 botellas/kg
 ahorra 400wh
*1kg de vidrio ahorra 1,600wh /1.6kwh</t>
  </si>
  <si>
    <t xml:space="preserve">EPA. Environmental Factoidsc
Recíclame, Sabías que… </t>
  </si>
  <si>
    <t>Reciclar 1 kg de vidrio ahorra  CO2 equivalente a haber plantado ___árboles</t>
  </si>
  <si>
    <t>Reciclar 1 kg de vidrio es equivalente a .00 Bosques de Chapultepec</t>
  </si>
  <si>
    <t>Se estima 152kg/m3 con los camiones de Isadora</t>
  </si>
  <si>
    <t>Reciclar 1 kg de vidrio equivale al ahorro de .006 m3 de espacio en relleno sanitario</t>
  </si>
  <si>
    <t>Reciclar 1 kg de vidrio es equivalente a llenar .006 camiones recolectores</t>
  </si>
  <si>
    <t xml:space="preserve">1 kg de vidrio reciclado ahorra 1.2 kg de materiales virgenes 
</t>
  </si>
  <si>
    <t xml:space="preserve">Por cada tonelada de vidrio reciclado se ahorran 130 kilos de combustible y 1,200 kg de materia prima.
</t>
  </si>
  <si>
    <t>Reciclar 1 kg de vidrio equivale al ahorro de 1.33 kg de materia prima</t>
  </si>
  <si>
    <t>Reciclar 1 kg de vidrio equivale al ahorro de 1.2 kg de materia prima</t>
  </si>
  <si>
    <t xml:space="preserve">
Recíclame, Sabías que… </t>
  </si>
  <si>
    <t xml:space="preserve">Reciclar 1 ton de desechos de vidrio evita que 315 kg CO2 se liberen </t>
  </si>
  <si>
    <t>Enfasis Packaging (2014) Inegi: separa basura 46 de cada 100 casas.</t>
  </si>
  <si>
    <t>Reciclar 1 kg de vidrio ahorra .315 kg de CO2</t>
  </si>
  <si>
    <t xml:space="preserve">Por cada tonelada reciclada se evitan 200 kg de Co2
</t>
  </si>
  <si>
    <t>Pascual, Stop Basura. La verdad abreviada sobre reciclar. Pág. 9</t>
  </si>
  <si>
    <t>Reciclar 1 kg de vidrio ahorra .200 kg de CO2</t>
  </si>
  <si>
    <t>Reciclar 1 kg de Vidrio evita la contaminación generada equivalente a 1 minuto en coche</t>
  </si>
  <si>
    <t>Reciclar 1 kg de cartón laminado equivale a ahorrar 4.1 kwh</t>
  </si>
  <si>
    <t>ECOCE (2017) ECOCE 15 años, Pág. 26</t>
  </si>
  <si>
    <t>Manufacturing one ton of office and computer paper with recycled paper stock can save between 3,000 and 4,000 kilowatt hours over the same ton of paper made with virgin wood products.
3000 - 4000 kwh/ton de papel
El promedio es 3,500 kwh</t>
  </si>
  <si>
    <t>Reciclar 1 kg de cartón laminado equivale a ahorrar 3.5 kwh</t>
  </si>
  <si>
    <t xml:space="preserve">Al usar residuos de papel en lugar de fibra de madera virgen para fabricar nuevo papel se reduce el consumo de energia en 58%
</t>
  </si>
  <si>
    <t>SEDESOL, Pag. 23</t>
  </si>
  <si>
    <t>Ahorro de energía del 58%</t>
  </si>
  <si>
    <t>Ahorro de energía del 40%</t>
  </si>
  <si>
    <t xml:space="preserve">Reciclar 1 ton de cartón laminado tiene los mismos beneficios que reciclar papel o cartón.
4100 kw/h de energía
17 árboles de 10 m de alto
26,500 L de agua
1,440 L de petróleo </t>
  </si>
  <si>
    <t>Reciclar 1 kg de cartón laminado equivale a ahorrar 26.5 L de agua</t>
  </si>
  <si>
    <t>Por cada tonelada de papel reciclado se libran 2.3 m3 de espacio en relleno sanitario</t>
  </si>
  <si>
    <t>Reciclar 1 kg de papel equivale al ahorro de .0023 m3 de espacio en relleno sanitario</t>
  </si>
  <si>
    <t>Camara del papel. Historia del papel</t>
  </si>
  <si>
    <t>Reciclar 1 kg de papel es equivalente a llenar .00023 camiones recolectores</t>
  </si>
  <si>
    <t>Reciclar 1 kg de CL evita sean talados .017 arboles</t>
  </si>
  <si>
    <t>Reciclajes Avi S.L.U. Principales beneficios del reciclaje de papel</t>
  </si>
  <si>
    <t>Se evita como mínimo la tala de 12 árboles o 4 metros cúbicos de madera.
Nota: - La densidad de la madera suele ser de entre 400 kg/m3 y 550 kg/m3.
Se utilizó:  400kg/m3*4m3 =1,600 kg</t>
  </si>
  <si>
    <t>1 ton de papel reciclado reduce el espacio en el vertedero de 3.5 m3</t>
  </si>
  <si>
    <t>Reciclar 1 kg de papel equivale al ahorro de .0035 m3 de espacio en relleno sanitario</t>
  </si>
  <si>
    <t>Reciclar 1 ton de papel supone ahorrar 26 m3 de agua</t>
  </si>
  <si>
    <t>Reciclar 1 kg de papel equivale a ahorrar 26 L de agua</t>
  </si>
  <si>
    <t xml:space="preserve">El factor de emisión por:
</t>
  </si>
  <si>
    <t>Reciclar 1 kg de CL ahorra  CO2 equivalente a haber plantado .020 árboles</t>
  </si>
  <si>
    <t>Reciclar 1 kg de CL es equivalente a .00 Bosques de Chapultepec</t>
  </si>
  <si>
    <t>Reciclar 1 kg de papel evita sean talados .012 árboles /1.6 kg de madera</t>
  </si>
  <si>
    <t>Reciclar 1 ton de papel evita se talen 17-19 árboles. Se tomó el promedio 18</t>
  </si>
  <si>
    <t>Reciclar 1 kg de papel evita sean talados .018 árboles</t>
  </si>
  <si>
    <t>Reciclar 1 kg de papel evita sean talados .016 árboles</t>
  </si>
  <si>
    <t>Piedra caliza, Sal, carbón, petróleo crudo, bauxita</t>
  </si>
  <si>
    <t>Pet</t>
  </si>
  <si>
    <t xml:space="preserve">Empaque </t>
  </si>
  <si>
    <t xml:space="preserve">Días de refrigerador  prendido </t>
  </si>
  <si>
    <t>Focos LED</t>
  </si>
  <si>
    <t>Focos Ahorrador Fluorescente</t>
  </si>
  <si>
    <t>Cargar pila de celular en año</t>
  </si>
  <si>
    <t>ACOPIO</t>
  </si>
  <si>
    <t>TON</t>
  </si>
  <si>
    <t>Resina 9 Plasticos</t>
  </si>
  <si>
    <t>PEBD FILM</t>
  </si>
  <si>
    <t>RESINA PET</t>
  </si>
  <si>
    <t>Polyestireno</t>
  </si>
  <si>
    <t>Polyestireno (GPPS)</t>
  </si>
  <si>
    <t>Resina PET</t>
  </si>
  <si>
    <t>CUT-OFF</t>
  </si>
  <si>
    <t>OPEN LOOP</t>
  </si>
  <si>
    <t>CUT OFF</t>
  </si>
  <si>
    <t>RESINA PP</t>
  </si>
  <si>
    <t>CUT - OFF</t>
  </si>
  <si>
    <t>L de Agua R. Virgen</t>
  </si>
  <si>
    <t>L de Agua R. Reciclada</t>
  </si>
  <si>
    <t>L Agua en Resina Virgen</t>
  </si>
  <si>
    <t>L Agua en Resina Reciclada</t>
  </si>
  <si>
    <t>L Agua Ahorrada</t>
  </si>
  <si>
    <t>L Agua Resina Virgen</t>
  </si>
  <si>
    <t>L Agua Resina Reciclada</t>
  </si>
  <si>
    <t>L Agua Ahorro</t>
  </si>
  <si>
    <t xml:space="preserve">Iluminadar x casas con tiempo promedio de usos de focos al día </t>
  </si>
  <si>
    <t>Se estima que una casa tiene en promedio 7 focos de 60 w prendidos de 6 pm - 11 pm (5 horas al día) =2,100 w</t>
  </si>
  <si>
    <t>De acuerdo a la Encuesta Nacional sobre consumo de Energéticos en Viviendas Particulares, el tiempo promedio de uso de focos al día, de las casas particulares habitadas que disponen de energía eléctrica, por áreas de la vivienda son 20.71 horas y el 27% de las viviendas usa de 6-7 focos = 1,242.6 w</t>
  </si>
  <si>
    <t>ACTUAL</t>
  </si>
  <si>
    <t>Se estimó un wc de 6 L /descarga</t>
  </si>
  <si>
    <t xml:space="preserve">ACTUAL </t>
  </si>
  <si>
    <t xml:space="preserve">Reciclar 1 kg de Acero (Hojalata) es equivalente al ahorro de 1.8 kg de materia prima </t>
  </si>
  <si>
    <t>Piedra caliza, mineral de hierro, carbón</t>
  </si>
  <si>
    <t>Reciclar 1 kg de hojalata  ahorra .0036 Bp
Tambien 1.49 kg de materia prima</t>
  </si>
  <si>
    <t>Actual</t>
  </si>
  <si>
    <t>De acuero a ECOEMBES 1 Lata de aluminio ahorra .218 kgCO2ahorrados/envase
Estamado de 75 latas/kg
1kg: 75*.218= 16.35 kgCO2ahorrados/kg
1 Ton: 16,350 kg CO2/ton</t>
  </si>
  <si>
    <t>Reciclar 1 kg de aluminio ahorra 16.3 kg de CO2</t>
  </si>
  <si>
    <t>Al reciclar acero se ahorra el 74% de consumo de energía, 86% de contaminantes del aire, 40% del consumo de agua, 76% de contaminantes del agua y 97% de residuos mineros</t>
  </si>
  <si>
    <t>SEDESOL, P. 25</t>
  </si>
  <si>
    <t>Recycling steel and tin cans saves between 60 and 74 percent of the energy used to produce them from raw materials.</t>
  </si>
  <si>
    <t>74% de consumo de energía
86% de contaminantes del aire
40% del consumo de agua
76% de contaminantes del agua
97% de residuos mineros</t>
  </si>
  <si>
    <t xml:space="preserve"> 60% y 74% de energía</t>
  </si>
  <si>
    <t>OI, Sustainability Glass Recycling. Video
Anfevi, España</t>
  </si>
  <si>
    <t>Página de Vidrio en España</t>
  </si>
  <si>
    <t>La fabricación de envases de vidrio es una actividad muy intensiva en energía. hace 20 años se situara en el en torno de 6,5 GJ por tonelada de vidrio fundido y hoy en día se encuentre en torno a los 4,7.</t>
  </si>
  <si>
    <t xml:space="preserve">La Industria de fabricación de envases de vidrio public su primer informe sectorial (2013) </t>
  </si>
  <si>
    <t>Para replicar con ECOCE</t>
  </si>
  <si>
    <t xml:space="preserve">Super </t>
  </si>
  <si>
    <t xml:space="preserve">
Para producir 1 Ton de resina de PET requiere de 622 kg de gas natural y 217 kg de petróleo. 
Se definió un 90% de ahorro
</t>
  </si>
  <si>
    <t xml:space="preserve">Reciclar 1 kg de PET es equivalente al ahorro de .755 kg de material </t>
  </si>
  <si>
    <t>Reciclar 1 kg de PEAD es equivalente al ahorro de .837 kg de mat. P</t>
  </si>
  <si>
    <t xml:space="preserve">
Para producir 1 Ton de resina de PEBD requiere de 786 kg de gas natural y 254 de petróleo crudo.
Se definió un 80% de ahorro
</t>
  </si>
  <si>
    <t xml:space="preserve">Reciclar 1 kg de PEBD es equivalente al ahorro de .832 kg de material </t>
  </si>
  <si>
    <t xml:space="preserve">Fuente:
1 Ton de aluminio requiere 5,707 kg Mat Prima (161 kg de piedra caliza, 110 kg de sal, 112 kg de carbón, 4983 kg de bauxita y 341 kg de petróleo crudo)
1 Ton de aluminio V. 5,707 kg 
1 Ton de aluminio R. 1,065 kg de latas 
Se estima un ahorro de 4,642 kg
</t>
  </si>
  <si>
    <t>Se hizo la muestra con 1m3 con material a granel obteniendo 24.8 kg/m3. 
1 ton de PET equivale a 40.322 m3.
Se tomará 43.9 m3 como resultado de estadios azteca</t>
  </si>
  <si>
    <t>Reciclar 1 kg de PET equivale al ahorro de .040 m3 de espacio en relleno sanitario
43.9 M3</t>
  </si>
  <si>
    <t>Estadio Azteca en M3</t>
  </si>
  <si>
    <t>Pipas con petróleo</t>
  </si>
  <si>
    <t xml:space="preserve">Reciclar 1 kg de PP ahorra 3.9 L </t>
  </si>
  <si>
    <t xml:space="preserve">APR (2018) Life Cycle Impacts for postconsumer recycled resins: PET, HDPE, and PP, 34, </t>
  </si>
  <si>
    <t>Reciclar 1 kg de PP ahorra 1.31 kg co2</t>
  </si>
  <si>
    <t xml:space="preserve">Se obtuvo el peso y volumen de 1 caja de leche de cartón laminado:
9*19.5*6 =1,053 cm3 = .001053 m3
39.9 g
1 kg= 25 cajas = .02632 m3
Se contempla un 20% por lo que se aplasta </t>
  </si>
  <si>
    <t>Reciclar 1 kg de cartón laminado equivale al ahorro de .0210 m3 de espacio en relleno sanitario</t>
  </si>
  <si>
    <t>Se obtuvo el estimado del volumne de una botella de 1 litro de vidrio (vino)
8.6*8.6*27.5 =2,033 cm3 / .00203 m3
Peso 528 g
1,893 botellas= 1 Ton</t>
  </si>
  <si>
    <t>Reciclar 1 kg de vidrio equivale al ahorro de .00383 m3 de espacio en relleno sanitario</t>
  </si>
  <si>
    <t xml:space="preserve">casas con iluminación de 6:00 -11:00 pm </t>
  </si>
  <si>
    <t>celulares con pila al año</t>
  </si>
  <si>
    <t>días bebiendo agua</t>
  </si>
  <si>
    <t>papa</t>
  </si>
  <si>
    <t xml:space="preserve"> </t>
  </si>
  <si>
    <t>Reciclar 1 ton de cartón laminado tiene los mismos beneficios que reciclar papel o cartón.
1,440 L de petróleo  /159= 9</t>
  </si>
  <si>
    <t>Reciclar 1 ton de cartón laminado tiene los mismos beneficios que reciclar papel o cartón.
26,500 L de agua</t>
  </si>
  <si>
    <t>Reciclar 1 kg de cartón laminado equivale a ahorrar 24.375 L de agua</t>
  </si>
  <si>
    <t>Tecnología del Plástico (2017) Reciclaje de Tetra Pak abre opciones de negocio en plásticos</t>
  </si>
  <si>
    <t>Reciclar 1 kg de CL es equivalente al ahorro de 100 L de agua</t>
  </si>
  <si>
    <t xml:space="preserve">Reciclar 1 kg de CL es equivalente al ahorro de 1.5 kg de madera </t>
  </si>
  <si>
    <t>Ton Acero liquido</t>
  </si>
  <si>
    <t>Reciclar 1 kg de Alu ahorra 39.42 kwh 
(91% de ahorro)</t>
  </si>
  <si>
    <t>Reciclar 1 kg de Alu ahorra 60.446 kwh
(95% de ahorro)</t>
  </si>
  <si>
    <t>Using recycled steel saves up to 70% energy.</t>
  </si>
  <si>
    <t>(70% energía ahorrada)</t>
  </si>
  <si>
    <t>Steel for packagyng</t>
  </si>
  <si>
    <t>Each item of recycled steel packaging saves over one and a half times its weight in CO2.
1 KG ejemplo</t>
  </si>
  <si>
    <t>1 kg * 1.5 =1.5 co2 ahorrado</t>
  </si>
  <si>
    <t>Reciclar 1 kg de acero ahorra 1.5 kg co2</t>
  </si>
  <si>
    <t xml:space="preserve">Reciclar 1 kg de Acero (Hojalata) es equivalente al ahorro de 2.45 kg de materia prima </t>
  </si>
  <si>
    <t>Steel for packaging
APEAL – the Association of European Producers of steel for packaging – unites the five producers of steel for packaging in Europe.</t>
  </si>
  <si>
    <t>Steel Recycling Institute. Buy Recycled with Recyclable Steel.  Pág 2 
Estados Unidos</t>
  </si>
  <si>
    <t>Recycling 1 ton of paper saves 17 trees, 380 gallons (1060 liters) of oil, 4000KW of energy, and over 25000 liters of water.</t>
  </si>
  <si>
    <t>Reciclar 1 kg de papel equivale a ahorrar 4.0 kwh</t>
  </si>
  <si>
    <t>Action Alliance for Recycling Beverage Cartons, India</t>
  </si>
  <si>
    <t>Reciclar 1 kg de papel evita sean talados .017 árboles</t>
  </si>
  <si>
    <t>Reciclar 1 kg de CL es equivalente al ahorro de 25 L de agua</t>
  </si>
  <si>
    <t>70% less energy is required to recycle paper compared with making it from raw materials.</t>
  </si>
  <si>
    <t>Ahorro de energía del 70%</t>
  </si>
  <si>
    <t>La enorme ventaja de reciclar metal es el ahorro, sobre todo de energía (un 95% en el aluminio y un 70% en el acero) frente a la obtención a partir de minerales.</t>
  </si>
  <si>
    <t>(95% de ahorro)</t>
  </si>
  <si>
    <t xml:space="preserve">Latas de bebidas. Metal packaging Europe, </t>
  </si>
  <si>
    <t>(70% de ahorro)</t>
  </si>
  <si>
    <t>Focos Ahorradores Fluorescentes prendidos una hora</t>
  </si>
  <si>
    <t xml:space="preserve">Reciclar 1 kg de PET ahorra lo equivale a tener encendidos 254.63 focos flourescentes durante una hora </t>
  </si>
  <si>
    <t xml:space="preserve">Reciclar 1 kg de PET ahorra lo equivale a tener encendidos 1,697 focos LED  durante una hora </t>
  </si>
  <si>
    <t>Reciclar 1 kg de PET ahorra  la energía equivalente para mantener encendido 1 refrigerador durante 15.8 días</t>
  </si>
  <si>
    <t>Reciclar 1 kg de PET ahorra  la energía equivalente para cargar la pila de .820 celulares todo un año</t>
  </si>
  <si>
    <t>De acuerdo a INEGI, 2019 de los ususarios con celular el 88.1% es smartphone.
The CIU reveló las marcas de celulares más vendidas, y las de mayor crecimiento en el mercado de México son: Samsung, Motorola y Huawei
Se tomó como referencia el modelo más vendido de Samsung A10 con bateria 3400mAh /3 horas de carga</t>
  </si>
  <si>
    <t>Bibliografia</t>
  </si>
  <si>
    <t>Comentarios</t>
  </si>
  <si>
    <t>Foco de 60 w</t>
  </si>
  <si>
    <t>Foco de 9 w</t>
  </si>
  <si>
    <t>Reciclar 1 kg de PET ahorra 15.277  kwh
79% de ahorro</t>
  </si>
  <si>
    <t>Reciclar 1 kg de PET no ahorra agua,  gasta -41 L</t>
  </si>
  <si>
    <t>Camiòn de 10 m3</t>
  </si>
  <si>
    <t>1,000,000 M3</t>
  </si>
  <si>
    <t>Litros de petròleo</t>
  </si>
  <si>
    <t>pipas</t>
  </si>
  <si>
    <t>Franklin Associates, LTD (1995). Envases de Tereftalato de Polietileno: Apéndice H. Envases de PET. Pag 12, 20. Se estimo el 90% de ahorro</t>
  </si>
  <si>
    <t xml:space="preserve">tanques de auto llenos </t>
  </si>
  <si>
    <t>Datos ASIPLA en Chile 2.355 T CO2/Ton</t>
  </si>
  <si>
    <t>SENER- CONUEE. Guías para el Uso Eficiente de la Energía en el Transporte, pág. 6 (2.4 kg CO2/ Litro)</t>
  </si>
  <si>
    <t>evitar la contaminación de __ L de gasolina</t>
  </si>
  <si>
    <t>CO2 de __ km en coche</t>
  </si>
  <si>
    <t>CO2 de __ minutos en coche</t>
  </si>
  <si>
    <t>CO2 de _ horas en coche</t>
  </si>
  <si>
    <t>Reciclar 1 Ton de</t>
  </si>
  <si>
    <t>ahorra lo equivalente a:</t>
  </si>
  <si>
    <t>PEMEX, 2019 (159 L petroleo/Barril)</t>
  </si>
  <si>
    <t>PEMEX, 2019 (66 L gasolina/Barril)</t>
  </si>
  <si>
    <t>PEMEX (Pipa con capacidad de 20,000 L)</t>
  </si>
  <si>
    <t>APR (2018) Life Cycle Impacts for postconsumer recycled resins: PET, HDPE, and PP, pág 31. (15,278 kwh/Ton)</t>
  </si>
  <si>
    <t>Ecoembes (20,528 kwh/TonPET)</t>
  </si>
  <si>
    <t>Estimado (60w/7 focos/5 horas)</t>
  </si>
  <si>
    <t>dìas con refrigerador prendido</t>
  </si>
  <si>
    <t>PROFECO (2018) Refrigeradores Domésticos, La Revista del Consumidor, Núm. 495,  40-51 pág. (.964kwh/dìa)</t>
  </si>
  <si>
    <t>APR (2018) Life Cycle Impacts for postconsumer recycled resins: PET, HDPE, and PP, pág 31. (79%)</t>
  </si>
  <si>
    <t>Elobservador (2020) ¿Cuáles fueron los cinco smartphones más vendidos en Latinoamérica en 2019?
INEGI - ENDUTIH (2020) Encuesta Nacional sobre Disponibilidad y Uso de Tecnologías de la Información en los Hogares. Pág 21 (Samsung)</t>
  </si>
  <si>
    <t xml:space="preserve">ECOCE 40,000 L </t>
  </si>
  <si>
    <t>CADENA SER (2014) ¿Cuánta agua utilizamos durante la ducha? (200L/10 min)</t>
  </si>
  <si>
    <t>IMSS, (2013) Una adecuada hidratación garantiza funciones óptimas del cuerpo (2.5 L/Dìa)</t>
  </si>
  <si>
    <t>1/50 L</t>
  </si>
  <si>
    <t>1/13 L</t>
  </si>
  <si>
    <t>1/25 L</t>
  </si>
  <si>
    <t>CEMI, Piscina de Natación (3,750,000 L)</t>
  </si>
  <si>
    <t>6 L/ descarga</t>
  </si>
  <si>
    <t>m3 en relleno sanitario</t>
  </si>
  <si>
    <t>Estimado en patio (40.322m3) 43.9m3 para resultado en Estadios Azteca</t>
  </si>
  <si>
    <t>SENER- CONUEE (2020) Rendimiento de combustible en Vehículos ligeros de venta en México, pág 5 (20.09 km/L)
INEGI (2019) Resumen de la venta al público de automoviles por marca y segmento</t>
  </si>
  <si>
    <t>Aveo 2020 y Beat 2020 (37 L) Autos Subcompactos</t>
  </si>
  <si>
    <t>ECOCE 3.32 T CO2/Ton</t>
  </si>
  <si>
    <t>APR (2018) Life Cycle Impacts for postconsumer recycled resins: PET, HDPE, and PP, pág 31. (18,503 kwh/Ton)</t>
  </si>
  <si>
    <t>Ecoembes (17,611 kwh/Ton)</t>
  </si>
  <si>
    <t xml:space="preserve">Estimado en patio 30.487m3 </t>
  </si>
  <si>
    <t>ECOCE (2017) 15 años, Pág. 2 T CO2/Ton)</t>
  </si>
  <si>
    <t>Datos ASIPLA en Chile 1.295 T CO2/Ton</t>
  </si>
  <si>
    <t>APR (2018) Life Cycle Impacts for postconsumer recycled resins: PET, HDPE, and PP, pág 31. (88.4%)</t>
  </si>
  <si>
    <t>APR (2018) Life Cycle Impacts for postconsumer recycled resins: PET, HDPE, and PP, 31, (4,900 L)</t>
  </si>
  <si>
    <t>ECOCE (2017) ECOCE 15 años, Pág. 30 (4.44)</t>
  </si>
  <si>
    <t>Franklin Associates, LTD (1995). Envases de Tereftalato de Polietileno: Apéndice H. Envases de PET. Pag 12, 20. (Se estimo un 80% de ahorro)</t>
  </si>
  <si>
    <t>KG de CO2</t>
  </si>
  <si>
    <t>Kg de CO2</t>
  </si>
  <si>
    <t>BOPP Y PP</t>
  </si>
  <si>
    <t xml:space="preserve">Estimado en patio 36.630 m3 </t>
  </si>
  <si>
    <t xml:space="preserve">Estimado en patio 33.33 m3 </t>
  </si>
  <si>
    <t>APR (2018) Life Cycle Impacts for postconsumer recycled resins: PET, HDPE, and PP, pág 31. (18,197 kwh/Ton)</t>
  </si>
  <si>
    <t>APR (2018) Life Cycle Impacts for postconsumer recycled resins: PET, HDPE, and PP, 31, (3,930 L)</t>
  </si>
  <si>
    <t xml:space="preserve">Estimado en patio 23.750 m3 </t>
  </si>
  <si>
    <t>EPA. Environmental Factoids (21,000 kwh)</t>
  </si>
  <si>
    <t>Ecoembes (39,420 kwh/Ton)</t>
  </si>
  <si>
    <t>% ahorro comparando con la producción de PEADv</t>
  </si>
  <si>
    <t>% ahorro comparando con la producción de PEBDv</t>
  </si>
  <si>
    <t>% ahorro comparando con la producción virgen</t>
  </si>
  <si>
    <t>% ahorro comparando con la producción Tvirgen</t>
  </si>
  <si>
    <t>Latas de bebidas. Metal packaging Europe,  (95%)</t>
  </si>
  <si>
    <t xml:space="preserve">Estimado en patio 33.3 m3 </t>
  </si>
  <si>
    <t>Franklin Associates, LTD (1995). Apéndice C. Producción de envases para bebidas y cierres o tapas de Foil de aluminio. Pag 18 – 22, 31**</t>
  </si>
  <si>
    <t>Latas de bebidas. Metal packaging Europe (70%)</t>
  </si>
  <si>
    <t>Steel for packagyng (70%)</t>
  </si>
  <si>
    <t>EPA. Environmental Factoids (60-74%)</t>
  </si>
  <si>
    <t xml:space="preserve">Estimado en patio 37.45 m3 </t>
  </si>
  <si>
    <t>Steel for packaging (1.5 )</t>
  </si>
  <si>
    <t>OI, Sustainability Glass Recycling. Video (1,440 kwh/TON)</t>
  </si>
  <si>
    <t>EPA. Environmental Factoids (1,600 kwh/Ton)</t>
  </si>
  <si>
    <t>OI, Sustainability Glass Recycling. Video
Anfevi, España (1,200 kg)</t>
  </si>
  <si>
    <t>Recíclame, Sabías que…  (1,330 kg)</t>
  </si>
  <si>
    <t>Enfasis Packaging (2014) Inegi: separa basura 46 de cada 100 casas. (315 kg co2/ton)</t>
  </si>
  <si>
    <t>Arboles no cortados</t>
  </si>
  <si>
    <t>Action Alliance for Recycling Beverage Cartons, India (70%)</t>
  </si>
  <si>
    <t>Se conformo con 75% cartón (13.5 árboles)</t>
  </si>
  <si>
    <t>Camara del Papel (17-19 árboles)</t>
  </si>
  <si>
    <t xml:space="preserve">Estimado 21 m3/ ton </t>
  </si>
  <si>
    <t xml:space="preserve">ECOCE 1,440 L </t>
  </si>
  <si>
    <t>EPA. Environmental Factoids (40%)</t>
  </si>
  <si>
    <t>ECOCE (4,100 KWH) / Action Alliance for Recycling Beverage Cartons, India (4,000 KWH)</t>
  </si>
  <si>
    <t>ECOCE (26,500 L)</t>
  </si>
  <si>
    <t>Action Alliance for Recycling Beverage Cartons, India (25,000 L) / Reciclajes Avi S.L.U. Principales beneficios del reciclaje de papel (26,000 L)</t>
  </si>
  <si>
    <t>Action Alliance for Recycling Beverage Cartons, India (17 arboles) /ECOCE 17 Arboles</t>
  </si>
  <si>
    <t>Camara del papel. Historia del papel (2.3 m3)</t>
  </si>
  <si>
    <t>Reciclajes Avi S.L.U. Principales beneficios del reciclaje de papel (3.5m3)</t>
  </si>
  <si>
    <t>ASIPLA Análisis del Impacto de los GEF en el ciclo de vida de los Embalajes y Otros Productos plásticos en Cile V1.0, Pág 23 (796 kgco2/ton</t>
  </si>
  <si>
    <t>Enfasis Packaging (2014) Inegi: separa basura 46 de cada 100 casas (900 kg/co2/ton)</t>
  </si>
  <si>
    <t>ECOCE (2017) ECOCE 15 años, Pág. 30 (377,410 árboles)</t>
  </si>
  <si>
    <t>ECOCE (25-35 M3)</t>
  </si>
  <si>
    <t>Ahorro de agua equivalente por 1000 KG cartón laminado:
750 kg (75%) cartón = 19,875 L
50 kg (5%) aluminio = 4,500 L 
(20%) polietileno =Sin dato
Ahorro = 24,375 L</t>
  </si>
  <si>
    <t>APR (2018) Life Cycle Impacts for postconsumer recycled resins: PET, HDPE, and PP, pag, 25</t>
  </si>
  <si>
    <t>APR (2018) Life Cycle Impacts for postconsumer recycled resins: PET, HDPE, and PP, 25</t>
  </si>
  <si>
    <t>Reciclar 1 kg de PP ahorra 18.197 kwh
(88% de ahorro)</t>
  </si>
  <si>
    <t>Cartón Multilaminado</t>
  </si>
  <si>
    <t>Llenar KG</t>
  </si>
  <si>
    <t>No usar</t>
  </si>
  <si>
    <t>ECOCE, Infografía (90,000)</t>
  </si>
  <si>
    <t>ECOCE (2017) ECOCE 15 años, Pág. 30 (Por cada lata ahorras la mitad en gasolina) /Se omite</t>
  </si>
  <si>
    <t>Steel for packaging
APEAL – the Association of European Producers of steel for packaging – unites the five producers of steel for packaging in Europe. (2,450 kg)</t>
  </si>
  <si>
    <t xml:space="preserve">Estimado 3.84 m3/ ton </t>
  </si>
  <si>
    <t>APR (2018) Life Cycle Impacts for postconsumer recycled resins: PET, HDPE, and PP, 34, (-410 L) /Se omite a 0 L</t>
  </si>
  <si>
    <t>Se conformo con 75% cartón, 20% plastico, 5% aluminio
EPA. Environmental Factoids / Action Alliance for Recycling Beverage Cartons, India (3,675 KWH)</t>
  </si>
  <si>
    <t>Se conformo con 75% cartón, 20% plastico (falta), 5% aluminio
ECOCE (26,500 L agua-papel), ECOCE, Infografía (90,000 L agua aluminio) (24,375 L)</t>
  </si>
  <si>
    <t>Cámara del papel (2000 l/ton) (9.43 Barriles)</t>
  </si>
  <si>
    <t>Estimado (857 kg co2/ ton)</t>
  </si>
  <si>
    <t>EPA. Environmental Factoids (3000-4000 KWH) (3,500)</t>
  </si>
  <si>
    <t>Camara del papel. Historia del papel (17-19 Arboles) (18 arboles)</t>
  </si>
  <si>
    <t>Cámara del papel (2000 l/ton) (12.578 barriles)</t>
  </si>
  <si>
    <t>ANTES</t>
  </si>
  <si>
    <t>Se mantiene</t>
  </si>
  <si>
    <t>Reciclar 1 Tonelada de PET es equivalente al ahorro de 40,000 Litros de agua</t>
  </si>
  <si>
    <t>Infografia ECOCE</t>
  </si>
  <si>
    <t>Reciclar 1 Tonelada de PET es equivalente al ahorro de 4.44 barriles de petróleo</t>
  </si>
  <si>
    <t xml:space="preserve">Reciclar 1 Tonelada de PET es equivalente al ahorro de 25-35 m3 en relleno sanitario </t>
  </si>
  <si>
    <t>Reciclar 1 Tonelada de PET es equivalente al ahorro de 3.32 toneladas de CO2</t>
  </si>
  <si>
    <t>PEAD/PEBD</t>
  </si>
  <si>
    <t xml:space="preserve">1 Tonelada de PEAD y PEBD reciclado equivale a 2 Toneladas de CO2 </t>
  </si>
  <si>
    <t>Reciclar 1 Tonelada de PET es equivalente al ahorro de 20,528 kw/h</t>
  </si>
  <si>
    <t>Reciclar 1 ton de PET no ahorra agua</t>
  </si>
  <si>
    <t xml:space="preserve">Reciclar 1 Tonelada de PET es equivalente al ahorro de 43.9 m3 en relleno sanitario </t>
  </si>
  <si>
    <t>Se obtuvo a partir de muestra en patio y tambien del dato para calcular la cantidad de estadios azteca llenos de PET</t>
  </si>
  <si>
    <t>Reciclar 1 Tonelada de PET ahorra 1.87 Ton CO2</t>
  </si>
  <si>
    <t>APR (2018) Life Cycle Impacts for postconsumer recycled resins: PET, HDPE, and PP, 28</t>
  </si>
  <si>
    <t>APR (2018) Life Cycle Impacts for postconsumer recycled resins: PET, HDPE, and PP, 35</t>
  </si>
  <si>
    <t>Antes</t>
  </si>
  <si>
    <t>Reciclar 1 Ton de PEAD equivale a ahorrar 1.330 Ton de CO2</t>
  </si>
  <si>
    <t>ASIPLA Análisis del Impacto de los GEF en el ciclo de vida de los Embalajes y Otros Productos plásticos en Cile V1.0, Pág 23</t>
  </si>
  <si>
    <t>Reciclar 1 Ton de PEBD equivale a ahorrar 1.294 Ton de CO2</t>
  </si>
  <si>
    <t>El aluminio primario se produce por electrolisis de la alúmina en un baño de
criolita fundida en una relación de 4 a 1, es decir, de cada 4 toneladas de bauxita
se obtiene 1 tonelada de aluminio</t>
  </si>
  <si>
    <t>kwh
UNESCO</t>
  </si>
  <si>
    <t>C. LAMINADO</t>
  </si>
  <si>
    <t>Polipropileno</t>
  </si>
  <si>
    <t>NO RECICLABLES</t>
  </si>
  <si>
    <t>Reciclar 1 ton de PET ahorra 15,277.8  kw/h</t>
  </si>
  <si>
    <t>Reciclar 1 Tonelada de PET es equivalente al ahorro de 755 kg de materia prima (Se definió con el ingeniero un 90% de ahorro)</t>
  </si>
  <si>
    <t>Producir 1 Ton de resina PEAD requiere 1,047 kg de gas natural</t>
  </si>
  <si>
    <t>• Franklin Associates, LTD (1995). Envases de Tereftalato de Polietileno: Apéndice I. Pag 16, 20</t>
  </si>
  <si>
    <t>Producir 1 Ton de resina PEAD requiere 837.6 kg de gas natural</t>
  </si>
  <si>
    <t>• Franklin Associates, LTD (1995). Envases de Tereftalato de Polietileno: Apéndice I. Pag 16, 20 (Se estimó con el ingeniero un 80% de ahorro)</t>
  </si>
  <si>
    <t>No ahorro de agua</t>
  </si>
  <si>
    <t>APR (2018) Life Cycle Impacts for postconsumer recycled resins: PET, HDPE, and PP, 31</t>
  </si>
  <si>
    <t>Reciclar 1 ton de PEAD ahorra 4,900 L</t>
  </si>
  <si>
    <t>ACV de ECOEMBES-UNESCO: 
https://www.ecoembes.com/sites/default/files/informe-esci-completo-latas-botellas-champu-y-suavizante.pdf</t>
  </si>
  <si>
    <t>1 Ton de PEAD ahorra 17,611 kwh</t>
  </si>
  <si>
    <t>1 Ton de PEAD ahorra 18,502.78 kwh</t>
  </si>
  <si>
    <t>1 ton de PEAD ahorra 2000 kg CO2</t>
  </si>
  <si>
    <t>Ing. Jorge T</t>
  </si>
  <si>
    <t>1 ton de PEAD ahorra 1,330 kg CO2</t>
  </si>
  <si>
    <t>APR (2018) Life Cycle Impacts for postconsumer recycled resins: PET, HDPE, and PP, 34</t>
  </si>
  <si>
    <t>Franklin Associates, LTD (1995). Envases de Tereftalato de Polietileno: Apéndice H. Envases de PET. Pag 12, 20. (Se estimo con el ingeniero un 80% de ahorro)</t>
  </si>
  <si>
    <t>1 ton ahorra 832 kg materia prima</t>
  </si>
  <si>
    <t>Recuperar dos toneladas de envases de plástico equivale al ahorro de 1 tonelada de petróleo</t>
  </si>
  <si>
    <t>Infografia impresa Ing. Jorge Treviño</t>
  </si>
  <si>
    <t>Reciclar 1 Tonelada es equivalente al ahorro de 4.44 barriles de petróleo</t>
  </si>
  <si>
    <t>1 ton de PP ahorra 3,930 L de agua</t>
  </si>
  <si>
    <t>No ahorro energía</t>
  </si>
  <si>
    <t>APR (2018) Life Cycle Impacts for postconsumer recycled resins: PET, HDPE, and PP</t>
  </si>
  <si>
    <t>1 ton de PP ahorra 18,197 kwh</t>
  </si>
  <si>
    <t>http://www.acoplasticos.org/boletines/2011/Noticias_Ambientales_2011_04Julio/ASIPLA_Huella_de_Carbono.pdf Pag. 23</t>
  </si>
  <si>
    <t>1 Ton de PP ahorra 1,310 kgCO2</t>
  </si>
  <si>
    <t>1 ton pp ahorra 671 kgCO2</t>
  </si>
  <si>
    <t>Nota: BOPP Y PP tienen los mismos valores, solo en PP m3 son 33.33 y en BOPP 36.63</t>
  </si>
  <si>
    <t>Se obtuvo a partir de los diferentes tipos de material que componen una caja 75% cartón, 5% aluminio y 20% polietileno</t>
  </si>
  <si>
    <t>1 Ton de papel ahorra 1600 kg de materia prima  (madera)</t>
  </si>
  <si>
    <t>ECOCE, pag. 26</t>
  </si>
  <si>
    <t>https://docplayer.es/8551946-Asipla-analisis-del-impacto-de-los-gases-de-efecto-invernadero-en-el-ciclo-de-vida-de-los-embalajes-y-otros-productos-plasticos-en-chile-v1.html</t>
  </si>
  <si>
    <t>Reciclar 1 Ton de papel ahorra 796 kgCO2</t>
  </si>
  <si>
    <t>Reciclar 1 ton de Cartón laminado ahorra 857 kgCO2</t>
  </si>
  <si>
    <t>1 ton de cartón laminado ahorra 21 m3 en relleno sanitario</t>
  </si>
  <si>
    <t xml:space="preserve">Estimado </t>
  </si>
  <si>
    <t>Se omite porque el dato se duplicaba al tomar los kg de materia prima</t>
  </si>
  <si>
    <t>1 ton de aluminio ahorra 39,428 kwh</t>
  </si>
  <si>
    <t>1 ton de aluminio ahorra 21,000 kwh</t>
  </si>
  <si>
    <t>ACV de ECOEMBES-UNESCO: 
ECOEMBES - UNESCO, España (2017) Cálculo de emisiones de CO2 asociadas a la fabricación de latas de bebidas a partir de material virgen o reciclado. Pág 6</t>
  </si>
  <si>
    <t>APEAL – the Association of European Producers of steel for packaging – unites the five producers of steel for packaging in Europe.</t>
  </si>
  <si>
    <t xml:space="preserve">1 Ton de acero equivale al ahorro de 3.6 barriles de petroleo
</t>
  </si>
  <si>
    <t>https://archive.epa.gov/epawaste/conserve/smm/wastewise/web/html/factoid.html</t>
  </si>
  <si>
    <t>Reciclar 1 ton de acero ahorra 2,450 kg de materia prima. 
Se omite el dato de barriles de petróleo</t>
  </si>
  <si>
    <t>Reciclar 1 ton de acero ahorra 1,500 kgCO2</t>
  </si>
  <si>
    <t>1 tonelada de cartón laminado tiene los mismos beneficios que reciclar papel o cartón 26,500 Litros de agua, 1,440 litros de petróleo y 4,100 kw/h de energía, tambien evita la tala de 17 árboles</t>
  </si>
  <si>
    <t>CUADRO COMPARATIVO DE EQUIVALENCIAS</t>
  </si>
  <si>
    <t>Para producir 1 Ton de resina de PET requiere de 622 kg de gas natural y 217 de petróleo (839)</t>
  </si>
  <si>
    <t>Para producir 1 Ton de resina de PEBD requiere 786 kg de gas natural y 254 kg de petróleo Crudo (1,040)</t>
  </si>
  <si>
    <t>ECOCE (abarca tema plasticos)</t>
  </si>
  <si>
    <t>Cada vez que reciclas una lata de aluminio, ahorras la cantidad equivalente a la mitad de la misma lata de gasolina (207.5 Barriles de petroleo)</t>
  </si>
  <si>
    <t xml:space="preserve">EPA. Environmental Factoids
</t>
  </si>
  <si>
    <t>Reciclar 1 ton de cartón laminado ahorra: 24,375 L de agua, 1,499 L de petróleo (9.4 barriles) 3,675 kw/h y 13.5 arboles</t>
  </si>
  <si>
    <t>PAPEL-CARTÓN
Cartón laminado</t>
  </si>
  <si>
    <t>Ahora se omite porque el dato se duplicaba al tomar el número de árboles que son 17</t>
  </si>
  <si>
    <t>Fuente</t>
  </si>
  <si>
    <t>1 lapicero</t>
  </si>
  <si>
    <t>https://www.pilotpen.co.uk/en/collections/must-have/b2p.html</t>
  </si>
  <si>
    <t>No. Botellas</t>
  </si>
  <si>
    <t>Casita de juguete</t>
  </si>
  <si>
    <t xml:space="preserve">Juguete Set de panque </t>
  </si>
  <si>
    <t>PEAD (lechero)</t>
  </si>
  <si>
    <t>PP (Envase yogurt)</t>
  </si>
  <si>
    <t>PET (Botella agua)</t>
  </si>
  <si>
    <t>Camión de juguete</t>
  </si>
  <si>
    <t>Kit de jardin de juguete</t>
  </si>
  <si>
    <t>https://www.greentoys.com/pages/our-story?show=slide4</t>
  </si>
  <si>
    <t>Playera</t>
  </si>
  <si>
    <t>https://www.eesc.europa.eu/en/news-media/news/27-recycled-bottles-make-t-shirt</t>
  </si>
  <si>
    <t>14-24</t>
  </si>
  <si>
    <t>Chamarra</t>
  </si>
  <si>
    <t>C&amp;A</t>
  </si>
  <si>
    <t>Maleta</t>
  </si>
  <si>
    <t>ECOALF</t>
  </si>
  <si>
    <t>2 de 1.5 L</t>
  </si>
  <si>
    <t>Balon Wilson</t>
  </si>
  <si>
    <t>Recycling News</t>
  </si>
  <si>
    <t>Tapetes de un vehiculo Ford Eco Sport</t>
  </si>
  <si>
    <t>www.ford.es/acerca-de-ford/ford-blog/ford-apuesta-por-una-economia-sostenible-recicla-millones-de-botellas-de-plastico</t>
  </si>
  <si>
    <t xml:space="preserve">Cajas de cereal </t>
  </si>
  <si>
    <t xml:space="preserve">Libro </t>
  </si>
  <si>
    <t>Forro polar</t>
  </si>
  <si>
    <t>https://www.ecoembes.com/es/ciudadanos/envases-y-proceso-reciclaje/como-reciclar-bien/equivalencias-y-datos</t>
  </si>
  <si>
    <t>Carton Laminado</t>
  </si>
  <si>
    <t>Caja de zapatos</t>
  </si>
  <si>
    <t>Latas de aluminio</t>
  </si>
  <si>
    <t>Llanta de bicicleta</t>
  </si>
  <si>
    <t>Latas de aluminio (Refresco)</t>
  </si>
  <si>
    <t>Silla</t>
  </si>
  <si>
    <t xml:space="preserve">olla de cocina </t>
  </si>
  <si>
    <t>Botes de conserva</t>
  </si>
  <si>
    <t>Camiseta</t>
  </si>
  <si>
    <t>1 techo</t>
  </si>
  <si>
    <t>https://www.youtube.com/watch?v=IZHJ-oGOeaw</t>
  </si>
  <si>
    <t>https://www.recycleandrecoverplastics.org/consumers/kids-recycling/plastics-can-become/</t>
  </si>
  <si>
    <t>Sueter</t>
  </si>
  <si>
    <t>American Chemistry Council</t>
  </si>
  <si>
    <t>https://www.preserve.eco/collections/oral-care/products/kids-toothbrush-single
https://www.reuseplastics.org/news/brushing-away-plastic-waste</t>
  </si>
  <si>
    <t>https://www.reuseplastics.org/news/from-waste-to-wearables</t>
  </si>
  <si>
    <t>https://maxplayfit.com/commercial-playground-equipment/recycled-plastic-playground-equipment/</t>
  </si>
  <si>
    <t xml:space="preserve">Estructura de juegos </t>
  </si>
  <si>
    <t>Ecoembes</t>
  </si>
  <si>
    <t>Green Toys</t>
  </si>
  <si>
    <t>Max Play fit</t>
  </si>
  <si>
    <t>https://www.reuseplastics.org/news/sliding-into-the-future</t>
  </si>
  <si>
    <t>Recycling one ton of PET bottles will help save up to 3.8 barrels
of oil (159.11 liters) and landfill space or up to 5.7 cubic meters</t>
  </si>
  <si>
    <t>Reciclar 1 kg de PET es equivalente al ahorro de .0038 Barriles de petróleo</t>
  </si>
  <si>
    <t>Indorama Ventures /Environmental /recycling-education</t>
  </si>
  <si>
    <t>Reciclar 1 kg de PET es equivalente al ahorro de .0057 m3</t>
  </si>
  <si>
    <r>
      <t xml:space="preserve">One ton of recycled steel saves the energy equivalent of 3.6 barrels of oil and </t>
    </r>
    <r>
      <rPr>
        <b/>
        <sz val="12"/>
        <color theme="1"/>
        <rFont val="Calibri"/>
        <family val="2"/>
        <scheme val="minor"/>
      </rPr>
      <t>1.49 tons of iron</t>
    </r>
    <r>
      <rPr>
        <sz val="12"/>
        <color theme="1"/>
        <rFont val="Calibri"/>
        <family val="2"/>
        <scheme val="minor"/>
      </rPr>
      <t xml:space="preserve"> ore over the production of new steel.</t>
    </r>
  </si>
  <si>
    <r>
      <t xml:space="preserve">
Para producir 1 Ton de lamina de acero se requiere 3,493 kg (140 kg piedra caliza, </t>
    </r>
    <r>
      <rPr>
        <b/>
        <sz val="12"/>
        <color theme="1"/>
        <rFont val="Calibri"/>
        <family val="2"/>
        <scheme val="minor"/>
      </rPr>
      <t>1.195 tons mineral de hierro</t>
    </r>
    <r>
      <rPr>
        <sz val="12"/>
        <color theme="1"/>
        <rFont val="Calibri"/>
        <family val="2"/>
        <scheme val="minor"/>
      </rPr>
      <t xml:space="preserve">, 493 kg  carbon, 99 kg de oxigeno y 393 kg   chatarra de acero procesada)
Los datos sobre la recuperación y procesamiento en México de de latas de acero usadas (1000 kg)
Se tomó como referencia este dato y se obtuvo la diferencia
3,493-1000= 2,493 de ahorro
</t>
    </r>
  </si>
  <si>
    <r>
      <t xml:space="preserve">By recycling one ton of steel, 2500 pounds
of iron ore </t>
    </r>
    <r>
      <rPr>
        <b/>
        <sz val="12"/>
        <color theme="1"/>
        <rFont val="Calibri"/>
        <family val="2"/>
        <scheme val="minor"/>
      </rPr>
      <t xml:space="preserve">(1.133 ton) </t>
    </r>
    <r>
      <rPr>
        <sz val="12"/>
        <color theme="1"/>
        <rFont val="Calibri"/>
        <family val="2"/>
        <scheme val="minor"/>
      </rPr>
      <t>, 1400 pounds of coal (635 kg) and 120 pounds of limestone (54.4 kg)  are conserved.
4020 Libras = 1,821 kg)</t>
    </r>
  </si>
  <si>
    <r>
      <t xml:space="preserve">The recycling of one tonne os steel/iron scrap save:
</t>
    </r>
    <r>
      <rPr>
        <b/>
        <sz val="12"/>
        <color theme="1"/>
        <rFont val="Calibri"/>
        <family val="2"/>
        <scheme val="minor"/>
      </rPr>
      <t>1.5 Tons iron one</t>
    </r>
    <r>
      <rPr>
        <sz val="12"/>
        <color theme="1"/>
        <rFont val="Calibri"/>
        <family val="2"/>
        <scheme val="minor"/>
      </rPr>
      <t xml:space="preserve">
650 kg coal
300 kg limestone
(2,450 kg)</t>
    </r>
  </si>
  <si>
    <r>
      <t xml:space="preserve">For every ton of steel recycled, 2,500 pounds of iron ore, </t>
    </r>
    <r>
      <rPr>
        <b/>
        <sz val="12"/>
        <color theme="1"/>
        <rFont val="Calibri"/>
        <family val="2"/>
        <scheme val="minor"/>
      </rPr>
      <t>(1.133 ton)</t>
    </r>
    <r>
      <rPr>
        <sz val="12"/>
        <color theme="1"/>
        <rFont val="Calibri"/>
        <family val="2"/>
        <scheme val="minor"/>
      </rPr>
      <t xml:space="preserve"> 1,400 pounds of coal </t>
    </r>
    <r>
      <rPr>
        <b/>
        <sz val="12"/>
        <color theme="1"/>
        <rFont val="Calibri"/>
        <family val="2"/>
        <scheme val="minor"/>
      </rPr>
      <t>(635 kg)</t>
    </r>
    <r>
      <rPr>
        <sz val="12"/>
        <color theme="1"/>
        <rFont val="Calibri"/>
        <family val="2"/>
        <scheme val="minor"/>
      </rPr>
      <t xml:space="preserve">, and 120 pounds of limestone </t>
    </r>
    <r>
      <rPr>
        <b/>
        <sz val="12"/>
        <color theme="1"/>
        <rFont val="Calibri"/>
        <family val="2"/>
        <scheme val="minor"/>
      </rPr>
      <t>(54.4 kg)</t>
    </r>
    <r>
      <rPr>
        <sz val="12"/>
        <color theme="1"/>
        <rFont val="Calibri"/>
        <family val="2"/>
        <scheme val="minor"/>
      </rPr>
      <t xml:space="preserve"> are conserved. Recycling steel saves nearly</t>
    </r>
    <r>
      <rPr>
        <b/>
        <sz val="12"/>
        <color theme="1"/>
        <rFont val="Calibri"/>
        <family val="2"/>
        <scheme val="minor"/>
      </rPr>
      <t xml:space="preserve"> 74%</t>
    </r>
    <r>
      <rPr>
        <sz val="12"/>
        <color theme="1"/>
        <rFont val="Calibri"/>
        <family val="2"/>
        <scheme val="minor"/>
      </rPr>
      <t xml:space="preserve"> of the energy used to produce it from raw materials</t>
    </r>
  </si>
  <si>
    <t>Keep America Beautiful kab.org</t>
  </si>
  <si>
    <r>
      <t>De acuerdo a la Unión de Empresas Siderurgicas, por cada ton de acero reciclada, se ahorra</t>
    </r>
    <r>
      <rPr>
        <b/>
        <sz val="12"/>
        <color theme="1"/>
        <rFont val="Calibri"/>
        <family val="2"/>
        <scheme val="minor"/>
      </rPr>
      <t xml:space="preserve"> 1.5 Ton de mineral de hierro</t>
    </r>
  </si>
  <si>
    <t>Barco de juguete</t>
  </si>
  <si>
    <t xml:space="preserve">Asociación de Latas de bebidas de Metal packaging Europe
</t>
  </si>
  <si>
    <t>PESO g</t>
  </si>
  <si>
    <t>ACTUAL g</t>
  </si>
  <si>
    <t>13 g</t>
  </si>
  <si>
    <t>85 g</t>
  </si>
  <si>
    <t>The first generation of aluminum cans weighed approximately 3 ounces per unit. Today’s cans weigh less than half an ounce.</t>
  </si>
  <si>
    <t>COMPARATIVO DE PESOS</t>
  </si>
  <si>
    <t>EVIDENCIA</t>
  </si>
  <si>
    <t>NUEVA VIDA</t>
  </si>
  <si>
    <t>Cobija</t>
  </si>
  <si>
    <t>Cobija PET</t>
  </si>
  <si>
    <t>Zapatos PET</t>
  </si>
  <si>
    <t>SOLIA SER UN ENVASE
AHORA SOY…</t>
  </si>
  <si>
    <t>PILOT</t>
  </si>
  <si>
    <t>European Economic and Social Committee</t>
  </si>
  <si>
    <t>FORD</t>
  </si>
  <si>
    <t>From single use to reuse</t>
  </si>
  <si>
    <t>Promocional ejemplo</t>
  </si>
  <si>
    <t>Preserve (No especifican el n. de envase/c)</t>
  </si>
  <si>
    <t>Lombricompostera</t>
  </si>
  <si>
    <t>Planeta Listo (Tetra Pak)</t>
  </si>
  <si>
    <t xml:space="preserve">Catalogo </t>
  </si>
  <si>
    <t>Jardinera</t>
  </si>
  <si>
    <t>Maceta Mediana</t>
  </si>
  <si>
    <t>Maceta Grande</t>
  </si>
  <si>
    <t>Banco</t>
  </si>
  <si>
    <t>Silla para playa</t>
  </si>
  <si>
    <t>Silla Plegable para jardín</t>
  </si>
  <si>
    <t>Compostera</t>
  </si>
  <si>
    <t>Set de 6 posavasos</t>
  </si>
  <si>
    <t>Set de 4 manteles</t>
  </si>
  <si>
    <t>Tabla para cortar multiusos chica</t>
  </si>
  <si>
    <t>Tabla para cortar multiusos Mediana</t>
  </si>
  <si>
    <t>Hielera grande</t>
  </si>
  <si>
    <t>Mesa mediana</t>
  </si>
  <si>
    <t>Pupitre</t>
  </si>
  <si>
    <t>Clasificador de residuos</t>
  </si>
  <si>
    <t>Bote de acopio de Oficina</t>
  </si>
  <si>
    <t>Renovare</t>
  </si>
  <si>
    <t>MorphoPlast</t>
  </si>
  <si>
    <t>Reciclar 1 kg de cartón  equivale a ahorrar 4 kwh</t>
  </si>
  <si>
    <t>Over a ton of natural resources are conserved for every ton of glass recycled, including 1,300 pounds of sand, 410 pounds of soda ash, 380 pounds of limestone, and 160 pounds of feldspar.</t>
  </si>
  <si>
    <t xml:space="preserve">1 TON vidrio ahorra:
589 kg de arena 
186 kg de carbonato de sodio
172 kg de piedra caliza 
72 kg de feldespato
</t>
  </si>
  <si>
    <t xml:space="preserve">Glass Packaging Institute </t>
  </si>
  <si>
    <t>Reciclar 1 kg de vidrio equivale al ahorro de 1.019 kg de materia prima</t>
  </si>
  <si>
    <t>Cuts CO2 emissions — For every six tons of recycled container glass used, a ton of carbon dioxide, a greenhouse gas, is reduced. A relative 10% increase in cullet reduces particulates by 8%, nitrogen oxide by 4%, and sulfur oxides by 10%.</t>
  </si>
  <si>
    <t>Reciclar 1 kg de vidrio ahorra .166 kg de CO2</t>
  </si>
  <si>
    <t>Today’s glass containers are approximately 40% lighter than they were 30 years ago</t>
  </si>
  <si>
    <t>1 cepillo de dientes (No especificado el N. de envases, solo que esta fabricado con PP de envases de Yohurt)</t>
  </si>
  <si>
    <t xml:space="preserve">Momento Ambiente Brasil </t>
  </si>
  <si>
    <t xml:space="preserve">Producto en que se convierte </t>
  </si>
  <si>
    <t>Empresa /A.C/Marca</t>
  </si>
  <si>
    <t>1 par de Botas</t>
  </si>
  <si>
    <t>Listado de calculadoras</t>
  </si>
  <si>
    <t>Top de videos con ideas cool</t>
  </si>
  <si>
    <t>Arboles</t>
  </si>
  <si>
    <t>CALCULADORA DE RECICLAJE 2021</t>
  </si>
  <si>
    <t>PROCESO DE RECICLAJE</t>
  </si>
  <si>
    <t>AHORRO ECONOMICO</t>
  </si>
  <si>
    <t>$ Barril de petroleo</t>
  </si>
  <si>
    <t>$1/ton Materia prima</t>
  </si>
  <si>
    <t xml:space="preserve">$/ton relleno sanitario </t>
  </si>
  <si>
    <t>INSTITUCIONES</t>
  </si>
  <si>
    <t>CESPEDES</t>
  </si>
  <si>
    <t>Ya mande correo y ya lo recibieron</t>
  </si>
  <si>
    <t>http://www.cespedes.org.mx/publicaciones-cce/</t>
  </si>
  <si>
    <t xml:space="preserve">MEDIOS CON VALOR </t>
  </si>
  <si>
    <t xml:space="preserve"> (449) 688.8945 </t>
  </si>
  <si>
    <t>Ya mande correo desde ise-rivas</t>
  </si>
  <si>
    <t>Pueden revisarla pero no emiten certificado</t>
  </si>
  <si>
    <t>http://mediosconvalor.com/</t>
  </si>
  <si>
    <t>ECORED</t>
  </si>
  <si>
    <t>Ya mande correo desde su página</t>
  </si>
  <si>
    <t>Sin respuesta</t>
  </si>
  <si>
    <t>http://www.ecored.com.mx/portalesp/pagina/z_45_Quienes_Somos_Presentacion.php</t>
  </si>
  <si>
    <t>CENTRO MARIO MOLINA</t>
  </si>
  <si>
    <t>(52-55) 9177 1670 Ext. 101</t>
  </si>
  <si>
    <t>Ya mande correo desde ECOCE (Contesto claudia)</t>
  </si>
  <si>
    <t>No dan el servicio</t>
  </si>
  <si>
    <t>http://centromariomolina.org/educacion-y-difusion/prueba-piloto-del-diplomado-para-la-ensenanza-del-cambio-climatico/</t>
  </si>
  <si>
    <t>COMISION REGULADORA DE ENERGÍA</t>
  </si>
  <si>
    <t>Correo enviado el 27/08</t>
  </si>
  <si>
    <t>Solicitan enviar escrito libre a la Comisión Reguladora de Energía en Boulevard Adolfo López Mateos 172, Colonia Merced Gómez. Del. Benito Járez c.p. 03930 cdmx</t>
  </si>
  <si>
    <t>https://www.gob.mx/cre</t>
  </si>
  <si>
    <t>SINTESIS DE EVALUACION AMBIENTAL</t>
  </si>
  <si>
    <t xml:space="preserve">55 56 11 65 36 </t>
  </si>
  <si>
    <t xml:space="preserve">se-ambiental@se-ambiental.mx </t>
  </si>
  <si>
    <t>http://www.se-ambiental.mx/index.php</t>
  </si>
  <si>
    <t>AMEXA</t>
  </si>
  <si>
    <t>FOOT PRINT NETWORK</t>
  </si>
  <si>
    <t>amanda.diep@footprintnetwork.org'</t>
  </si>
  <si>
    <t>ATENCIÓN CIUDADANA SEMARNAT</t>
  </si>
  <si>
    <t>Ya mande correo desde ECOCE</t>
  </si>
  <si>
    <t>atencion.ciudadana@semarnat.gob.mx</t>
  </si>
  <si>
    <t>Centro de Análisis de Ciclo de Vida y Diseño Sustentable</t>
  </si>
  <si>
    <t>(55) 2602 9694</t>
  </si>
  <si>
    <t>https://www.centroacv.mx/servicios.php#</t>
  </si>
  <si>
    <t>40 m3 Agua</t>
  </si>
  <si>
    <t xml:space="preserve">1 kwh Energía </t>
  </si>
  <si>
    <t>Gobierno de la Ciudad de México</t>
  </si>
  <si>
    <t>Cada tonelada de vidrio reciclado evita 670 kgco2</t>
  </si>
  <si>
    <t>Reciclar 1 kg de vidrio ahorra .670 kg de CO2</t>
  </si>
  <si>
    <t>Record collection of glass containers for recycling hits 78% in the EU (2021)
www.FEVE.ORG</t>
  </si>
  <si>
    <t>NUEVO 2022</t>
  </si>
  <si>
    <t>Capsula PP</t>
  </si>
  <si>
    <t>Polipropileno -capsula</t>
  </si>
  <si>
    <t>APR (2018) Life Cycle Impacts for postconsumer recycled resins: PET, HDPE, and PP, 33</t>
  </si>
  <si>
    <t>Reciclar 1 kg de</t>
  </si>
  <si>
    <t>APR (2018) Life Cycle Impacts for postconsumer recycled resins: PET, HDPE, and PP, 33, (1.3 TCO2/Ton)</t>
  </si>
  <si>
    <t>APR (2018) Life Cycle Impacts for postconsumer recycled resins: PET, HDPE, and PP, 33, (1.870 TCO2/Ton)</t>
  </si>
  <si>
    <t>ASIPLA Análisis del Impacto de los GEF en el ciclo de vida de los Embalajes y Otros Productos plásticos en Cile V1.0, Pág 23 (1,294 TCO2/Ton )</t>
  </si>
  <si>
    <t>Datos ASIPLA en Chile .671 T CO2/Ton</t>
  </si>
  <si>
    <t xml:space="preserve">APR (2018) Life Cycle Impacts for postconsumer recycled resins: PET, HDPE, and PP, 33, </t>
  </si>
  <si>
    <t>REFERENCIA BIBLIOGRAFICA DE RESPALDO PARA CALCULADORA ECOLOGICA DE RECICLAJE</t>
  </si>
  <si>
    <t>BOPP*</t>
  </si>
  <si>
    <t xml:space="preserve">APR (2018) Life Cycle Impacts for postconsumer recycled resins: PET, HDPE, and PP, 33, (1.31 TCO2/Ton). Nota*: Se toma como referencia los datos del PP mas no se especifica que sea BOPP </t>
  </si>
  <si>
    <t>APR</t>
  </si>
  <si>
    <t>ASIPLA</t>
  </si>
  <si>
    <t xml:space="preserve">Estadios Azteca </t>
  </si>
  <si>
    <t>(TON)</t>
  </si>
  <si>
    <t xml:space="preserve">lo que equivale a haber plantado </t>
  </si>
  <si>
    <t xml:space="preserve">de arboles o </t>
  </si>
  <si>
    <t>Torre</t>
  </si>
  <si>
    <t>Elefante Africano Promedio</t>
  </si>
  <si>
    <t>https://torrelatinoamericana.com.mx/historia/#:~:text=Para%20soportar%20un%20peso%20total,el%20nivel%20de%20la%20calle.</t>
  </si>
  <si>
    <t>https://www.nationalgeographic.es/animales/18-datos-sobre-el-animal-terrestre-mas-grande-del-mundo-el-elefante</t>
  </si>
  <si>
    <t>Torre Latinoamericana</t>
  </si>
  <si>
    <t>Avión Boing B737-600</t>
  </si>
  <si>
    <t>Boeing 737-600</t>
  </si>
  <si>
    <t>https://www.emptyleg.com/es/planes/boeing-737---600700800900900er</t>
  </si>
  <si>
    <t>Camión Cisterna para agua</t>
  </si>
  <si>
    <t xml:space="preserve">Reciclar 1 ton de PET ahorra 2.355 tonCO2e
</t>
  </si>
  <si>
    <t>1 ton de aluminio tiene factor de emisión de 23.447 kgCO2/kg</t>
  </si>
  <si>
    <t>Una tonelada de CO2 en condiciones normales tiene un volumen de 509,400 L. Esto corresponde aproximadamente al volumen de una piscina de 10m * 25m * 2m (500 m3)</t>
  </si>
  <si>
    <t>1 ton co2 = tiene un volumen de 509,400 Litros. Corresponde aproximadamente al volumen de una piscina de 10m *25m *2 m</t>
  </si>
  <si>
    <t xml:space="preserve">Clarity. Acción Educativa por el clima. En Linea </t>
  </si>
  <si>
    <t>Volumen equivalente del CO2 en albercas</t>
  </si>
  <si>
    <t>Elefantes africanos (Animal terrestre más grande del mundo</t>
  </si>
  <si>
    <t>Avión Boeing B737-600</t>
  </si>
  <si>
    <t>Nota. Agrego equivalencias extra por si es de utilidad para público infantil</t>
  </si>
  <si>
    <t>Albercas Olimpicas ó</t>
  </si>
  <si>
    <t>Litros de Agua equivalente a:</t>
  </si>
  <si>
    <t>Pipa de agua con capacidad de 20,000 L</t>
  </si>
  <si>
    <t>Árboles de 25 m de alto (equivalente a no cortar)</t>
  </si>
  <si>
    <t>camiones de basura ó</t>
  </si>
  <si>
    <t>m3 (volumen) en relleno sanitario equivalente a:</t>
  </si>
  <si>
    <r>
      <rPr>
        <b/>
        <sz val="16"/>
        <color theme="1"/>
        <rFont val="Dosis Regular"/>
      </rPr>
      <t>(Elegir solo una equivalencia de peso)</t>
    </r>
    <r>
      <rPr>
        <sz val="16"/>
        <color theme="1"/>
        <rFont val="Dosis Regular"/>
      </rPr>
      <t xml:space="preserve"> Equivalente al peso promedio de:</t>
    </r>
  </si>
  <si>
    <t>CARTIFICADO NACIONAL</t>
  </si>
  <si>
    <t>ECORETO</t>
  </si>
  <si>
    <t xml:space="preserve">BENEFICIOS AMBIENTALES GENERADOS POR LA RECOLECCIÓN DE RESIDUOS POST CONSUMO DE ENVASES Y EMPAQUES </t>
  </si>
  <si>
    <t>ACOPIO MOVIL</t>
  </si>
  <si>
    <t>ACOPIO MOVIL + SOCIAL</t>
  </si>
  <si>
    <t>CERTIFICADO MOVIL + SOCIAL</t>
  </si>
  <si>
    <t>https://www.pt-mexico.com/noticias/post/paneles-de-expertos-sobre-reciclaje-de-plasticos-en-plastics-recycling-latam</t>
  </si>
  <si>
    <t>https://www.gob.mx/inecc/acciones-y-programas/inventario-nacional-de-emisiones-de-gases-y-compuestos-de-efecto-invernadero</t>
  </si>
  <si>
    <t>https://www.bankinter.com/blog/mercados/equivalencia-tonelada-co2</t>
  </si>
  <si>
    <t>https://www.miteco.gob.es/es/ceneam/recursos/mini-portales-tematicos/cuanto_es_1t_co2_tcm30-70715.pdf</t>
  </si>
  <si>
    <t>https://www.elindependiente.com/futuro/medio-ambiente/2021/07/05/las-emisiones-de-co2-bajan-un-137-en-2020-en-espana/</t>
  </si>
  <si>
    <t>https://www.iberdrola.com/sostenibilidad/tratamiento-basura</t>
  </si>
  <si>
    <t>https://twitter.com/pilascolombia/status/1262074526223020032?lang=gu</t>
  </si>
  <si>
    <t>Producto</t>
  </si>
  <si>
    <t>https://www.amtmarketing.com/eco/eco-bags/bottlebag-beach</t>
  </si>
  <si>
    <t>Mande correo solicitando cotización 28/06/22
sales@amtmarketing.com</t>
  </si>
  <si>
    <t>Recycling News
https://vtb-league.com/en/news/special-for-the-league-sibur-and-wilson-create-ecoball-from-recycled-plastic/</t>
  </si>
  <si>
    <t>https://vtb-league.com/en/news/special-for-the-league-sibur-and-wilson-create-ecoball-from-recycled-plastic/</t>
  </si>
  <si>
    <t>SEMARNAT, 2020</t>
  </si>
  <si>
    <t>SEMARNAT, 2021</t>
  </si>
  <si>
    <t>Sudadera polar</t>
  </si>
  <si>
    <t xml:space="preserve">Table 0-1: Cradle-to-gate LCIA results for the production of 1,000 kg of domestic
primary aluminum in North America
135.32 GJ /1000 KG ALU
8,455.31 KG CO2e / 1000 kg ALU
Table 0-3: Cradle-to-gate LCIA results for aluminum recycling, representing 1,000 kg of recovered aluminum from scrap in North America
9.18 GJ /1000 KG ALU
526.71 KG CO2e / 1000 kg ALU
</t>
  </si>
  <si>
    <t xml:space="preserve">ENERGIA 1 TON DE ALUMINIO V
ENERGIA 1 TON DE ALUMINIO R
</t>
  </si>
  <si>
    <t>(93% de ahorro)
Reciclar 1 kg de Alu ahorra 35  kwh</t>
  </si>
  <si>
    <t xml:space="preserve">KGCO2 1 TON DE ALUMINIO V
KGCO2 1 TON DE ALUMINIO R
</t>
  </si>
  <si>
    <t>The Environmental Footprint of Semi-Fabricated Aluminum Products in North America. A life cycle assessment report. The Aluminum Association 2022</t>
  </si>
  <si>
    <t>CULTURAL</t>
  </si>
  <si>
    <t xml:space="preserve">Table 0-1: Cradle-to-gate LCIA results for the production of 1,000 kg of domestic
primary aluminum in North America
135.32 GJ /1000 KG ALU (37,588 kwh)
8,455.31 KG CO2e / 1000 kg ALU
Table 0-3: Cradle-to-gate LCIA results for aluminum recycling, representing 1,000 kg of recovered aluminum from scrap in North America
9.18 GJ /1000 KG ALU (2,550 kwh)
526.71 KG CO2e / 1000 kg ALU
</t>
  </si>
  <si>
    <t>(93.7% de ahorro)
Reciclar 1 kg de Alu ahorra 42.2  kwh</t>
  </si>
  <si>
    <t>Reciclar 1 kg de aluminio ahorra 7.9 kg de CO2
94% de ahorro
Es decir, la producción de aluminio secundario genera un 6% del CO2 resultante de la producción primaria</t>
  </si>
  <si>
    <t>Millan, et al (2015) Reciclaje de aluminio: oportunidades de desarrollo en Bogotá (Colombia) pag. 136</t>
  </si>
  <si>
    <t>Catalogo Tetra Pak</t>
  </si>
  <si>
    <t>Sabias que la producción de aluminio reciclado requiere 7% de energía comparandolo con la extracción primaria</t>
  </si>
  <si>
    <t>Sabias que reciclar aluminio genera un 6% del CO2e resultante de la producirlo desde cero</t>
  </si>
  <si>
    <t>The Environmental Footprint of Semi-Fabricated Aluminum Products in North America. A life cycle assessment report. The Aluminum Association 2023</t>
  </si>
  <si>
    <t>The Environmental Footprint of Semi-Fabricated Aluminum Products in North America. A life cycle assessment report. The Aluminum Association 2024</t>
  </si>
  <si>
    <t>Reciclar 1 ton de Aluminio ahorra 4.642 T
81% de ahorro de materia prima</t>
  </si>
  <si>
    <t>Recycling Industry Yearbook (2019) Pag 26. https://www.congress.gov/116/meeting/house/110639/documents/HHRG-116-IF18-20200304-SD005.pdf</t>
  </si>
  <si>
    <t>Recycling Industry Yearbook (2019) Pag 23. https://www.congress.gov/116/meeting/house/110639/documents/HHRG-116-IF18-20200304-SD005.pdf</t>
  </si>
  <si>
    <t>Reciclado de Aluminio. ARPAL ALU, 2013</t>
  </si>
  <si>
    <t>Sabias que la primer lata de conservas fue patentada en 1810 en Inglaterra y sirvio de bases para los envases de aluminio que surgieron 140 años despues</t>
  </si>
  <si>
    <t>https://oa.upm.es/50290/1/TFG_GABRIEL_LOPEZ_GARZON_HERNANDEZ.pdf</t>
  </si>
  <si>
    <t>Sabias que al producir aluminio a partir de latas recicladas existe un ahorro del 93% de energia si se compara con las producción a partir del mineral primario, la bauxita.</t>
  </si>
  <si>
    <t>Sabias que reciclar acero tiene un ahorro de energia del 70% si se compara con la producción desde materiales virgenes</t>
  </si>
  <si>
    <t>https://www.steelforpackaging.org/steel-for-packaging-recycling-and-resource-saving/steel-for-packaging-saving-resources/</t>
  </si>
  <si>
    <t>Sabias que cuando las latas de aluminio se recuperan se transforman en lingotes que  se utilizan para cualquier aplicación.</t>
  </si>
  <si>
    <t xml:space="preserve">La destrucción del suelo es uno de los impactos
ambientales más evidentes de la producción de
aluminio primario puesto que para llegar a las
fuentes de bauxita se deben excavar 10 toneladas
de rocas por cada tonelada de aluminio primario
(Aizawa et al. 2002), lo que implica la deforestación
de miles de hectáreas. La emisión de gases durante
la transformación de la bauxita en alúmina y de
ésta en aluminio es otro aspecto negativo pues en
el proceso de fundición de aluminio reciclado se
generan 304,51 kg de CO₂ por tonelada (Li et al.
2006), lo cual equivale a un 5% de las emisiones
del procedimiento tradicional. </t>
  </si>
  <si>
    <t>Sánchez García, Diana Pilar, Olaya Flórez, Jhon Jairo, Millán Delgado, Federico Reciclaje de aluminio: oportunidades de desarrollo en Bogotá (Colombia). Gestión y Ambiente [en linea]. 2015, 18(2), 135-152[fecha de Consulta 4 de Julio de 2022]. ISSN: 0124-177X. Disponible en: https://www.redalyc.org/articulo.oa?id=169443282008
Pag. 143</t>
  </si>
  <si>
    <t xml:space="preserve">Para obtener 1 ton de aluminio primario se excavan 10 toneladas de rocas </t>
  </si>
  <si>
    <t>la fabricación de 1 tonelada de aluminio
primario consume 2 toneladas de alúmina, es decir, 4
toneladas de bauxita (Reuter et al. 2005a), en cambio con 1.1 toneladas de residuos es posible conseguir
la misma cantidad de aluminio secundario debido
a que procesos de recuperación, como la fundición
de residuos, tienen una eficiencia del 90% al 93%
(Brommer et al. 2010; Dispinar et al. 2011; Hu et al.
2011; Ozer et al. 2013).</t>
  </si>
  <si>
    <t>Sánchez García, Diana Pilar, Olaya Flórez, Jhon Jairo, Millán Delgado, Federico Reciclaje de aluminio: oportunidades de desarrollo en Bogotá (Colombia). Gestión y Ambiente [en linea]. 2015, 18(2), 135-152[fecha de Consulta 4 de Julio de 2022]. ISSN: 0124-177X. Disponible en: https://www.redalyc.org/articulo.oa?id=169443282008
Pag. 144</t>
  </si>
  <si>
    <t>Para obtener 1 ton de aluminio primario se ocupan 4 ton de Bauxita</t>
  </si>
  <si>
    <t>It's been estimated that 1 kg of recycled empty beverage cans save 8 kg of bauxite, 4 kg of various fluorides and 14 KWH of electricity.</t>
  </si>
  <si>
    <t>Reciclar 1 kg de latas de Alu ahorra 14 kwh</t>
  </si>
  <si>
    <t>En linea: Aluminium leade: All about Aluminium (Rusia)</t>
  </si>
  <si>
    <t>The Environmental Footprint of Semi-Fabricated Aluminum Products in North America: A life cycle Assessment report (2022)</t>
  </si>
  <si>
    <t>1.APR (2018) Life Cycle Impacts for postconsumer recycled resins: PET, HDPE, and PP, pag, 25</t>
  </si>
  <si>
    <t>2.ECOEMBES - UNESCO, España (2017) Cálculo de emisiones de CO2 asociados a la fabricación de botellas de champú de PEAD a partir de material virgen o reciclado. Pág 6</t>
  </si>
  <si>
    <t>En las viviendas particulares habitadas del país hay 226.4 millones de focos, de los cuales 84 % son focos eficientes: fluorescentes o de tecnología LED.
*Con el sustento atnterior, se define equivalencia con  foco de 60 w</t>
  </si>
  <si>
    <t>INEGI (2018) Primer encuesta Nacional sobre Consumo de Energéticos en Viviendas Particulares (ENCEVI)</t>
  </si>
  <si>
    <t>Reciclar 1 kg de PET ahorra lo equivalente a iluminar con focos ahorradores  12 casas durante un día</t>
  </si>
  <si>
    <t xml:space="preserve">1. INEGI (2018) Primera encuesta nacional sobre consumo de energéticos en viviendas particulares, pág 2 y 10-11
2. PROFECO (2018) Refrigeradores Domésticos, La Revista del Consumidor, Núm. 495,  40-51 pág.  </t>
  </si>
  <si>
    <t>INEGI - ENDUTIH (2020) Encuesta Nacional sobre Disponibilidad y Uso de Tecnologías de la Información en los Hogares. Pág 11
Forbes (2019) Estas son las 5 marcas de smartphones que más compran los mexicanos
Elobservador (2020) ¿Cuáles fueron los cinco smartphones más vendidos en Latinoamérica en 2019?</t>
  </si>
  <si>
    <t>Reciclar 1 kg de PET ahorra 20.528 kwh
92% de ahorro</t>
  </si>
  <si>
    <t>Reciclar 1 kg de PET ahorra el equivalente de agua para la producción de  ___naranjas</t>
  </si>
  <si>
    <t xml:space="preserve">Reciclar 1 kg de PET ahorra el agua necesaria para__ descargas de wc </t>
  </si>
  <si>
    <t>Reciclar 1 kg de PET ahorra el agua necesaria para llenar __ Albercas olimpicas</t>
  </si>
  <si>
    <t>Reciclar 1 kg de PET ahorra el agua necesaria para ___ descargas de wc ecológico</t>
  </si>
  <si>
    <t xml:space="preserve">En 15 años reciclamos 3,188,000 ton de PET... Con el acopio acumulado se podría llenar el equivalente a 140 Estadios Azteca de piso a techo
El volumen por estadio lleno de PET es =1,000,000 m3
</t>
  </si>
  <si>
    <t>Tanques con gasolina. 
Se obtuvo el promedio de aveo 2020 y Beat 2020</t>
  </si>
  <si>
    <t xml:space="preserve">Fichas tecnicas de Aveo 2020
Ficha tecnica Beat 2020
</t>
  </si>
  <si>
    <t xml:space="preserve">Reciclar 1 kg de PET ahorra 1.87 kg CO2 eq
Ahorra el 67%
</t>
  </si>
  <si>
    <t>Reciclar 1 kg de PEAD ahorra 17.611 kwh
90% de ahorro</t>
  </si>
  <si>
    <t>Reciclar 1 kg de PEAD ahorra 18.50 kwh
88.4% de ahorro</t>
  </si>
  <si>
    <t xml:space="preserve">Reciclar 1 kg de PEAD ahorra lo equivalente a tener encendidos 308 focos flourescentes durante una hora </t>
  </si>
  <si>
    <t xml:space="preserve">Reciclar 1 kg de PEAD ahorra lo equivalente a tener encendidos 2,055 focos flourescentes durante una hora </t>
  </si>
  <si>
    <t>REVISAR AL IGUAL QUE LA DE pet</t>
  </si>
  <si>
    <t>Reciclar 1 kg de PEAD ahorra lo equivalente a tener encendida la luz de 9 casas</t>
  </si>
  <si>
    <t>Reciclar 1 kg de PEAD ahorra  la energía equivalente para mantener encendido 1 refrigerador durante 19 días</t>
  </si>
  <si>
    <t>Reciclar 1 kg de PEAD ahorra  la energía equivalente para cargar la bateria durante un año de 5 celulares</t>
  </si>
  <si>
    <t>Reciclar 1 kg de PET ahorra  la energía equivalente para cargar la bateria durante un año de 4.4 celulares</t>
  </si>
  <si>
    <t>Reciclar 1 kg de PEAD ahorra  la energía equivalente para cargar la pila de .993 celulares todo un año</t>
  </si>
  <si>
    <t>Agua</t>
  </si>
  <si>
    <t xml:space="preserve">Reciclar 1 kg de PEAD ahorra 4.9 L
59% de ahorro
</t>
  </si>
  <si>
    <t>Reciclar 1 kg de PEAD ahorra 1.295 kgCO2e
87% de ahorro</t>
  </si>
  <si>
    <t>Reciclar 1 kg de PEAD evita la contaminación generada equivalente a lo que genera .554 L de gasolina</t>
  </si>
  <si>
    <t>Reciclar 1 kg de PET evita la contaminación generada equivalente a lo que genera  .779 L de gasolina</t>
  </si>
  <si>
    <t xml:space="preserve">
De acuerdo  a Franklin Asociates
Para producir 1 Ton de resina de PEAD requiere de 754 kg oil y 786 gas. Total  1,047 kg de materia prima
Se definió 80% de ahorro</t>
  </si>
  <si>
    <t>FUENTE 1</t>
  </si>
  <si>
    <t>FUENTE 2</t>
  </si>
  <si>
    <t>Definir si se elimina o se deja porque es posible se este duplicando infomración con los barriles de petroleo</t>
  </si>
  <si>
    <t>Quedaria: Reciclar 1 kg de PET evita la contaminación generada equivalente a lo que genera  .779 L de gasolina
Reciclar 1 kg de PET evita la contaminación generada equivalente a 15 minutos en coche</t>
  </si>
  <si>
    <t>Los motores de gasolina emiten 2,4 kg de CO2 por cada litro de gasolina quemado (Usar este dato para convertir el co2 del pet a litros de gasolina o minutos en auto)</t>
  </si>
  <si>
    <t>Misma referencia de CO2 emitido por litro de gasolina</t>
  </si>
  <si>
    <t>Quedaria: Reciclar 1 kg de PEAD evita la contaminación generada equivalente a lo que genera  .554 L de gasolina
Reciclar 1 kg de PEAD evita la contaminación generada equivalente a 9 minutos en coche</t>
  </si>
  <si>
    <t xml:space="preserve">Table 0-1: Cradle-to-gate LCIA results for the production of 1,000 kg of domestic
primary aluminum in North America
135.32 GJ /1000 KG ALU (37,588 kwh)
Table 0-3: Cradle-to-gate LCIA results for aluminum recycling, representing 1,000 kg of recovered aluminum from scrap in North America
9.18 GJ /1000 KG ALU (2,550 kwh)
</t>
  </si>
  <si>
    <t>CONTROL</t>
  </si>
  <si>
    <t>1 Ton: 16,350 kg CO2/ton</t>
  </si>
  <si>
    <t>Table 0-1: Cradle-to-gate LCIA results for the production of 1,000 kg of domestic
primary aluminum in North America
8,455.31 KG CO2e / 1000 kg ALU
Table 0-3: Cradle-to-gate LCIA results for aluminum recycling, representing 1,000 kg of recovered aluminum from scrap in North America
526.71 KG CO2e / 1000 kg ALU</t>
  </si>
  <si>
    <t>Reciclar 1 kg de aluminio ahorra 7.9 kg de CO2
94% de ahorro</t>
  </si>
  <si>
    <t>Reciclar 1 kg de Alu ahorra 35  kwh
Equivale a 93% de ahorro</t>
  </si>
  <si>
    <t>consumo de energía durante la
etapa de producción al pasar de 45 kWh/kg a 2,8
kWh/kg (42.2 / 94%)
(Das 2006a; Das y Kaufman 2008; Tillová
et al. 2012a), lo que hace el proceso más económico;
y reducir las emisiones de CO2
 durante la obtención
del metal, pues la producción de aluminio secundario genera un 5% del CO2
 resultante de la producción de aluminio primario (Tillová et al. 2012a,
2012b).</t>
  </si>
  <si>
    <t>El reciclaje de aluminio ha presentado resultados positivos para la industria y la sociedad en general, ya que es posible generar beneficios monetarios para
los recicladores y las ciudades (Ozer et al. 2013); reducir los niveles de consumo de energía durante la etapa de producción al pasar de 45 kWh/kg a 2,8
kWh/kg (Das 2006a; Das y Kaufman 2008; Tillová et al. 2012a), lo que hace el proceso más económico; y reducir las emisiones de CO2  durante la obtención del metal, pues la producción de aluminio secundario genera un 5% del CO2  resultante de la producción de aluminio primario (Tillová et al. 2012a,
2012b).</t>
  </si>
  <si>
    <t>Reciclar 1 kg de Alu evita la contaminación generada equivalente a lo que genera  3. 3 L de gasolina</t>
  </si>
  <si>
    <t>Reciclar 1 kg de Alu evita la contaminación generada equivalente a 36 minutos en coche</t>
  </si>
  <si>
    <t>Reciclar 1 kg de PET evita la contaminación generada equivalente a 9 minutos en coche</t>
  </si>
  <si>
    <t>Sabias que en el Diagnostico Basico para la Gestión Integral de los Residuos de la SEMARNAT 2020, se explica que de las 120,128 Ton de residuos solios urbanos generados en México solo el 2.63% es plastico PET</t>
  </si>
  <si>
    <t>De las 120,128 ton de residuos solidos urbanos que se generan en México, solo el 32% tiene las caracteristicas para reciclarse. El 68% restante son residuos organicos y otro tipo de materiales con los que se podria hacer composta y combustibles respectivamente</t>
  </si>
  <si>
    <t>De las 120,128 ton de residuos solidos urbanos que se generan en México, solo 34,320 Ton se pueden reciclar. Las 82,228 Ton restantes son residuos organicos y otro tipo de materiales con los que se podria hacer composta y combustibles</t>
  </si>
  <si>
    <t>Las emisiones de gases de efecto invernadero promueven un aumento en la absorción de la radiación emitida por el sol y reflejada por la tierra, magnificando el efecto invernadero natural. Al reciclar disminuyes la generación de estos gases</t>
  </si>
  <si>
    <t>Sabias que con dos botellas de PET de 1.5 L se fabricó el primer balon ecológico de Basketball</t>
  </si>
  <si>
    <t xml:space="preserve">Reciclar 1 kg de PET evita la emisión de 2.355 kg de CO2e
Ahorra el 93% </t>
  </si>
  <si>
    <t xml:space="preserve">Sabias que reciclar botellas de PET reduce un 67% de emisiones de gases efecto invernadero </t>
  </si>
  <si>
    <t>1.APR (2018) Life Cycle Impacts for postconsumer recycled resins: PET, HDPE, and PP, pag, 26</t>
  </si>
  <si>
    <t>Sabias que por cada 42 botellas de PET recicladas, se contarresta la contaminación de 9 minutos manejando un auto compacto a una velocidad de 110 km/h</t>
  </si>
  <si>
    <t>Sabias que reciclar botellas de PET ahorra 79% de energía</t>
  </si>
  <si>
    <t>Sabias que por cada 10 botellas de PET recicladas se contraresta el CO2 eq emitido durante 2 minutos en auto</t>
  </si>
  <si>
    <t>Sabias que por cada botella de pet reciclada, se ahorra energia suficiente para mantener un foco ahorrador encendido durante 6 horas</t>
  </si>
  <si>
    <t>Sabias que reciclando 23 kilos de botellas de PET se generaria la energia que requiere un refrigerador (13 pies) por un año</t>
  </si>
  <si>
    <t>Sabias que 962 botellas = 1 año de refrigerador</t>
  </si>
  <si>
    <t>Sabias que la botella de Pet fue patentada por Nathaniel Wyeth en 1973</t>
  </si>
  <si>
    <t>Sabias que los procesos de reciclaje se facilitan si los envases y empaques cumplen con las guias de reciclabilidad promovidos por la asociación de Recicladores de plastico (APR). Esta, recomienda los colores en los envases, tipo de etiqueta, aditivos, entre otros. Por lo anterior, poner mas atención en el ecodiseño evitara la generación de basura.</t>
  </si>
  <si>
    <t>¿SABIAS QUE …?</t>
  </si>
  <si>
    <t>Sabias que 42 botellas de PET recicladas ahorran CO2 eq, equivalente a manejar 9 minuto un auto compacto a una velocidad de 110 km/h</t>
  </si>
  <si>
    <t xml:space="preserve">Sabias que reciclar tres botellas de PET ahorran suficiente energia para 1 refrigerador por día </t>
  </si>
  <si>
    <t>Sabias que reciclar aluminio ahorra 93% de energía  si se compara con la producción a partir de material virgen</t>
  </si>
  <si>
    <t>Sabias que reciclar aluminio previene la emisión del 94% de gases efecto invernadero (CO2e) a comparación de produccion virgen</t>
  </si>
  <si>
    <t>Sabias que alrededor el 75% del aluminio producido desde que comenzo la fabricación comercial en la decada de 1880 todavia esta en uso gracias al reciclaje. Si depositas en el lugar correcto tus latas de aluminio, sera posible su aprovechamiento y transformación en cualquier otro objeto metalico</t>
  </si>
  <si>
    <t>Sabias que casi 60 días son los que tarda una lata de aluminio en ser reciclada a partir de que la depositaste en el contener correcto</t>
  </si>
  <si>
    <t>Sabias que el aluminio reciclado  requiere menos energía que el nuevo para su fabricación. Esto lo hace todavía más interesante desde un punto de vista ecológico</t>
  </si>
  <si>
    <t>Sabias que el aluminio se extrea de la bauxita y pasa por un proceso llamado electrolisis el cual requiere mucha energía y genera emisiones nocivas al ambiente. Una alternativa como fuente de materia prima es el aluminio reciclado</t>
  </si>
  <si>
    <t>Sabias que el aluminio se clasifica en dos tipos según su origen: Aluminio primario, que se extrae del mineral bauxita; y el aluminio reciclado, que proviene de la recuperación de productos de aluminio ya utilizados</t>
  </si>
  <si>
    <t>Sabias que reciclar un kilo de latas de aluminio contrarresta la contaminación de 36 minutos manejando un auto compacto a una velocidad de 110 km/h</t>
  </si>
  <si>
    <t>Sabias que por cada 12 latas de aluminio recicladas se contraresta el CO2 eq emitido durante 6 minutos en auto</t>
  </si>
  <si>
    <t>Sabias que por cada 10 latas de aluminio recicladas se contraresta el CO2 eq emitido durante 5 minutos en auto</t>
  </si>
  <si>
    <t>Sabias que por cada lata de aluminio reciclada, se ahorra energia suficiente para mantener un foco ahorrador encendido durante casi 8 horas</t>
  </si>
  <si>
    <t>1 lata - 7.5 focos
1 lata - .471 dias de refri</t>
  </si>
  <si>
    <t xml:space="preserve">Sabias que reciclar 2 latas de aluminio ahorran suficiente energia para 1 refrigerador por día </t>
  </si>
  <si>
    <t>Sabias que reciclando 10 kilos de latas de aluminio se generaria la energia que requiere un refrigerador (13 pies) por un año</t>
  </si>
  <si>
    <t>Sabias que reciclar botellas de PEAD ahorra 88% de energía</t>
  </si>
  <si>
    <t xml:space="preserve">Sabias que reciclar botellas de PEAD reduce un 70% de emisiones de gases efecto invernadero </t>
  </si>
  <si>
    <t>Sabias que 1 kg de botellas de PEAD recicladas, se contarresta la contaminación de 6 minutos manejando un auto compacto a una velocidad de 110 km/h</t>
  </si>
  <si>
    <t>Sabias que por cada botella de PEAD reciclada, se ahorra energia suficiente para mantener 18 focos ahorradorres encendidos por una hora</t>
  </si>
  <si>
    <t>Sabias que 323 botellas de PEAD = 1 año de refrigerador</t>
  </si>
  <si>
    <t>Sabias que reciclando 19 kilos de botellas de PEAD se generaria la energia que requiere un refrigerador (13 pies) por un año</t>
  </si>
  <si>
    <t xml:space="preserve">Sabias que reciclar 2 botellas de PEAD ahorran suficiente energia para 1 refrigerador por casi dos días </t>
  </si>
  <si>
    <t xml:space="preserve">17 Botellas - 4.9 L
1 Botella - .288 L </t>
  </si>
  <si>
    <t>Sabias que reciclar 3 botellas de PEAD = 4 vasos de agua (usar ejemplo con vaso de 200 ml)</t>
  </si>
  <si>
    <t>Sabias que reciclar botellas de PEAD requieren un 59% menos de agua que si se fabricara con material nuevo</t>
  </si>
  <si>
    <t>Sabias que para el 2025, en México se estima una tasa de acopio del 70% en PET y 30% en promedio de todos los plasticos. Cumplir esta meta requiere de tu participación</t>
  </si>
  <si>
    <t>Sabias que un pupitre reciclado se puede fabricar con 2,002 envases de cartón multilaminado</t>
  </si>
  <si>
    <t>Sabias que reciclar 1 kg de Botellas PEAD ahorran el combustible para recorrer 6 km en auto</t>
  </si>
  <si>
    <t>Se hizo la muestra con material a granel, se obtuvo:
 1m3 = 27.3 kg/m3. 
1 ton de BOPP son 36.63 m3
Medidas de pacas de vallejo para 345 kg = 1 x 1.10 x .80 (.880 m3)</t>
  </si>
  <si>
    <t>Sabias que la producción de aluminio reciclado es más sencillo y  barato que producir nuevo. Esto se debe a que en el primero se acopia y funde mientras que en el segundo pasa por procesos de extracción de minerales,procesos como la electrolisis, entre otros</t>
  </si>
  <si>
    <t>Sabias que el aluminio se extrae de un mineral llamado bauxita, mientras que el acero procede del mineral de hierro: hematita, limonita, magnetita y siderita. La extracción de estos minerales a cielo abierto provoca una degradación del paisaje y se producen grandes emisiones de polvo. Cuando reciclas latas de aluminio y hojalata promueves su uso como materia prima en vez de extraer del medio ambiente</t>
  </si>
  <si>
    <t xml:space="preserve">Sabias que por cada kg de hojalata de acero que reciclas, se ahorra mas del doble de materia prima </t>
  </si>
  <si>
    <t>Sabias que reciclar 1 kg de acero evita que 1.5 kg co eq se emitan al ambiente</t>
  </si>
  <si>
    <t>Sabias que 27 botellas de PET son suficientes para convertirse en una sudadera polar</t>
  </si>
  <si>
    <t xml:space="preserve">Sabias que por 1 kg de botella de vidrio que reciclas, se ahorra 1.2 kg de materia prima </t>
  </si>
  <si>
    <t>Sabias que reciclar 4 botellas de vidrio equivale al consumo energetico de un refrigerador por casi un día y medio</t>
  </si>
  <si>
    <t xml:space="preserve">Sabias que por cada 6 kg de vidrio reciclado se evita la emision de 1 kg de Dioxido de Carbono </t>
  </si>
  <si>
    <t xml:space="preserve">6 kg de vidrio -  1 kg de co2 </t>
  </si>
  <si>
    <t>Sabias que el vidrio puede reciclarse infinitamente sin perder sus propiedades</t>
  </si>
  <si>
    <t>Sabias que reciclar media tonelada de vidrio contrarresta la contaminación de 6 horas manejando un auto compacto a una velocidad de 110 km/h</t>
  </si>
  <si>
    <t>Reciclar 1 kg de vidrio evita la contaminación generada equivalente a lo que genera  .069 L de gasolina</t>
  </si>
  <si>
    <t>Sabias que las botellas de vidrio no se pueden reciclar junto con vasos, cristaleria, ventanas, focos u otro que se le parezca. Aunque parezcan iguales, las propiedas quimicas son distintas y la contaminaciín del materil sería inminente</t>
  </si>
  <si>
    <t>Sabias que por cada botella de vidrio reciclado, se ahorra energia suficiente para mantener un foco de 60 w durante casi 7 horas</t>
  </si>
  <si>
    <t>https://www.recyclecartons.com/learn/</t>
  </si>
  <si>
    <t xml:space="preserve">Sabias que de una tonelada de carton multilaminado, al 75% se le extrae la pulpa para crear toallas de papel, pañuelos de apel, papel de oficina y el 25% restenta se convierte en polialuminio para la producción de laminas, techos, muebles, entre otros. </t>
  </si>
  <si>
    <t xml:space="preserve">Sabias que la composición del carton multilaminado es 75% de cartón, 20% de plastico y 5% de aluminio </t>
  </si>
  <si>
    <t>Carton Council: Why recycle?</t>
  </si>
  <si>
    <t xml:space="preserve">CONVERSION A 75% PAPEL DE TETRA PAK
1000 KG cartón laminado:
750 kg (75%) cartón = 3,000 kwh
50 kg (5%) aluminio = 
(20%) polietileno =
Ahorro = </t>
  </si>
  <si>
    <t>Sabias que un kg de papel hecho con material reciclado requiere un 40% menos de energía que el requerido por el virgen</t>
  </si>
  <si>
    <t>Sabias que reciclar 1 kg de papel o cartón ahorran suficiente energia para 1 refrigerador por 4 días</t>
  </si>
  <si>
    <t>Sabias que reciclar 1 kg de papel o cartón ahorra energia suficiente para mantener 10 focos ahorradorres encendidos por casi 7 horas</t>
  </si>
  <si>
    <t>Suposición</t>
  </si>
  <si>
    <t xml:space="preserve">Reciclar 1 kg de cartón o papel  equivale a ahorrar 26.5 L </t>
  </si>
  <si>
    <t>Sabias que cuando reutilizas, reciclas o reparas ayudas a disminuir el uso de recursos naturales como el agua, fibras, minerales. Por ejemplo, por cada tonelada de papel reciclado evitas que se corten 17 arboles</t>
  </si>
  <si>
    <t xml:space="preserve"> A ton of paper made from recycled fibers instead of virgin fibers conserves 7,000 gallons of water, 17-31 trees, 4,000 kWh of electricity, and 60 pounds of air pollutants.1
26,498 L 
17-31 arboles
4,000 kwh</t>
  </si>
  <si>
    <t>Reciclar 1 kg de cartón laminado equivale a ahorrar 3 kwh</t>
  </si>
  <si>
    <t>Producing recycled paper requires about 60 percent of the energy used to make paper from virgin wood pulp.
Ahorro= 40%</t>
  </si>
  <si>
    <t>Y por cada tonelada de envases Tetra Pak que se reciclan, se ahorran:
1,500 kg. de madera
100,000 l. de agua
221 kg. de diesel.</t>
  </si>
  <si>
    <t>Recycling 1 ton of paper saves:
17 trees
380 gallons (1060 liters) of oil
4000KW of energy
and over 25000 liters of water.</t>
  </si>
  <si>
    <t>Preventing 1 ton of paper waste saves between 15 and 17 madure trees. Se tomó el promedio de 16</t>
  </si>
  <si>
    <t>REVISAR CON ROMI</t>
  </si>
  <si>
    <t>Reciclar 1 ton de CL es equivalente al ahorro de .066 Barriles 
1.060 L de petroleo</t>
  </si>
  <si>
    <t>De acuerdo a la Camara de Papel se ahorran 2,000 litros de petroleo crudo por cada tonelada de papel reciclado (2000/159=12.578)</t>
  </si>
  <si>
    <t xml:space="preserve">Reciclar 1 kg de papel  ahorra .0125 BP
</t>
  </si>
  <si>
    <t xml:space="preserve">Reciclar 1 kg de CL es equivalente al ahorro de .0090 barriles de petróleo
</t>
  </si>
  <si>
    <t>Recycling 1 ton of paper saves:
17 trees
380 gallons (1060 liters) of oil /159=6.6
4000KW of energy
and over 25000 liters of water.</t>
  </si>
  <si>
    <t>Reciclar 1 kg de papel es equivalente al ahorro de .796 kgCO2e 
Ahorro del 50.5%</t>
  </si>
  <si>
    <t>Sabias que con 1 kg de papel reciclado, se contarresta el agua por aproximadamente 4 descargas en un wc</t>
  </si>
  <si>
    <t>Sabias que cuando reutilizas, reciclas o reparas ayudas a disminuir el uso de recursos naturales como el agua, fibras, minerales. Por ejemplo, por cada tonelada de papel reciclado evitas que se corten de 17 a 19 árboles</t>
  </si>
  <si>
    <t xml:space="preserve">Sabias que reciclar papel o carton reduce un 51% de emisiones de gases efecto invernadero </t>
  </si>
  <si>
    <t>PAPEL / CARTON CARTON
 MULTI-
LAMINADO</t>
  </si>
  <si>
    <t>Confirmar con cris</t>
  </si>
  <si>
    <t xml:space="preserve">Sabias que México ocupa el primer lugar del continente americano en el acopio y reciclaje de PET: Brasil ocupa el segundo y Canada el tercer lugar (confirmar) </t>
  </si>
  <si>
    <t>REPORTE DE MATERIALES ACOPIADOS 
EN MERCADITO DE TRUEQUE</t>
  </si>
  <si>
    <t>U.H Alianza Popular R. Coyoacán</t>
  </si>
  <si>
    <t>23 de julio 2022</t>
  </si>
  <si>
    <t>Puntos /kg</t>
  </si>
  <si>
    <t>Productos</t>
  </si>
  <si>
    <t>Puntaje por producto</t>
  </si>
  <si>
    <t>Piezas Entregadas</t>
  </si>
  <si>
    <t>Arroz</t>
  </si>
  <si>
    <t>Aceite comestible</t>
  </si>
  <si>
    <t>Azúcar</t>
  </si>
  <si>
    <t>Tortilla de harina</t>
  </si>
  <si>
    <t>Atún</t>
  </si>
  <si>
    <t>Papel Higienico</t>
  </si>
  <si>
    <t>Frijoles refritos</t>
  </si>
  <si>
    <t>Chiles en vinagre</t>
  </si>
  <si>
    <t>Cloro</t>
  </si>
  <si>
    <t>Servilletas</t>
  </si>
  <si>
    <t>Refresco</t>
  </si>
  <si>
    <t>Galletas</t>
  </si>
  <si>
    <t>Sal</t>
  </si>
  <si>
    <t>Sopa de pasta</t>
  </si>
  <si>
    <t>Jugo</t>
  </si>
  <si>
    <t>Consome de pollo</t>
  </si>
  <si>
    <t>Dulce Minimamut</t>
  </si>
  <si>
    <t>Paleta</t>
  </si>
  <si>
    <t>Spech para proyecto calculadora</t>
  </si>
  <si>
    <t>A día de hoy, la metodología y el cálculo de la huella ecológica en construcción todavía no están plenamente desarrollados y reglamentados, por lo que lo más habitual es calcular la huella de carbono de una casa y añadirle conceptos derivados del ACV</t>
  </si>
  <si>
    <t>ECOCE A.C están haciendo un importante esfuerzo por generar herramientas de calculo donde incluya todos los envases y empaques reciclables: Esta uniendo esfueroz  para generar sus propias bases y programas de cálculo.</t>
  </si>
  <si>
    <t>donde analiza las metodologías existentes, bases de datos y herramientas para fomentar y facilitar el cálculo de la huella de carbono en el reciclaje. Con todo esto, acabaron involucrándose en el desarrollo de la aplicación ‘CER</t>
  </si>
  <si>
    <t>Yendo más allá del cálculo de la huella de carbono, calculan 4 categorías: el transporte, el proceso de construcción, la substitución y la energía empleados.</t>
  </si>
  <si>
    <t>Por ello, se remiten a la base de datos sobre ciclos de vida considerada ‘la más consistente y transparente a nivel mundial’,  llamada European Reference Life-Cycle Database.</t>
  </si>
  <si>
    <t>Se trata de una base de datos ambientales genéricos para productos y materiales de construcción, según procesos de fabricación representativos de la realidad europea. Concretamente, contiene datos ambientales de los procesos de transporte, construcción, producción de electricidad y producción/consumo de combustibles. Permiten también la incorporación de información específica por parte del fabricante de productos, como la llamada Declaración Ambiental Producto (DAP).</t>
  </si>
  <si>
    <t>El funcionamiento de la aplicación es el siguiente: se trabaja con las mediciones del proyecto en Presto y se suben a la aplicación para hacer el cálculo. </t>
  </si>
  <si>
    <t>1 Ton de pet emite 2.2 Ton CO2</t>
  </si>
  <si>
    <t xml:space="preserve">UBSs, PET and sustainability… oh my!
</t>
  </si>
  <si>
    <t>Aluminum is very energy-intensive to produce and has a higher carbon footprint, responsible for
11.09 tons of CO2 emissions per ton of cans, while plastic bottles account for only 2.2 tons of
greenhouse gases, according to a 2016 study by the EPA.
1ton aluminio ahorra 90% de co2 y PET ahorra el 60%</t>
  </si>
  <si>
    <t>MAY</t>
  </si>
  <si>
    <t>% de ahorro en CO2</t>
  </si>
  <si>
    <t>Reciclar 1 kg de PEAD ahorra 1.33 Kg C02
71% de ahorro</t>
  </si>
  <si>
    <t>Reciclar 1 kg de PEBD evita la emisión de 1.294 kg de CO2e
87% Ahorro</t>
  </si>
  <si>
    <t>Record collection of glass containers for recycling hits 78% in the EU (2021)</t>
  </si>
  <si>
    <t>ND</t>
  </si>
  <si>
    <t>Los beneficios y ahorros por reciclar 1 ton de reciclables son:</t>
  </si>
  <si>
    <t>m3 en relleno sanitario que ahorran los gobiernos locales</t>
  </si>
  <si>
    <t>Kg de CO2 que no se emiten al ambiente, combatiendo al cambio climático</t>
  </si>
  <si>
    <t>ACOPIO INSTITUCIONAL A 2022</t>
  </si>
  <si>
    <t>ACORETO</t>
  </si>
  <si>
    <t>fabricar envases de vidrio a partir de calcín es clave para reducir el gasto energético. El vidrio reciclado mantiene sus propiedades en perfecto estado y, además, permite ahorrar un 38% de energía en todo el proceso. Esto se debe a que no se produce extracción de materias primas, a que su impacto en el transporte es menor y a la reducción de la temperatura necesaria en los hornos vidrieros.</t>
  </si>
  <si>
    <t>Se ahorra un 38% de energia</t>
  </si>
  <si>
    <t xml:space="preserve">Ecovidrio </t>
  </si>
  <si>
    <t>Identificado marzo 2023. Aun no esta autorizado por Romi</t>
  </si>
  <si>
    <t>Porque ahorra emisiones de CO2: el uso de calcín para fabricar nuevos envases ahorra un 53% las emisiones de CO2 equivalente frente al uso de materias primas. Esto se debe a que el vidrio reciclado funde a menor temperatura de la que necesitarían la arena, sosa y caliza en el horno.</t>
  </si>
  <si>
    <t>53 % de ahorro</t>
  </si>
  <si>
    <t xml:space="preserve">Reciclar 1 ton de papel ahorra 4,100 kwh de energía, 1,720 litros de aceite, 32,000 l de agua y la tala de 17 arboles 
Quemar 1 ton de papel genra 750 kg de dioxido de carbono  </t>
  </si>
  <si>
    <t>Economia circulas en América Latina y el Caribe: Oportunidad para una recuperación transformadora. CEPAL 2021</t>
  </si>
  <si>
    <t>Empresa</t>
  </si>
  <si>
    <t>Datos de contacto</t>
  </si>
  <si>
    <t>Ecolam</t>
  </si>
  <si>
    <t>ecolam@laminasecologicas.com</t>
  </si>
  <si>
    <t>477 157 9766</t>
  </si>
  <si>
    <t>2, 4, 5 y 7</t>
  </si>
  <si>
    <t>Láminas acanaladas para techos</t>
  </si>
  <si>
    <t>Jardines verticales</t>
  </si>
  <si>
    <t>Casas para mascotas</t>
  </si>
  <si>
    <t>Mobiliario ecológico</t>
  </si>
  <si>
    <t>https://www.ecolam.mx/es/inicio</t>
  </si>
  <si>
    <t>Planeta listo</t>
  </si>
  <si>
    <t>Jiutepec, Morelos</t>
  </si>
  <si>
    <t>info@planetalisto.com</t>
  </si>
  <si>
    <t>Mobiliario urbano</t>
  </si>
  <si>
    <t>Desarmables</t>
  </si>
  <si>
    <t>Sillas</t>
  </si>
  <si>
    <t>Pupitres</t>
  </si>
  <si>
    <t>Macetas</t>
  </si>
  <si>
    <t>Cospostarios</t>
  </si>
  <si>
    <t>Cartón multilaminado</t>
  </si>
  <si>
    <t>https://www.planetalisto.com/</t>
  </si>
  <si>
    <t>55 4593 8318</t>
  </si>
  <si>
    <t>Imagenia</t>
  </si>
  <si>
    <t>Guadalajara: ventasgdl@imagenia.com.mx
Playa del Carmen: ventas@imagenia.com.mx</t>
  </si>
  <si>
    <t>Jalisco: 33 13 3 38 99
Playa del Carmen: 984 211 2951</t>
  </si>
  <si>
    <t>Juegos Infantiles</t>
  </si>
  <si>
    <t>Mobiliario para exterior</t>
  </si>
  <si>
    <t>https://imagenia.com.mx/</t>
  </si>
  <si>
    <t>Laminas para techo</t>
  </si>
  <si>
    <t>MaderPlast</t>
  </si>
  <si>
    <t>León, Guanajuato</t>
  </si>
  <si>
    <t>GOOGLE GRUPO MADER PLAST MEXICO</t>
  </si>
  <si>
    <t>maderplastmx@gmail.com</t>
  </si>
  <si>
    <t xml:space="preserve">Madera plástica </t>
  </si>
  <si>
    <t>Casas recicladas</t>
  </si>
  <si>
    <t xml:space="preserve">Muros y pisos </t>
  </si>
  <si>
    <t>Cercas</t>
  </si>
  <si>
    <t>Fernando Montes de Oca 101 Col. Héroes de
Chapultepec, León Guanajuato México.</t>
  </si>
  <si>
    <t>QF MÉX</t>
  </si>
  <si>
    <t>Iztapalapa, CDMX</t>
  </si>
  <si>
    <t>555 426 7621</t>
  </si>
  <si>
    <t>Productos con cartón reciclado
Techos acanalados</t>
  </si>
  <si>
    <t>https://www.qfmex.mx/index.php</t>
  </si>
  <si>
    <t>Materiales reciclados</t>
  </si>
  <si>
    <t>Calle Benito Juárez No. 1 Nave B13., C.P 62553, Col. Tlahuapan. Jiutepec, Morelos, México</t>
  </si>
  <si>
    <t>Canal de Garay, N.o 485 Col. Cerro de la estrella, Del Iztapalapa, México</t>
  </si>
  <si>
    <t xml:space="preserve">Empresas de productos reciclados </t>
  </si>
  <si>
    <t>Tinaco 1100 l 5 personas</t>
  </si>
  <si>
    <t>1m2 de alfombra</t>
  </si>
  <si>
    <t>Un árbol frondoso puede absorber hasta 150 kg de CO2 al año, ayudando así a mitigar el cambio climático.</t>
  </si>
  <si>
    <t>NUEVO 2023</t>
  </si>
  <si>
    <t xml:space="preserve"> Organización de las Naciones Unidas para la Alimentación y la Agricultura, FAO
</t>
  </si>
  <si>
    <t>ACTUALIZACIÓN 2023</t>
  </si>
  <si>
    <t>Un árbol consume 38.46 kg CO2/ año</t>
  </si>
  <si>
    <t>ECOCE, 15 años</t>
  </si>
  <si>
    <t>1 árbol consume= 150 kg CO2/año</t>
  </si>
  <si>
    <t>Un árbol consume 150 kg CO2/ año</t>
  </si>
  <si>
    <t>FAO (2018). Valorar los árboles para crear ciudades más verdes y saludables</t>
  </si>
  <si>
    <t>Árboles</t>
  </si>
  <si>
    <t xml:space="preserve"> 
Primera sección:    55,000
Segunda seccion:   17,500
Tercera sección:     85,550
315,550 árboles en el bosque de Chapultepec</t>
  </si>
  <si>
    <t xml:space="preserve"> 274 millones de árboles equivale a 726 Bosques de Chapultepec (377,40 arboles/chapultepec)</t>
  </si>
  <si>
    <t>Bosque de Chapultepec: Gobierno de la CDMX</t>
  </si>
  <si>
    <t>1 Bosque de Chapultepec tiene 377,410 árboles</t>
  </si>
  <si>
    <t>1 Bosque de Chapultepec tiene 315,550 árboles</t>
  </si>
  <si>
    <t>Bosque de Chapultepec</t>
  </si>
  <si>
    <t>Casas iluminadas con focos ahorradores</t>
  </si>
  <si>
    <t>Reciclar 1 kg de PET ahorra lo equivalente a iluminar con focos ahorradores  12.3 casas</t>
  </si>
  <si>
    <t>Información estimada en base a la estadistica de uso de focos según INEGI</t>
  </si>
  <si>
    <t>Reciclar 1 ton ahorra 91,200 L de agua</t>
  </si>
  <si>
    <t xml:space="preserve">Expansión / Gabriel Valencia Hispak Mexicana </t>
  </si>
  <si>
    <t>PROPUESTA DOS</t>
  </si>
  <si>
    <t>Autos / año</t>
  </si>
  <si>
    <t xml:space="preserve">Co2 correspondiente a x automoviles al año
Tomando como referencia que un auto recorre 15,000 km/año </t>
  </si>
  <si>
    <t xml:space="preserve">Nota. Con el CO2 ahorrado se transforma a gasolina y rendimiento /litro. Al tener el kilometraje se divide entre los 15 mil  </t>
  </si>
  <si>
    <t>Escuela:</t>
  </si>
  <si>
    <t>Periódo:</t>
  </si>
  <si>
    <t>Núm de registro:</t>
  </si>
  <si>
    <t>Instituto Miguel Ángel Herrera</t>
  </si>
  <si>
    <t>CAB 041</t>
  </si>
  <si>
    <t>Año 2023</t>
  </si>
  <si>
    <t>REPORTE DE MATERIALES RECIBIDOS
EN ACOPIO MOVIL</t>
  </si>
  <si>
    <t>Zoologico los Coyotes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</si>
</sst>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quot;$&quot;* #,##0.00_-;_-&quot;$&quot;* &quot;-&quot;??_-;_-@_-"/>
    <numFmt numFmtId="43" formatCode="_-* #,##0.00_-;\-* #,##0.00_-;_-* &quot;-&quot;??_-;_-@_-"/>
    <numFmt numFmtId="164" formatCode="0.0000"/>
    <numFmt numFmtId="165" formatCode="0.000"/>
    <numFmt numFmtId="166" formatCode="_-* #,##0.0000_-;\-* #,##0.0000_-;_-* &quot;-&quot;??_-;_-@_-"/>
    <numFmt numFmtId="167" formatCode="_-* #,##0_-;\-* #,##0_-;_-* &quot;-&quot;??_-;_-@_-"/>
    <numFmt numFmtId="168" formatCode="_-* #,##0.000_-;\-* #,##0.000_-;_-* &quot;-&quot;??_-;_-@_-"/>
    <numFmt numFmtId="169" formatCode="_-* #,##0.0000000_-;\-* #,##0.0000000_-;_-* &quot;-&quot;??_-;_-@_-"/>
    <numFmt numFmtId="170" formatCode="_-* #,##0.00000_-;\-* #,##0.00000_-;_-* &quot;-&quot;??_-;_-@_-"/>
    <numFmt numFmtId="171" formatCode="_-* #,##0.00000000_-;\-* #,##0.00000000_-;_-* &quot;-&quot;??_-;_-@_-"/>
    <numFmt numFmtId="172" formatCode="_-* #,##0.0_-;\-* #,##0.0_-;_-* &quot;-&quot;??_-;_-@_-"/>
    <numFmt numFmtId="173" formatCode="#,##0.0"/>
    <numFmt numFmtId="174" formatCode="#,##0_ ;\-#,##0\ "/>
    <numFmt numFmtId="175" formatCode="_-&quot;$&quot;* #,##0_-;\-&quot;$&quot;* #,##0_-;_-&quot;$&quot;* &quot;-&quot;??_-;_-@_-"/>
    <numFmt numFmtId="176" formatCode="_-&quot;$&quot;* #,##0.0_-;\-&quot;$&quot;* #,##0.0_-;_-&quot;$&quot;* &quot;-&quot;??_-;_-@_-"/>
    <numFmt numFmtId="177" formatCode="0.0"/>
    <numFmt numFmtId="178" formatCode="#,##0.000"/>
    <numFmt numFmtId="179" formatCode="_-* #,##0.000_-;\-* #,##0.000_-;_-* &quot;-&quot;???_-;_-@_-"/>
    <numFmt numFmtId="180" formatCode="#,##0.0000"/>
  </numFmts>
  <fonts count="97">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b/>
      <sz val="10"/>
      <color indexed="81"/>
      <name val="Calibri"/>
      <family val="2"/>
    </font>
    <font>
      <sz val="11"/>
      <name val="Calibri"/>
      <family val="2"/>
      <scheme val="minor"/>
    </font>
    <font>
      <b/>
      <sz val="11"/>
      <color theme="0"/>
      <name val="Calibri"/>
      <family val="2"/>
      <scheme val="minor"/>
    </font>
    <font>
      <sz val="11"/>
      <color theme="0"/>
      <name val="Calibri"/>
      <family val="2"/>
      <scheme val="minor"/>
    </font>
    <font>
      <sz val="11"/>
      <color theme="2" tint="-0.89999084444715716"/>
      <name val="Calibri"/>
      <family val="2"/>
      <scheme val="minor"/>
    </font>
    <font>
      <b/>
      <sz val="11"/>
      <color theme="2" tint="-0.89999084444715716"/>
      <name val="Calibri"/>
      <family val="2"/>
      <scheme val="minor"/>
    </font>
    <font>
      <sz val="12"/>
      <color theme="1"/>
      <name val="Calibri"/>
      <family val="2"/>
      <scheme val="minor"/>
    </font>
    <font>
      <sz val="12"/>
      <color indexed="81"/>
      <name val="Calibri"/>
      <family val="2"/>
      <scheme val="minor"/>
    </font>
    <font>
      <b/>
      <sz val="12"/>
      <color theme="0"/>
      <name val="Californian FB"/>
      <family val="1"/>
    </font>
    <font>
      <sz val="12"/>
      <color indexed="81"/>
      <name val="Tahoma"/>
      <family val="2"/>
    </font>
    <font>
      <b/>
      <sz val="16"/>
      <color theme="0"/>
      <name val="Aparajita"/>
      <family val="1"/>
    </font>
    <font>
      <sz val="16"/>
      <color theme="1"/>
      <name val="Aparajita"/>
      <family val="1"/>
    </font>
    <font>
      <b/>
      <sz val="24"/>
      <color rgb="FF008A3E"/>
      <name val="Calibri"/>
      <family val="2"/>
      <scheme val="minor"/>
    </font>
    <font>
      <b/>
      <sz val="16"/>
      <color theme="1"/>
      <name val="Calibri"/>
      <family val="2"/>
      <scheme val="minor"/>
    </font>
    <font>
      <sz val="11"/>
      <color theme="1"/>
      <name val="Dosis Regular"/>
    </font>
    <font>
      <b/>
      <sz val="11"/>
      <color theme="1"/>
      <name val="Dosis regular"/>
    </font>
    <font>
      <sz val="11"/>
      <name val="Dosis regular"/>
    </font>
    <font>
      <sz val="18"/>
      <color theme="1"/>
      <name val="Dosis Regular"/>
    </font>
    <font>
      <sz val="28"/>
      <color theme="1"/>
      <name val="Dosis Medium"/>
    </font>
    <font>
      <b/>
      <sz val="28"/>
      <color theme="1"/>
      <name val="Dosis Bold"/>
    </font>
    <font>
      <b/>
      <sz val="20"/>
      <color theme="1"/>
      <name val="Dosis Regular"/>
    </font>
    <font>
      <b/>
      <u/>
      <sz val="28"/>
      <color theme="1"/>
      <name val="Dosis Regular"/>
    </font>
    <font>
      <b/>
      <sz val="16"/>
      <color theme="1"/>
      <name val="Dosis Regular"/>
    </font>
    <font>
      <b/>
      <sz val="12"/>
      <color theme="0"/>
      <name val="Calibri"/>
      <family val="2"/>
      <scheme val="minor"/>
    </font>
    <font>
      <b/>
      <i/>
      <sz val="12"/>
      <color theme="0"/>
      <name val="Calibri"/>
      <family val="2"/>
      <scheme val="minor"/>
    </font>
    <font>
      <b/>
      <sz val="18"/>
      <color theme="0"/>
      <name val="Calibri"/>
      <family val="2"/>
      <scheme val="minor"/>
    </font>
    <font>
      <b/>
      <sz val="12"/>
      <color theme="1"/>
      <name val="Calibri"/>
      <family val="2"/>
      <scheme val="minor"/>
    </font>
    <font>
      <sz val="12"/>
      <name val="Calibri"/>
      <family val="2"/>
      <scheme val="minor"/>
    </font>
    <font>
      <b/>
      <sz val="14"/>
      <name val="Calibri"/>
      <family val="2"/>
      <scheme val="minor"/>
    </font>
    <font>
      <sz val="14"/>
      <color theme="1"/>
      <name val="Calibri"/>
      <family val="2"/>
      <scheme val="minor"/>
    </font>
    <font>
      <b/>
      <sz val="14"/>
      <color theme="0"/>
      <name val="Calibri"/>
      <family val="2"/>
      <scheme val="minor"/>
    </font>
    <font>
      <b/>
      <sz val="12"/>
      <color indexed="81"/>
      <name val="Tahoma"/>
      <family val="2"/>
    </font>
    <font>
      <b/>
      <sz val="18"/>
      <color theme="1"/>
      <name val="Dosis Regular"/>
    </font>
    <font>
      <b/>
      <sz val="24"/>
      <color theme="1"/>
      <name val="Dosis Medium"/>
    </font>
    <font>
      <sz val="20"/>
      <color theme="1"/>
      <name val="Dosis Regular"/>
    </font>
    <font>
      <sz val="19"/>
      <color theme="1"/>
      <name val="Dosis Regular"/>
    </font>
    <font>
      <b/>
      <sz val="19"/>
      <color theme="1"/>
      <name val="Dosis Regular"/>
    </font>
    <font>
      <b/>
      <sz val="22"/>
      <color theme="1"/>
      <name val="Dosis Bold"/>
    </font>
    <font>
      <b/>
      <sz val="22"/>
      <color theme="1"/>
      <name val="Dosis Regular"/>
    </font>
    <font>
      <sz val="14"/>
      <name val="Dosis Regular"/>
    </font>
    <font>
      <sz val="11"/>
      <color theme="0"/>
      <name val="Calibri"/>
      <family val="2"/>
    </font>
    <font>
      <u/>
      <sz val="11"/>
      <color theme="10"/>
      <name val="Calibri"/>
      <family val="2"/>
      <scheme val="minor"/>
    </font>
    <font>
      <sz val="12"/>
      <name val="Calibri Light"/>
      <family val="2"/>
      <scheme val="major"/>
    </font>
    <font>
      <sz val="12"/>
      <color theme="1"/>
      <name val="Calibri Light"/>
      <family val="2"/>
      <scheme val="major"/>
    </font>
    <font>
      <sz val="12"/>
      <color theme="0"/>
      <name val="Calibri Light"/>
      <family val="2"/>
      <scheme val="major"/>
    </font>
    <font>
      <b/>
      <sz val="14"/>
      <color theme="0"/>
      <name val="Calibri Light"/>
      <family val="2"/>
      <scheme val="major"/>
    </font>
    <font>
      <sz val="14"/>
      <color theme="0"/>
      <name val="Calibri Light"/>
      <family val="2"/>
      <scheme val="major"/>
    </font>
    <font>
      <sz val="14"/>
      <color theme="1"/>
      <name val="Calibri Light"/>
      <family val="2"/>
      <scheme val="major"/>
    </font>
    <font>
      <b/>
      <sz val="14"/>
      <color rgb="FFC00000"/>
      <name val="Calibri Light"/>
      <family val="2"/>
      <scheme val="major"/>
    </font>
    <font>
      <sz val="10"/>
      <name val="Calibri Light"/>
      <family val="2"/>
      <scheme val="major"/>
    </font>
    <font>
      <b/>
      <sz val="22"/>
      <color theme="0"/>
      <name val="Calibri Light"/>
      <family val="2"/>
      <scheme val="major"/>
    </font>
    <font>
      <b/>
      <sz val="12"/>
      <color theme="6" tint="0.79998168889431442"/>
      <name val="Californian FB"/>
      <family val="1"/>
    </font>
    <font>
      <b/>
      <sz val="11"/>
      <name val="Calibri"/>
      <family val="2"/>
      <scheme val="minor"/>
    </font>
    <font>
      <b/>
      <sz val="14"/>
      <color theme="0"/>
      <name val="Californian FB"/>
      <family val="1"/>
    </font>
    <font>
      <b/>
      <i/>
      <sz val="9"/>
      <color theme="0"/>
      <name val="Calibri"/>
      <family val="2"/>
      <scheme val="minor"/>
    </font>
    <font>
      <sz val="12"/>
      <color theme="0"/>
      <name val="Calibri"/>
      <family val="2"/>
      <scheme val="minor"/>
    </font>
    <font>
      <b/>
      <sz val="12"/>
      <name val="Calibri"/>
      <family val="2"/>
      <scheme val="minor"/>
    </font>
    <font>
      <sz val="10"/>
      <color theme="1"/>
      <name val="Calibri"/>
      <family val="2"/>
      <scheme val="minor"/>
    </font>
    <font>
      <sz val="10.5"/>
      <color rgb="FF000000"/>
      <name val="Calibri"/>
      <family val="2"/>
      <scheme val="minor"/>
    </font>
    <font>
      <sz val="11"/>
      <color rgb="FF000000"/>
      <name val="Calibri"/>
      <family val="2"/>
      <scheme val="minor"/>
    </font>
    <font>
      <sz val="12"/>
      <color rgb="FFFF0000"/>
      <name val="Calibri"/>
      <family val="2"/>
      <scheme val="minor"/>
    </font>
    <font>
      <b/>
      <sz val="24"/>
      <color rgb="FF00B050"/>
      <name val="Calibri Light"/>
      <family val="2"/>
      <scheme val="major"/>
    </font>
    <font>
      <sz val="14"/>
      <color rgb="FF00B050"/>
      <name val="Calibri Light"/>
      <family val="2"/>
      <scheme val="major"/>
    </font>
    <font>
      <b/>
      <sz val="8"/>
      <color rgb="FFFF0000"/>
      <name val="Calibri Light"/>
      <family val="2"/>
      <scheme val="major"/>
    </font>
    <font>
      <sz val="10"/>
      <color theme="2" tint="-9.9978637043366805E-2"/>
      <name val="Calibri Light"/>
      <family val="2"/>
      <scheme val="major"/>
    </font>
    <font>
      <sz val="9"/>
      <color theme="0"/>
      <name val="Calibri Light"/>
      <family val="2"/>
      <scheme val="major"/>
    </font>
    <font>
      <sz val="8"/>
      <color theme="0"/>
      <name val="Calibri Light"/>
      <family val="2"/>
      <scheme val="major"/>
    </font>
    <font>
      <sz val="9"/>
      <color theme="1"/>
      <name val="Calibri"/>
      <family val="2"/>
      <scheme val="minor"/>
    </font>
    <font>
      <u/>
      <sz val="9"/>
      <color theme="10"/>
      <name val="Calibri"/>
      <family val="2"/>
      <scheme val="minor"/>
    </font>
    <font>
      <b/>
      <sz val="9"/>
      <color theme="1"/>
      <name val="Calibri"/>
      <family val="2"/>
      <scheme val="minor"/>
    </font>
    <font>
      <sz val="10"/>
      <color theme="0"/>
      <name val="Calibri Light"/>
      <family val="2"/>
      <scheme val="major"/>
    </font>
    <font>
      <sz val="18"/>
      <color theme="0"/>
      <name val="Dosis Regular"/>
    </font>
    <font>
      <sz val="11"/>
      <color theme="0"/>
      <name val="Dosis Regular"/>
    </font>
    <font>
      <b/>
      <sz val="28"/>
      <name val="Dosis Regular"/>
    </font>
    <font>
      <sz val="20"/>
      <name val="Dosis Regular"/>
    </font>
    <font>
      <sz val="18"/>
      <color theme="0" tint="-0.34998626667073579"/>
      <name val="Dosis Regular"/>
    </font>
    <font>
      <sz val="14"/>
      <color theme="0" tint="-0.34998626667073579"/>
      <name val="Dosis Regular"/>
    </font>
    <font>
      <sz val="11"/>
      <color theme="0"/>
      <name val="Calibri Light"/>
      <family val="2"/>
      <scheme val="major"/>
    </font>
    <font>
      <sz val="16"/>
      <color theme="1"/>
      <name val="Dosis Regular"/>
    </font>
    <font>
      <sz val="8"/>
      <name val="Calibri"/>
      <family val="2"/>
      <scheme val="minor"/>
    </font>
    <font>
      <sz val="12"/>
      <color rgb="FF777777"/>
      <name val="Arial"/>
      <family val="2"/>
    </font>
    <font>
      <b/>
      <sz val="12"/>
      <color rgb="FF777777"/>
      <name val="Arial"/>
      <family val="2"/>
    </font>
    <font>
      <b/>
      <sz val="16"/>
      <color theme="0"/>
      <name val="Bahnschrift Light"/>
      <family val="2"/>
    </font>
    <font>
      <sz val="5"/>
      <color theme="7"/>
      <name val="Calibri"/>
      <family val="2"/>
      <scheme val="minor"/>
    </font>
    <font>
      <u/>
      <sz val="5"/>
      <color theme="7"/>
      <name val="Calibri"/>
      <family val="2"/>
      <scheme val="minor"/>
    </font>
    <font>
      <b/>
      <sz val="12"/>
      <color theme="1"/>
      <name val="Dosis Regular"/>
    </font>
    <font>
      <sz val="15"/>
      <color rgb="FF0F0F0F"/>
      <name val="Arial"/>
      <family val="2"/>
    </font>
    <font>
      <b/>
      <sz val="12"/>
      <color rgb="FF000000"/>
      <name val="Calibri Light"/>
      <family val="2"/>
    </font>
    <font>
      <u/>
      <sz val="12"/>
      <name val="Calibri"/>
      <family val="2"/>
      <scheme val="minor"/>
    </font>
    <font>
      <b/>
      <sz val="14"/>
      <color theme="9" tint="-0.249977111117893"/>
      <name val="Calibri"/>
      <family val="2"/>
      <scheme val="minor"/>
    </font>
    <font>
      <b/>
      <sz val="16"/>
      <color theme="9" tint="-0.249977111117893"/>
      <name val="Calibri"/>
      <family val="2"/>
      <scheme val="minor"/>
    </font>
  </fonts>
  <fills count="83">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1"/>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2" tint="-0.89999084444715716"/>
        <bgColor indexed="64"/>
      </patternFill>
    </fill>
    <fill>
      <patternFill patternType="solid">
        <fgColor theme="3" tint="-0.499984740745262"/>
        <bgColor indexed="64"/>
      </patternFill>
    </fill>
    <fill>
      <patternFill patternType="solid">
        <fgColor theme="7" tint="-0.499984740745262"/>
        <bgColor indexed="64"/>
      </patternFill>
    </fill>
    <fill>
      <patternFill patternType="solid">
        <fgColor theme="4" tint="-0.499984740745262"/>
        <bgColor indexed="64"/>
      </patternFill>
    </fill>
    <fill>
      <patternFill patternType="solid">
        <fgColor theme="2" tint="-0.499984740745262"/>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C08E00"/>
        <bgColor indexed="64"/>
      </patternFill>
    </fill>
    <fill>
      <patternFill patternType="solid">
        <fgColor rgb="FF478E00"/>
        <bgColor indexed="64"/>
      </patternFill>
    </fill>
    <fill>
      <patternFill patternType="solid">
        <fgColor rgb="FFFF89B0"/>
        <bgColor indexed="64"/>
      </patternFill>
    </fill>
    <fill>
      <patternFill patternType="solid">
        <fgColor rgb="FFFF3FFF"/>
        <bgColor indexed="64"/>
      </patternFill>
    </fill>
    <fill>
      <patternFill patternType="solid">
        <fgColor rgb="FF00B050"/>
        <bgColor indexed="64"/>
      </patternFill>
    </fill>
    <fill>
      <patternFill patternType="solid">
        <fgColor rgb="FFFF4519"/>
        <bgColor indexed="64"/>
      </patternFill>
    </fill>
    <fill>
      <patternFill patternType="solid">
        <fgColor rgb="FF461100"/>
        <bgColor indexed="64"/>
      </patternFill>
    </fill>
    <fill>
      <patternFill patternType="solid">
        <fgColor rgb="FF5C0000"/>
        <bgColor indexed="64"/>
      </patternFill>
    </fill>
    <fill>
      <patternFill patternType="solid">
        <fgColor rgb="FF00B0F0"/>
        <bgColor indexed="64"/>
      </patternFill>
    </fill>
    <fill>
      <patternFill patternType="solid">
        <fgColor rgb="FFD2A000"/>
        <bgColor indexed="64"/>
      </patternFill>
    </fill>
    <fill>
      <patternFill patternType="solid">
        <fgColor rgb="FFC09200"/>
        <bgColor indexed="64"/>
      </patternFill>
    </fill>
    <fill>
      <patternFill patternType="solid">
        <fgColor rgb="FFFFC000"/>
        <bgColor indexed="64"/>
      </patternFill>
    </fill>
    <fill>
      <patternFill patternType="solid">
        <fgColor rgb="FFFFB3FF"/>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1" tint="0.499984740745262"/>
        <bgColor indexed="64"/>
      </patternFill>
    </fill>
    <fill>
      <patternFill patternType="solid">
        <fgColor theme="9"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theme="8"/>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rgb="FFE0FF89"/>
        <bgColor indexed="64"/>
      </patternFill>
    </fill>
    <fill>
      <patternFill patternType="solid">
        <fgColor rgb="FF78B553"/>
        <bgColor indexed="64"/>
      </patternFill>
    </fill>
    <fill>
      <patternFill patternType="solid">
        <fgColor rgb="FF8BBC00"/>
        <bgColor indexed="64"/>
      </patternFill>
    </fill>
    <fill>
      <patternFill patternType="solid">
        <fgColor rgb="FFD81A70"/>
        <bgColor indexed="64"/>
      </patternFill>
    </fill>
    <fill>
      <patternFill patternType="solid">
        <fgColor rgb="FF087A36"/>
        <bgColor indexed="64"/>
      </patternFill>
    </fill>
    <fill>
      <patternFill patternType="solid">
        <fgColor theme="6" tint="-0.499984740745262"/>
        <bgColor indexed="64"/>
      </patternFill>
    </fill>
    <fill>
      <patternFill patternType="solid">
        <fgColor rgb="FFDAA600"/>
        <bgColor indexed="64"/>
      </patternFill>
    </fill>
    <fill>
      <patternFill patternType="solid">
        <fgColor rgb="FFC26406"/>
        <bgColor indexed="64"/>
      </patternFill>
    </fill>
    <fill>
      <patternFill patternType="solid">
        <fgColor rgb="FF235889"/>
        <bgColor indexed="64"/>
      </patternFill>
    </fill>
    <fill>
      <patternFill patternType="solid">
        <fgColor rgb="FF96124E"/>
        <bgColor indexed="64"/>
      </patternFill>
    </fill>
    <fill>
      <patternFill patternType="solid">
        <fgColor theme="2" tint="-0.249977111117893"/>
        <bgColor indexed="64"/>
      </patternFill>
    </fill>
    <fill>
      <patternFill patternType="solid">
        <fgColor rgb="FF0A9A44"/>
        <bgColor indexed="64"/>
      </patternFill>
    </fill>
    <fill>
      <patternFill patternType="solid">
        <fgColor theme="5"/>
        <bgColor indexed="64"/>
      </patternFill>
    </fill>
    <fill>
      <patternFill patternType="solid">
        <fgColor theme="7" tint="-0.249977111117893"/>
        <bgColor indexed="64"/>
      </patternFill>
    </fill>
    <fill>
      <patternFill patternType="solid">
        <fgColor theme="7"/>
        <bgColor indexed="64"/>
      </patternFill>
    </fill>
    <fill>
      <patternFill patternType="solid">
        <fgColor theme="6" tint="-0.249977111117893"/>
        <bgColor indexed="64"/>
      </patternFill>
    </fill>
    <fill>
      <patternFill patternType="solid">
        <fgColor rgb="FF3BA729"/>
        <bgColor indexed="64"/>
      </patternFill>
    </fill>
    <fill>
      <patternFill patternType="solid">
        <fgColor rgb="FF131313"/>
        <bgColor indexed="64"/>
      </patternFill>
    </fill>
    <fill>
      <patternFill patternType="solid">
        <fgColor rgb="FF077754"/>
        <bgColor indexed="64"/>
      </patternFill>
    </fill>
    <fill>
      <patternFill patternType="solid">
        <fgColor rgb="FF00BBFE"/>
        <bgColor indexed="64"/>
      </patternFill>
    </fill>
    <fill>
      <patternFill patternType="solid">
        <fgColor rgb="FFF88A1C"/>
        <bgColor indexed="64"/>
      </patternFill>
    </fill>
    <fill>
      <patternFill patternType="solid">
        <fgColor rgb="FFB08200"/>
        <bgColor indexed="64"/>
      </patternFill>
    </fill>
    <fill>
      <patternFill patternType="solid">
        <fgColor rgb="FF00B853"/>
        <bgColor indexed="64"/>
      </patternFill>
    </fill>
    <fill>
      <patternFill patternType="solid">
        <fgColor rgb="FFD6C30A"/>
        <bgColor indexed="64"/>
      </patternFill>
    </fill>
    <fill>
      <patternFill patternType="solid">
        <fgColor theme="0" tint="-0.34998626667073579"/>
        <bgColor indexed="64"/>
      </patternFill>
    </fill>
    <fill>
      <patternFill patternType="solid">
        <fgColor rgb="FFC09AF8"/>
        <bgColor indexed="64"/>
      </patternFill>
    </fill>
    <fill>
      <patternFill patternType="solid">
        <fgColor rgb="FFE2DD00"/>
        <bgColor indexed="64"/>
      </patternFill>
    </fill>
    <fill>
      <patternFill patternType="solid">
        <fgColor theme="5" tint="-0.249977111117893"/>
        <bgColor indexed="64"/>
      </patternFill>
    </fill>
    <fill>
      <patternFill patternType="solid">
        <fgColor theme="2"/>
        <bgColor indexed="64"/>
      </patternFill>
    </fill>
    <fill>
      <patternFill patternType="solid">
        <fgColor rgb="FFE6E100"/>
        <bgColor indexed="64"/>
      </patternFill>
    </fill>
    <fill>
      <patternFill patternType="solid">
        <fgColor theme="6"/>
        <bgColor indexed="64"/>
      </patternFill>
    </fill>
    <fill>
      <patternFill patternType="solid">
        <fgColor rgb="FFC8C300"/>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rgb="FF203966"/>
        <bgColor indexed="64"/>
      </patternFill>
    </fill>
    <fill>
      <patternFill patternType="solid">
        <fgColor rgb="FFC6E0B4"/>
        <bgColor indexed="64"/>
      </patternFill>
    </fill>
    <fill>
      <patternFill patternType="solid">
        <fgColor rgb="FFFFFFFF"/>
        <bgColor indexed="64"/>
      </patternFill>
    </fill>
    <fill>
      <patternFill patternType="solid">
        <fgColor rgb="FFFF33CC"/>
        <bgColor indexed="64"/>
      </patternFill>
    </fill>
  </fills>
  <borders count="18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medium">
        <color theme="2" tint="-0.749992370372631"/>
      </left>
      <right style="medium">
        <color theme="2" tint="-0.749992370372631"/>
      </right>
      <top style="medium">
        <color theme="2" tint="-0.749992370372631"/>
      </top>
      <bottom style="medium">
        <color theme="2" tint="-0.749992370372631"/>
      </bottom>
      <diagonal/>
    </border>
    <border>
      <left style="thin">
        <color theme="1"/>
      </left>
      <right style="thin">
        <color theme="1"/>
      </right>
      <top style="thin">
        <color theme="1"/>
      </top>
      <bottom style="thin">
        <color theme="1"/>
      </bottom>
      <diagonal/>
    </border>
    <border>
      <left style="medium">
        <color auto="1"/>
      </left>
      <right style="medium">
        <color auto="1"/>
      </right>
      <top style="medium">
        <color auto="1"/>
      </top>
      <bottom/>
      <diagonal/>
    </border>
    <border>
      <left style="medium">
        <color theme="1"/>
      </left>
      <right style="medium">
        <color theme="1"/>
      </right>
      <top style="medium">
        <color theme="1"/>
      </top>
      <bottom style="medium">
        <color theme="1"/>
      </bottom>
      <diagonal/>
    </border>
    <border>
      <left style="medium">
        <color auto="1"/>
      </left>
      <right/>
      <top style="medium">
        <color auto="1"/>
      </top>
      <bottom/>
      <diagonal/>
    </border>
    <border>
      <left/>
      <right/>
      <top style="medium">
        <color auto="1"/>
      </top>
      <bottom/>
      <diagonal/>
    </border>
    <border>
      <left style="thin">
        <color theme="1"/>
      </left>
      <right style="thin">
        <color theme="1"/>
      </right>
      <top/>
      <bottom style="thin">
        <color theme="1"/>
      </bottom>
      <diagonal/>
    </border>
    <border>
      <left style="thin">
        <color auto="1"/>
      </left>
      <right style="hair">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bottom style="hair">
        <color auto="1"/>
      </bottom>
      <diagonal/>
    </border>
    <border>
      <left/>
      <right/>
      <top style="hair">
        <color auto="1"/>
      </top>
      <bottom style="hair">
        <color auto="1"/>
      </bottom>
      <diagonal/>
    </border>
    <border>
      <left/>
      <right/>
      <top/>
      <bottom style="hair">
        <color theme="4" tint="-0.499984740745262"/>
      </bottom>
      <diagonal/>
    </border>
    <border>
      <left/>
      <right/>
      <top style="hair">
        <color theme="4" tint="-0.499984740745262"/>
      </top>
      <bottom style="hair">
        <color theme="4" tint="-0.499984740745262"/>
      </bottom>
      <diagonal/>
    </border>
    <border>
      <left/>
      <right/>
      <top style="thin">
        <color theme="9" tint="0.39997558519241921"/>
      </top>
      <bottom style="thin">
        <color auto="1"/>
      </bottom>
      <diagonal/>
    </border>
    <border>
      <left/>
      <right style="dotted">
        <color theme="0" tint="-0.499984740745262"/>
      </right>
      <top style="dotted">
        <color theme="0" tint="-0.499984740745262"/>
      </top>
      <bottom style="dotted">
        <color theme="0" tint="-0.499984740745262"/>
      </bottom>
      <diagonal/>
    </border>
    <border>
      <left/>
      <right/>
      <top style="dotted">
        <color theme="0" tint="-0.499984740745262"/>
      </top>
      <bottom style="dotted">
        <color theme="0" tint="-0.499984740745262"/>
      </bottom>
      <diagonal/>
    </border>
    <border>
      <left/>
      <right style="dotted">
        <color theme="0" tint="-0.499984740745262"/>
      </right>
      <top/>
      <bottom style="dotted">
        <color theme="0" tint="-0.499984740745262"/>
      </bottom>
      <diagonal/>
    </border>
    <border>
      <left/>
      <right/>
      <top/>
      <bottom style="dotted">
        <color theme="0" tint="-0.499984740745262"/>
      </bottom>
      <diagonal/>
    </border>
    <border>
      <left/>
      <right/>
      <top/>
      <bottom style="hair">
        <color theme="9" tint="-0.499984740745262"/>
      </bottom>
      <diagonal/>
    </border>
    <border>
      <left/>
      <right/>
      <top style="hair">
        <color theme="9" tint="-0.499984740745262"/>
      </top>
      <bottom style="hair">
        <color theme="9" tint="-0.499984740745262"/>
      </bottom>
      <diagonal/>
    </border>
    <border>
      <left/>
      <right/>
      <top style="hair">
        <color theme="9" tint="-0.499984740745262"/>
      </top>
      <bottom/>
      <diagonal/>
    </border>
    <border>
      <left/>
      <right/>
      <top style="dotted">
        <color theme="0" tint="-0.499984740745262"/>
      </top>
      <bottom/>
      <diagonal/>
    </border>
    <border>
      <left style="thin">
        <color theme="1"/>
      </left>
      <right style="thin">
        <color theme="1"/>
      </right>
      <top style="thin">
        <color theme="1"/>
      </top>
      <bottom/>
      <diagonal/>
    </border>
    <border>
      <left style="thin">
        <color auto="1"/>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style="thin">
        <color theme="9" tint="-0.249977111117893"/>
      </top>
      <bottom style="thin">
        <color theme="9" tint="-0.249977111117893"/>
      </bottom>
      <diagonal/>
    </border>
    <border>
      <left/>
      <right/>
      <top style="thin">
        <color theme="0"/>
      </top>
      <bottom/>
      <diagonal/>
    </border>
    <border>
      <left/>
      <right style="thin">
        <color theme="0"/>
      </right>
      <top style="thin">
        <color theme="0"/>
      </top>
      <bottom/>
      <diagonal/>
    </border>
    <border>
      <left style="thin">
        <color theme="0"/>
      </left>
      <right/>
      <top style="thin">
        <color theme="0"/>
      </top>
      <bottom/>
      <diagonal/>
    </border>
    <border>
      <left/>
      <right/>
      <top style="thin">
        <color auto="1"/>
      </top>
      <bottom/>
      <diagonal/>
    </border>
    <border>
      <left/>
      <right/>
      <top/>
      <bottom style="thin">
        <color theme="1" tint="0.24994659260841701"/>
      </bottom>
      <diagonal/>
    </border>
    <border>
      <left/>
      <right/>
      <top style="thin">
        <color theme="1" tint="0.24994659260841701"/>
      </top>
      <bottom style="thin">
        <color theme="1" tint="0.24994659260841701"/>
      </bottom>
      <diagonal/>
    </border>
    <border>
      <left/>
      <right/>
      <top style="thin">
        <color theme="1" tint="0.24994659260841701"/>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style="thin">
        <color theme="7" tint="-0.249977111117893"/>
      </left>
      <right style="thin">
        <color theme="7" tint="-0.249977111117893"/>
      </right>
      <top style="thin">
        <color theme="7" tint="-0.249977111117893"/>
      </top>
      <bottom style="thin">
        <color theme="7" tint="-0.249977111117893"/>
      </bottom>
      <diagonal/>
    </border>
    <border>
      <left/>
      <right style="thin">
        <color theme="7" tint="-0.249977111117893"/>
      </right>
      <top style="thin">
        <color theme="7" tint="-0.249977111117893"/>
      </top>
      <bottom style="thin">
        <color theme="7" tint="-0.249977111117893"/>
      </bottom>
      <diagonal/>
    </border>
    <border>
      <left style="thin">
        <color theme="7" tint="-0.249977111117893"/>
      </left>
      <right/>
      <top style="thin">
        <color theme="7" tint="-0.249977111117893"/>
      </top>
      <bottom style="thin">
        <color theme="7" tint="-0.249977111117893"/>
      </bottom>
      <diagonal/>
    </border>
    <border>
      <left/>
      <right/>
      <top style="thin">
        <color theme="7" tint="-0.249977111117893"/>
      </top>
      <bottom style="thin">
        <color theme="7" tint="-0.249977111117893"/>
      </bottom>
      <diagonal/>
    </border>
    <border>
      <left/>
      <right/>
      <top/>
      <bottom style="thin">
        <color theme="7" tint="-0.249977111117893"/>
      </bottom>
      <diagonal/>
    </border>
    <border>
      <left/>
      <right style="thin">
        <color theme="7" tint="-0.249977111117893"/>
      </right>
      <top style="thin">
        <color theme="7" tint="-0.249977111117893"/>
      </top>
      <bottom/>
      <diagonal/>
    </border>
    <border>
      <left style="thin">
        <color theme="7" tint="-0.249977111117893"/>
      </left>
      <right/>
      <top style="thin">
        <color theme="7" tint="-0.249977111117893"/>
      </top>
      <bottom/>
      <diagonal/>
    </border>
    <border>
      <left/>
      <right/>
      <top style="thin">
        <color theme="7" tint="-0.249977111117893"/>
      </top>
      <bottom/>
      <diagonal/>
    </border>
    <border>
      <left/>
      <right/>
      <top/>
      <bottom style="hair">
        <color theme="7" tint="-0.249977111117893"/>
      </bottom>
      <diagonal/>
    </border>
    <border>
      <left/>
      <right/>
      <top style="hair">
        <color theme="7" tint="-0.249977111117893"/>
      </top>
      <bottom style="hair">
        <color theme="7" tint="-0.249977111117893"/>
      </bottom>
      <diagonal/>
    </border>
    <border>
      <left/>
      <right/>
      <top style="hair">
        <color theme="7" tint="-0.249977111117893"/>
      </top>
      <bottom/>
      <diagonal/>
    </border>
    <border>
      <left/>
      <right style="hair">
        <color theme="9"/>
      </right>
      <top style="hair">
        <color theme="7" tint="-0.249977111117893"/>
      </top>
      <bottom style="hair">
        <color theme="7" tint="-0.249977111117893"/>
      </bottom>
      <diagonal/>
    </border>
    <border>
      <left style="hair">
        <color theme="9"/>
      </left>
      <right style="hair">
        <color theme="9"/>
      </right>
      <top style="hair">
        <color theme="7" tint="-0.249977111117893"/>
      </top>
      <bottom style="hair">
        <color theme="7" tint="-0.249977111117893"/>
      </bottom>
      <diagonal/>
    </border>
    <border>
      <left style="hair">
        <color theme="9"/>
      </left>
      <right/>
      <top style="hair">
        <color theme="7" tint="-0.249977111117893"/>
      </top>
      <bottom style="hair">
        <color theme="7" tint="-0.249977111117893"/>
      </bottom>
      <diagonal/>
    </border>
    <border>
      <left/>
      <right/>
      <top style="thin">
        <color rgb="FF00B0F0"/>
      </top>
      <bottom style="thin">
        <color rgb="FF00B0F0"/>
      </bottom>
      <diagonal/>
    </border>
    <border>
      <left/>
      <right/>
      <top/>
      <bottom style="hair">
        <color rgb="FF00B0F0"/>
      </bottom>
      <diagonal/>
    </border>
    <border>
      <left/>
      <right/>
      <top style="hair">
        <color rgb="FF00B0F0"/>
      </top>
      <bottom style="hair">
        <color rgb="FF00B0F0"/>
      </bottom>
      <diagonal/>
    </border>
    <border>
      <left/>
      <right style="hair">
        <color rgb="FF00B0F0"/>
      </right>
      <top/>
      <bottom style="hair">
        <color rgb="FF00B0F0"/>
      </bottom>
      <diagonal/>
    </border>
    <border>
      <left style="hair">
        <color rgb="FF00B0F0"/>
      </left>
      <right/>
      <top/>
      <bottom style="hair">
        <color rgb="FF00B0F0"/>
      </bottom>
      <diagonal/>
    </border>
    <border>
      <left/>
      <right/>
      <top/>
      <bottom style="hair">
        <color theme="9" tint="-0.249977111117893"/>
      </bottom>
      <diagonal/>
    </border>
    <border>
      <left/>
      <right/>
      <top style="thin">
        <color theme="5"/>
      </top>
      <bottom style="thin">
        <color theme="5"/>
      </bottom>
      <diagonal/>
    </border>
    <border>
      <left/>
      <right/>
      <top/>
      <bottom style="hair">
        <color theme="5"/>
      </bottom>
      <diagonal/>
    </border>
    <border>
      <left/>
      <right/>
      <top style="hair">
        <color theme="5"/>
      </top>
      <bottom style="hair">
        <color theme="5"/>
      </bottom>
      <diagonal/>
    </border>
    <border>
      <left/>
      <right/>
      <top/>
      <bottom style="hair">
        <color rgb="FFD000C6"/>
      </bottom>
      <diagonal/>
    </border>
    <border>
      <left/>
      <right/>
      <top style="hair">
        <color rgb="FFD000C6"/>
      </top>
      <bottom style="hair">
        <color rgb="FFD000C6"/>
      </bottom>
      <diagonal/>
    </border>
    <border>
      <left/>
      <right/>
      <top style="thin">
        <color rgb="FFD000C6"/>
      </top>
      <bottom style="thin">
        <color rgb="FFD000C6"/>
      </bottom>
      <diagonal/>
    </border>
    <border>
      <left/>
      <right/>
      <top/>
      <bottom style="thin">
        <color theme="7" tint="-0.499984740745262"/>
      </bottom>
      <diagonal/>
    </border>
    <border>
      <left/>
      <right/>
      <top style="thin">
        <color theme="7" tint="-0.499984740745262"/>
      </top>
      <bottom style="thin">
        <color theme="7" tint="-0.499984740745262"/>
      </bottom>
      <diagonal/>
    </border>
    <border>
      <left/>
      <right/>
      <top/>
      <bottom style="hair">
        <color theme="7" tint="-0.499984740745262"/>
      </bottom>
      <diagonal/>
    </border>
    <border>
      <left/>
      <right/>
      <top style="hair">
        <color theme="7" tint="-0.499984740745262"/>
      </top>
      <bottom/>
      <diagonal/>
    </border>
    <border>
      <left/>
      <right/>
      <top style="thin">
        <color theme="7" tint="-0.499984740745262"/>
      </top>
      <bottom/>
      <diagonal/>
    </border>
    <border>
      <left style="hair">
        <color theme="7" tint="-0.499984740745262"/>
      </left>
      <right style="hair">
        <color theme="7" tint="-0.499984740745262"/>
      </right>
      <top style="hair">
        <color theme="7" tint="-0.499984740745262"/>
      </top>
      <bottom style="hair">
        <color theme="7"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5" tint="-0.249977111117893"/>
      </left>
      <right style="thin">
        <color theme="5" tint="-0.249977111117893"/>
      </right>
      <top style="thin">
        <color theme="5" tint="-0.249977111117893"/>
      </top>
      <bottom style="hair">
        <color theme="5"/>
      </bottom>
      <diagonal/>
    </border>
    <border>
      <left style="thin">
        <color theme="5" tint="-0.249977111117893"/>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style="thin">
        <color theme="5" tint="-0.249977111117893"/>
      </left>
      <right style="thin">
        <color theme="5" tint="-0.249977111117893"/>
      </right>
      <top style="hair">
        <color theme="5"/>
      </top>
      <bottom/>
      <diagonal/>
    </border>
    <border>
      <left style="thin">
        <color theme="5" tint="-0.249977111117893"/>
      </left>
      <right style="thin">
        <color theme="5" tint="-0.249977111117893"/>
      </right>
      <top/>
      <bottom/>
      <diagonal/>
    </border>
    <border>
      <left style="thin">
        <color theme="9" tint="-0.249977111117893"/>
      </left>
      <right style="thin">
        <color theme="9" tint="-0.249977111117893"/>
      </right>
      <top style="hair">
        <color theme="9" tint="-0.249977111117893"/>
      </top>
      <bottom style="thin">
        <color theme="9" tint="-0.249977111117893"/>
      </bottom>
      <diagonal/>
    </border>
    <border>
      <left style="thin">
        <color theme="9" tint="-0.249977111117893"/>
      </left>
      <right style="thin">
        <color theme="9" tint="-0.249977111117893"/>
      </right>
      <top style="thin">
        <color theme="9" tint="-0.249977111117893"/>
      </top>
      <bottom/>
      <diagonal/>
    </border>
    <border>
      <left style="thin">
        <color theme="9" tint="-0.249977111117893"/>
      </left>
      <right style="thin">
        <color theme="9" tint="-0.249977111117893"/>
      </right>
      <top/>
      <bottom style="thin">
        <color theme="9" tint="-0.249977111117893"/>
      </bottom>
      <diagonal/>
    </border>
    <border>
      <left style="thin">
        <color theme="5" tint="-0.249977111117893"/>
      </left>
      <right style="thin">
        <color theme="5" tint="-0.249977111117893"/>
      </right>
      <top style="thin">
        <color theme="5" tint="-0.249977111117893"/>
      </top>
      <bottom/>
      <diagonal/>
    </border>
    <border>
      <left style="thin">
        <color theme="9" tint="-0.249977111117893"/>
      </left>
      <right style="thin">
        <color theme="9" tint="-0.249977111117893"/>
      </right>
      <top/>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hair">
        <color theme="9" tint="-0.499984740745262"/>
      </left>
      <right/>
      <top style="hair">
        <color theme="9" tint="-0.499984740745262"/>
      </top>
      <bottom style="hair">
        <color theme="9" tint="-0.499984740745262"/>
      </bottom>
      <diagonal/>
    </border>
    <border>
      <left/>
      <right style="hair">
        <color theme="9" tint="-0.499984740745262"/>
      </right>
      <top style="hair">
        <color theme="9" tint="-0.499984740745262"/>
      </top>
      <bottom style="hair">
        <color theme="9" tint="-0.499984740745262"/>
      </bottom>
      <diagonal/>
    </border>
    <border>
      <left/>
      <right/>
      <top style="thin">
        <color theme="0" tint="-0.499984740745262"/>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hair">
        <color rgb="FFD000C6"/>
      </top>
      <bottom/>
      <diagonal/>
    </border>
    <border>
      <left/>
      <right/>
      <top style="hair">
        <color theme="9" tint="-0.249977111117893"/>
      </top>
      <bottom/>
      <diagonal/>
    </border>
    <border>
      <left/>
      <right/>
      <top style="hair">
        <color auto="1"/>
      </top>
      <bottom/>
      <diagonal/>
    </border>
    <border>
      <left style="thin">
        <color rgb="FFA679FF"/>
      </left>
      <right style="thin">
        <color rgb="FFA679FF"/>
      </right>
      <top style="thin">
        <color rgb="FFA679FF"/>
      </top>
      <bottom style="thin">
        <color rgb="FFA679FF"/>
      </bottom>
      <diagonal/>
    </border>
    <border>
      <left style="thin">
        <color rgb="FFA679FF"/>
      </left>
      <right style="thin">
        <color rgb="FFA679FF"/>
      </right>
      <top/>
      <bottom style="thin">
        <color rgb="FFA679FF"/>
      </bottom>
      <diagonal/>
    </border>
    <border>
      <left style="thin">
        <color rgb="FFA679FF"/>
      </left>
      <right style="thin">
        <color rgb="FFA679FF"/>
      </right>
      <top style="thin">
        <color rgb="FFA679FF"/>
      </top>
      <bottom style="thick">
        <color rgb="FF203966"/>
      </bottom>
      <diagonal/>
    </border>
    <border>
      <left/>
      <right style="thick">
        <color rgb="FF203966"/>
      </right>
      <top/>
      <bottom/>
      <diagonal/>
    </border>
    <border>
      <left/>
      <right style="thin">
        <color rgb="FFA679FF"/>
      </right>
      <top/>
      <bottom style="thin">
        <color rgb="FFA679FF"/>
      </bottom>
      <diagonal/>
    </border>
    <border>
      <left/>
      <right style="thin">
        <color rgb="FFA679FF"/>
      </right>
      <top style="thin">
        <color rgb="FFA679FF"/>
      </top>
      <bottom style="thin">
        <color rgb="FFA679FF"/>
      </bottom>
      <diagonal/>
    </border>
    <border>
      <left/>
      <right style="thin">
        <color rgb="FFA679FF"/>
      </right>
      <top style="thin">
        <color rgb="FFA679FF"/>
      </top>
      <bottom style="thick">
        <color rgb="FF203966"/>
      </bottom>
      <diagonal/>
    </border>
    <border>
      <left style="thick">
        <color rgb="FF203966"/>
      </left>
      <right/>
      <top style="thin">
        <color rgb="FFA679FF"/>
      </top>
      <bottom style="thin">
        <color rgb="FFA679FF"/>
      </bottom>
      <diagonal/>
    </border>
    <border>
      <left/>
      <right/>
      <top style="thin">
        <color rgb="FFA679FF"/>
      </top>
      <bottom style="thin">
        <color rgb="FFA679FF"/>
      </bottom>
      <diagonal/>
    </border>
    <border>
      <left style="thin">
        <color rgb="FFA679FF"/>
      </left>
      <right/>
      <top style="thin">
        <color rgb="FFA679FF"/>
      </top>
      <bottom style="thin">
        <color rgb="FFA679FF"/>
      </bottom>
      <diagonal/>
    </border>
    <border>
      <left style="thin">
        <color rgb="FFA679FF"/>
      </left>
      <right/>
      <top/>
      <bottom style="thin">
        <color rgb="FFA679FF"/>
      </bottom>
      <diagonal/>
    </border>
    <border>
      <left style="thick">
        <color rgb="FF203966"/>
      </left>
      <right/>
      <top style="thin">
        <color rgb="FFA679FF"/>
      </top>
      <bottom style="thick">
        <color rgb="FF203966"/>
      </bottom>
      <diagonal/>
    </border>
    <border>
      <left/>
      <right/>
      <top style="thin">
        <color rgb="FFA679FF"/>
      </top>
      <bottom style="thick">
        <color rgb="FF203966"/>
      </bottom>
      <diagonal/>
    </border>
    <border>
      <left style="thick">
        <color rgb="FF203966"/>
      </left>
      <right/>
      <top style="thick">
        <color rgb="FF203966"/>
      </top>
      <bottom style="thin">
        <color rgb="FFA679FF"/>
      </bottom>
      <diagonal/>
    </border>
    <border>
      <left/>
      <right/>
      <top style="thick">
        <color rgb="FF203966"/>
      </top>
      <bottom style="thin">
        <color rgb="FFA679FF"/>
      </bottom>
      <diagonal/>
    </border>
    <border>
      <left/>
      <right style="thin">
        <color rgb="FFA679FF"/>
      </right>
      <top style="thick">
        <color rgb="FF203966"/>
      </top>
      <bottom style="thin">
        <color rgb="FFA679FF"/>
      </bottom>
      <diagonal/>
    </border>
    <border>
      <left style="thick">
        <color rgb="FF203966"/>
      </left>
      <right/>
      <top style="thin">
        <color auto="1"/>
      </top>
      <bottom style="thin">
        <color rgb="FFA679FF"/>
      </bottom>
      <diagonal/>
    </border>
    <border>
      <left/>
      <right/>
      <top style="thin">
        <color auto="1"/>
      </top>
      <bottom style="thin">
        <color rgb="FFA679FF"/>
      </bottom>
      <diagonal/>
    </border>
    <border>
      <left/>
      <right style="thick">
        <color rgb="FF203966"/>
      </right>
      <top style="thin">
        <color auto="1"/>
      </top>
      <bottom style="thin">
        <color rgb="FFA679FF"/>
      </bottom>
      <diagonal/>
    </border>
    <border>
      <left/>
      <right style="thick">
        <color rgb="FF203966"/>
      </right>
      <top style="thin">
        <color rgb="FFA679FF"/>
      </top>
      <bottom style="thick">
        <color rgb="FF203966"/>
      </bottom>
      <diagonal/>
    </border>
    <border>
      <left/>
      <right style="thick">
        <color rgb="FF203966"/>
      </right>
      <top style="thin">
        <color rgb="FFA679FF"/>
      </top>
      <bottom style="thin">
        <color rgb="FFA679FF"/>
      </bottom>
      <diagonal/>
    </border>
    <border>
      <left/>
      <right style="thick">
        <color rgb="FF203966"/>
      </right>
      <top style="thick">
        <color rgb="FF203966"/>
      </top>
      <bottom/>
      <diagonal/>
    </border>
    <border>
      <left/>
      <right style="thick">
        <color rgb="FF203966"/>
      </right>
      <top/>
      <bottom style="thick">
        <color rgb="FF203966"/>
      </bottom>
      <diagonal/>
    </border>
    <border>
      <left style="thin">
        <color rgb="FFA679FF"/>
      </left>
      <right/>
      <top style="thin">
        <color rgb="FFA679FF"/>
      </top>
      <bottom style="thick">
        <color rgb="FF203966"/>
      </bottom>
      <diagonal/>
    </border>
    <border>
      <left style="thin">
        <color rgb="FFA679FF"/>
      </left>
      <right/>
      <top/>
      <bottom/>
      <diagonal/>
    </border>
    <border>
      <left/>
      <right style="thin">
        <color rgb="FFA679FF"/>
      </right>
      <top/>
      <bottom/>
      <diagonal/>
    </border>
    <border>
      <left style="thick">
        <color rgb="FF203966"/>
      </left>
      <right/>
      <top style="thin">
        <color rgb="FFA679FF"/>
      </top>
      <bottom/>
      <diagonal/>
    </border>
    <border>
      <left/>
      <right/>
      <top style="thin">
        <color rgb="FFA679FF"/>
      </top>
      <bottom/>
      <diagonal/>
    </border>
    <border>
      <left/>
      <right style="thin">
        <color rgb="FFA679FF"/>
      </right>
      <top style="thin">
        <color rgb="FFA679FF"/>
      </top>
      <bottom/>
      <diagonal/>
    </border>
    <border>
      <left style="thick">
        <color rgb="FF203966"/>
      </left>
      <right/>
      <top/>
      <bottom style="thin">
        <color rgb="FFA679FF"/>
      </bottom>
      <diagonal/>
    </border>
    <border>
      <left/>
      <right/>
      <top/>
      <bottom style="thin">
        <color rgb="FFA679FF"/>
      </bottom>
      <diagonal/>
    </border>
    <border>
      <left style="thick">
        <color rgb="FF203966"/>
      </left>
      <right/>
      <top style="thin">
        <color rgb="FFA679FF"/>
      </top>
      <bottom style="thin">
        <color rgb="FF203966"/>
      </bottom>
      <diagonal/>
    </border>
    <border>
      <left/>
      <right/>
      <top style="thin">
        <color rgb="FFA679FF"/>
      </top>
      <bottom style="thin">
        <color rgb="FF203966"/>
      </bottom>
      <diagonal/>
    </border>
    <border>
      <left/>
      <right style="thin">
        <color rgb="FFA679FF"/>
      </right>
      <top style="thin">
        <color rgb="FFA679FF"/>
      </top>
      <bottom style="thin">
        <color rgb="FF203966"/>
      </bottom>
      <diagonal/>
    </border>
    <border>
      <left style="thin">
        <color rgb="FFA679FF"/>
      </left>
      <right/>
      <top style="thin">
        <color rgb="FFA679FF"/>
      </top>
      <bottom/>
      <diagonal/>
    </border>
    <border>
      <left style="thin">
        <color rgb="FFA679FF"/>
      </left>
      <right/>
      <top style="thin">
        <color rgb="FF2C4E8C"/>
      </top>
      <bottom style="thick">
        <color rgb="FF203966"/>
      </bottom>
      <diagonal/>
    </border>
    <border>
      <left style="thin">
        <color rgb="FFA679FF"/>
      </left>
      <right/>
      <top style="thick">
        <color rgb="FF2C4E8C"/>
      </top>
      <bottom style="thin">
        <color rgb="FFA679FF"/>
      </bottom>
      <diagonal/>
    </border>
    <border>
      <left/>
      <right/>
      <top style="thick">
        <color rgb="FF203966"/>
      </top>
      <bottom/>
      <diagonal/>
    </border>
    <border>
      <left/>
      <right/>
      <top style="thick">
        <color rgb="FF203966"/>
      </top>
      <bottom style="thin">
        <color rgb="FF2C4E8C"/>
      </bottom>
      <diagonal/>
    </border>
    <border>
      <left style="thin">
        <color rgb="FFA679FF"/>
      </left>
      <right/>
      <top style="thick">
        <color rgb="FF203966"/>
      </top>
      <bottom style="thin">
        <color rgb="FF2C4E8C"/>
      </bottom>
      <diagonal/>
    </border>
    <border>
      <left style="thick">
        <color rgb="FF203966"/>
      </left>
      <right/>
      <top style="thick">
        <color rgb="FF203966"/>
      </top>
      <bottom style="thin">
        <color rgb="FF2C4E8C"/>
      </bottom>
      <diagonal/>
    </border>
    <border>
      <left/>
      <right style="thin">
        <color rgb="FFA679FF"/>
      </right>
      <top style="thick">
        <color rgb="FF203966"/>
      </top>
      <bottom style="thin">
        <color rgb="FF2C4E8C"/>
      </bottom>
      <diagonal/>
    </border>
    <border>
      <left/>
      <right/>
      <top/>
      <bottom style="thin">
        <color rgb="FF2C4E8C"/>
      </bottom>
      <diagonal/>
    </border>
    <border>
      <left style="thick">
        <color rgb="FF203966"/>
      </left>
      <right/>
      <top style="thin">
        <color rgb="FFA679FF"/>
      </top>
      <bottom style="thin">
        <color rgb="FF2C4E8C"/>
      </bottom>
      <diagonal/>
    </border>
    <border>
      <left/>
      <right/>
      <top style="thin">
        <color rgb="FFA679FF"/>
      </top>
      <bottom style="thin">
        <color rgb="FF2C4E8C"/>
      </bottom>
      <diagonal/>
    </border>
    <border>
      <left/>
      <right style="thin">
        <color rgb="FFA679FF"/>
      </right>
      <top style="thin">
        <color rgb="FFA679FF"/>
      </top>
      <bottom style="thin">
        <color rgb="FF2C4E8C"/>
      </bottom>
      <diagonal/>
    </border>
    <border>
      <left/>
      <right/>
      <top style="thin">
        <color rgb="FF2C4E8C"/>
      </top>
      <bottom style="thin">
        <color rgb="FF2C4E8C"/>
      </bottom>
      <diagonal/>
    </border>
    <border>
      <left style="thin">
        <color rgb="FFA679FF"/>
      </left>
      <right/>
      <top style="thin">
        <color rgb="FF2C4E8C"/>
      </top>
      <bottom style="thin">
        <color rgb="FF2C4E8C"/>
      </bottom>
      <diagonal/>
    </border>
    <border>
      <left style="thick">
        <color rgb="FF2C4E8C"/>
      </left>
      <right/>
      <top style="thin">
        <color rgb="FF2C4E8C"/>
      </top>
      <bottom style="thin">
        <color rgb="FF2C4E8C"/>
      </bottom>
      <diagonal/>
    </border>
    <border>
      <left style="thin">
        <color rgb="FFA679FF"/>
      </left>
      <right/>
      <top style="thin">
        <color rgb="FF2C4E8C"/>
      </top>
      <bottom/>
      <diagonal/>
    </border>
    <border>
      <left/>
      <right style="thin">
        <color rgb="FF2C4E8C"/>
      </right>
      <top style="thin">
        <color rgb="FF2C4E8C"/>
      </top>
      <bottom style="thin">
        <color rgb="FF2C4E8C"/>
      </bottom>
      <diagonal/>
    </border>
    <border>
      <left style="thin">
        <color rgb="FF2C4E8C"/>
      </left>
      <right/>
      <top style="thin">
        <color rgb="FF2C4E8C"/>
      </top>
      <bottom style="thin">
        <color rgb="FF2C4E8C"/>
      </bottom>
      <diagonal/>
    </border>
    <border>
      <left style="thick">
        <color rgb="FF203966"/>
      </left>
      <right/>
      <top style="thin">
        <color rgb="FF2C4E8C"/>
      </top>
      <bottom style="thin">
        <color rgb="FFA679FF"/>
      </bottom>
      <diagonal/>
    </border>
    <border>
      <left/>
      <right/>
      <top style="thin">
        <color rgb="FF2C4E8C"/>
      </top>
      <bottom style="thin">
        <color rgb="FFA679FF"/>
      </bottom>
      <diagonal/>
    </border>
    <border>
      <left/>
      <right style="thin">
        <color rgb="FFA679FF"/>
      </right>
      <top style="thin">
        <color rgb="FF2C4E8C"/>
      </top>
      <bottom style="thin">
        <color rgb="FFA679FF"/>
      </bottom>
      <diagonal/>
    </border>
    <border>
      <left style="thin">
        <color rgb="FFA679FF"/>
      </left>
      <right/>
      <top style="thin">
        <color rgb="FFA679FF"/>
      </top>
      <bottom style="thin">
        <color rgb="FF2C4E8C"/>
      </bottom>
      <diagonal/>
    </border>
    <border>
      <left style="thin">
        <color rgb="FFA679FF"/>
      </left>
      <right/>
      <top/>
      <bottom style="thick">
        <color rgb="FF203966"/>
      </bottom>
      <diagonal/>
    </border>
    <border>
      <left style="thin">
        <color rgb="FFA679FF"/>
      </left>
      <right/>
      <top style="thick">
        <color rgb="FF203966"/>
      </top>
      <bottom/>
      <diagonal/>
    </border>
    <border>
      <left style="thin">
        <color rgb="FFA679FF"/>
      </left>
      <right/>
      <top style="thick">
        <color rgb="FF203966"/>
      </top>
      <bottom style="thin">
        <color rgb="FF203966"/>
      </bottom>
      <diagonal/>
    </border>
    <border>
      <left/>
      <right style="thin">
        <color rgb="FFA679FF"/>
      </right>
      <top style="thick">
        <color rgb="FF203966"/>
      </top>
      <bottom style="thin">
        <color rgb="FF203966"/>
      </bottom>
      <diagonal/>
    </border>
    <border>
      <left style="thin">
        <color rgb="FFA679FF"/>
      </left>
      <right style="thin">
        <color rgb="FFA679FF"/>
      </right>
      <top style="thick">
        <color rgb="FF203966"/>
      </top>
      <bottom style="thin">
        <color rgb="FF203966"/>
      </bottom>
      <diagonal/>
    </border>
    <border>
      <left/>
      <right/>
      <top/>
      <bottom style="thin">
        <color theme="9" tint="0.39994506668294322"/>
      </bottom>
      <diagonal/>
    </border>
    <border>
      <left/>
      <right/>
      <top style="thin">
        <color theme="9" tint="0.39994506668294322"/>
      </top>
      <bottom style="thin">
        <color theme="9" tint="0.39994506668294322"/>
      </bottom>
      <diagonal/>
    </border>
    <border>
      <left/>
      <right/>
      <top style="thin">
        <color theme="7" tint="-0.499984740745262"/>
      </top>
      <bottom style="thin">
        <color theme="7" tint="-0.249977111117893"/>
      </bottom>
      <diagonal/>
    </border>
    <border>
      <left style="hair">
        <color rgb="FF375623"/>
      </left>
      <right style="hair">
        <color rgb="FF375623"/>
      </right>
      <top style="medium">
        <color rgb="FF375623"/>
      </top>
      <bottom/>
      <diagonal/>
    </border>
    <border>
      <left style="hair">
        <color rgb="FF375623"/>
      </left>
      <right style="hair">
        <color rgb="FF375623"/>
      </right>
      <top/>
      <bottom style="medium">
        <color auto="1"/>
      </bottom>
      <diagonal/>
    </border>
    <border>
      <left/>
      <right/>
      <top/>
      <bottom style="medium">
        <color theme="9" tint="-0.249977111117893"/>
      </bottom>
      <diagonal/>
    </border>
    <border>
      <left/>
      <right/>
      <top style="medium">
        <color theme="9" tint="-0.249977111117893"/>
      </top>
      <bottom style="medium">
        <color theme="9" tint="-0.249977111117893"/>
      </bottom>
      <diagonal/>
    </border>
    <border>
      <left/>
      <right/>
      <top style="medium">
        <color theme="9" tint="-0.249977111117893"/>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7" fillId="0" borderId="0" applyNumberFormat="0" applyFill="0" applyBorder="0" applyAlignment="0" applyProtection="0"/>
  </cellStyleXfs>
  <cellXfs count="1426">
    <xf numFmtId="0" fontId="0" fillId="0" borderId="0" xfId="0"/>
    <xf numFmtId="165" fontId="0" fillId="0" borderId="0" xfId="0" applyNumberFormat="1"/>
    <xf numFmtId="43" fontId="0" fillId="0" borderId="0" xfId="1" applyFont="1"/>
    <xf numFmtId="43" fontId="0" fillId="0" borderId="0" xfId="0" applyNumberFormat="1"/>
    <xf numFmtId="167" fontId="0" fillId="0" borderId="0" xfId="1" applyNumberFormat="1" applyFont="1"/>
    <xf numFmtId="0" fontId="0" fillId="0" borderId="0" xfId="0" applyAlignment="1">
      <alignment wrapText="1"/>
    </xf>
    <xf numFmtId="16" fontId="0" fillId="0" borderId="0" xfId="0" applyNumberFormat="1"/>
    <xf numFmtId="0" fontId="0" fillId="3" borderId="1" xfId="0" applyFill="1" applyBorder="1"/>
    <xf numFmtId="0" fontId="0" fillId="14" borderId="1" xfId="0" applyFill="1" applyBorder="1"/>
    <xf numFmtId="0" fontId="0" fillId="16" borderId="1" xfId="0" applyFill="1" applyBorder="1"/>
    <xf numFmtId="0" fontId="0" fillId="4" borderId="1" xfId="0" applyFill="1" applyBorder="1"/>
    <xf numFmtId="0" fontId="9" fillId="11" borderId="0" xfId="0" applyFont="1" applyFill="1"/>
    <xf numFmtId="0" fontId="9" fillId="7" borderId="1" xfId="0" applyFont="1" applyFill="1" applyBorder="1"/>
    <xf numFmtId="167" fontId="9" fillId="7" borderId="1" xfId="1" applyNumberFormat="1" applyFont="1" applyFill="1" applyBorder="1"/>
    <xf numFmtId="43" fontId="9" fillId="7" borderId="1" xfId="1" applyFont="1" applyFill="1" applyBorder="1"/>
    <xf numFmtId="0" fontId="9" fillId="7" borderId="1" xfId="0" applyFont="1" applyFill="1" applyBorder="1" applyAlignment="1">
      <alignment horizontal="center"/>
    </xf>
    <xf numFmtId="0" fontId="9" fillId="9" borderId="1" xfId="0" applyFont="1" applyFill="1" applyBorder="1" applyAlignment="1">
      <alignment horizontal="center"/>
    </xf>
    <xf numFmtId="0" fontId="8" fillId="13" borderId="0" xfId="0" applyFont="1" applyFill="1" applyAlignment="1">
      <alignment horizontal="center" vertical="center"/>
    </xf>
    <xf numFmtId="0" fontId="8" fillId="11" borderId="1" xfId="0" applyFont="1" applyFill="1" applyBorder="1" applyAlignment="1">
      <alignment horizontal="center" vertical="center"/>
    </xf>
    <xf numFmtId="0" fontId="9" fillId="6" borderId="1" xfId="0" applyFont="1" applyFill="1" applyBorder="1"/>
    <xf numFmtId="167" fontId="9" fillId="6" borderId="1" xfId="1" applyNumberFormat="1" applyFont="1" applyFill="1" applyBorder="1"/>
    <xf numFmtId="43" fontId="9" fillId="6" borderId="1" xfId="1" applyFont="1" applyFill="1" applyBorder="1"/>
    <xf numFmtId="0" fontId="9" fillId="6" borderId="1" xfId="0" applyFont="1" applyFill="1" applyBorder="1" applyAlignment="1">
      <alignment horizontal="center"/>
    </xf>
    <xf numFmtId="0" fontId="0" fillId="0" borderId="0" xfId="0" applyAlignment="1">
      <alignment vertical="center" wrapText="1"/>
    </xf>
    <xf numFmtId="0" fontId="0" fillId="0" borderId="0" xfId="0" applyAlignment="1">
      <alignment horizontal="center" vertical="center"/>
    </xf>
    <xf numFmtId="0" fontId="9" fillId="17" borderId="0" xfId="0" applyFont="1" applyFill="1"/>
    <xf numFmtId="0" fontId="8" fillId="12" borderId="1" xfId="0" applyFont="1" applyFill="1" applyBorder="1" applyAlignment="1">
      <alignment horizontal="center"/>
    </xf>
    <xf numFmtId="0" fontId="0" fillId="15" borderId="0" xfId="0" applyFill="1"/>
    <xf numFmtId="43" fontId="0" fillId="15" borderId="0" xfId="0" applyNumberFormat="1" applyFill="1"/>
    <xf numFmtId="167" fontId="0" fillId="15" borderId="0" xfId="1" applyNumberFormat="1" applyFont="1" applyFill="1"/>
    <xf numFmtId="0" fontId="0" fillId="15" borderId="0" xfId="0" applyFill="1" applyAlignment="1">
      <alignment wrapText="1"/>
    </xf>
    <xf numFmtId="0" fontId="9" fillId="8" borderId="0" xfId="0" applyFont="1" applyFill="1" applyAlignment="1">
      <alignment horizontal="center" vertical="center"/>
    </xf>
    <xf numFmtId="0" fontId="8" fillId="8" borderId="1" xfId="0" applyFont="1" applyFill="1" applyBorder="1"/>
    <xf numFmtId="0" fontId="10" fillId="18" borderId="1" xfId="0" applyFont="1" applyFill="1" applyBorder="1" applyAlignment="1">
      <alignment horizontal="center" vertical="center"/>
    </xf>
    <xf numFmtId="0" fontId="10" fillId="10" borderId="1" xfId="0" applyFont="1" applyFill="1" applyBorder="1"/>
    <xf numFmtId="0" fontId="10" fillId="10" borderId="1" xfId="0" applyFont="1" applyFill="1" applyBorder="1" applyAlignment="1">
      <alignment horizontal="center"/>
    </xf>
    <xf numFmtId="43" fontId="10" fillId="10" borderId="1" xfId="1" applyFont="1" applyFill="1" applyBorder="1"/>
    <xf numFmtId="0" fontId="0" fillId="19" borderId="0" xfId="0" applyFill="1"/>
    <xf numFmtId="167" fontId="0" fillId="19" borderId="0" xfId="1" applyNumberFormat="1" applyFont="1" applyFill="1"/>
    <xf numFmtId="167" fontId="0" fillId="3" borderId="1" xfId="1" applyNumberFormat="1" applyFont="1" applyFill="1" applyBorder="1"/>
    <xf numFmtId="0" fontId="0" fillId="20" borderId="0" xfId="0" applyFill="1"/>
    <xf numFmtId="43" fontId="0" fillId="20" borderId="0" xfId="0" applyNumberFormat="1" applyFill="1"/>
    <xf numFmtId="0" fontId="0" fillId="21" borderId="1" xfId="0" applyFill="1" applyBorder="1" applyAlignment="1">
      <alignment horizontal="right"/>
    </xf>
    <xf numFmtId="0" fontId="0" fillId="21" borderId="1" xfId="0" applyFill="1" applyBorder="1" applyAlignment="1">
      <alignment horizontal="center" vertical="center"/>
    </xf>
    <xf numFmtId="43" fontId="0" fillId="21" borderId="1" xfId="1" applyFont="1" applyFill="1" applyBorder="1"/>
    <xf numFmtId="0" fontId="0" fillId="21" borderId="1" xfId="0" applyFill="1" applyBorder="1"/>
    <xf numFmtId="0" fontId="0" fillId="21" borderId="1" xfId="0" applyFill="1" applyBorder="1" applyAlignment="1">
      <alignment horizontal="right" vertical="top" wrapText="1"/>
    </xf>
    <xf numFmtId="167" fontId="0" fillId="15" borderId="0" xfId="0" applyNumberFormat="1" applyFill="1"/>
    <xf numFmtId="0" fontId="9" fillId="6" borderId="3" xfId="0" applyFont="1" applyFill="1" applyBorder="1"/>
    <xf numFmtId="43" fontId="0" fillId="15" borderId="0" xfId="1" applyFont="1" applyFill="1"/>
    <xf numFmtId="0" fontId="9" fillId="24" borderId="0" xfId="0" applyFont="1" applyFill="1"/>
    <xf numFmtId="0" fontId="8" fillId="24" borderId="1" xfId="0" applyFont="1" applyFill="1" applyBorder="1"/>
    <xf numFmtId="0" fontId="8" fillId="24" borderId="1" xfId="0" applyFont="1" applyFill="1" applyBorder="1" applyAlignment="1">
      <alignment vertical="center"/>
    </xf>
    <xf numFmtId="0" fontId="9" fillId="24" borderId="1" xfId="0" applyFont="1" applyFill="1" applyBorder="1" applyAlignment="1">
      <alignment vertical="center"/>
    </xf>
    <xf numFmtId="0" fontId="9" fillId="25" borderId="1" xfId="0" applyFont="1" applyFill="1" applyBorder="1"/>
    <xf numFmtId="0" fontId="9" fillId="25" borderId="1" xfId="0" applyFont="1" applyFill="1" applyBorder="1" applyAlignment="1">
      <alignment horizontal="center"/>
    </xf>
    <xf numFmtId="167" fontId="9" fillId="25" borderId="1" xfId="1" applyNumberFormat="1" applyFont="1" applyFill="1" applyBorder="1"/>
    <xf numFmtId="0" fontId="8" fillId="8" borderId="8" xfId="0" applyFont="1" applyFill="1" applyBorder="1" applyAlignment="1">
      <alignment vertical="center"/>
    </xf>
    <xf numFmtId="0" fontId="8" fillId="8" borderId="9" xfId="0" applyFont="1" applyFill="1" applyBorder="1" applyAlignment="1">
      <alignment vertical="center"/>
    </xf>
    <xf numFmtId="0" fontId="9" fillId="8" borderId="10" xfId="0" applyFont="1" applyFill="1" applyBorder="1" applyAlignment="1">
      <alignment vertical="center"/>
    </xf>
    <xf numFmtId="0" fontId="9" fillId="8" borderId="11" xfId="0" applyFont="1" applyFill="1" applyBorder="1" applyAlignment="1">
      <alignment vertical="center"/>
    </xf>
    <xf numFmtId="0" fontId="9" fillId="8" borderId="2" xfId="0" applyFont="1" applyFill="1" applyBorder="1" applyAlignment="1">
      <alignment vertical="center"/>
    </xf>
    <xf numFmtId="0" fontId="9" fillId="8" borderId="3" xfId="0" applyFont="1" applyFill="1" applyBorder="1" applyAlignment="1">
      <alignment vertical="center"/>
    </xf>
    <xf numFmtId="1" fontId="0" fillId="15" borderId="0" xfId="0" applyNumberFormat="1" applyFill="1"/>
    <xf numFmtId="169" fontId="0" fillId="15" borderId="0" xfId="0" applyNumberFormat="1" applyFill="1"/>
    <xf numFmtId="167" fontId="1" fillId="15" borderId="0" xfId="1" applyNumberFormat="1" applyFill="1"/>
    <xf numFmtId="165" fontId="0" fillId="15" borderId="0" xfId="0" applyNumberFormat="1" applyFill="1"/>
    <xf numFmtId="166" fontId="0" fillId="15" borderId="0" xfId="0" applyNumberFormat="1" applyFill="1"/>
    <xf numFmtId="167" fontId="9" fillId="9" borderId="1" xfId="1" applyNumberFormat="1" applyFont="1" applyFill="1" applyBorder="1" applyAlignment="1">
      <alignment horizontal="center"/>
    </xf>
    <xf numFmtId="43" fontId="9" fillId="9" borderId="1" xfId="1" applyFont="1" applyFill="1" applyBorder="1" applyAlignment="1">
      <alignment horizontal="center"/>
    </xf>
    <xf numFmtId="167" fontId="0" fillId="15" borderId="0" xfId="1" applyNumberFormat="1" applyFont="1" applyFill="1" applyAlignment="1">
      <alignment horizontal="center"/>
    </xf>
    <xf numFmtId="0" fontId="0" fillId="16" borderId="7" xfId="0" applyFill="1" applyBorder="1"/>
    <xf numFmtId="0" fontId="8" fillId="11" borderId="12" xfId="0" applyFont="1" applyFill="1" applyBorder="1" applyAlignment="1">
      <alignment horizontal="center" vertical="center" wrapText="1"/>
    </xf>
    <xf numFmtId="0" fontId="8" fillId="11" borderId="12" xfId="0" applyFont="1" applyFill="1" applyBorder="1" applyAlignment="1">
      <alignment vertical="center" wrapText="1"/>
    </xf>
    <xf numFmtId="167" fontId="8" fillId="11" borderId="12" xfId="1" applyNumberFormat="1" applyFont="1" applyFill="1" applyBorder="1" applyAlignment="1">
      <alignment vertical="center" wrapText="1"/>
    </xf>
    <xf numFmtId="0" fontId="0" fillId="28" borderId="1" xfId="0" applyFill="1" applyBorder="1"/>
    <xf numFmtId="0" fontId="0" fillId="28" borderId="2" xfId="0" applyFill="1" applyBorder="1"/>
    <xf numFmtId="0" fontId="9" fillId="13" borderId="7" xfId="0" applyFont="1" applyFill="1" applyBorder="1" applyAlignment="1">
      <alignment horizontal="center" vertical="center"/>
    </xf>
    <xf numFmtId="43" fontId="1" fillId="15" borderId="0" xfId="1" applyFill="1"/>
    <xf numFmtId="0" fontId="0" fillId="28" borderId="6" xfId="0" applyFill="1" applyBorder="1"/>
    <xf numFmtId="0" fontId="0" fillId="28" borderId="8" xfId="0" applyFill="1" applyBorder="1"/>
    <xf numFmtId="0" fontId="0" fillId="28" borderId="7" xfId="0" applyFill="1" applyBorder="1"/>
    <xf numFmtId="0" fontId="0" fillId="28" borderId="10" xfId="0" applyFill="1" applyBorder="1"/>
    <xf numFmtId="0" fontId="8" fillId="13" borderId="12" xfId="0" applyFont="1" applyFill="1" applyBorder="1" applyAlignment="1">
      <alignment horizontal="center" vertical="center" wrapText="1"/>
    </xf>
    <xf numFmtId="167" fontId="8" fillId="13" borderId="12" xfId="1" applyNumberFormat="1" applyFont="1" applyFill="1" applyBorder="1" applyAlignment="1">
      <alignment horizontal="center" vertical="center" wrapText="1"/>
    </xf>
    <xf numFmtId="170" fontId="0" fillId="15" borderId="0" xfId="1" applyNumberFormat="1" applyFont="1" applyFill="1"/>
    <xf numFmtId="0" fontId="12" fillId="15" borderId="0" xfId="0" applyFont="1" applyFill="1" applyAlignment="1">
      <alignment horizontal="left" vertical="center"/>
    </xf>
    <xf numFmtId="0" fontId="17" fillId="15" borderId="0" xfId="0" applyFont="1" applyFill="1"/>
    <xf numFmtId="0" fontId="17" fillId="0" borderId="0" xfId="0" applyFont="1"/>
    <xf numFmtId="0" fontId="0" fillId="22" borderId="1" xfId="0" applyFill="1" applyBorder="1"/>
    <xf numFmtId="164" fontId="0" fillId="22" borderId="1" xfId="0" applyNumberFormat="1" applyFill="1" applyBorder="1"/>
    <xf numFmtId="0" fontId="0" fillId="15" borderId="0" xfId="0" applyFill="1" applyAlignment="1">
      <alignment vertical="center" wrapText="1"/>
    </xf>
    <xf numFmtId="0" fontId="0" fillId="15" borderId="0" xfId="0" applyFill="1" applyAlignment="1">
      <alignment horizontal="center" vertical="center"/>
    </xf>
    <xf numFmtId="0" fontId="0" fillId="22" borderId="7" xfId="0" applyFill="1" applyBorder="1"/>
    <xf numFmtId="0" fontId="8" fillId="5" borderId="16" xfId="0" applyFont="1" applyFill="1" applyBorder="1" applyAlignment="1">
      <alignment horizontal="center" vertical="center" wrapText="1"/>
    </xf>
    <xf numFmtId="0" fontId="8" fillId="5" borderId="16" xfId="0" applyFont="1" applyFill="1" applyBorder="1" applyAlignment="1">
      <alignment vertical="center" wrapText="1"/>
    </xf>
    <xf numFmtId="167" fontId="8" fillId="5" borderId="16" xfId="1" applyNumberFormat="1" applyFont="1" applyFill="1" applyBorder="1" applyAlignment="1">
      <alignment vertical="center" wrapText="1"/>
    </xf>
    <xf numFmtId="167" fontId="8" fillId="5" borderId="16" xfId="1" applyNumberFormat="1"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8" xfId="0" applyFont="1" applyFill="1" applyBorder="1" applyAlignment="1">
      <alignment vertical="center" wrapText="1"/>
    </xf>
    <xf numFmtId="0" fontId="8" fillId="24" borderId="6" xfId="0" applyFont="1" applyFill="1" applyBorder="1" applyAlignment="1">
      <alignment vertical="center" wrapText="1"/>
    </xf>
    <xf numFmtId="0" fontId="0" fillId="23" borderId="6" xfId="0" applyFill="1" applyBorder="1"/>
    <xf numFmtId="0" fontId="8" fillId="24" borderId="10" xfId="0" applyFont="1" applyFill="1" applyBorder="1" applyAlignment="1">
      <alignment vertical="center"/>
    </xf>
    <xf numFmtId="0" fontId="8" fillId="24" borderId="11" xfId="0" applyFont="1" applyFill="1" applyBorder="1" applyAlignment="1">
      <alignment vertical="center"/>
    </xf>
    <xf numFmtId="0" fontId="8" fillId="24" borderId="7" xfId="0" applyFont="1" applyFill="1" applyBorder="1" applyAlignment="1">
      <alignment horizontal="center" vertical="center"/>
    </xf>
    <xf numFmtId="0" fontId="0" fillId="23" borderId="17" xfId="0" applyFill="1" applyBorder="1"/>
    <xf numFmtId="0" fontId="0" fillId="23" borderId="8" xfId="0" applyFill="1" applyBorder="1"/>
    <xf numFmtId="0" fontId="8" fillId="15" borderId="0" xfId="0" applyFont="1" applyFill="1" applyAlignment="1">
      <alignment horizontal="center" vertical="center"/>
    </xf>
    <xf numFmtId="0" fontId="9" fillId="15" borderId="0" xfId="0" applyFont="1" applyFill="1" applyAlignment="1">
      <alignment horizontal="center"/>
    </xf>
    <xf numFmtId="0" fontId="8" fillId="17" borderId="12" xfId="0" applyFont="1" applyFill="1" applyBorder="1" applyAlignment="1">
      <alignment vertical="center" wrapText="1"/>
    </xf>
    <xf numFmtId="167" fontId="8" fillId="17" borderId="12" xfId="1" applyNumberFormat="1" applyFont="1" applyFill="1" applyBorder="1" applyAlignment="1">
      <alignment vertical="center" wrapText="1"/>
    </xf>
    <xf numFmtId="0" fontId="0" fillId="14" borderId="7" xfId="0" applyFill="1" applyBorder="1"/>
    <xf numFmtId="0" fontId="8" fillId="17" borderId="12" xfId="0" applyFont="1" applyFill="1" applyBorder="1" applyAlignment="1">
      <alignment horizontal="center" wrapText="1"/>
    </xf>
    <xf numFmtId="0" fontId="8" fillId="17" borderId="12" xfId="0" applyFont="1" applyFill="1" applyBorder="1" applyAlignment="1">
      <alignment horizontal="center" vertical="center" wrapText="1"/>
    </xf>
    <xf numFmtId="167" fontId="8" fillId="17" borderId="12" xfId="1" applyNumberFormat="1" applyFont="1" applyFill="1" applyBorder="1" applyAlignment="1">
      <alignment horizontal="center" vertical="center" wrapText="1"/>
    </xf>
    <xf numFmtId="0" fontId="0" fillId="29" borderId="17" xfId="0" applyFill="1" applyBorder="1"/>
    <xf numFmtId="0" fontId="10" fillId="27" borderId="0" xfId="0" applyFont="1" applyFill="1"/>
    <xf numFmtId="0" fontId="0" fillId="27" borderId="0" xfId="0" applyFill="1"/>
    <xf numFmtId="0" fontId="0" fillId="29" borderId="22" xfId="0" applyFill="1" applyBorder="1"/>
    <xf numFmtId="0" fontId="8" fillId="28" borderId="19" xfId="0" applyFont="1" applyFill="1" applyBorder="1" applyAlignment="1">
      <alignment horizontal="center" vertical="center" wrapText="1"/>
    </xf>
    <xf numFmtId="0" fontId="8" fillId="28" borderId="19" xfId="0" applyFont="1" applyFill="1" applyBorder="1" applyAlignment="1">
      <alignment vertical="center" wrapText="1"/>
    </xf>
    <xf numFmtId="167" fontId="8" fillId="28" borderId="19" xfId="1" applyNumberFormat="1" applyFont="1" applyFill="1" applyBorder="1" applyAlignment="1">
      <alignment vertical="center" wrapText="1"/>
    </xf>
    <xf numFmtId="171" fontId="0" fillId="15" borderId="0" xfId="1" applyNumberFormat="1" applyFont="1" applyFill="1"/>
    <xf numFmtId="1" fontId="0" fillId="0" borderId="0" xfId="0" applyNumberFormat="1"/>
    <xf numFmtId="0" fontId="2" fillId="20" borderId="7" xfId="0" applyFont="1" applyFill="1" applyBorder="1"/>
    <xf numFmtId="0" fontId="0" fillId="30" borderId="17" xfId="0" applyFill="1" applyBorder="1"/>
    <xf numFmtId="0" fontId="8" fillId="20" borderId="18" xfId="0" applyFont="1" applyFill="1" applyBorder="1" applyAlignment="1">
      <alignment horizontal="center" vertical="center" wrapText="1"/>
    </xf>
    <xf numFmtId="0" fontId="8" fillId="20" borderId="18" xfId="0" applyFont="1" applyFill="1" applyBorder="1" applyAlignment="1">
      <alignment vertical="center" wrapText="1"/>
    </xf>
    <xf numFmtId="167" fontId="8" fillId="20" borderId="18" xfId="1" applyNumberFormat="1" applyFont="1" applyFill="1" applyBorder="1" applyAlignment="1">
      <alignment vertical="center" wrapText="1"/>
    </xf>
    <xf numFmtId="0" fontId="8" fillId="31" borderId="12" xfId="0" applyFont="1" applyFill="1" applyBorder="1" applyAlignment="1">
      <alignment horizontal="center" vertical="center" wrapText="1"/>
    </xf>
    <xf numFmtId="0" fontId="8" fillId="31" borderId="12" xfId="0" applyFont="1" applyFill="1" applyBorder="1" applyAlignment="1">
      <alignment vertical="center" wrapText="1"/>
    </xf>
    <xf numFmtId="167" fontId="8" fillId="31" borderId="12" xfId="1" applyNumberFormat="1" applyFont="1" applyFill="1" applyBorder="1" applyAlignment="1">
      <alignment vertical="center" wrapText="1"/>
    </xf>
    <xf numFmtId="4" fontId="0" fillId="15" borderId="0" xfId="0" applyNumberFormat="1" applyFill="1" applyAlignment="1">
      <alignment horizontal="center"/>
    </xf>
    <xf numFmtId="4" fontId="0" fillId="15" borderId="0" xfId="1" applyNumberFormat="1" applyFont="1" applyFill="1" applyAlignment="1">
      <alignment horizontal="center"/>
    </xf>
    <xf numFmtId="4" fontId="1" fillId="15" borderId="0" xfId="1" applyNumberFormat="1" applyFill="1" applyAlignment="1">
      <alignment horizontal="center"/>
    </xf>
    <xf numFmtId="173" fontId="0" fillId="16" borderId="7" xfId="0" applyNumberFormat="1" applyFill="1" applyBorder="1" applyAlignment="1">
      <alignment horizontal="center"/>
    </xf>
    <xf numFmtId="173" fontId="0" fillId="16" borderId="7" xfId="1" applyNumberFormat="1" applyFont="1" applyFill="1" applyBorder="1" applyAlignment="1">
      <alignment horizontal="center"/>
    </xf>
    <xf numFmtId="173" fontId="1" fillId="16" borderId="7" xfId="1" applyNumberFormat="1" applyFill="1" applyBorder="1" applyAlignment="1">
      <alignment horizontal="center"/>
    </xf>
    <xf numFmtId="173" fontId="0" fillId="16" borderId="1" xfId="0" applyNumberFormat="1" applyFill="1" applyBorder="1" applyAlignment="1">
      <alignment horizontal="center"/>
    </xf>
    <xf numFmtId="173" fontId="1" fillId="16" borderId="1" xfId="1" applyNumberFormat="1" applyFill="1" applyBorder="1" applyAlignment="1">
      <alignment horizontal="center"/>
    </xf>
    <xf numFmtId="173" fontId="0" fillId="16" borderId="1" xfId="1" applyNumberFormat="1" applyFont="1" applyFill="1" applyBorder="1" applyAlignment="1">
      <alignment horizontal="center"/>
    </xf>
    <xf numFmtId="173" fontId="12" fillId="16" borderId="1" xfId="0" applyNumberFormat="1" applyFont="1" applyFill="1" applyBorder="1" applyAlignment="1">
      <alignment horizontal="center"/>
    </xf>
    <xf numFmtId="173" fontId="0" fillId="4" borderId="1" xfId="0" applyNumberFormat="1" applyFill="1" applyBorder="1" applyAlignment="1">
      <alignment horizontal="center"/>
    </xf>
    <xf numFmtId="173" fontId="0" fillId="16" borderId="3" xfId="0" applyNumberFormat="1" applyFill="1" applyBorder="1" applyAlignment="1">
      <alignment horizontal="center"/>
    </xf>
    <xf numFmtId="173" fontId="0" fillId="15" borderId="0" xfId="0" applyNumberFormat="1" applyFill="1" applyAlignment="1">
      <alignment horizontal="center"/>
    </xf>
    <xf numFmtId="173" fontId="0" fillId="15" borderId="0" xfId="1" applyNumberFormat="1" applyFont="1" applyFill="1" applyAlignment="1">
      <alignment horizontal="center"/>
    </xf>
    <xf numFmtId="173" fontId="8" fillId="11" borderId="0" xfId="0" applyNumberFormat="1" applyFont="1" applyFill="1" applyAlignment="1">
      <alignment horizontal="center"/>
    </xf>
    <xf numFmtId="173" fontId="9" fillId="11" borderId="0" xfId="0" applyNumberFormat="1" applyFont="1" applyFill="1" applyAlignment="1">
      <alignment horizontal="center"/>
    </xf>
    <xf numFmtId="173" fontId="9" fillId="11" borderId="0" xfId="1" applyNumberFormat="1" applyFont="1" applyFill="1" applyAlignment="1">
      <alignment horizontal="center"/>
    </xf>
    <xf numFmtId="173" fontId="0" fillId="4" borderId="1" xfId="1" applyNumberFormat="1" applyFont="1" applyFill="1" applyBorder="1" applyAlignment="1">
      <alignment horizontal="center"/>
    </xf>
    <xf numFmtId="173" fontId="1" fillId="4" borderId="1" xfId="1" applyNumberFormat="1" applyFill="1" applyBorder="1" applyAlignment="1">
      <alignment horizontal="center"/>
    </xf>
    <xf numFmtId="173" fontId="1" fillId="15" borderId="0" xfId="1" applyNumberFormat="1" applyFill="1" applyAlignment="1">
      <alignment horizontal="center"/>
    </xf>
    <xf numFmtId="3" fontId="0" fillId="4" borderId="1" xfId="0" applyNumberFormat="1" applyFill="1" applyBorder="1" applyAlignment="1">
      <alignment horizontal="center"/>
    </xf>
    <xf numFmtId="3" fontId="0" fillId="4" borderId="1" xfId="1" applyNumberFormat="1" applyFont="1" applyFill="1" applyBorder="1" applyAlignment="1">
      <alignment horizontal="center"/>
    </xf>
    <xf numFmtId="3" fontId="1" fillId="4" borderId="1" xfId="1" applyNumberFormat="1" applyFill="1" applyBorder="1" applyAlignment="1">
      <alignment horizontal="center"/>
    </xf>
    <xf numFmtId="3" fontId="7" fillId="4" borderId="1" xfId="1" applyNumberFormat="1" applyFont="1" applyFill="1" applyBorder="1" applyAlignment="1">
      <alignment horizontal="center"/>
    </xf>
    <xf numFmtId="3" fontId="0" fillId="16" borderId="1" xfId="1" applyNumberFormat="1" applyFont="1" applyFill="1" applyBorder="1" applyAlignment="1">
      <alignment horizontal="center"/>
    </xf>
    <xf numFmtId="3" fontId="0" fillId="15" borderId="0" xfId="0" applyNumberFormat="1" applyFill="1" applyAlignment="1">
      <alignment horizontal="center"/>
    </xf>
    <xf numFmtId="3" fontId="0" fillId="15" borderId="0" xfId="1" applyNumberFormat="1" applyFont="1" applyFill="1" applyAlignment="1">
      <alignment horizontal="center"/>
    </xf>
    <xf numFmtId="3" fontId="9" fillId="11" borderId="0" xfId="0" applyNumberFormat="1" applyFont="1" applyFill="1" applyAlignment="1">
      <alignment horizontal="center"/>
    </xf>
    <xf numFmtId="3" fontId="9" fillId="11" borderId="0" xfId="1" applyNumberFormat="1" applyFont="1" applyFill="1" applyAlignment="1">
      <alignment horizontal="center"/>
    </xf>
    <xf numFmtId="4" fontId="8" fillId="13" borderId="0" xfId="0" applyNumberFormat="1" applyFont="1" applyFill="1" applyAlignment="1">
      <alignment horizontal="center" vertical="center"/>
    </xf>
    <xf numFmtId="4" fontId="8" fillId="13" borderId="0" xfId="1" applyNumberFormat="1" applyFont="1" applyFill="1" applyAlignment="1">
      <alignment horizontal="center" vertical="center"/>
    </xf>
    <xf numFmtId="4" fontId="0" fillId="28" borderId="7" xfId="0" applyNumberFormat="1" applyFill="1" applyBorder="1" applyAlignment="1">
      <alignment horizontal="center"/>
    </xf>
    <xf numFmtId="4" fontId="0" fillId="28" borderId="7" xfId="1" applyNumberFormat="1" applyFont="1" applyFill="1" applyBorder="1" applyAlignment="1">
      <alignment horizontal="center"/>
    </xf>
    <xf numFmtId="4" fontId="1" fillId="28" borderId="7" xfId="1" applyNumberFormat="1" applyFill="1" applyBorder="1" applyAlignment="1">
      <alignment horizontal="center"/>
    </xf>
    <xf numFmtId="4" fontId="0" fillId="28" borderId="1" xfId="0" applyNumberFormat="1" applyFill="1" applyBorder="1" applyAlignment="1">
      <alignment horizontal="center"/>
    </xf>
    <xf numFmtId="4" fontId="0" fillId="28" borderId="1" xfId="1" applyNumberFormat="1" applyFont="1" applyFill="1" applyBorder="1" applyAlignment="1">
      <alignment horizontal="center"/>
    </xf>
    <xf numFmtId="4" fontId="1" fillId="28" borderId="1" xfId="1" applyNumberFormat="1" applyFill="1" applyBorder="1" applyAlignment="1">
      <alignment horizontal="center"/>
    </xf>
    <xf numFmtId="4" fontId="0" fillId="28" borderId="6" xfId="1" applyNumberFormat="1" applyFont="1" applyFill="1" applyBorder="1" applyAlignment="1">
      <alignment horizontal="center"/>
    </xf>
    <xf numFmtId="4" fontId="1" fillId="28" borderId="6" xfId="1" applyNumberFormat="1" applyFill="1" applyBorder="1" applyAlignment="1">
      <alignment horizontal="center"/>
    </xf>
    <xf numFmtId="4" fontId="0" fillId="28" borderId="6" xfId="0" applyNumberFormat="1" applyFill="1" applyBorder="1" applyAlignment="1">
      <alignment horizontal="center"/>
    </xf>
    <xf numFmtId="4" fontId="8"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4" fontId="9" fillId="8" borderId="0" xfId="1" applyNumberFormat="1" applyFont="1" applyFill="1" applyAlignment="1">
      <alignment horizontal="center" vertical="center"/>
    </xf>
    <xf numFmtId="4" fontId="0" fillId="22" borderId="7" xfId="0" applyNumberFormat="1" applyFill="1" applyBorder="1" applyAlignment="1">
      <alignment horizontal="center"/>
    </xf>
    <xf numFmtId="4" fontId="0" fillId="22" borderId="7" xfId="1" applyNumberFormat="1" applyFont="1" applyFill="1" applyBorder="1" applyAlignment="1">
      <alignment horizontal="center"/>
    </xf>
    <xf numFmtId="4" fontId="1" fillId="22" borderId="7" xfId="1" applyNumberFormat="1" applyFill="1" applyBorder="1" applyAlignment="1">
      <alignment horizontal="center"/>
    </xf>
    <xf numFmtId="4" fontId="0" fillId="22" borderId="1" xfId="0" applyNumberFormat="1" applyFill="1" applyBorder="1" applyAlignment="1">
      <alignment horizontal="center"/>
    </xf>
    <xf numFmtId="4" fontId="0" fillId="22" borderId="1" xfId="1" applyNumberFormat="1" applyFont="1" applyFill="1" applyBorder="1" applyAlignment="1">
      <alignment horizontal="center"/>
    </xf>
    <xf numFmtId="4" fontId="1" fillId="22" borderId="1" xfId="1" applyNumberFormat="1" applyFill="1" applyBorder="1" applyAlignment="1">
      <alignment horizontal="center"/>
    </xf>
    <xf numFmtId="173" fontId="0" fillId="14" borderId="7" xfId="0" applyNumberFormat="1" applyFill="1" applyBorder="1" applyAlignment="1">
      <alignment horizontal="center"/>
    </xf>
    <xf numFmtId="173" fontId="0" fillId="14" borderId="7" xfId="1" applyNumberFormat="1" applyFont="1" applyFill="1" applyBorder="1" applyAlignment="1">
      <alignment horizontal="center"/>
    </xf>
    <xf numFmtId="173" fontId="1" fillId="14" borderId="7" xfId="1" applyNumberFormat="1" applyFill="1" applyBorder="1" applyAlignment="1">
      <alignment horizontal="center"/>
    </xf>
    <xf numFmtId="173" fontId="0" fillId="14" borderId="1" xfId="0" applyNumberFormat="1" applyFill="1" applyBorder="1" applyAlignment="1">
      <alignment horizontal="center"/>
    </xf>
    <xf numFmtId="173" fontId="0" fillId="14" borderId="1" xfId="1" applyNumberFormat="1" applyFont="1" applyFill="1" applyBorder="1" applyAlignment="1">
      <alignment horizontal="center"/>
    </xf>
    <xf numFmtId="173" fontId="1" fillId="14" borderId="1" xfId="1" applyNumberFormat="1" applyFill="1" applyBorder="1" applyAlignment="1">
      <alignment horizontal="center"/>
    </xf>
    <xf numFmtId="173" fontId="9" fillId="17" borderId="0" xfId="0" applyNumberFormat="1" applyFont="1" applyFill="1" applyAlignment="1">
      <alignment horizontal="center"/>
    </xf>
    <xf numFmtId="173" fontId="8" fillId="17" borderId="0" xfId="0" applyNumberFormat="1" applyFont="1" applyFill="1" applyAlignment="1">
      <alignment horizontal="center"/>
    </xf>
    <xf numFmtId="173" fontId="9" fillId="17" borderId="0" xfId="1" applyNumberFormat="1" applyFont="1" applyFill="1" applyAlignment="1">
      <alignment horizontal="center"/>
    </xf>
    <xf numFmtId="173" fontId="0" fillId="29" borderId="22" xfId="0" applyNumberFormat="1" applyFill="1" applyBorder="1" applyAlignment="1">
      <alignment horizontal="center"/>
    </xf>
    <xf numFmtId="173" fontId="0" fillId="29" borderId="22" xfId="1" applyNumberFormat="1" applyFont="1" applyFill="1" applyBorder="1" applyAlignment="1">
      <alignment horizontal="center"/>
    </xf>
    <xf numFmtId="173" fontId="11" fillId="27" borderId="0" xfId="0" applyNumberFormat="1" applyFont="1" applyFill="1" applyAlignment="1">
      <alignment horizontal="center"/>
    </xf>
    <xf numFmtId="173" fontId="10" fillId="27" borderId="0" xfId="0" applyNumberFormat="1" applyFont="1" applyFill="1" applyAlignment="1">
      <alignment horizontal="center"/>
    </xf>
    <xf numFmtId="173" fontId="0" fillId="27" borderId="0" xfId="0" applyNumberFormat="1" applyFill="1" applyAlignment="1">
      <alignment horizontal="center"/>
    </xf>
    <xf numFmtId="173" fontId="0" fillId="29" borderId="17" xfId="1" applyNumberFormat="1" applyFont="1" applyFill="1" applyBorder="1" applyAlignment="1">
      <alignment horizontal="center"/>
    </xf>
    <xf numFmtId="173" fontId="0" fillId="29" borderId="17" xfId="0" applyNumberFormat="1" applyFill="1" applyBorder="1" applyAlignment="1">
      <alignment horizontal="center"/>
    </xf>
    <xf numFmtId="173" fontId="0" fillId="27" borderId="0" xfId="1" applyNumberFormat="1" applyFont="1" applyFill="1" applyAlignment="1">
      <alignment horizontal="center"/>
    </xf>
    <xf numFmtId="173" fontId="0" fillId="30" borderId="17" xfId="0" applyNumberFormat="1" applyFill="1" applyBorder="1" applyAlignment="1">
      <alignment horizontal="center"/>
    </xf>
    <xf numFmtId="173" fontId="0" fillId="30" borderId="17" xfId="1" applyNumberFormat="1" applyFont="1" applyFill="1" applyBorder="1" applyAlignment="1">
      <alignment horizontal="center"/>
    </xf>
    <xf numFmtId="173" fontId="0" fillId="20" borderId="0" xfId="0" applyNumberFormat="1" applyFill="1" applyAlignment="1">
      <alignment horizontal="center"/>
    </xf>
    <xf numFmtId="3" fontId="0" fillId="23" borderId="17" xfId="0" applyNumberFormat="1" applyFill="1" applyBorder="1"/>
    <xf numFmtId="3" fontId="0" fillId="23" borderId="17" xfId="1" applyNumberFormat="1" applyFont="1" applyFill="1" applyBorder="1"/>
    <xf numFmtId="3" fontId="0" fillId="15" borderId="0" xfId="0" applyNumberFormat="1" applyFill="1"/>
    <xf numFmtId="3" fontId="0" fillId="15" borderId="0" xfId="1" applyNumberFormat="1" applyFont="1" applyFill="1"/>
    <xf numFmtId="3" fontId="8" fillId="24" borderId="0" xfId="0" applyNumberFormat="1" applyFont="1" applyFill="1"/>
    <xf numFmtId="3" fontId="9" fillId="24" borderId="0" xfId="0" applyNumberFormat="1" applyFont="1" applyFill="1"/>
    <xf numFmtId="3" fontId="9" fillId="24" borderId="0" xfId="1" applyNumberFormat="1" applyFont="1" applyFill="1"/>
    <xf numFmtId="3" fontId="0" fillId="23" borderId="6" xfId="1" applyNumberFormat="1" applyFont="1" applyFill="1" applyBorder="1"/>
    <xf numFmtId="3" fontId="0" fillId="23" borderId="6" xfId="0" applyNumberFormat="1" applyFill="1" applyBorder="1"/>
    <xf numFmtId="0" fontId="2" fillId="15" borderId="0" xfId="0" applyFont="1" applyFill="1"/>
    <xf numFmtId="0" fontId="20" fillId="15" borderId="0" xfId="0" applyFont="1" applyFill="1"/>
    <xf numFmtId="0" fontId="23" fillId="15" borderId="0" xfId="0" applyFont="1" applyFill="1"/>
    <xf numFmtId="0" fontId="23" fillId="15" borderId="0" xfId="0" applyFont="1" applyFill="1" applyAlignment="1">
      <alignment horizontal="center"/>
    </xf>
    <xf numFmtId="0" fontId="25" fillId="15" borderId="0" xfId="0" applyFont="1" applyFill="1" applyAlignment="1">
      <alignment horizontal="center" vertical="center"/>
    </xf>
    <xf numFmtId="0" fontId="23" fillId="15" borderId="0" xfId="0" applyFont="1" applyFill="1" applyAlignment="1">
      <alignment vertical="center"/>
    </xf>
    <xf numFmtId="0" fontId="26" fillId="15" borderId="0" xfId="0" applyFont="1" applyFill="1" applyAlignment="1">
      <alignment horizontal="left"/>
    </xf>
    <xf numFmtId="0" fontId="23" fillId="15" borderId="0" xfId="0" applyFont="1" applyFill="1" applyAlignment="1">
      <alignment vertical="top"/>
    </xf>
    <xf numFmtId="1" fontId="26" fillId="15" borderId="0" xfId="0" applyNumberFormat="1" applyFont="1" applyFill="1" applyAlignment="1">
      <alignment horizontal="right" vertical="center"/>
    </xf>
    <xf numFmtId="0" fontId="23" fillId="15" borderId="0" xfId="0" applyFont="1" applyFill="1" applyAlignment="1">
      <alignment horizontal="left" vertical="top"/>
    </xf>
    <xf numFmtId="0" fontId="23" fillId="15" borderId="0" xfId="0" applyFont="1" applyFill="1" applyAlignment="1">
      <alignment vertical="center" wrapText="1"/>
    </xf>
    <xf numFmtId="43" fontId="26" fillId="15" borderId="0" xfId="1" applyFont="1" applyFill="1" applyAlignment="1">
      <alignment horizontal="center" vertical="center"/>
    </xf>
    <xf numFmtId="0" fontId="23" fillId="15" borderId="0" xfId="0" applyFont="1" applyFill="1" applyAlignment="1">
      <alignment horizontal="left" vertical="center" wrapText="1"/>
    </xf>
    <xf numFmtId="0" fontId="23" fillId="15" borderId="0" xfId="0" quotePrefix="1" applyFont="1" applyFill="1" applyAlignment="1">
      <alignment horizontal="right"/>
    </xf>
    <xf numFmtId="0" fontId="23" fillId="15" borderId="0" xfId="0" applyFont="1" applyFill="1" applyAlignment="1">
      <alignment horizontal="left" vertical="center"/>
    </xf>
    <xf numFmtId="0" fontId="23" fillId="15" borderId="0" xfId="0" applyFont="1" applyFill="1" applyAlignment="1">
      <alignment horizontal="right" vertical="center"/>
    </xf>
    <xf numFmtId="174" fontId="26" fillId="15" borderId="0" xfId="1" applyNumberFormat="1" applyFont="1" applyFill="1" applyAlignment="1">
      <alignment horizontal="center" vertical="center"/>
    </xf>
    <xf numFmtId="0" fontId="27" fillId="15" borderId="0" xfId="0" applyFont="1" applyFill="1" applyAlignment="1">
      <alignment horizontal="center" vertical="center"/>
    </xf>
    <xf numFmtId="0" fontId="28" fillId="15" borderId="0" xfId="0" applyFont="1" applyFill="1" applyAlignment="1">
      <alignment horizontal="center"/>
    </xf>
    <xf numFmtId="0" fontId="0" fillId="15" borderId="0" xfId="0" applyFill="1" applyAlignment="1">
      <alignment horizontal="left"/>
    </xf>
    <xf numFmtId="173" fontId="0" fillId="15" borderId="0" xfId="0" applyNumberFormat="1" applyFill="1"/>
    <xf numFmtId="0" fontId="0" fillId="30" borderId="0" xfId="0" applyFill="1"/>
    <xf numFmtId="173" fontId="0" fillId="30" borderId="0" xfId="1" applyNumberFormat="1" applyFont="1" applyFill="1" applyAlignment="1">
      <alignment horizontal="center"/>
    </xf>
    <xf numFmtId="173" fontId="0" fillId="30" borderId="0" xfId="0" applyNumberFormat="1" applyFill="1" applyAlignment="1">
      <alignment horizontal="center"/>
    </xf>
    <xf numFmtId="43" fontId="0" fillId="3" borderId="1" xfId="1" applyFont="1" applyFill="1" applyBorder="1"/>
    <xf numFmtId="43" fontId="0" fillId="23" borderId="17" xfId="1" applyFont="1" applyFill="1" applyBorder="1"/>
    <xf numFmtId="0" fontId="31" fillId="15" borderId="0" xfId="0" applyFont="1" applyFill="1" applyAlignment="1">
      <alignment horizontal="center" vertical="center" wrapText="1"/>
    </xf>
    <xf numFmtId="0" fontId="32" fillId="35" borderId="1" xfId="0" applyFont="1" applyFill="1" applyBorder="1" applyAlignment="1">
      <alignment horizontal="center" vertical="center" wrapText="1"/>
    </xf>
    <xf numFmtId="0" fontId="32" fillId="35" borderId="1" xfId="0" applyFont="1" applyFill="1" applyBorder="1" applyAlignment="1">
      <alignment horizontal="center" vertical="center"/>
    </xf>
    <xf numFmtId="0" fontId="33" fillId="36" borderId="1" xfId="0" applyFont="1" applyFill="1" applyBorder="1"/>
    <xf numFmtId="167" fontId="12" fillId="36" borderId="1" xfId="1" applyNumberFormat="1" applyFont="1" applyFill="1" applyBorder="1" applyAlignment="1">
      <alignment horizontal="center"/>
    </xf>
    <xf numFmtId="167" fontId="12" fillId="36" borderId="1" xfId="1" applyNumberFormat="1" applyFont="1" applyFill="1" applyBorder="1"/>
    <xf numFmtId="0" fontId="12" fillId="36" borderId="1" xfId="0" applyFont="1" applyFill="1" applyBorder="1" applyAlignment="1">
      <alignment horizontal="center"/>
    </xf>
    <xf numFmtId="0" fontId="12" fillId="36" borderId="1" xfId="0" applyFont="1" applyFill="1" applyBorder="1" applyAlignment="1">
      <alignment horizontal="left" wrapText="1"/>
    </xf>
    <xf numFmtId="1" fontId="12" fillId="36" borderId="1" xfId="0" applyNumberFormat="1" applyFont="1" applyFill="1" applyBorder="1" applyAlignment="1">
      <alignment horizontal="center"/>
    </xf>
    <xf numFmtId="0" fontId="12" fillId="36" borderId="1" xfId="1" applyNumberFormat="1" applyFont="1" applyFill="1" applyBorder="1" applyAlignment="1">
      <alignment horizontal="center"/>
    </xf>
    <xf numFmtId="167" fontId="12" fillId="36" borderId="23" xfId="1" applyNumberFormat="1" applyFont="1" applyFill="1" applyBorder="1"/>
    <xf numFmtId="0" fontId="33" fillId="36" borderId="3" xfId="0" applyFont="1" applyFill="1" applyBorder="1" applyAlignment="1">
      <alignment horizontal="left"/>
    </xf>
    <xf numFmtId="0" fontId="33" fillId="15" borderId="1" xfId="0" applyFont="1" applyFill="1" applyBorder="1"/>
    <xf numFmtId="167" fontId="12" fillId="0" borderId="1" xfId="1" applyNumberFormat="1" applyFont="1" applyBorder="1" applyAlignment="1">
      <alignment horizontal="center"/>
    </xf>
    <xf numFmtId="167" fontId="12" fillId="0" borderId="1" xfId="1" applyNumberFormat="1" applyFont="1" applyBorder="1"/>
    <xf numFmtId="0" fontId="12" fillId="0" borderId="1" xfId="0" applyFont="1" applyBorder="1" applyAlignment="1">
      <alignment horizontal="center"/>
    </xf>
    <xf numFmtId="0" fontId="12" fillId="0" borderId="1" xfId="0" applyFont="1" applyBorder="1" applyAlignment="1">
      <alignment horizontal="left" wrapText="1"/>
    </xf>
    <xf numFmtId="1" fontId="12" fillId="0" borderId="1" xfId="0" applyNumberFormat="1" applyFont="1" applyBorder="1" applyAlignment="1">
      <alignment horizontal="center"/>
    </xf>
    <xf numFmtId="0" fontId="12" fillId="0" borderId="1" xfId="1" applyNumberFormat="1" applyFont="1" applyBorder="1" applyAlignment="1">
      <alignment horizontal="center"/>
    </xf>
    <xf numFmtId="167" fontId="12" fillId="0" borderId="23" xfId="1" applyNumberFormat="1" applyFont="1" applyBorder="1"/>
    <xf numFmtId="167" fontId="33" fillId="15" borderId="3" xfId="1" applyNumberFormat="1" applyFont="1" applyFill="1" applyBorder="1" applyAlignment="1">
      <alignment horizontal="left"/>
    </xf>
    <xf numFmtId="167" fontId="33" fillId="36" borderId="3" xfId="1" applyNumberFormat="1" applyFont="1" applyFill="1" applyBorder="1" applyAlignment="1">
      <alignment horizontal="left"/>
    </xf>
    <xf numFmtId="0" fontId="33" fillId="15" borderId="3" xfId="0" applyFont="1" applyFill="1" applyBorder="1" applyAlignment="1">
      <alignment horizontal="left"/>
    </xf>
    <xf numFmtId="0" fontId="33" fillId="15" borderId="3" xfId="0" applyFont="1" applyFill="1" applyBorder="1" applyAlignment="1">
      <alignment horizontal="left" wrapText="1"/>
    </xf>
    <xf numFmtId="0" fontId="33" fillId="36" borderId="3" xfId="0" applyFont="1" applyFill="1" applyBorder="1" applyAlignment="1">
      <alignment horizontal="left" wrapText="1"/>
    </xf>
    <xf numFmtId="0" fontId="34" fillId="2" borderId="1" xfId="0" applyFont="1" applyFill="1" applyBorder="1" applyAlignment="1">
      <alignment horizontal="center" vertical="center"/>
    </xf>
    <xf numFmtId="167" fontId="34" fillId="2" borderId="1" xfId="1" applyNumberFormat="1" applyFont="1" applyFill="1" applyBorder="1" applyAlignment="1">
      <alignment horizontal="center" vertical="center"/>
    </xf>
    <xf numFmtId="167" fontId="34" fillId="2" borderId="1" xfId="1" applyNumberFormat="1" applyFont="1" applyFill="1" applyBorder="1" applyAlignment="1">
      <alignment horizontal="left" vertical="center"/>
    </xf>
    <xf numFmtId="0" fontId="3" fillId="15" borderId="0" xfId="0" applyFont="1" applyFill="1" applyAlignment="1">
      <alignment horizontal="center" vertical="center"/>
    </xf>
    <xf numFmtId="0" fontId="3" fillId="0" borderId="0" xfId="0" applyFont="1" applyAlignment="1">
      <alignment horizontal="center" vertical="center"/>
    </xf>
    <xf numFmtId="0" fontId="0" fillId="15" borderId="0" xfId="0" applyFill="1" applyAlignment="1">
      <alignment vertical="top"/>
    </xf>
    <xf numFmtId="0" fontId="0" fillId="15" borderId="0" xfId="0" applyFill="1" applyAlignment="1">
      <alignment horizontal="center" vertical="top"/>
    </xf>
    <xf numFmtId="0" fontId="0" fillId="15" borderId="0" xfId="0" applyFill="1" applyAlignment="1">
      <alignment vertical="top" wrapText="1"/>
    </xf>
    <xf numFmtId="167" fontId="0" fillId="15" borderId="0" xfId="1" applyNumberFormat="1" applyFont="1" applyFill="1" applyAlignment="1">
      <alignment vertical="top"/>
    </xf>
    <xf numFmtId="0" fontId="29" fillId="37" borderId="1" xfId="0" applyFont="1" applyFill="1" applyBorder="1" applyAlignment="1">
      <alignment horizontal="center" vertical="center" wrapText="1"/>
    </xf>
    <xf numFmtId="0" fontId="29" fillId="37" borderId="1" xfId="0" applyFont="1" applyFill="1" applyBorder="1" applyAlignment="1">
      <alignment horizontal="center" vertical="center"/>
    </xf>
    <xf numFmtId="0" fontId="33" fillId="36" borderId="1" xfId="0" applyFont="1" applyFill="1" applyBorder="1" applyAlignment="1">
      <alignment horizontal="left" vertical="center"/>
    </xf>
    <xf numFmtId="0" fontId="33" fillId="36" borderId="1" xfId="0" applyFont="1" applyFill="1" applyBorder="1" applyAlignment="1">
      <alignment horizontal="right" vertical="center"/>
    </xf>
    <xf numFmtId="167" fontId="12" fillId="36" borderId="1" xfId="1" applyNumberFormat="1" applyFont="1" applyFill="1" applyBorder="1" applyAlignment="1">
      <alignment horizontal="center" vertical="center"/>
    </xf>
    <xf numFmtId="167" fontId="12" fillId="36" borderId="1" xfId="1" applyNumberFormat="1" applyFont="1" applyFill="1" applyBorder="1" applyAlignment="1">
      <alignment horizontal="right" vertical="center"/>
    </xf>
    <xf numFmtId="0" fontId="12" fillId="36" borderId="1" xfId="0" applyFont="1" applyFill="1" applyBorder="1" applyAlignment="1">
      <alignment horizontal="center" vertical="center"/>
    </xf>
    <xf numFmtId="0" fontId="12" fillId="36" borderId="1" xfId="0" applyFont="1" applyFill="1" applyBorder="1" applyAlignment="1">
      <alignment horizontal="center" vertical="center" wrapText="1"/>
    </xf>
    <xf numFmtId="1" fontId="12" fillId="36" borderId="1" xfId="0" applyNumberFormat="1" applyFont="1" applyFill="1" applyBorder="1" applyAlignment="1">
      <alignment horizontal="center" vertical="center"/>
    </xf>
    <xf numFmtId="3" fontId="12" fillId="36" borderId="1" xfId="1" applyNumberFormat="1" applyFont="1" applyFill="1" applyBorder="1" applyAlignment="1">
      <alignment horizontal="center" vertical="center"/>
    </xf>
    <xf numFmtId="175" fontId="12" fillId="36" borderId="1" xfId="3" applyNumberFormat="1" applyFont="1" applyFill="1" applyBorder="1" applyAlignment="1">
      <alignment horizontal="center" vertical="center"/>
    </xf>
    <xf numFmtId="167" fontId="33" fillId="36" borderId="1" xfId="1" applyNumberFormat="1" applyFont="1" applyFill="1" applyBorder="1" applyAlignment="1">
      <alignment horizontal="left" vertical="center"/>
    </xf>
    <xf numFmtId="167" fontId="12" fillId="36" borderId="1" xfId="1" applyNumberFormat="1" applyFont="1" applyFill="1" applyBorder="1" applyAlignment="1">
      <alignment horizontal="center" vertical="center" wrapText="1"/>
    </xf>
    <xf numFmtId="0" fontId="12" fillId="36" borderId="1" xfId="1" applyNumberFormat="1" applyFont="1" applyFill="1" applyBorder="1" applyAlignment="1">
      <alignment horizontal="center" vertical="center"/>
    </xf>
    <xf numFmtId="0" fontId="33" fillId="15" borderId="1" xfId="0" applyFont="1" applyFill="1" applyBorder="1" applyAlignment="1">
      <alignment horizontal="left" vertical="center"/>
    </xf>
    <xf numFmtId="0" fontId="33" fillId="15" borderId="1" xfId="0" applyFont="1" applyFill="1" applyBorder="1" applyAlignment="1">
      <alignment horizontal="right" vertical="center"/>
    </xf>
    <xf numFmtId="167" fontId="12" fillId="15" borderId="1" xfId="1" applyNumberFormat="1" applyFont="1" applyFill="1" applyBorder="1" applyAlignment="1">
      <alignment horizontal="center" vertical="center"/>
    </xf>
    <xf numFmtId="167" fontId="12" fillId="15" borderId="1" xfId="1" applyNumberFormat="1" applyFont="1" applyFill="1" applyBorder="1" applyAlignment="1">
      <alignment horizontal="right" vertical="center"/>
    </xf>
    <xf numFmtId="0" fontId="12" fillId="15" borderId="1" xfId="0" applyFont="1" applyFill="1" applyBorder="1" applyAlignment="1">
      <alignment horizontal="center" vertical="center" wrapText="1"/>
    </xf>
    <xf numFmtId="1" fontId="12" fillId="15" borderId="1" xfId="0" applyNumberFormat="1" applyFont="1" applyFill="1" applyBorder="1" applyAlignment="1">
      <alignment horizontal="center" vertical="center"/>
    </xf>
    <xf numFmtId="0" fontId="12" fillId="15" borderId="1" xfId="1" applyNumberFormat="1" applyFont="1" applyFill="1" applyBorder="1" applyAlignment="1">
      <alignment horizontal="center" vertical="center"/>
    </xf>
    <xf numFmtId="175" fontId="12" fillId="15" borderId="1" xfId="3" applyNumberFormat="1" applyFont="1" applyFill="1" applyBorder="1" applyAlignment="1">
      <alignment horizontal="center" vertical="center"/>
    </xf>
    <xf numFmtId="0" fontId="12" fillId="36" borderId="1" xfId="0" applyFont="1" applyFill="1" applyBorder="1" applyAlignment="1">
      <alignment horizontal="left" vertical="center"/>
    </xf>
    <xf numFmtId="167" fontId="12" fillId="36" borderId="1" xfId="1" applyNumberFormat="1" applyFont="1" applyFill="1" applyBorder="1" applyAlignment="1">
      <alignment horizontal="center" vertical="top" wrapText="1"/>
    </xf>
    <xf numFmtId="0" fontId="33" fillId="36" borderId="1" xfId="0" applyFont="1" applyFill="1" applyBorder="1" applyAlignment="1">
      <alignment horizontal="left" vertical="center" wrapText="1"/>
    </xf>
    <xf numFmtId="0" fontId="33" fillId="15" borderId="1" xfId="0" applyFont="1" applyFill="1" applyBorder="1" applyAlignment="1">
      <alignment horizontal="center" vertical="center"/>
    </xf>
    <xf numFmtId="0" fontId="12" fillId="15" borderId="1" xfId="0" applyFont="1" applyFill="1" applyBorder="1" applyAlignment="1">
      <alignment horizontal="center" vertical="center"/>
    </xf>
    <xf numFmtId="167" fontId="12" fillId="15" borderId="1" xfId="1" applyNumberFormat="1" applyFont="1" applyFill="1" applyBorder="1" applyAlignment="1">
      <alignment horizontal="center" vertical="center" wrapText="1"/>
    </xf>
    <xf numFmtId="0" fontId="33" fillId="15" borderId="1" xfId="0" applyFont="1" applyFill="1" applyBorder="1" applyAlignment="1">
      <alignment horizontal="left" vertical="center" wrapText="1"/>
    </xf>
    <xf numFmtId="0" fontId="34" fillId="4" borderId="1" xfId="0" applyFont="1" applyFill="1" applyBorder="1" applyAlignment="1">
      <alignment horizontal="left" vertical="center"/>
    </xf>
    <xf numFmtId="3" fontId="3" fillId="4" borderId="1" xfId="0" applyNumberFormat="1" applyFont="1" applyFill="1" applyBorder="1" applyAlignment="1">
      <alignment horizontal="center" vertical="center"/>
    </xf>
    <xf numFmtId="3" fontId="3" fillId="4" borderId="1" xfId="0" applyNumberFormat="1" applyFont="1" applyFill="1" applyBorder="1" applyAlignment="1">
      <alignment horizontal="center" vertical="center" wrapText="1"/>
    </xf>
    <xf numFmtId="3" fontId="3" fillId="4" borderId="1" xfId="0" applyNumberFormat="1" applyFont="1" applyFill="1" applyBorder="1" applyAlignment="1">
      <alignment horizontal="left" vertical="center"/>
    </xf>
    <xf numFmtId="175" fontId="3" fillId="4" borderId="1" xfId="3" applyNumberFormat="1" applyFont="1" applyFill="1" applyBorder="1" applyAlignment="1">
      <alignment horizontal="center" vertical="center"/>
    </xf>
    <xf numFmtId="0" fontId="3" fillId="38" borderId="0" xfId="0" applyFont="1" applyFill="1" applyAlignment="1">
      <alignment horizontal="center" vertical="center"/>
    </xf>
    <xf numFmtId="0" fontId="0" fillId="15" borderId="0" xfId="0" applyFill="1" applyAlignment="1">
      <alignment horizontal="center"/>
    </xf>
    <xf numFmtId="0" fontId="36" fillId="34" borderId="1" xfId="0" applyFont="1" applyFill="1" applyBorder="1" applyAlignment="1">
      <alignment horizontal="center"/>
    </xf>
    <xf numFmtId="3" fontId="35" fillId="40" borderId="1" xfId="0" applyNumberFormat="1" applyFont="1" applyFill="1" applyBorder="1" applyAlignment="1">
      <alignment horizontal="center" vertical="center"/>
    </xf>
    <xf numFmtId="0" fontId="35" fillId="40" borderId="1" xfId="0" applyFont="1" applyFill="1" applyBorder="1" applyAlignment="1">
      <alignment horizontal="center" vertical="center"/>
    </xf>
    <xf numFmtId="0" fontId="35" fillId="40" borderId="31" xfId="0" applyFont="1" applyFill="1" applyBorder="1" applyAlignment="1">
      <alignment horizontal="center" vertical="center"/>
    </xf>
    <xf numFmtId="0" fontId="0" fillId="0" borderId="0" xfId="0" applyAlignment="1">
      <alignment horizontal="center"/>
    </xf>
    <xf numFmtId="0" fontId="19" fillId="15" borderId="0" xfId="0" applyFont="1" applyFill="1" applyAlignment="1">
      <alignment vertical="center" wrapText="1"/>
    </xf>
    <xf numFmtId="0" fontId="0" fillId="3" borderId="0" xfId="0" applyFill="1"/>
    <xf numFmtId="167" fontId="0" fillId="3" borderId="0" xfId="1" applyNumberFormat="1" applyFont="1" applyFill="1"/>
    <xf numFmtId="43" fontId="0" fillId="3" borderId="0" xfId="1" applyFont="1" applyFill="1"/>
    <xf numFmtId="3" fontId="0" fillId="14" borderId="1" xfId="1" applyNumberFormat="1" applyFont="1" applyFill="1" applyBorder="1" applyAlignment="1">
      <alignment horizontal="center"/>
    </xf>
    <xf numFmtId="0" fontId="23" fillId="15" borderId="0" xfId="0" applyFont="1" applyFill="1" applyAlignment="1">
      <alignment horizontal="center" vertical="center"/>
    </xf>
    <xf numFmtId="0" fontId="23" fillId="15" borderId="0" xfId="0" applyFont="1" applyFill="1" applyAlignment="1">
      <alignment horizontal="center" vertical="center" wrapText="1"/>
    </xf>
    <xf numFmtId="0" fontId="26" fillId="15" borderId="0" xfId="0" applyFont="1" applyFill="1"/>
    <xf numFmtId="0" fontId="27" fillId="15" borderId="0" xfId="0" applyFont="1" applyFill="1" applyAlignment="1">
      <alignment vertical="center"/>
    </xf>
    <xf numFmtId="0" fontId="38" fillId="15" borderId="0" xfId="0" applyFont="1" applyFill="1" applyAlignment="1">
      <alignment horizontal="left" vertical="center"/>
    </xf>
    <xf numFmtId="0" fontId="38" fillId="15" borderId="0" xfId="0" applyFont="1" applyFill="1"/>
    <xf numFmtId="0" fontId="21" fillId="15" borderId="0" xfId="0" applyFont="1" applyFill="1"/>
    <xf numFmtId="0" fontId="38" fillId="15" borderId="0" xfId="0" applyFont="1" applyFill="1" applyAlignment="1">
      <alignment horizontal="center" vertical="center"/>
    </xf>
    <xf numFmtId="0" fontId="26" fillId="15" borderId="0" xfId="0" applyFont="1" applyFill="1" applyAlignment="1">
      <alignment horizontal="center" vertical="center" wrapText="1"/>
    </xf>
    <xf numFmtId="0" fontId="40" fillId="15" borderId="0" xfId="0" applyFont="1" applyFill="1" applyAlignment="1">
      <alignment horizontal="right" vertical="center"/>
    </xf>
    <xf numFmtId="0" fontId="40" fillId="15" borderId="0" xfId="0" applyFont="1" applyFill="1" applyAlignment="1">
      <alignment horizontal="left" vertical="center"/>
    </xf>
    <xf numFmtId="0" fontId="40" fillId="15" borderId="0" xfId="0" applyFont="1" applyFill="1" applyAlignment="1">
      <alignment horizontal="left" vertical="center" wrapText="1"/>
    </xf>
    <xf numFmtId="0" fontId="40" fillId="15" borderId="0" xfId="0" applyFont="1" applyFill="1" applyAlignment="1">
      <alignment horizontal="center" vertical="center"/>
    </xf>
    <xf numFmtId="0" fontId="40" fillId="15" borderId="0" xfId="0" applyFont="1" applyFill="1" applyAlignment="1">
      <alignment vertical="center" wrapText="1"/>
    </xf>
    <xf numFmtId="0" fontId="41" fillId="15" borderId="34" xfId="0" applyFont="1" applyFill="1" applyBorder="1" applyAlignment="1">
      <alignment horizontal="left" vertical="center"/>
    </xf>
    <xf numFmtId="0" fontId="41" fillId="15" borderId="34" xfId="0" applyFont="1" applyFill="1" applyBorder="1"/>
    <xf numFmtId="176" fontId="41" fillId="15" borderId="34" xfId="3" applyNumberFormat="1" applyFont="1" applyFill="1" applyBorder="1" applyAlignment="1">
      <alignment horizontal="center" vertical="center"/>
    </xf>
    <xf numFmtId="172" fontId="41" fillId="15" borderId="34" xfId="1" applyNumberFormat="1" applyFont="1" applyFill="1" applyBorder="1" applyAlignment="1">
      <alignment horizontal="center" vertical="center"/>
    </xf>
    <xf numFmtId="0" fontId="41" fillId="15" borderId="33" xfId="0" applyFont="1" applyFill="1" applyBorder="1" applyAlignment="1">
      <alignment horizontal="left" vertical="center"/>
    </xf>
    <xf numFmtId="0" fontId="41" fillId="15" borderId="33" xfId="0" applyFont="1" applyFill="1" applyBorder="1"/>
    <xf numFmtId="176" fontId="41" fillId="15" borderId="33" xfId="3" applyNumberFormat="1" applyFont="1" applyFill="1" applyBorder="1" applyAlignment="1">
      <alignment horizontal="center" vertical="center"/>
    </xf>
    <xf numFmtId="172" fontId="41" fillId="15" borderId="33" xfId="1" applyNumberFormat="1" applyFont="1" applyFill="1" applyBorder="1" applyAlignment="1">
      <alignment horizontal="center" vertical="center"/>
    </xf>
    <xf numFmtId="0" fontId="41" fillId="15" borderId="0" xfId="0" applyFont="1" applyFill="1" applyAlignment="1">
      <alignment horizontal="left" vertical="center"/>
    </xf>
    <xf numFmtId="0" fontId="41" fillId="15" borderId="0" xfId="0" applyFont="1" applyFill="1"/>
    <xf numFmtId="176" fontId="41" fillId="15" borderId="0" xfId="3" applyNumberFormat="1" applyFont="1" applyFill="1" applyBorder="1" applyAlignment="1">
      <alignment horizontal="center" vertical="center"/>
    </xf>
    <xf numFmtId="172" fontId="41" fillId="15" borderId="0" xfId="1" applyNumberFormat="1" applyFont="1" applyFill="1" applyBorder="1" applyAlignment="1">
      <alignment horizontal="center" vertical="center"/>
    </xf>
    <xf numFmtId="0" fontId="41" fillId="15" borderId="0" xfId="0" applyFont="1" applyFill="1" applyAlignment="1">
      <alignment horizontal="right" vertical="center"/>
    </xf>
    <xf numFmtId="167" fontId="42" fillId="15" borderId="0" xfId="1" applyNumberFormat="1" applyFont="1" applyFill="1" applyAlignment="1">
      <alignment horizontal="right" vertical="center"/>
    </xf>
    <xf numFmtId="0" fontId="43" fillId="15" borderId="0" xfId="0" applyFont="1" applyFill="1" applyAlignment="1">
      <alignment horizontal="center" vertical="center"/>
    </xf>
    <xf numFmtId="0" fontId="43" fillId="15" borderId="0" xfId="0" applyFont="1" applyFill="1" applyAlignment="1">
      <alignment vertical="center"/>
    </xf>
    <xf numFmtId="172" fontId="26" fillId="15" borderId="0" xfId="1" applyNumberFormat="1" applyFont="1" applyFill="1" applyAlignment="1">
      <alignment vertical="center"/>
    </xf>
    <xf numFmtId="0" fontId="23" fillId="2" borderId="0" xfId="0" applyFont="1" applyFill="1" applyAlignment="1">
      <alignment horizontal="center"/>
    </xf>
    <xf numFmtId="0" fontId="23" fillId="2" borderId="0" xfId="0" applyFont="1" applyFill="1"/>
    <xf numFmtId="0" fontId="23" fillId="2" borderId="0" xfId="0" quotePrefix="1" applyFont="1" applyFill="1"/>
    <xf numFmtId="167" fontId="26" fillId="2" borderId="0" xfId="1" applyNumberFormat="1" applyFont="1" applyFill="1" applyAlignment="1">
      <alignment horizontal="right" vertical="center"/>
    </xf>
    <xf numFmtId="0" fontId="23" fillId="2" borderId="0" xfId="0" applyFont="1" applyFill="1" applyAlignment="1">
      <alignment vertical="center"/>
    </xf>
    <xf numFmtId="172" fontId="26" fillId="2" borderId="0" xfId="1" applyNumberFormat="1" applyFont="1" applyFill="1" applyAlignment="1">
      <alignment vertical="center"/>
    </xf>
    <xf numFmtId="0" fontId="23" fillId="2" borderId="0" xfId="0" applyFont="1" applyFill="1" applyAlignment="1">
      <alignment vertical="top"/>
    </xf>
    <xf numFmtId="0" fontId="23" fillId="2" borderId="0" xfId="0" applyFont="1" applyFill="1" applyAlignment="1">
      <alignment horizontal="left" vertical="top"/>
    </xf>
    <xf numFmtId="0" fontId="20" fillId="2" borderId="0" xfId="0" applyFont="1" applyFill="1"/>
    <xf numFmtId="167" fontId="26" fillId="2" borderId="0" xfId="1" applyNumberFormat="1" applyFont="1" applyFill="1" applyAlignment="1">
      <alignment vertical="center"/>
    </xf>
    <xf numFmtId="43" fontId="26" fillId="2" borderId="0" xfId="1" applyFont="1" applyFill="1" applyAlignment="1">
      <alignment horizontal="center" vertical="center"/>
    </xf>
    <xf numFmtId="0" fontId="23" fillId="2" borderId="0" xfId="0" applyFont="1" applyFill="1" applyAlignment="1">
      <alignment horizontal="left" vertical="center" wrapText="1"/>
    </xf>
    <xf numFmtId="0" fontId="23" fillId="2" borderId="0" xfId="0" quotePrefix="1" applyFont="1" applyFill="1" applyAlignment="1">
      <alignment horizontal="right"/>
    </xf>
    <xf numFmtId="0" fontId="23" fillId="2" borderId="0" xfId="0" applyFont="1" applyFill="1" applyAlignment="1">
      <alignment horizontal="left" vertical="center"/>
    </xf>
    <xf numFmtId="0" fontId="23" fillId="2" borderId="0" xfId="0" applyFont="1" applyFill="1" applyAlignment="1">
      <alignment vertical="center" wrapText="1"/>
    </xf>
    <xf numFmtId="0" fontId="23" fillId="2" borderId="0" xfId="0" applyFont="1" applyFill="1" applyAlignment="1">
      <alignment horizontal="right" vertical="center"/>
    </xf>
    <xf numFmtId="174" fontId="26" fillId="2" borderId="0" xfId="1" applyNumberFormat="1" applyFont="1" applyFill="1" applyAlignment="1">
      <alignment vertical="center" wrapText="1"/>
    </xf>
    <xf numFmtId="0" fontId="27" fillId="2" borderId="0" xfId="0" applyFont="1" applyFill="1" applyAlignment="1">
      <alignment vertical="center"/>
    </xf>
    <xf numFmtId="0" fontId="26" fillId="2" borderId="0" xfId="0" applyFont="1" applyFill="1"/>
    <xf numFmtId="0" fontId="44" fillId="2" borderId="0" xfId="0" applyFont="1" applyFill="1" applyAlignment="1">
      <alignment horizontal="center"/>
    </xf>
    <xf numFmtId="0" fontId="44" fillId="2" borderId="0" xfId="0" applyFont="1" applyFill="1"/>
    <xf numFmtId="0" fontId="34" fillId="15" borderId="0" xfId="0" applyFont="1" applyFill="1" applyAlignment="1">
      <alignment horizontal="left" vertical="center"/>
    </xf>
    <xf numFmtId="0" fontId="34" fillId="15" borderId="0" xfId="0" applyFont="1" applyFill="1" applyAlignment="1">
      <alignment vertical="center"/>
    </xf>
    <xf numFmtId="0" fontId="7" fillId="15" borderId="0" xfId="0" applyFont="1" applyFill="1"/>
    <xf numFmtId="0" fontId="45" fillId="15" borderId="37" xfId="0" applyFont="1" applyFill="1" applyBorder="1" applyAlignment="1">
      <alignment vertical="center"/>
    </xf>
    <xf numFmtId="0" fontId="7" fillId="15" borderId="37" xfId="0" applyFont="1" applyFill="1" applyBorder="1"/>
    <xf numFmtId="0" fontId="22" fillId="15" borderId="37" xfId="0" applyFont="1" applyFill="1" applyBorder="1" applyAlignment="1">
      <alignment vertical="center"/>
    </xf>
    <xf numFmtId="0" fontId="45" fillId="15" borderId="38" xfId="0" applyFont="1" applyFill="1" applyBorder="1" applyAlignment="1">
      <alignment vertical="center"/>
    </xf>
    <xf numFmtId="0" fontId="7" fillId="15" borderId="38" xfId="0" applyFont="1" applyFill="1" applyBorder="1"/>
    <xf numFmtId="0" fontId="22" fillId="15" borderId="38" xfId="0" applyFont="1" applyFill="1" applyBorder="1" applyAlignment="1">
      <alignment vertical="center"/>
    </xf>
    <xf numFmtId="15" fontId="45" fillId="15" borderId="38" xfId="0" applyNumberFormat="1" applyFont="1" applyFill="1" applyBorder="1" applyAlignment="1">
      <alignment vertical="center"/>
    </xf>
    <xf numFmtId="0" fontId="9" fillId="34" borderId="0" xfId="0" applyFont="1" applyFill="1" applyAlignment="1">
      <alignment horizontal="center"/>
    </xf>
    <xf numFmtId="3" fontId="0" fillId="0" borderId="0" xfId="0" applyNumberFormat="1" applyAlignment="1">
      <alignment horizontal="center"/>
    </xf>
    <xf numFmtId="16" fontId="0" fillId="0" borderId="0" xfId="0" applyNumberFormat="1" applyAlignment="1">
      <alignment horizontal="center"/>
    </xf>
    <xf numFmtId="177" fontId="0" fillId="0" borderId="0" xfId="0" applyNumberFormat="1" applyAlignment="1">
      <alignment horizontal="center"/>
    </xf>
    <xf numFmtId="2" fontId="0" fillId="0" borderId="0" xfId="0" applyNumberFormat="1" applyAlignment="1">
      <alignment horizontal="center"/>
    </xf>
    <xf numFmtId="0" fontId="0" fillId="44" borderId="0" xfId="0" applyFill="1" applyAlignment="1">
      <alignment horizontal="center"/>
    </xf>
    <xf numFmtId="0" fontId="7" fillId="45" borderId="0" xfId="0" applyFont="1" applyFill="1" applyAlignment="1">
      <alignment horizontal="center"/>
    </xf>
    <xf numFmtId="0" fontId="7" fillId="45" borderId="0" xfId="0" applyFont="1" applyFill="1" applyAlignment="1">
      <alignment horizontal="right"/>
    </xf>
    <xf numFmtId="0" fontId="0" fillId="45" borderId="0" xfId="0" applyFill="1"/>
    <xf numFmtId="0" fontId="0" fillId="45" borderId="0" xfId="0" applyFill="1" applyAlignment="1">
      <alignment horizontal="right"/>
    </xf>
    <xf numFmtId="0" fontId="0" fillId="45" borderId="0" xfId="0" applyFill="1" applyAlignment="1">
      <alignment horizontal="center"/>
    </xf>
    <xf numFmtId="2" fontId="0" fillId="45" borderId="0" xfId="0" applyNumberFormat="1" applyFill="1" applyAlignment="1">
      <alignment horizontal="center"/>
    </xf>
    <xf numFmtId="3" fontId="0" fillId="45" borderId="0" xfId="0" applyNumberFormat="1" applyFill="1" applyAlignment="1">
      <alignment horizontal="center"/>
    </xf>
    <xf numFmtId="167" fontId="0" fillId="0" borderId="0" xfId="1" applyNumberFormat="1" applyFont="1" applyAlignment="1"/>
    <xf numFmtId="0" fontId="0" fillId="46" borderId="0" xfId="0" applyFill="1"/>
    <xf numFmtId="178" fontId="1" fillId="14" borderId="1" xfId="1" applyNumberFormat="1" applyFill="1" applyBorder="1" applyAlignment="1">
      <alignment horizontal="center"/>
    </xf>
    <xf numFmtId="0" fontId="47" fillId="0" borderId="0" xfId="4" applyAlignment="1">
      <alignment horizontal="center"/>
    </xf>
    <xf numFmtId="178" fontId="0" fillId="4" borderId="1" xfId="1" applyNumberFormat="1" applyFont="1" applyFill="1" applyBorder="1" applyAlignment="1">
      <alignment horizontal="center"/>
    </xf>
    <xf numFmtId="178" fontId="1" fillId="28" borderId="1" xfId="1" applyNumberFormat="1" applyFill="1" applyBorder="1" applyAlignment="1">
      <alignment horizontal="center"/>
    </xf>
    <xf numFmtId="0" fontId="49" fillId="15" borderId="0" xfId="0" applyFont="1" applyFill="1"/>
    <xf numFmtId="0" fontId="49" fillId="0" borderId="0" xfId="0" applyFont="1"/>
    <xf numFmtId="0" fontId="50" fillId="0" borderId="0" xfId="0" applyFont="1"/>
    <xf numFmtId="43" fontId="49" fillId="15" borderId="0" xfId="1" applyFont="1" applyFill="1" applyBorder="1"/>
    <xf numFmtId="172" fontId="49" fillId="15" borderId="0" xfId="1" applyNumberFormat="1" applyFont="1" applyFill="1" applyBorder="1"/>
    <xf numFmtId="43" fontId="49" fillId="0" borderId="0" xfId="1" applyFont="1" applyBorder="1"/>
    <xf numFmtId="172" fontId="49" fillId="0" borderId="0" xfId="1" applyNumberFormat="1" applyFont="1" applyBorder="1"/>
    <xf numFmtId="172" fontId="50" fillId="17" borderId="0" xfId="1" applyNumberFormat="1" applyFont="1" applyFill="1" applyBorder="1" applyAlignment="1">
      <alignment horizontal="center" vertical="center" wrapText="1"/>
    </xf>
    <xf numFmtId="0" fontId="49" fillId="0" borderId="0" xfId="0" applyFont="1" applyAlignment="1">
      <alignment horizontal="center" vertical="center" wrapText="1"/>
    </xf>
    <xf numFmtId="0" fontId="53" fillId="15" borderId="0" xfId="0" applyFont="1" applyFill="1"/>
    <xf numFmtId="0" fontId="51" fillId="0" borderId="0" xfId="0" applyFont="1" applyAlignment="1">
      <alignment horizontal="center" vertical="center" wrapText="1"/>
    </xf>
    <xf numFmtId="0" fontId="49" fillId="15" borderId="0" xfId="0" applyFont="1" applyFill="1" applyAlignment="1">
      <alignment horizontal="right"/>
    </xf>
    <xf numFmtId="0" fontId="49" fillId="0" borderId="0" xfId="0" applyFont="1" applyAlignment="1">
      <alignment horizontal="right"/>
    </xf>
    <xf numFmtId="167" fontId="50" fillId="49" borderId="0" xfId="1" applyNumberFormat="1" applyFont="1" applyFill="1" applyBorder="1"/>
    <xf numFmtId="167" fontId="50" fillId="49" borderId="0" xfId="1" applyNumberFormat="1" applyFont="1" applyFill="1" applyBorder="1" applyAlignment="1">
      <alignment horizontal="right"/>
    </xf>
    <xf numFmtId="4" fontId="1" fillId="14" borderId="1" xfId="1" applyNumberFormat="1" applyFill="1" applyBorder="1" applyAlignment="1">
      <alignment horizontal="center"/>
    </xf>
    <xf numFmtId="172" fontId="41" fillId="15" borderId="39" xfId="1" applyNumberFormat="1" applyFont="1" applyFill="1" applyBorder="1" applyAlignment="1">
      <alignment horizontal="center" vertical="center"/>
    </xf>
    <xf numFmtId="176" fontId="41" fillId="15" borderId="39" xfId="3" applyNumberFormat="1" applyFont="1" applyFill="1" applyBorder="1" applyAlignment="1">
      <alignment horizontal="center" vertical="center"/>
    </xf>
    <xf numFmtId="0" fontId="14" fillId="15" borderId="0" xfId="0" applyFont="1" applyFill="1" applyAlignment="1">
      <alignment horizontal="center" vertical="top" wrapText="1"/>
    </xf>
    <xf numFmtId="167" fontId="30" fillId="15" borderId="0" xfId="1" applyNumberFormat="1" applyFont="1" applyFill="1" applyBorder="1" applyAlignment="1">
      <alignment horizontal="center" vertical="center"/>
    </xf>
    <xf numFmtId="0" fontId="14" fillId="15" borderId="0" xfId="0" applyFont="1" applyFill="1" applyAlignment="1">
      <alignment horizontal="center" vertical="center" wrapText="1"/>
    </xf>
    <xf numFmtId="0" fontId="30" fillId="33" borderId="0" xfId="0" applyFont="1" applyFill="1" applyAlignment="1">
      <alignment horizontal="center" vertical="center"/>
    </xf>
    <xf numFmtId="0" fontId="30" fillId="15" borderId="0" xfId="0" applyFont="1" applyFill="1" applyAlignment="1">
      <alignment horizontal="center" vertical="center"/>
    </xf>
    <xf numFmtId="9" fontId="30" fillId="15" borderId="0" xfId="2" applyFont="1" applyFill="1" applyBorder="1" applyAlignment="1">
      <alignment horizontal="center" vertical="center"/>
    </xf>
    <xf numFmtId="0" fontId="9" fillId="15" borderId="0" xfId="0" applyFont="1" applyFill="1"/>
    <xf numFmtId="172" fontId="7" fillId="15" borderId="0" xfId="1" applyNumberFormat="1" applyFont="1" applyFill="1" applyBorder="1" applyAlignment="1">
      <alignment horizontal="center" vertical="center"/>
    </xf>
    <xf numFmtId="0" fontId="14" fillId="15" borderId="0" xfId="0" applyFont="1" applyFill="1" applyAlignment="1">
      <alignment vertical="center" wrapText="1"/>
    </xf>
    <xf numFmtId="0" fontId="30" fillId="15" borderId="0" xfId="0" applyFont="1" applyFill="1" applyAlignment="1">
      <alignment horizontal="left" vertical="center"/>
    </xf>
    <xf numFmtId="0" fontId="29" fillId="33" borderId="0" xfId="0" applyFont="1" applyFill="1"/>
    <xf numFmtId="0" fontId="29" fillId="33" borderId="0" xfId="0" applyFont="1" applyFill="1" applyAlignment="1">
      <alignment horizontal="center"/>
    </xf>
    <xf numFmtId="0" fontId="30" fillId="33" borderId="0" xfId="0" applyFont="1" applyFill="1" applyAlignment="1">
      <alignment horizontal="left" vertical="center"/>
    </xf>
    <xf numFmtId="167" fontId="30" fillId="33" borderId="0" xfId="1" applyNumberFormat="1" applyFont="1" applyFill="1" applyBorder="1" applyAlignment="1">
      <alignment horizontal="center" vertical="center"/>
    </xf>
    <xf numFmtId="9" fontId="30" fillId="33" borderId="0" xfId="2" applyFont="1" applyFill="1" applyBorder="1" applyAlignment="1">
      <alignment horizontal="center" vertical="center"/>
    </xf>
    <xf numFmtId="0" fontId="30" fillId="33" borderId="0" xfId="0" applyFont="1" applyFill="1" applyAlignment="1">
      <alignment horizontal="center"/>
    </xf>
    <xf numFmtId="0" fontId="57" fillId="15" borderId="0" xfId="0" applyFont="1" applyFill="1" applyAlignment="1">
      <alignment horizontal="center" vertical="top" wrapText="1"/>
    </xf>
    <xf numFmtId="0" fontId="57" fillId="15" borderId="0" xfId="0" applyFont="1" applyFill="1" applyAlignment="1">
      <alignment horizontal="center" vertical="center" wrapText="1"/>
    </xf>
    <xf numFmtId="0" fontId="7" fillId="15" borderId="44" xfId="0" applyFont="1" applyFill="1" applyBorder="1"/>
    <xf numFmtId="0" fontId="7" fillId="15" borderId="45" xfId="0" applyFont="1" applyFill="1" applyBorder="1"/>
    <xf numFmtId="0" fontId="7" fillId="15" borderId="46" xfId="0" applyFont="1" applyFill="1" applyBorder="1"/>
    <xf numFmtId="167" fontId="2" fillId="55" borderId="0" xfId="1" applyNumberFormat="1" applyFont="1" applyFill="1" applyBorder="1"/>
    <xf numFmtId="0" fontId="9" fillId="15" borderId="0" xfId="0" applyFont="1" applyFill="1" applyAlignment="1">
      <alignment horizontal="left"/>
    </xf>
    <xf numFmtId="43" fontId="9" fillId="15" borderId="0" xfId="0" applyNumberFormat="1" applyFont="1" applyFill="1"/>
    <xf numFmtId="0" fontId="60" fillId="33" borderId="0" xfId="0" applyFont="1" applyFill="1" applyAlignment="1">
      <alignment horizontal="center" vertical="center"/>
    </xf>
    <xf numFmtId="0" fontId="0" fillId="30" borderId="48" xfId="0" applyFill="1" applyBorder="1"/>
    <xf numFmtId="173" fontId="0" fillId="30" borderId="48" xfId="1" applyNumberFormat="1" applyFont="1" applyFill="1" applyBorder="1" applyAlignment="1">
      <alignment horizontal="center"/>
    </xf>
    <xf numFmtId="172" fontId="0" fillId="30" borderId="48" xfId="1" applyNumberFormat="1" applyFont="1" applyFill="1" applyBorder="1" applyAlignment="1">
      <alignment horizontal="center"/>
    </xf>
    <xf numFmtId="167" fontId="0" fillId="30" borderId="48" xfId="1" applyNumberFormat="1" applyFont="1" applyFill="1" applyBorder="1" applyAlignment="1">
      <alignment horizontal="center"/>
    </xf>
    <xf numFmtId="3" fontId="0" fillId="30" borderId="48" xfId="1" applyNumberFormat="1" applyFont="1" applyFill="1" applyBorder="1" applyAlignment="1">
      <alignment horizontal="center"/>
    </xf>
    <xf numFmtId="173" fontId="0" fillId="30" borderId="48" xfId="0" applyNumberFormat="1" applyFill="1" applyBorder="1" applyAlignment="1">
      <alignment horizontal="center"/>
    </xf>
    <xf numFmtId="0" fontId="0" fillId="30" borderId="1" xfId="0" applyFill="1" applyBorder="1"/>
    <xf numFmtId="173" fontId="0" fillId="30" borderId="1" xfId="1" applyNumberFormat="1" applyFont="1" applyFill="1" applyBorder="1" applyAlignment="1">
      <alignment horizontal="center"/>
    </xf>
    <xf numFmtId="173" fontId="0" fillId="30" borderId="1" xfId="0" applyNumberFormat="1" applyFill="1" applyBorder="1" applyAlignment="1">
      <alignment horizontal="center"/>
    </xf>
    <xf numFmtId="167" fontId="26" fillId="2" borderId="0" xfId="1" applyNumberFormat="1" applyFont="1" applyFill="1" applyAlignment="1"/>
    <xf numFmtId="172" fontId="28" fillId="15" borderId="0" xfId="1" applyNumberFormat="1" applyFont="1" applyFill="1" applyAlignment="1">
      <alignment horizontal="right" vertical="center"/>
    </xf>
    <xf numFmtId="167" fontId="28" fillId="15" borderId="0" xfId="1" applyNumberFormat="1" applyFont="1" applyFill="1" applyAlignment="1">
      <alignment horizontal="right" vertical="center"/>
    </xf>
    <xf numFmtId="167" fontId="28" fillId="15" borderId="0" xfId="1" applyNumberFormat="1" applyFont="1" applyFill="1" applyAlignment="1">
      <alignment vertical="center"/>
    </xf>
    <xf numFmtId="0" fontId="9" fillId="31" borderId="0" xfId="0" applyFont="1" applyFill="1" applyAlignment="1">
      <alignment horizontal="center"/>
    </xf>
    <xf numFmtId="167" fontId="7" fillId="15" borderId="43" xfId="1" applyNumberFormat="1" applyFont="1" applyFill="1" applyBorder="1" applyAlignment="1" applyProtection="1">
      <alignment horizontal="center"/>
      <protection hidden="1"/>
    </xf>
    <xf numFmtId="0" fontId="7" fillId="15" borderId="43" xfId="0" applyFont="1" applyFill="1" applyBorder="1" applyAlignment="1" applyProtection="1">
      <alignment horizontal="left"/>
      <protection hidden="1"/>
    </xf>
    <xf numFmtId="0" fontId="7" fillId="15" borderId="0" xfId="0" applyFont="1" applyFill="1" applyAlignment="1" applyProtection="1">
      <alignment horizontal="left"/>
      <protection hidden="1"/>
    </xf>
    <xf numFmtId="172" fontId="7" fillId="15" borderId="0" xfId="1" applyNumberFormat="1" applyFont="1" applyFill="1" applyBorder="1" applyAlignment="1" applyProtection="1">
      <alignment horizontal="center" vertical="center"/>
      <protection hidden="1"/>
    </xf>
    <xf numFmtId="167" fontId="7" fillId="15" borderId="43" xfId="1" applyNumberFormat="1" applyFont="1" applyFill="1" applyBorder="1" applyAlignment="1" applyProtection="1">
      <alignment horizontal="center" vertical="center"/>
      <protection hidden="1"/>
    </xf>
    <xf numFmtId="167" fontId="7" fillId="15" borderId="0" xfId="1" applyNumberFormat="1" applyFont="1" applyFill="1" applyBorder="1" applyAlignment="1" applyProtection="1">
      <alignment horizontal="center" vertical="center"/>
      <protection hidden="1"/>
    </xf>
    <xf numFmtId="43" fontId="7" fillId="15" borderId="43" xfId="1" applyFont="1" applyFill="1" applyBorder="1" applyAlignment="1" applyProtection="1">
      <alignment horizontal="center" vertical="center"/>
      <protection hidden="1"/>
    </xf>
    <xf numFmtId="43" fontId="7" fillId="15" borderId="0" xfId="1" applyFont="1" applyFill="1" applyBorder="1" applyAlignment="1" applyProtection="1">
      <alignment horizontal="center" vertical="center"/>
      <protection hidden="1"/>
    </xf>
    <xf numFmtId="9" fontId="9" fillId="15" borderId="0" xfId="2" applyFont="1" applyFill="1" applyBorder="1" applyAlignment="1" applyProtection="1">
      <alignment horizontal="center" vertical="center"/>
      <protection hidden="1"/>
    </xf>
    <xf numFmtId="167" fontId="7" fillId="15" borderId="42" xfId="0" applyNumberFormat="1" applyFont="1" applyFill="1" applyBorder="1" applyAlignment="1" applyProtection="1">
      <alignment horizontal="center" vertical="center"/>
      <protection hidden="1"/>
    </xf>
    <xf numFmtId="167" fontId="7" fillId="15" borderId="41" xfId="1" applyNumberFormat="1" applyFont="1" applyFill="1" applyBorder="1" applyAlignment="1" applyProtection="1">
      <alignment horizontal="center"/>
      <protection hidden="1"/>
    </xf>
    <xf numFmtId="167" fontId="7" fillId="15" borderId="41" xfId="1" applyNumberFormat="1" applyFont="1" applyFill="1" applyBorder="1" applyAlignment="1" applyProtection="1">
      <alignment horizontal="left"/>
      <protection hidden="1"/>
    </xf>
    <xf numFmtId="167" fontId="7" fillId="15" borderId="0" xfId="1" applyNumberFormat="1" applyFont="1" applyFill="1" applyBorder="1" applyAlignment="1" applyProtection="1">
      <alignment horizontal="left"/>
      <protection hidden="1"/>
    </xf>
    <xf numFmtId="167" fontId="7" fillId="15" borderId="41" xfId="1" applyNumberFormat="1" applyFont="1" applyFill="1" applyBorder="1" applyAlignment="1" applyProtection="1">
      <alignment horizontal="center" vertical="center"/>
      <protection hidden="1"/>
    </xf>
    <xf numFmtId="167" fontId="7" fillId="15" borderId="40" xfId="0" applyNumberFormat="1" applyFont="1" applyFill="1" applyBorder="1" applyAlignment="1" applyProtection="1">
      <alignment horizontal="center" vertical="center"/>
      <protection hidden="1"/>
    </xf>
    <xf numFmtId="0" fontId="7" fillId="15" borderId="41" xfId="0" applyFont="1" applyFill="1" applyBorder="1" applyAlignment="1" applyProtection="1">
      <alignment horizontal="left"/>
      <protection hidden="1"/>
    </xf>
    <xf numFmtId="43" fontId="9" fillId="15" borderId="0" xfId="0" applyNumberFormat="1" applyFont="1" applyFill="1" applyAlignment="1" applyProtection="1">
      <alignment horizontal="center" vertical="center"/>
      <protection hidden="1"/>
    </xf>
    <xf numFmtId="167" fontId="7" fillId="15" borderId="41" xfId="0" applyNumberFormat="1" applyFont="1" applyFill="1" applyBorder="1" applyAlignment="1" applyProtection="1">
      <alignment horizontal="center" vertical="center"/>
      <protection hidden="1"/>
    </xf>
    <xf numFmtId="167" fontId="7" fillId="15" borderId="0" xfId="0" applyNumberFormat="1" applyFont="1" applyFill="1" applyAlignment="1" applyProtection="1">
      <alignment horizontal="center" vertical="center"/>
      <protection hidden="1"/>
    </xf>
    <xf numFmtId="167" fontId="9" fillId="15" borderId="0" xfId="1" applyNumberFormat="1" applyFont="1" applyFill="1" applyBorder="1" applyAlignment="1" applyProtection="1">
      <alignment horizontal="center" vertical="center"/>
      <protection hidden="1"/>
    </xf>
    <xf numFmtId="43" fontId="7" fillId="15" borderId="40" xfId="0" applyNumberFormat="1" applyFont="1" applyFill="1" applyBorder="1" applyAlignment="1" applyProtection="1">
      <alignment horizontal="center" vertical="center"/>
      <protection hidden="1"/>
    </xf>
    <xf numFmtId="167" fontId="2" fillId="55" borderId="0" xfId="1" applyNumberFormat="1" applyFont="1" applyFill="1" applyBorder="1" applyProtection="1">
      <protection hidden="1"/>
    </xf>
    <xf numFmtId="167" fontId="2" fillId="55" borderId="47" xfId="1" applyNumberFormat="1" applyFont="1" applyFill="1" applyBorder="1" applyProtection="1">
      <protection hidden="1"/>
    </xf>
    <xf numFmtId="167" fontId="2" fillId="55" borderId="0" xfId="1" applyNumberFormat="1" applyFont="1" applyFill="1" applyBorder="1" applyAlignment="1" applyProtection="1">
      <alignment horizontal="center" vertical="center"/>
      <protection hidden="1"/>
    </xf>
    <xf numFmtId="168" fontId="2" fillId="55" borderId="0" xfId="1" applyNumberFormat="1" applyFont="1" applyFill="1" applyBorder="1" applyAlignment="1" applyProtection="1">
      <alignment horizontal="center" vertical="center"/>
      <protection hidden="1"/>
    </xf>
    <xf numFmtId="0" fontId="12" fillId="15" borderId="0" xfId="0" applyFont="1" applyFill="1" applyAlignment="1">
      <alignment horizontal="center"/>
    </xf>
    <xf numFmtId="0" fontId="12" fillId="15" borderId="0" xfId="0" applyFont="1" applyFill="1"/>
    <xf numFmtId="0" fontId="12" fillId="15" borderId="0" xfId="0" applyFont="1" applyFill="1" applyAlignment="1">
      <alignment wrapText="1"/>
    </xf>
    <xf numFmtId="0" fontId="12" fillId="15" borderId="0" xfId="0" applyFont="1" applyFill="1" applyAlignment="1">
      <alignment horizontal="center" vertical="center"/>
    </xf>
    <xf numFmtId="0" fontId="12" fillId="15" borderId="4" xfId="0" applyFont="1" applyFill="1" applyBorder="1" applyAlignment="1">
      <alignment horizontal="center" vertical="center"/>
    </xf>
    <xf numFmtId="0" fontId="12" fillId="15" borderId="4" xfId="0" applyFont="1" applyFill="1" applyBorder="1" applyAlignment="1">
      <alignment horizontal="center" vertical="center" wrapText="1"/>
    </xf>
    <xf numFmtId="0" fontId="12" fillId="15" borderId="1" xfId="0" applyFont="1" applyFill="1" applyBorder="1" applyAlignment="1">
      <alignment horizontal="left" vertical="center" wrapText="1"/>
    </xf>
    <xf numFmtId="0" fontId="12" fillId="15" borderId="7" xfId="0" applyFont="1" applyFill="1" applyBorder="1" applyAlignment="1">
      <alignment horizontal="center" vertical="center"/>
    </xf>
    <xf numFmtId="0" fontId="12" fillId="15" borderId="5" xfId="0" applyFont="1" applyFill="1" applyBorder="1" applyAlignment="1">
      <alignment horizontal="center" vertical="center"/>
    </xf>
    <xf numFmtId="0" fontId="12" fillId="15" borderId="0" xfId="0" applyFont="1" applyFill="1" applyAlignment="1">
      <alignment horizontal="center" vertical="center" wrapText="1"/>
    </xf>
    <xf numFmtId="0" fontId="12" fillId="15" borderId="0" xfId="0" applyFont="1" applyFill="1" applyAlignment="1">
      <alignment horizontal="left" vertical="center" wrapText="1"/>
    </xf>
    <xf numFmtId="0" fontId="29" fillId="51" borderId="50" xfId="0" applyFont="1" applyFill="1" applyBorder="1" applyAlignment="1">
      <alignment horizontal="center" vertical="center" wrapText="1"/>
    </xf>
    <xf numFmtId="0" fontId="29" fillId="26" borderId="50" xfId="0" applyFont="1" applyFill="1" applyBorder="1" applyAlignment="1">
      <alignment horizontal="center" vertical="center" wrapText="1"/>
    </xf>
    <xf numFmtId="0" fontId="47" fillId="0" borderId="0" xfId="4"/>
    <xf numFmtId="0" fontId="32" fillId="15" borderId="4" xfId="0" applyFont="1" applyFill="1" applyBorder="1" applyAlignment="1">
      <alignment horizontal="center" vertical="top" wrapText="1"/>
    </xf>
    <xf numFmtId="0" fontId="12" fillId="26" borderId="6" xfId="0" applyFont="1" applyFill="1" applyBorder="1" applyAlignment="1">
      <alignment horizontal="center" vertical="center"/>
    </xf>
    <xf numFmtId="0" fontId="12" fillId="26" borderId="49" xfId="0" applyFont="1" applyFill="1" applyBorder="1" applyAlignment="1">
      <alignment horizontal="center" vertical="center"/>
    </xf>
    <xf numFmtId="167" fontId="12" fillId="15" borderId="0" xfId="1" applyNumberFormat="1" applyFont="1" applyFill="1" applyAlignment="1">
      <alignment wrapText="1"/>
    </xf>
    <xf numFmtId="0" fontId="12" fillId="15" borderId="3" xfId="0" applyFont="1" applyFill="1" applyBorder="1" applyAlignment="1">
      <alignment horizontal="left" vertical="top" wrapText="1"/>
    </xf>
    <xf numFmtId="0" fontId="32" fillId="15" borderId="1" xfId="0" applyFont="1" applyFill="1" applyBorder="1" applyAlignment="1">
      <alignment horizontal="center" vertical="top" wrapText="1"/>
    </xf>
    <xf numFmtId="0" fontId="29" fillId="56" borderId="50" xfId="0" applyFont="1" applyFill="1" applyBorder="1" applyAlignment="1">
      <alignment horizontal="center" vertical="center" wrapText="1"/>
    </xf>
    <xf numFmtId="0" fontId="29" fillId="57" borderId="50" xfId="0" applyFont="1" applyFill="1" applyBorder="1" applyAlignment="1">
      <alignment horizontal="center" vertical="center" wrapText="1"/>
    </xf>
    <xf numFmtId="0" fontId="29" fillId="48" borderId="50" xfId="0" applyFont="1" applyFill="1" applyBorder="1" applyAlignment="1">
      <alignment horizontal="center" vertical="center" wrapText="1"/>
    </xf>
    <xf numFmtId="0" fontId="12" fillId="15" borderId="1" xfId="0" applyFont="1" applyFill="1" applyBorder="1" applyAlignment="1">
      <alignment horizontal="center"/>
    </xf>
    <xf numFmtId="0" fontId="12" fillId="15" borderId="1" xfId="0" applyFont="1" applyFill="1" applyBorder="1" applyAlignment="1">
      <alignment wrapText="1"/>
    </xf>
    <xf numFmtId="0" fontId="12" fillId="15" borderId="1" xfId="0" applyFont="1" applyFill="1" applyBorder="1"/>
    <xf numFmtId="0" fontId="62" fillId="51" borderId="50" xfId="0" applyFont="1" applyFill="1" applyBorder="1" applyAlignment="1">
      <alignment horizontal="center" vertical="center" wrapText="1"/>
    </xf>
    <xf numFmtId="0" fontId="0" fillId="15" borderId="1" xfId="0" applyFill="1" applyBorder="1" applyAlignment="1">
      <alignment horizontal="center" vertical="center" wrapText="1"/>
    </xf>
    <xf numFmtId="0" fontId="0" fillId="15" borderId="4" xfId="0" applyFill="1" applyBorder="1" applyAlignment="1">
      <alignment horizontal="center" vertical="center" wrapText="1"/>
    </xf>
    <xf numFmtId="0" fontId="63" fillId="0" borderId="1" xfId="0" applyFont="1" applyBorder="1"/>
    <xf numFmtId="0" fontId="32" fillId="15" borderId="7" xfId="0" applyFont="1" applyFill="1" applyBorder="1" applyAlignment="1">
      <alignment horizontal="center" vertical="center"/>
    </xf>
    <xf numFmtId="0" fontId="64" fillId="0" borderId="0" xfId="0" applyFont="1" applyAlignment="1">
      <alignment horizontal="center"/>
    </xf>
    <xf numFmtId="0" fontId="12" fillId="15" borderId="1" xfId="0" applyFont="1" applyFill="1" applyBorder="1" applyAlignment="1">
      <alignment horizontal="center" wrapText="1"/>
    </xf>
    <xf numFmtId="0" fontId="65" fillId="0" borderId="0" xfId="0" applyFont="1" applyAlignment="1">
      <alignment horizontal="center"/>
    </xf>
    <xf numFmtId="0" fontId="12" fillId="15" borderId="1" xfId="0" applyFont="1" applyFill="1" applyBorder="1" applyAlignment="1">
      <alignment horizontal="left" vertical="top" wrapText="1"/>
    </xf>
    <xf numFmtId="0" fontId="29" fillId="58" borderId="50" xfId="0" applyFont="1" applyFill="1" applyBorder="1" applyAlignment="1">
      <alignment horizontal="center" vertical="center" wrapText="1"/>
    </xf>
    <xf numFmtId="0" fontId="66" fillId="15" borderId="0" xfId="0" applyFont="1" applyFill="1"/>
    <xf numFmtId="0" fontId="32" fillId="15" borderId="1" xfId="0" applyFont="1" applyFill="1" applyBorder="1" applyAlignment="1">
      <alignment horizontal="center" vertical="center"/>
    </xf>
    <xf numFmtId="0" fontId="29" fillId="3" borderId="51" xfId="0" applyFont="1" applyFill="1" applyBorder="1" applyAlignment="1">
      <alignment horizontal="center" vertical="center" wrapText="1"/>
    </xf>
    <xf numFmtId="0" fontId="29" fillId="32" borderId="51" xfId="0" applyFont="1" applyFill="1" applyBorder="1" applyAlignment="1">
      <alignment horizontal="center" vertical="center" wrapText="1"/>
    </xf>
    <xf numFmtId="0" fontId="63" fillId="0" borderId="0" xfId="0" applyFont="1"/>
    <xf numFmtId="167" fontId="0" fillId="15" borderId="0" xfId="1" applyNumberFormat="1" applyFont="1" applyFill="1" applyBorder="1"/>
    <xf numFmtId="43" fontId="50" fillId="49" borderId="0" xfId="1" applyFont="1" applyFill="1" applyBorder="1"/>
    <xf numFmtId="168" fontId="50" fillId="49" borderId="0" xfId="1" applyNumberFormat="1" applyFont="1" applyFill="1" applyBorder="1"/>
    <xf numFmtId="165" fontId="0" fillId="0" borderId="0" xfId="0" applyNumberFormat="1" applyAlignment="1">
      <alignment horizontal="center"/>
    </xf>
    <xf numFmtId="0" fontId="7" fillId="0" borderId="0" xfId="4" applyFont="1" applyAlignment="1">
      <alignment wrapText="1"/>
    </xf>
    <xf numFmtId="0" fontId="32" fillId="15" borderId="5" xfId="0" applyFont="1" applyFill="1" applyBorder="1" applyAlignment="1">
      <alignment horizontal="center" vertical="center"/>
    </xf>
    <xf numFmtId="0" fontId="61" fillId="6" borderId="0" xfId="0" applyFont="1" applyFill="1" applyAlignment="1">
      <alignment horizontal="center" vertical="center"/>
    </xf>
    <xf numFmtId="0" fontId="12" fillId="15" borderId="0" xfId="0" applyFont="1" applyFill="1" applyAlignment="1">
      <alignment horizontal="left" vertical="top" wrapText="1"/>
    </xf>
    <xf numFmtId="0" fontId="32" fillId="15" borderId="0" xfId="0" applyFont="1" applyFill="1" applyAlignment="1">
      <alignment horizontal="center" vertical="center"/>
    </xf>
    <xf numFmtId="0" fontId="32" fillId="15" borderId="0" xfId="0" applyFont="1" applyFill="1" applyAlignment="1">
      <alignment horizontal="center" vertical="top" wrapText="1"/>
    </xf>
    <xf numFmtId="0" fontId="12" fillId="15" borderId="0" xfId="0" applyFont="1" applyFill="1" applyAlignment="1">
      <alignment horizontal="center" wrapText="1"/>
    </xf>
    <xf numFmtId="0" fontId="47" fillId="15" borderId="1" xfId="4" applyFill="1" applyBorder="1" applyAlignment="1">
      <alignment horizontal="center" vertical="center"/>
    </xf>
    <xf numFmtId="0" fontId="29" fillId="26" borderId="51" xfId="0" applyFont="1" applyFill="1" applyBorder="1" applyAlignment="1">
      <alignment horizontal="center" vertical="center" wrapText="1"/>
    </xf>
    <xf numFmtId="0" fontId="12" fillId="31" borderId="6" xfId="0" applyFont="1" applyFill="1" applyBorder="1" applyAlignment="1">
      <alignment horizontal="center" vertical="center"/>
    </xf>
    <xf numFmtId="0" fontId="12" fillId="31" borderId="49" xfId="0" applyFont="1" applyFill="1" applyBorder="1" applyAlignment="1">
      <alignment horizontal="center" vertical="center"/>
    </xf>
    <xf numFmtId="0" fontId="12" fillId="31" borderId="1" xfId="0" applyFont="1" applyFill="1" applyBorder="1" applyAlignment="1">
      <alignment horizontal="center" vertical="center"/>
    </xf>
    <xf numFmtId="0" fontId="29" fillId="15" borderId="0" xfId="0" applyFont="1" applyFill="1" applyAlignment="1">
      <alignment horizontal="center" vertical="center" wrapText="1"/>
    </xf>
    <xf numFmtId="0" fontId="61" fillId="15" borderId="0" xfId="0" applyFont="1" applyFill="1" applyAlignment="1">
      <alignment horizontal="center" vertical="center"/>
    </xf>
    <xf numFmtId="0" fontId="62" fillId="51" borderId="51" xfId="0" applyFont="1" applyFill="1" applyBorder="1" applyAlignment="1">
      <alignment horizontal="center" vertical="center" wrapText="1"/>
    </xf>
    <xf numFmtId="0" fontId="29" fillId="51" borderId="51" xfId="0" applyFont="1" applyFill="1" applyBorder="1" applyAlignment="1">
      <alignment horizontal="center" vertical="center" wrapText="1"/>
    </xf>
    <xf numFmtId="0" fontId="62" fillId="15" borderId="1" xfId="0" applyFont="1" applyFill="1" applyBorder="1" applyAlignment="1">
      <alignment horizontal="center" vertical="center" wrapText="1"/>
    </xf>
    <xf numFmtId="0" fontId="29" fillId="15" borderId="1" xfId="0" applyFont="1" applyFill="1" applyBorder="1" applyAlignment="1">
      <alignment horizontal="center" vertical="center" wrapText="1"/>
    </xf>
    <xf numFmtId="0" fontId="61" fillId="15" borderId="1" xfId="0" applyFont="1" applyFill="1" applyBorder="1" applyAlignment="1">
      <alignment horizontal="center" vertical="center"/>
    </xf>
    <xf numFmtId="0" fontId="12" fillId="32" borderId="1" xfId="0" applyFont="1" applyFill="1" applyBorder="1" applyAlignment="1">
      <alignment horizontal="center"/>
    </xf>
    <xf numFmtId="0" fontId="12" fillId="60" borderId="1" xfId="0" applyFont="1" applyFill="1" applyBorder="1" applyAlignment="1">
      <alignment horizontal="center"/>
    </xf>
    <xf numFmtId="0" fontId="12" fillId="43" borderId="1" xfId="0" applyFont="1" applyFill="1" applyBorder="1" applyAlignment="1">
      <alignment horizontal="center"/>
    </xf>
    <xf numFmtId="0" fontId="33" fillId="15" borderId="1" xfId="0" applyFont="1" applyFill="1" applyBorder="1" applyAlignment="1">
      <alignment horizontal="center" vertical="center" wrapText="1"/>
    </xf>
    <xf numFmtId="0" fontId="12" fillId="14" borderId="6" xfId="0" applyFont="1" applyFill="1" applyBorder="1" applyAlignment="1">
      <alignment horizontal="center" vertical="center"/>
    </xf>
    <xf numFmtId="0" fontId="33" fillId="15" borderId="0" xfId="0" applyFont="1" applyFill="1" applyAlignment="1">
      <alignment wrapText="1"/>
    </xf>
    <xf numFmtId="0" fontId="29" fillId="58" borderId="51" xfId="0" applyFont="1" applyFill="1" applyBorder="1" applyAlignment="1">
      <alignment horizontal="center" vertical="center" wrapText="1"/>
    </xf>
    <xf numFmtId="0" fontId="29" fillId="48" borderId="51" xfId="0" applyFont="1" applyFill="1" applyBorder="1" applyAlignment="1">
      <alignment horizontal="center" vertical="center" wrapText="1"/>
    </xf>
    <xf numFmtId="0" fontId="32" fillId="15" borderId="7" xfId="0" applyFont="1" applyFill="1" applyBorder="1" applyAlignment="1">
      <alignment horizontal="center" vertical="top" wrapText="1"/>
    </xf>
    <xf numFmtId="0" fontId="12" fillId="15" borderId="7" xfId="0" applyFont="1" applyFill="1" applyBorder="1" applyAlignment="1">
      <alignment horizontal="center" vertical="center" wrapText="1"/>
    </xf>
    <xf numFmtId="0" fontId="12" fillId="58" borderId="1" xfId="0" applyFont="1" applyFill="1" applyBorder="1" applyAlignment="1">
      <alignment horizontal="center"/>
    </xf>
    <xf numFmtId="0" fontId="12" fillId="15" borderId="1" xfId="0" applyFont="1" applyFill="1" applyBorder="1" applyAlignment="1">
      <alignment horizontal="left" vertical="top"/>
    </xf>
    <xf numFmtId="0" fontId="12" fillId="22" borderId="1" xfId="0" applyFont="1" applyFill="1" applyBorder="1" applyAlignment="1">
      <alignment horizontal="center"/>
    </xf>
    <xf numFmtId="0" fontId="29" fillId="57" borderId="51" xfId="0" applyFont="1" applyFill="1" applyBorder="1" applyAlignment="1">
      <alignment horizontal="center" vertical="center" wrapText="1"/>
    </xf>
    <xf numFmtId="0" fontId="12" fillId="15" borderId="4" xfId="0" applyFont="1" applyFill="1" applyBorder="1" applyAlignment="1">
      <alignment horizontal="center" wrapText="1"/>
    </xf>
    <xf numFmtId="0" fontId="12" fillId="22" borderId="1" xfId="0" applyFont="1" applyFill="1" applyBorder="1" applyAlignment="1">
      <alignment horizontal="center" vertical="center"/>
    </xf>
    <xf numFmtId="0" fontId="12" fillId="40" borderId="1" xfId="0" applyFont="1" applyFill="1" applyBorder="1" applyAlignment="1">
      <alignment horizontal="center" vertical="center"/>
    </xf>
    <xf numFmtId="0" fontId="12" fillId="15" borderId="6" xfId="0" applyFont="1" applyFill="1" applyBorder="1" applyAlignment="1">
      <alignment horizontal="center" vertical="center"/>
    </xf>
    <xf numFmtId="0" fontId="12" fillId="15" borderId="49" xfId="0" applyFont="1" applyFill="1" applyBorder="1" applyAlignment="1">
      <alignment horizontal="center" vertical="center"/>
    </xf>
    <xf numFmtId="0" fontId="32" fillId="15" borderId="49" xfId="0" applyFont="1" applyFill="1" applyBorder="1" applyAlignment="1">
      <alignment horizontal="center" vertical="center"/>
    </xf>
    <xf numFmtId="0" fontId="12" fillId="15" borderId="6" xfId="0" applyFont="1" applyFill="1" applyBorder="1" applyAlignment="1">
      <alignment horizontal="center" vertical="center" wrapText="1"/>
    </xf>
    <xf numFmtId="0" fontId="12" fillId="15" borderId="6" xfId="0" applyFont="1" applyFill="1" applyBorder="1" applyAlignment="1">
      <alignment horizontal="center" wrapText="1"/>
    </xf>
    <xf numFmtId="0" fontId="12" fillId="40" borderId="1" xfId="0" applyFont="1" applyFill="1" applyBorder="1"/>
    <xf numFmtId="0" fontId="68" fillId="5" borderId="0" xfId="0" applyFont="1" applyFill="1"/>
    <xf numFmtId="0" fontId="49" fillId="5" borderId="0" xfId="0" applyFont="1" applyFill="1"/>
    <xf numFmtId="43" fontId="49" fillId="5" borderId="0" xfId="1" applyFont="1" applyFill="1" applyBorder="1"/>
    <xf numFmtId="0" fontId="49" fillId="5" borderId="0" xfId="0" applyFont="1" applyFill="1" applyAlignment="1">
      <alignment horizontal="right"/>
    </xf>
    <xf numFmtId="43" fontId="49" fillId="5" borderId="0" xfId="0" applyNumberFormat="1" applyFont="1" applyFill="1"/>
    <xf numFmtId="172" fontId="49" fillId="5" borderId="0" xfId="1" applyNumberFormat="1" applyFont="1" applyFill="1" applyBorder="1"/>
    <xf numFmtId="167" fontId="48" fillId="5" borderId="0" xfId="1" applyNumberFormat="1" applyFont="1" applyFill="1" applyBorder="1"/>
    <xf numFmtId="43" fontId="48" fillId="5" borderId="0" xfId="1" applyFont="1" applyFill="1" applyBorder="1"/>
    <xf numFmtId="0" fontId="69" fillId="5" borderId="0" xfId="0" applyFont="1" applyFill="1" applyAlignment="1">
      <alignment horizontal="center" vertical="center" wrapText="1"/>
    </xf>
    <xf numFmtId="0" fontId="69" fillId="5" borderId="0" xfId="0" applyFont="1" applyFill="1" applyAlignment="1">
      <alignment vertical="center" wrapText="1"/>
    </xf>
    <xf numFmtId="0" fontId="69" fillId="5" borderId="0" xfId="0" applyFont="1" applyFill="1" applyAlignment="1">
      <alignment horizontal="right" vertical="center" wrapText="1"/>
    </xf>
    <xf numFmtId="0" fontId="51" fillId="5" borderId="0" xfId="0" applyFont="1" applyFill="1" applyAlignment="1">
      <alignment vertical="center" wrapText="1"/>
    </xf>
    <xf numFmtId="0" fontId="51" fillId="5" borderId="0" xfId="0" applyFont="1" applyFill="1" applyAlignment="1">
      <alignment horizontal="center" vertical="center" wrapText="1"/>
    </xf>
    <xf numFmtId="0" fontId="50" fillId="5" borderId="0" xfId="0" applyFont="1" applyFill="1" applyAlignment="1">
      <alignment horizontal="center" vertical="center" wrapText="1"/>
    </xf>
    <xf numFmtId="167" fontId="50" fillId="5" borderId="0" xfId="1" applyNumberFormat="1" applyFont="1" applyFill="1" applyBorder="1"/>
    <xf numFmtId="0" fontId="52" fillId="5" borderId="0" xfId="0" applyFont="1" applyFill="1"/>
    <xf numFmtId="0" fontId="52" fillId="5" borderId="0" xfId="0" applyFont="1" applyFill="1" applyAlignment="1">
      <alignment horizontal="right"/>
    </xf>
    <xf numFmtId="0" fontId="52" fillId="5" borderId="0" xfId="0" applyFont="1" applyFill="1" applyAlignment="1">
      <alignment horizontal="center"/>
    </xf>
    <xf numFmtId="0" fontId="53" fillId="5" borderId="0" xfId="0" applyFont="1" applyFill="1"/>
    <xf numFmtId="0" fontId="53" fillId="5" borderId="0" xfId="0" applyFont="1" applyFill="1" applyAlignment="1">
      <alignment horizontal="center"/>
    </xf>
    <xf numFmtId="0" fontId="52" fillId="5" borderId="0" xfId="0" applyFont="1" applyFill="1" applyAlignment="1">
      <alignment horizontal="center" vertical="top"/>
    </xf>
    <xf numFmtId="0" fontId="54" fillId="5" borderId="0" xfId="0" applyFont="1" applyFill="1" applyAlignment="1">
      <alignment vertical="center" wrapText="1"/>
    </xf>
    <xf numFmtId="167" fontId="50" fillId="5" borderId="0" xfId="1" applyNumberFormat="1" applyFont="1" applyFill="1" applyBorder="1" applyAlignment="1">
      <alignment horizontal="center" vertical="center" wrapText="1"/>
    </xf>
    <xf numFmtId="0" fontId="51" fillId="5" borderId="0" xfId="0" applyFont="1" applyFill="1" applyAlignment="1">
      <alignment horizontal="center" vertical="top" wrapText="1"/>
    </xf>
    <xf numFmtId="0" fontId="51" fillId="5" borderId="0" xfId="0" applyFont="1" applyFill="1" applyAlignment="1">
      <alignment vertical="top" wrapText="1"/>
    </xf>
    <xf numFmtId="0" fontId="54" fillId="5" borderId="0" xfId="0" applyFont="1" applyFill="1" applyAlignment="1">
      <alignment horizontal="center" vertical="center" wrapText="1"/>
    </xf>
    <xf numFmtId="172" fontId="50" fillId="5" borderId="0" xfId="1" applyNumberFormat="1" applyFont="1" applyFill="1" applyBorder="1" applyAlignment="1">
      <alignment horizontal="center" vertical="center" wrapText="1"/>
    </xf>
    <xf numFmtId="0" fontId="49" fillId="5" borderId="0" xfId="0" applyFont="1" applyFill="1" applyAlignment="1">
      <alignment horizontal="center" vertical="center" wrapText="1"/>
    </xf>
    <xf numFmtId="0" fontId="50" fillId="5" borderId="0" xfId="0" applyFont="1" applyFill="1"/>
    <xf numFmtId="0" fontId="70" fillId="62" borderId="57" xfId="0" applyFont="1" applyFill="1" applyBorder="1" applyAlignment="1">
      <alignment horizontal="left"/>
    </xf>
    <xf numFmtId="167" fontId="70" fillId="62" borderId="58" xfId="1" applyNumberFormat="1" applyFont="1" applyFill="1" applyBorder="1" applyAlignment="1">
      <alignment horizontal="left"/>
    </xf>
    <xf numFmtId="0" fontId="70" fillId="62" borderId="58" xfId="0" applyFont="1" applyFill="1" applyBorder="1" applyAlignment="1">
      <alignment horizontal="left"/>
    </xf>
    <xf numFmtId="0" fontId="70" fillId="62" borderId="59" xfId="0" applyFont="1" applyFill="1" applyBorder="1" applyAlignment="1">
      <alignment horizontal="left"/>
    </xf>
    <xf numFmtId="167" fontId="50" fillId="63" borderId="0" xfId="1" applyNumberFormat="1" applyFont="1" applyFill="1" applyBorder="1" applyAlignment="1">
      <alignment horizontal="center" vertical="center" wrapText="1"/>
    </xf>
    <xf numFmtId="0" fontId="50" fillId="63" borderId="0" xfId="0" applyFont="1" applyFill="1" applyAlignment="1">
      <alignment horizontal="center" vertical="center" wrapText="1"/>
    </xf>
    <xf numFmtId="43" fontId="50" fillId="63" borderId="0" xfId="1" applyFont="1" applyFill="1" applyBorder="1" applyAlignment="1">
      <alignment horizontal="center" vertical="center" wrapText="1"/>
    </xf>
    <xf numFmtId="0" fontId="50" fillId="5" borderId="0" xfId="0" applyFont="1" applyFill="1" applyAlignment="1">
      <alignment horizontal="center" vertical="top" wrapText="1"/>
    </xf>
    <xf numFmtId="167" fontId="50" fillId="63" borderId="0" xfId="1" applyNumberFormat="1" applyFont="1" applyFill="1" applyBorder="1" applyAlignment="1">
      <alignment horizontal="center" vertical="top" wrapText="1"/>
    </xf>
    <xf numFmtId="0" fontId="50" fillId="63" borderId="0" xfId="0" applyFont="1" applyFill="1" applyAlignment="1">
      <alignment horizontal="center" vertical="top" wrapText="1"/>
    </xf>
    <xf numFmtId="43" fontId="50" fillId="63" borderId="0" xfId="1" applyFont="1" applyFill="1" applyBorder="1" applyAlignment="1">
      <alignment horizontal="center" vertical="top" wrapText="1"/>
    </xf>
    <xf numFmtId="167" fontId="50" fillId="5" borderId="0" xfId="1" applyNumberFormat="1" applyFont="1" applyFill="1" applyBorder="1" applyAlignment="1">
      <alignment horizontal="center" vertical="top" wrapText="1"/>
    </xf>
    <xf numFmtId="172" fontId="50" fillId="17" borderId="0" xfId="1" applyNumberFormat="1" applyFont="1" applyFill="1" applyBorder="1" applyAlignment="1">
      <alignment horizontal="center" vertical="top" wrapText="1"/>
    </xf>
    <xf numFmtId="172" fontId="50" fillId="5" borderId="0" xfId="1" applyNumberFormat="1" applyFont="1" applyFill="1" applyBorder="1" applyAlignment="1">
      <alignment horizontal="center" vertical="top" wrapText="1"/>
    </xf>
    <xf numFmtId="0" fontId="49" fillId="5" borderId="0" xfId="0" applyFont="1" applyFill="1" applyAlignment="1">
      <alignment horizontal="center" vertical="top" wrapText="1"/>
    </xf>
    <xf numFmtId="0" fontId="49" fillId="0" borderId="0" xfId="0" applyFont="1" applyAlignment="1">
      <alignment horizontal="center" vertical="top" wrapText="1"/>
    </xf>
    <xf numFmtId="172" fontId="50" fillId="63" borderId="0" xfId="1" applyNumberFormat="1" applyFont="1" applyFill="1" applyBorder="1" applyAlignment="1">
      <alignment horizontal="center" vertical="top" wrapText="1"/>
    </xf>
    <xf numFmtId="167" fontId="51" fillId="63" borderId="0" xfId="1" applyNumberFormat="1" applyFont="1" applyFill="1" applyBorder="1" applyAlignment="1">
      <alignment horizontal="center" vertical="center" wrapText="1"/>
    </xf>
    <xf numFmtId="0" fontId="50" fillId="63" borderId="0" xfId="0" applyFont="1" applyFill="1" applyAlignment="1">
      <alignment vertical="center" wrapText="1"/>
    </xf>
    <xf numFmtId="172" fontId="50" fillId="63" borderId="0" xfId="1" applyNumberFormat="1" applyFont="1" applyFill="1" applyBorder="1" applyAlignment="1">
      <alignment horizontal="center" vertical="center" wrapText="1"/>
    </xf>
    <xf numFmtId="0" fontId="12" fillId="26" borderId="0" xfId="0" applyFont="1" applyFill="1" applyAlignment="1">
      <alignment horizontal="center" vertical="center"/>
    </xf>
    <xf numFmtId="0" fontId="12" fillId="26" borderId="0" xfId="0" applyFont="1" applyFill="1" applyAlignment="1">
      <alignment horizontal="center"/>
    </xf>
    <xf numFmtId="0" fontId="12" fillId="31" borderId="0" xfId="0" applyFont="1" applyFill="1" applyAlignment="1">
      <alignment horizontal="center" vertical="center"/>
    </xf>
    <xf numFmtId="0" fontId="12" fillId="31" borderId="0" xfId="0" applyFont="1" applyFill="1" applyAlignment="1">
      <alignment horizontal="center"/>
    </xf>
    <xf numFmtId="0" fontId="12" fillId="42" borderId="0" xfId="0" applyFont="1" applyFill="1" applyAlignment="1">
      <alignment horizontal="center" vertical="center"/>
    </xf>
    <xf numFmtId="0" fontId="12" fillId="42" borderId="0" xfId="0" applyFont="1" applyFill="1" applyAlignment="1">
      <alignment horizontal="center"/>
    </xf>
    <xf numFmtId="0" fontId="62" fillId="15" borderId="6" xfId="0" applyFont="1" applyFill="1" applyBorder="1" applyAlignment="1">
      <alignment horizontal="center" vertical="center" wrapText="1"/>
    </xf>
    <xf numFmtId="0" fontId="29" fillId="15" borderId="6" xfId="0" applyFont="1" applyFill="1" applyBorder="1" applyAlignment="1">
      <alignment horizontal="center" vertical="center" wrapText="1"/>
    </xf>
    <xf numFmtId="0" fontId="61" fillId="15" borderId="6" xfId="0" applyFont="1" applyFill="1" applyBorder="1" applyAlignment="1">
      <alignment horizontal="center" vertical="center"/>
    </xf>
    <xf numFmtId="0" fontId="12" fillId="69" borderId="0" xfId="0" applyFont="1" applyFill="1" applyAlignment="1">
      <alignment horizontal="center" vertical="center"/>
    </xf>
    <xf numFmtId="0" fontId="12" fillId="69" borderId="0" xfId="0" applyFont="1" applyFill="1" applyAlignment="1">
      <alignment horizontal="center"/>
    </xf>
    <xf numFmtId="0" fontId="12" fillId="58" borderId="0" xfId="0" applyFont="1" applyFill="1" applyAlignment="1">
      <alignment horizontal="center"/>
    </xf>
    <xf numFmtId="0" fontId="12" fillId="58" borderId="0" xfId="0" applyFont="1" applyFill="1" applyAlignment="1">
      <alignment horizontal="center" vertical="center"/>
    </xf>
    <xf numFmtId="0" fontId="12" fillId="22" borderId="0" xfId="0" applyFont="1" applyFill="1" applyAlignment="1">
      <alignment horizontal="center"/>
    </xf>
    <xf numFmtId="0" fontId="12" fillId="22" borderId="0" xfId="0" applyFont="1" applyFill="1" applyAlignment="1">
      <alignment horizontal="center" vertical="center"/>
    </xf>
    <xf numFmtId="0" fontId="33" fillId="22" borderId="0" xfId="0" applyFont="1" applyFill="1" applyAlignment="1">
      <alignment horizontal="center"/>
    </xf>
    <xf numFmtId="0" fontId="12" fillId="70" borderId="0" xfId="0" applyFont="1" applyFill="1" applyAlignment="1">
      <alignment horizontal="center"/>
    </xf>
    <xf numFmtId="0" fontId="12" fillId="70" borderId="0" xfId="0" applyFont="1" applyFill="1" applyAlignment="1">
      <alignment horizontal="center" wrapText="1"/>
    </xf>
    <xf numFmtId="0" fontId="12" fillId="70" borderId="0" xfId="0" applyFont="1" applyFill="1" applyAlignment="1">
      <alignment horizontal="center" vertical="center"/>
    </xf>
    <xf numFmtId="0" fontId="12" fillId="15" borderId="56" xfId="0" applyFont="1" applyFill="1" applyBorder="1" applyAlignment="1">
      <alignment horizontal="center" vertical="center" wrapText="1"/>
    </xf>
    <xf numFmtId="0" fontId="12" fillId="15" borderId="17" xfId="0" applyFont="1" applyFill="1" applyBorder="1" applyAlignment="1">
      <alignment wrapText="1"/>
    </xf>
    <xf numFmtId="0" fontId="12" fillId="15" borderId="17" xfId="0" applyFont="1" applyFill="1" applyBorder="1"/>
    <xf numFmtId="0" fontId="12" fillId="15" borderId="17" xfId="0" applyFont="1" applyFill="1" applyBorder="1" applyAlignment="1">
      <alignment horizontal="center" vertical="center"/>
    </xf>
    <xf numFmtId="0" fontId="12" fillId="15" borderId="17" xfId="0" applyFont="1" applyFill="1" applyBorder="1" applyAlignment="1">
      <alignment horizontal="center" vertical="center" wrapText="1"/>
    </xf>
    <xf numFmtId="0" fontId="12" fillId="15" borderId="17" xfId="0" applyFont="1" applyFill="1" applyBorder="1" applyAlignment="1">
      <alignment horizontal="left" vertical="top" wrapText="1"/>
    </xf>
    <xf numFmtId="0" fontId="12" fillId="15" borderId="9" xfId="0" applyFont="1" applyFill="1" applyBorder="1" applyAlignment="1">
      <alignment horizontal="left" vertical="top" wrapText="1"/>
    </xf>
    <xf numFmtId="0" fontId="0" fillId="28" borderId="0" xfId="0" applyFill="1"/>
    <xf numFmtId="4" fontId="0" fillId="28" borderId="0" xfId="1" applyNumberFormat="1" applyFont="1" applyFill="1" applyBorder="1" applyAlignment="1">
      <alignment horizontal="center"/>
    </xf>
    <xf numFmtId="4" fontId="0" fillId="28" borderId="0" xfId="0" applyNumberFormat="1" applyFill="1" applyAlignment="1">
      <alignment horizontal="center"/>
    </xf>
    <xf numFmtId="4" fontId="1" fillId="28" borderId="0" xfId="1" applyNumberFormat="1" applyFill="1" applyBorder="1" applyAlignment="1">
      <alignment horizontal="center"/>
    </xf>
    <xf numFmtId="3" fontId="0" fillId="28" borderId="1" xfId="1" applyNumberFormat="1" applyFont="1" applyFill="1" applyBorder="1" applyAlignment="1">
      <alignment horizontal="center"/>
    </xf>
    <xf numFmtId="0" fontId="0" fillId="22" borderId="0" xfId="0" applyFill="1"/>
    <xf numFmtId="4" fontId="0" fillId="22" borderId="0" xfId="1" applyNumberFormat="1" applyFont="1" applyFill="1" applyBorder="1" applyAlignment="1">
      <alignment horizontal="center"/>
    </xf>
    <xf numFmtId="4" fontId="1" fillId="22" borderId="0" xfId="1" applyNumberFormat="1" applyFill="1" applyBorder="1" applyAlignment="1">
      <alignment horizontal="center"/>
    </xf>
    <xf numFmtId="4" fontId="0" fillId="22" borderId="0" xfId="0" applyNumberFormat="1" applyFill="1" applyAlignment="1">
      <alignment horizontal="center"/>
    </xf>
    <xf numFmtId="0" fontId="0" fillId="23" borderId="0" xfId="0" applyFill="1"/>
    <xf numFmtId="3" fontId="0" fillId="23" borderId="0" xfId="0" applyNumberFormat="1" applyFill="1"/>
    <xf numFmtId="43" fontId="0" fillId="23" borderId="0" xfId="1" applyFont="1" applyFill="1" applyBorder="1"/>
    <xf numFmtId="3" fontId="0" fillId="23" borderId="0" xfId="1" applyNumberFormat="1" applyFont="1" applyFill="1" applyBorder="1"/>
    <xf numFmtId="0" fontId="0" fillId="4" borderId="0" xfId="0" applyFill="1"/>
    <xf numFmtId="173" fontId="0" fillId="16" borderId="0" xfId="1" applyNumberFormat="1" applyFont="1" applyFill="1" applyBorder="1" applyAlignment="1">
      <alignment horizontal="center"/>
    </xf>
    <xf numFmtId="3" fontId="0" fillId="16" borderId="0" xfId="1" applyNumberFormat="1" applyFont="1" applyFill="1" applyBorder="1" applyAlignment="1">
      <alignment horizontal="center"/>
    </xf>
    <xf numFmtId="173" fontId="1" fillId="4" borderId="0" xfId="1" applyNumberFormat="1" applyFill="1" applyBorder="1" applyAlignment="1">
      <alignment horizontal="center"/>
    </xf>
    <xf numFmtId="173" fontId="0" fillId="4" borderId="0" xfId="1" applyNumberFormat="1" applyFont="1" applyFill="1" applyBorder="1" applyAlignment="1">
      <alignment horizontal="center"/>
    </xf>
    <xf numFmtId="173" fontId="0" fillId="4" borderId="0" xfId="0" applyNumberFormat="1" applyFill="1" applyAlignment="1">
      <alignment horizontal="center"/>
    </xf>
    <xf numFmtId="173" fontId="0" fillId="16" borderId="0" xfId="0" applyNumberFormat="1" applyFill="1" applyAlignment="1">
      <alignment horizontal="center"/>
    </xf>
    <xf numFmtId="173" fontId="0" fillId="59" borderId="1" xfId="1" applyNumberFormat="1" applyFont="1" applyFill="1" applyBorder="1" applyAlignment="1">
      <alignment horizontal="center"/>
    </xf>
    <xf numFmtId="4" fontId="0" fillId="29" borderId="0" xfId="1" applyNumberFormat="1" applyFont="1" applyFill="1" applyBorder="1" applyAlignment="1">
      <alignment horizontal="center"/>
    </xf>
    <xf numFmtId="4" fontId="1" fillId="29" borderId="1" xfId="1" applyNumberFormat="1" applyFill="1" applyBorder="1" applyAlignment="1">
      <alignment horizontal="center"/>
    </xf>
    <xf numFmtId="3" fontId="0" fillId="29" borderId="0" xfId="0" applyNumberFormat="1" applyFill="1"/>
    <xf numFmtId="173" fontId="0" fillId="29" borderId="0" xfId="0" applyNumberFormat="1" applyFill="1" applyAlignment="1">
      <alignment horizontal="center"/>
    </xf>
    <xf numFmtId="0" fontId="18" fillId="5" borderId="0" xfId="0" applyFont="1" applyFill="1" applyAlignment="1">
      <alignment horizontal="center" vertical="center"/>
    </xf>
    <xf numFmtId="0" fontId="16" fillId="28" borderId="0" xfId="0" applyFont="1" applyFill="1" applyAlignment="1">
      <alignment horizontal="left" vertical="center"/>
    </xf>
    <xf numFmtId="4" fontId="0" fillId="29" borderId="0" xfId="0" applyNumberFormat="1" applyFill="1" applyAlignment="1">
      <alignment horizontal="center"/>
    </xf>
    <xf numFmtId="173" fontId="0" fillId="29" borderId="0" xfId="1" applyNumberFormat="1" applyFont="1" applyFill="1" applyBorder="1" applyAlignment="1">
      <alignment horizontal="center"/>
    </xf>
    <xf numFmtId="43" fontId="0" fillId="29" borderId="17" xfId="1" applyFont="1" applyFill="1" applyBorder="1"/>
    <xf numFmtId="0" fontId="71" fillId="63" borderId="0" xfId="0" applyFont="1" applyFill="1" applyAlignment="1">
      <alignment horizontal="center" vertical="top" wrapText="1"/>
    </xf>
    <xf numFmtId="0" fontId="72" fillId="63" borderId="0" xfId="0" applyFont="1" applyFill="1" applyAlignment="1">
      <alignment horizontal="center" vertical="top" wrapText="1"/>
    </xf>
    <xf numFmtId="0" fontId="63" fillId="15" borderId="1" xfId="0" applyFont="1" applyFill="1" applyBorder="1" applyAlignment="1">
      <alignment vertical="top" wrapText="1"/>
    </xf>
    <xf numFmtId="43" fontId="52" fillId="5" borderId="0" xfId="1" applyFont="1" applyFill="1" applyBorder="1" applyAlignment="1"/>
    <xf numFmtId="43" fontId="69" fillId="5" borderId="0" xfId="1" applyFont="1" applyFill="1" applyBorder="1" applyAlignment="1">
      <alignment horizontal="center" vertical="center" wrapText="1"/>
    </xf>
    <xf numFmtId="0" fontId="12" fillId="15" borderId="7" xfId="0" applyFont="1" applyFill="1" applyBorder="1" applyAlignment="1">
      <alignment wrapText="1"/>
    </xf>
    <xf numFmtId="0" fontId="12" fillId="15" borderId="5" xfId="0" applyFont="1" applyFill="1" applyBorder="1" applyAlignment="1">
      <alignment wrapText="1"/>
    </xf>
    <xf numFmtId="0" fontId="12" fillId="70" borderId="0" xfId="0" applyFont="1" applyFill="1" applyAlignment="1">
      <alignment horizontal="center" vertical="top" wrapText="1"/>
    </xf>
    <xf numFmtId="0" fontId="12" fillId="15" borderId="0" xfId="0" applyFont="1" applyFill="1" applyAlignment="1">
      <alignment horizontal="center" vertical="top"/>
    </xf>
    <xf numFmtId="0" fontId="32" fillId="15" borderId="49" xfId="0" applyFont="1" applyFill="1" applyBorder="1" applyAlignment="1">
      <alignment horizontal="center" vertical="top"/>
    </xf>
    <xf numFmtId="0" fontId="12" fillId="15" borderId="49" xfId="0" applyFont="1" applyFill="1" applyBorder="1" applyAlignment="1">
      <alignment horizontal="center" vertical="top"/>
    </xf>
    <xf numFmtId="0" fontId="32" fillId="15" borderId="49" xfId="0" applyFont="1" applyFill="1" applyBorder="1" applyAlignment="1">
      <alignment horizontal="center" vertical="top" wrapText="1"/>
    </xf>
    <xf numFmtId="0" fontId="12" fillId="15" borderId="49" xfId="0" applyFont="1" applyFill="1" applyBorder="1" applyAlignment="1">
      <alignment horizontal="center" vertical="top" wrapText="1"/>
    </xf>
    <xf numFmtId="0" fontId="12" fillId="70" borderId="1" xfId="0" applyFont="1" applyFill="1" applyBorder="1" applyAlignment="1">
      <alignment horizontal="center" vertical="top" wrapText="1"/>
    </xf>
    <xf numFmtId="0" fontId="32" fillId="15" borderId="1" xfId="0" applyFont="1" applyFill="1" applyBorder="1" applyAlignment="1">
      <alignment horizontal="center" vertical="top"/>
    </xf>
    <xf numFmtId="0" fontId="12" fillId="15" borderId="1" xfId="0" applyFont="1" applyFill="1" applyBorder="1" applyAlignment="1">
      <alignment horizontal="center" vertical="top"/>
    </xf>
    <xf numFmtId="0" fontId="12" fillId="15" borderId="1" xfId="0" applyFont="1" applyFill="1" applyBorder="1" applyAlignment="1">
      <alignment horizontal="center" vertical="top" wrapText="1"/>
    </xf>
    <xf numFmtId="0" fontId="0" fillId="29" borderId="0" xfId="0" applyFill="1"/>
    <xf numFmtId="0" fontId="12" fillId="35" borderId="1" xfId="0" applyFont="1" applyFill="1" applyBorder="1" applyAlignment="1">
      <alignment horizontal="center" vertical="center"/>
    </xf>
    <xf numFmtId="3" fontId="2" fillId="15" borderId="0" xfId="0" applyNumberFormat="1" applyFont="1" applyFill="1"/>
    <xf numFmtId="3" fontId="7" fillId="15" borderId="0" xfId="0" applyNumberFormat="1" applyFont="1" applyFill="1" applyAlignment="1">
      <alignment vertical="center" wrapText="1"/>
    </xf>
    <xf numFmtId="0" fontId="0" fillId="15" borderId="65" xfId="0" applyFill="1" applyBorder="1"/>
    <xf numFmtId="167" fontId="0" fillId="15" borderId="65" xfId="1" applyNumberFormat="1" applyFont="1" applyFill="1" applyBorder="1"/>
    <xf numFmtId="0" fontId="0" fillId="15" borderId="67" xfId="0" applyFill="1" applyBorder="1"/>
    <xf numFmtId="0" fontId="0" fillId="15" borderId="66" xfId="0" applyFill="1" applyBorder="1"/>
    <xf numFmtId="0" fontId="0" fillId="15" borderId="68" xfId="0" applyFill="1" applyBorder="1"/>
    <xf numFmtId="0" fontId="0" fillId="15" borderId="69" xfId="0" applyFill="1" applyBorder="1"/>
    <xf numFmtId="3" fontId="7" fillId="15" borderId="69" xfId="0" applyNumberFormat="1" applyFont="1" applyFill="1" applyBorder="1" applyAlignment="1">
      <alignment vertical="center" wrapText="1"/>
    </xf>
    <xf numFmtId="167" fontId="0" fillId="15" borderId="71" xfId="1" applyNumberFormat="1" applyFont="1" applyFill="1" applyBorder="1"/>
    <xf numFmtId="0" fontId="0" fillId="15" borderId="72" xfId="0" applyFill="1" applyBorder="1"/>
    <xf numFmtId="0" fontId="0" fillId="15" borderId="66" xfId="0" applyFill="1" applyBorder="1" applyAlignment="1">
      <alignment vertical="center"/>
    </xf>
    <xf numFmtId="0" fontId="0" fillId="15" borderId="70" xfId="0" applyFill="1" applyBorder="1" applyAlignment="1">
      <alignment vertical="center"/>
    </xf>
    <xf numFmtId="0" fontId="0" fillId="15" borderId="73" xfId="0" applyFill="1" applyBorder="1"/>
    <xf numFmtId="0" fontId="0" fillId="15" borderId="74" xfId="0" applyFill="1" applyBorder="1"/>
    <xf numFmtId="0" fontId="0" fillId="15" borderId="76" xfId="0" applyFill="1" applyBorder="1"/>
    <xf numFmtId="0" fontId="0" fillId="15" borderId="77" xfId="0" applyFill="1" applyBorder="1"/>
    <xf numFmtId="0" fontId="0" fillId="15" borderId="78" xfId="0" applyFill="1" applyBorder="1"/>
    <xf numFmtId="0" fontId="0" fillId="15" borderId="79" xfId="0" applyFill="1" applyBorder="1"/>
    <xf numFmtId="0" fontId="0" fillId="15" borderId="79" xfId="0" applyFill="1" applyBorder="1" applyAlignment="1">
      <alignment vertical="center"/>
    </xf>
    <xf numFmtId="167" fontId="0" fillId="15" borderId="79" xfId="1" applyNumberFormat="1" applyFont="1" applyFill="1" applyBorder="1"/>
    <xf numFmtId="0" fontId="0" fillId="15" borderId="80" xfId="0" applyFill="1" applyBorder="1"/>
    <xf numFmtId="0" fontId="0" fillId="15" borderId="81" xfId="0" applyFill="1" applyBorder="1"/>
    <xf numFmtId="0" fontId="0" fillId="15" borderId="82" xfId="0" applyFill="1" applyBorder="1"/>
    <xf numFmtId="0" fontId="0" fillId="15" borderId="83" xfId="0" applyFill="1" applyBorder="1"/>
    <xf numFmtId="0" fontId="0" fillId="15" borderId="84" xfId="0" applyFill="1" applyBorder="1"/>
    <xf numFmtId="0" fontId="0" fillId="15" borderId="52" xfId="0" applyFill="1" applyBorder="1"/>
    <xf numFmtId="0" fontId="0" fillId="15" borderId="85" xfId="0" applyFill="1" applyBorder="1"/>
    <xf numFmtId="0" fontId="0" fillId="15" borderId="86" xfId="0" applyFill="1" applyBorder="1"/>
    <xf numFmtId="0" fontId="0" fillId="15" borderId="87" xfId="0" applyFill="1" applyBorder="1"/>
    <xf numFmtId="0" fontId="0" fillId="15" borderId="88" xfId="0" applyFill="1" applyBorder="1"/>
    <xf numFmtId="0" fontId="0" fillId="15" borderId="89" xfId="0" applyFill="1" applyBorder="1"/>
    <xf numFmtId="3" fontId="0" fillId="15" borderId="90" xfId="1" applyNumberFormat="1" applyFont="1" applyFill="1" applyBorder="1"/>
    <xf numFmtId="0" fontId="0" fillId="15" borderId="90" xfId="0" applyFill="1" applyBorder="1"/>
    <xf numFmtId="4" fontId="0" fillId="15" borderId="90" xfId="1" applyNumberFormat="1" applyFont="1" applyFill="1" applyBorder="1"/>
    <xf numFmtId="3" fontId="7" fillId="15" borderId="90" xfId="1" applyNumberFormat="1" applyFont="1" applyFill="1" applyBorder="1"/>
    <xf numFmtId="3" fontId="7" fillId="15" borderId="90" xfId="0" applyNumberFormat="1" applyFont="1" applyFill="1" applyBorder="1" applyAlignment="1">
      <alignment vertical="center" wrapText="1"/>
    </xf>
    <xf numFmtId="0" fontId="0" fillId="15" borderId="90" xfId="0" applyFill="1" applyBorder="1" applyAlignment="1">
      <alignment vertical="center"/>
    </xf>
    <xf numFmtId="167" fontId="0" fillId="15" borderId="90" xfId="1" applyNumberFormat="1" applyFont="1" applyFill="1" applyBorder="1"/>
    <xf numFmtId="3" fontId="7" fillId="15" borderId="90" xfId="0" applyNumberFormat="1" applyFont="1" applyFill="1" applyBorder="1"/>
    <xf numFmtId="4" fontId="0" fillId="15" borderId="91" xfId="1" applyNumberFormat="1" applyFont="1" applyFill="1" applyBorder="1"/>
    <xf numFmtId="0" fontId="0" fillId="15" borderId="91" xfId="0" applyFill="1" applyBorder="1"/>
    <xf numFmtId="4" fontId="0" fillId="15" borderId="92" xfId="1" applyNumberFormat="1" applyFont="1" applyFill="1" applyBorder="1"/>
    <xf numFmtId="0" fontId="0" fillId="15" borderId="92" xfId="0" applyFill="1" applyBorder="1"/>
    <xf numFmtId="3" fontId="7" fillId="15" borderId="92" xfId="1" applyNumberFormat="1" applyFont="1" applyFill="1" applyBorder="1"/>
    <xf numFmtId="3" fontId="7" fillId="15" borderId="92" xfId="0" applyNumberFormat="1" applyFont="1" applyFill="1" applyBorder="1" applyAlignment="1">
      <alignment vertical="center" wrapText="1"/>
    </xf>
    <xf numFmtId="167" fontId="0" fillId="15" borderId="92" xfId="1" applyNumberFormat="1" applyFont="1" applyFill="1" applyBorder="1"/>
    <xf numFmtId="0" fontId="0" fillId="15" borderId="93" xfId="0" applyFill="1" applyBorder="1"/>
    <xf numFmtId="4" fontId="0" fillId="15" borderId="95" xfId="1" applyNumberFormat="1" applyFont="1" applyFill="1" applyBorder="1"/>
    <xf numFmtId="0" fontId="0" fillId="15" borderId="95" xfId="0" applyFill="1" applyBorder="1"/>
    <xf numFmtId="0" fontId="0" fillId="15" borderId="73" xfId="0" applyFill="1" applyBorder="1" applyAlignment="1">
      <alignment vertical="top" wrapText="1"/>
    </xf>
    <xf numFmtId="4" fontId="0" fillId="15" borderId="0" xfId="1" applyNumberFormat="1" applyFont="1" applyFill="1" applyBorder="1"/>
    <xf numFmtId="0" fontId="2" fillId="15" borderId="73" xfId="0" applyFont="1" applyFill="1" applyBorder="1"/>
    <xf numFmtId="0" fontId="0" fillId="15" borderId="96" xfId="0" applyFill="1" applyBorder="1"/>
    <xf numFmtId="0" fontId="0" fillId="43" borderId="79" xfId="0" applyFill="1" applyBorder="1"/>
    <xf numFmtId="0" fontId="0" fillId="43" borderId="0" xfId="0" applyFill="1"/>
    <xf numFmtId="0" fontId="0" fillId="43" borderId="80" xfId="0" applyFill="1" applyBorder="1"/>
    <xf numFmtId="0" fontId="0" fillId="43" borderId="82" xfId="0" applyFill="1" applyBorder="1"/>
    <xf numFmtId="0" fontId="0" fillId="43" borderId="83" xfId="0" applyFill="1" applyBorder="1"/>
    <xf numFmtId="0" fontId="51" fillId="61" borderId="53" xfId="0" applyFont="1" applyFill="1" applyBorder="1" applyAlignment="1">
      <alignment vertical="center" wrapText="1"/>
    </xf>
    <xf numFmtId="0" fontId="51" fillId="61" borderId="54" xfId="0" applyFont="1" applyFill="1" applyBorder="1" applyAlignment="1">
      <alignment vertical="center" wrapText="1"/>
    </xf>
    <xf numFmtId="0" fontId="70" fillId="62" borderId="57" xfId="0" applyFont="1" applyFill="1" applyBorder="1"/>
    <xf numFmtId="167" fontId="70" fillId="5" borderId="0" xfId="1" applyNumberFormat="1" applyFont="1" applyFill="1" applyBorder="1"/>
    <xf numFmtId="168" fontId="70" fillId="62" borderId="58" xfId="1" applyNumberFormat="1" applyFont="1" applyFill="1" applyBorder="1" applyAlignment="1">
      <alignment horizontal="center" vertical="center"/>
    </xf>
    <xf numFmtId="168" fontId="70" fillId="62" borderId="57" xfId="1" applyNumberFormat="1" applyFont="1" applyFill="1" applyBorder="1" applyAlignment="1">
      <alignment horizontal="center" vertical="center"/>
    </xf>
    <xf numFmtId="43" fontId="70" fillId="62" borderId="57" xfId="1" applyFont="1" applyFill="1" applyBorder="1" applyAlignment="1">
      <alignment horizontal="center" vertical="center"/>
    </xf>
    <xf numFmtId="167" fontId="70" fillId="62" borderId="57" xfId="1" applyNumberFormat="1" applyFont="1" applyFill="1" applyBorder="1" applyAlignment="1">
      <alignment horizontal="right" vertical="center"/>
    </xf>
    <xf numFmtId="167" fontId="70" fillId="5" borderId="0" xfId="1" applyNumberFormat="1" applyFont="1" applyFill="1" applyBorder="1" applyAlignment="1">
      <alignment horizontal="center" vertical="center"/>
    </xf>
    <xf numFmtId="167" fontId="70" fillId="62" borderId="57" xfId="1" applyNumberFormat="1" applyFont="1" applyFill="1" applyBorder="1" applyAlignment="1">
      <alignment horizontal="center" vertical="center"/>
    </xf>
    <xf numFmtId="43" fontId="70" fillId="5" borderId="0" xfId="1" applyFont="1" applyFill="1" applyBorder="1" applyAlignment="1">
      <alignment horizontal="center" vertical="center"/>
    </xf>
    <xf numFmtId="1" fontId="70" fillId="62" borderId="57" xfId="2" applyNumberFormat="1" applyFont="1" applyFill="1" applyBorder="1" applyAlignment="1">
      <alignment horizontal="center" vertical="center"/>
    </xf>
    <xf numFmtId="1" fontId="70" fillId="5" borderId="0" xfId="2" applyNumberFormat="1" applyFont="1" applyFill="1" applyBorder="1" applyAlignment="1">
      <alignment horizontal="center" vertical="center"/>
    </xf>
    <xf numFmtId="168" fontId="70" fillId="62" borderId="57" xfId="0" applyNumberFormat="1" applyFont="1" applyFill="1" applyBorder="1" applyAlignment="1">
      <alignment horizontal="center" vertical="center"/>
    </xf>
    <xf numFmtId="43" fontId="70" fillId="62" borderId="58" xfId="1" applyFont="1" applyFill="1" applyBorder="1" applyAlignment="1">
      <alignment horizontal="center" vertical="center"/>
    </xf>
    <xf numFmtId="166" fontId="70" fillId="62" borderId="57" xfId="1" applyNumberFormat="1" applyFont="1" applyFill="1" applyBorder="1" applyAlignment="1">
      <alignment horizontal="center" vertical="center"/>
    </xf>
    <xf numFmtId="167" fontId="70" fillId="62" borderId="58" xfId="1" applyNumberFormat="1" applyFont="1" applyFill="1" applyBorder="1" applyAlignment="1">
      <alignment horizontal="center"/>
    </xf>
    <xf numFmtId="166" fontId="70" fillId="62" borderId="58" xfId="0" applyNumberFormat="1" applyFont="1" applyFill="1" applyBorder="1" applyAlignment="1">
      <alignment horizontal="center" vertical="center"/>
    </xf>
    <xf numFmtId="167" fontId="70" fillId="62" borderId="58" xfId="1" applyNumberFormat="1" applyFont="1" applyFill="1" applyBorder="1" applyAlignment="1">
      <alignment horizontal="center" vertical="center"/>
    </xf>
    <xf numFmtId="43" fontId="70" fillId="62" borderId="57" xfId="0" applyNumberFormat="1" applyFont="1" applyFill="1" applyBorder="1" applyAlignment="1">
      <alignment horizontal="center" vertical="center"/>
    </xf>
    <xf numFmtId="166" fontId="70" fillId="62" borderId="57" xfId="0" applyNumberFormat="1" applyFont="1" applyFill="1" applyBorder="1" applyAlignment="1">
      <alignment horizontal="center" vertical="center"/>
    </xf>
    <xf numFmtId="43" fontId="70" fillId="5" borderId="0" xfId="0" applyNumberFormat="1" applyFont="1" applyFill="1" applyAlignment="1">
      <alignment horizontal="center" vertical="center"/>
    </xf>
    <xf numFmtId="172" fontId="70" fillId="62" borderId="57" xfId="1" applyNumberFormat="1" applyFont="1" applyFill="1" applyBorder="1" applyAlignment="1">
      <alignment horizontal="center" vertical="center"/>
    </xf>
    <xf numFmtId="172" fontId="70" fillId="5" borderId="0" xfId="1" applyNumberFormat="1" applyFont="1" applyFill="1" applyBorder="1" applyAlignment="1">
      <alignment horizontal="center" vertical="center"/>
    </xf>
    <xf numFmtId="168" fontId="70" fillId="15" borderId="0" xfId="1" applyNumberFormat="1" applyFont="1" applyFill="1" applyBorder="1" applyAlignment="1">
      <alignment horizontal="center" vertical="center"/>
    </xf>
    <xf numFmtId="166" fontId="70" fillId="15" borderId="0" xfId="1" applyNumberFormat="1" applyFont="1" applyFill="1" applyBorder="1" applyAlignment="1">
      <alignment horizontal="center" vertical="center"/>
    </xf>
    <xf numFmtId="167" fontId="70" fillId="15" borderId="0" xfId="1" applyNumberFormat="1" applyFont="1" applyFill="1" applyBorder="1" applyAlignment="1">
      <alignment horizontal="center" vertical="center"/>
    </xf>
    <xf numFmtId="0" fontId="70" fillId="5" borderId="0" xfId="0" applyFont="1" applyFill="1"/>
    <xf numFmtId="0" fontId="70" fillId="0" borderId="0" xfId="0" applyFont="1"/>
    <xf numFmtId="0" fontId="70" fillId="62" borderId="58" xfId="0" applyFont="1" applyFill="1" applyBorder="1"/>
    <xf numFmtId="167" fontId="70" fillId="62" borderId="58" xfId="1" applyNumberFormat="1" applyFont="1" applyFill="1" applyBorder="1" applyAlignment="1">
      <alignment horizontal="right" vertical="center"/>
    </xf>
    <xf numFmtId="1" fontId="70" fillId="62" borderId="58" xfId="2" applyNumberFormat="1" applyFont="1" applyFill="1" applyBorder="1" applyAlignment="1">
      <alignment horizontal="center" vertical="center"/>
    </xf>
    <xf numFmtId="168" fontId="70" fillId="62" borderId="58" xfId="0" applyNumberFormat="1" applyFont="1" applyFill="1" applyBorder="1" applyAlignment="1">
      <alignment horizontal="center" vertical="center"/>
    </xf>
    <xf numFmtId="43" fontId="70" fillId="62" borderId="58" xfId="0" applyNumberFormat="1" applyFont="1" applyFill="1" applyBorder="1" applyAlignment="1">
      <alignment horizontal="center" vertical="center"/>
    </xf>
    <xf numFmtId="172" fontId="70" fillId="62" borderId="58" xfId="1" applyNumberFormat="1" applyFont="1" applyFill="1" applyBorder="1" applyAlignment="1">
      <alignment horizontal="center" vertical="center"/>
    </xf>
    <xf numFmtId="172" fontId="70" fillId="15" borderId="0" xfId="1" applyNumberFormat="1" applyFont="1" applyFill="1" applyBorder="1" applyAlignment="1">
      <alignment horizontal="center" vertical="center"/>
    </xf>
    <xf numFmtId="1" fontId="70" fillId="5" borderId="0" xfId="0" applyNumberFormat="1" applyFont="1" applyFill="1" applyAlignment="1">
      <alignment horizontal="center" vertical="center"/>
    </xf>
    <xf numFmtId="166" fontId="70" fillId="62" borderId="58" xfId="1" applyNumberFormat="1" applyFont="1" applyFill="1" applyBorder="1" applyAlignment="1">
      <alignment horizontal="center" vertical="center"/>
    </xf>
    <xf numFmtId="0" fontId="70" fillId="5" borderId="0" xfId="0" applyFont="1" applyFill="1" applyAlignment="1">
      <alignment horizontal="center" vertical="center"/>
    </xf>
    <xf numFmtId="0" fontId="70" fillId="62" borderId="59" xfId="0" applyFont="1" applyFill="1" applyBorder="1"/>
    <xf numFmtId="167" fontId="70" fillId="62" borderId="59" xfId="1" applyNumberFormat="1" applyFont="1" applyFill="1" applyBorder="1" applyAlignment="1">
      <alignment horizontal="right" vertical="center"/>
    </xf>
    <xf numFmtId="168" fontId="70" fillId="62" borderId="59" xfId="1" applyNumberFormat="1" applyFont="1" applyFill="1" applyBorder="1" applyAlignment="1">
      <alignment horizontal="center" vertical="center"/>
    </xf>
    <xf numFmtId="167" fontId="70" fillId="62" borderId="59" xfId="1" applyNumberFormat="1" applyFont="1" applyFill="1" applyBorder="1" applyAlignment="1">
      <alignment horizontal="center" vertical="center"/>
    </xf>
    <xf numFmtId="168" fontId="70" fillId="62" borderId="59" xfId="0" applyNumberFormat="1" applyFont="1" applyFill="1" applyBorder="1" applyAlignment="1">
      <alignment horizontal="center" vertical="center"/>
    </xf>
    <xf numFmtId="166" fontId="70" fillId="62" borderId="59" xfId="1" applyNumberFormat="1" applyFont="1" applyFill="1" applyBorder="1" applyAlignment="1">
      <alignment horizontal="center" vertical="center"/>
    </xf>
    <xf numFmtId="167" fontId="70" fillId="62" borderId="59" xfId="1" applyNumberFormat="1" applyFont="1" applyFill="1" applyBorder="1" applyAlignment="1">
      <alignment horizontal="center"/>
    </xf>
    <xf numFmtId="166" fontId="70" fillId="62" borderId="59" xfId="0" applyNumberFormat="1" applyFont="1" applyFill="1" applyBorder="1" applyAlignment="1">
      <alignment horizontal="center" vertical="center"/>
    </xf>
    <xf numFmtId="43" fontId="70" fillId="62" borderId="59" xfId="0" applyNumberFormat="1" applyFont="1" applyFill="1" applyBorder="1" applyAlignment="1">
      <alignment horizontal="center" vertical="center"/>
    </xf>
    <xf numFmtId="43" fontId="70" fillId="62" borderId="59" xfId="1" applyFont="1" applyFill="1" applyBorder="1" applyAlignment="1">
      <alignment horizontal="center" vertical="center"/>
    </xf>
    <xf numFmtId="172" fontId="70" fillId="62" borderId="59" xfId="1" applyNumberFormat="1" applyFont="1" applyFill="1" applyBorder="1" applyAlignment="1">
      <alignment horizontal="center" vertical="center"/>
    </xf>
    <xf numFmtId="167" fontId="50" fillId="71" borderId="0" xfId="1" applyNumberFormat="1" applyFont="1" applyFill="1" applyBorder="1"/>
    <xf numFmtId="168" fontId="50" fillId="71" borderId="0" xfId="1" applyNumberFormat="1" applyFont="1" applyFill="1" applyBorder="1"/>
    <xf numFmtId="43" fontId="50" fillId="5" borderId="0" xfId="0" applyNumberFormat="1" applyFont="1" applyFill="1"/>
    <xf numFmtId="172" fontId="50" fillId="71" borderId="0" xfId="1" applyNumberFormat="1" applyFont="1" applyFill="1" applyBorder="1"/>
    <xf numFmtId="0" fontId="70" fillId="58" borderId="57" xfId="0" applyFont="1" applyFill="1" applyBorder="1"/>
    <xf numFmtId="0" fontId="70" fillId="58" borderId="58" xfId="0" applyFont="1" applyFill="1" applyBorder="1"/>
    <xf numFmtId="0" fontId="48" fillId="5" borderId="0" xfId="0" applyFont="1" applyFill="1" applyAlignment="1">
      <alignment horizontal="center"/>
    </xf>
    <xf numFmtId="43" fontId="48" fillId="5" borderId="0" xfId="0" applyNumberFormat="1" applyFont="1" applyFill="1" applyAlignment="1">
      <alignment horizontal="center"/>
    </xf>
    <xf numFmtId="43" fontId="48" fillId="5" borderId="0" xfId="1" applyFont="1" applyFill="1" applyBorder="1" applyAlignment="1">
      <alignment horizontal="center"/>
    </xf>
    <xf numFmtId="172" fontId="48" fillId="5" borderId="0" xfId="1" applyNumberFormat="1" applyFont="1" applyFill="1" applyBorder="1" applyAlignment="1">
      <alignment horizontal="center"/>
    </xf>
    <xf numFmtId="0" fontId="70" fillId="62" borderId="58" xfId="1" applyNumberFormat="1" applyFont="1" applyFill="1" applyBorder="1" applyAlignment="1">
      <alignment horizontal="center" vertical="center"/>
    </xf>
    <xf numFmtId="43" fontId="50" fillId="5" borderId="0" xfId="0" applyNumberFormat="1" applyFont="1" applyFill="1" applyAlignment="1">
      <alignment horizontal="center"/>
    </xf>
    <xf numFmtId="43" fontId="50" fillId="5" borderId="0" xfId="1" applyFont="1" applyFill="1" applyBorder="1"/>
    <xf numFmtId="0" fontId="50" fillId="5" borderId="0" xfId="0" applyFont="1" applyFill="1" applyAlignment="1">
      <alignment horizontal="right"/>
    </xf>
    <xf numFmtId="172" fontId="50" fillId="5" borderId="0" xfId="1" applyNumberFormat="1" applyFont="1" applyFill="1" applyBorder="1"/>
    <xf numFmtId="0" fontId="12" fillId="0" borderId="0" xfId="0" applyFont="1" applyAlignment="1">
      <alignment horizontal="left" vertical="center" wrapText="1"/>
    </xf>
    <xf numFmtId="0" fontId="12" fillId="0" borderId="0" xfId="0" applyFont="1" applyAlignment="1">
      <alignment horizontal="left" vertical="center"/>
    </xf>
    <xf numFmtId="0" fontId="12" fillId="0" borderId="100" xfId="0" applyFont="1" applyBorder="1" applyAlignment="1">
      <alignment horizontal="left" vertical="center" wrapText="1"/>
    </xf>
    <xf numFmtId="0" fontId="12" fillId="0" borderId="98" xfId="0" applyFont="1" applyBorder="1" applyAlignment="1">
      <alignment horizontal="left" vertical="center" wrapText="1"/>
    </xf>
    <xf numFmtId="0" fontId="12" fillId="0" borderId="101" xfId="0" applyFont="1" applyBorder="1" applyAlignment="1">
      <alignment horizontal="left" vertical="center" wrapText="1"/>
    </xf>
    <xf numFmtId="0" fontId="12" fillId="0" borderId="97" xfId="0" applyFont="1" applyBorder="1" applyAlignment="1">
      <alignment horizontal="left" vertical="center" wrapText="1"/>
    </xf>
    <xf numFmtId="0" fontId="12" fillId="0" borderId="99" xfId="0" applyFont="1" applyBorder="1" applyAlignment="1">
      <alignment horizontal="left" vertical="center" wrapText="1"/>
    </xf>
    <xf numFmtId="0" fontId="32" fillId="0" borderId="0" xfId="0" applyFont="1" applyAlignment="1">
      <alignment horizontal="center" vertical="center"/>
    </xf>
    <xf numFmtId="0" fontId="32" fillId="72" borderId="0" xfId="0" applyFont="1" applyFill="1" applyAlignment="1">
      <alignment horizontal="center" vertical="center" wrapText="1"/>
    </xf>
    <xf numFmtId="0" fontId="32" fillId="31" borderId="0" xfId="0" applyFont="1" applyFill="1" applyAlignment="1">
      <alignment horizontal="center" vertical="center" wrapText="1"/>
    </xf>
    <xf numFmtId="0" fontId="12" fillId="0" borderId="104" xfId="0" applyFont="1" applyBorder="1" applyAlignment="1">
      <alignment horizontal="left" vertical="center" wrapText="1"/>
    </xf>
    <xf numFmtId="0" fontId="12" fillId="0" borderId="105" xfId="0" applyFont="1" applyBorder="1" applyAlignment="1">
      <alignment horizontal="left" vertical="center" wrapText="1"/>
    </xf>
    <xf numFmtId="0" fontId="32" fillId="15" borderId="0" xfId="0" applyFont="1" applyFill="1" applyAlignment="1">
      <alignment horizontal="center" vertical="center" wrapText="1"/>
    </xf>
    <xf numFmtId="1" fontId="7" fillId="15" borderId="43" xfId="2" applyNumberFormat="1" applyFont="1" applyFill="1" applyBorder="1" applyAlignment="1" applyProtection="1">
      <alignment horizontal="center" vertical="center"/>
      <protection hidden="1"/>
    </xf>
    <xf numFmtId="1" fontId="7" fillId="15" borderId="41" xfId="2" applyNumberFormat="1" applyFont="1" applyFill="1" applyBorder="1" applyAlignment="1" applyProtection="1">
      <alignment horizontal="center" vertical="center"/>
      <protection hidden="1"/>
    </xf>
    <xf numFmtId="1" fontId="7" fillId="15" borderId="41" xfId="0" applyNumberFormat="1" applyFont="1" applyFill="1" applyBorder="1" applyAlignment="1" applyProtection="1">
      <alignment horizontal="center" vertical="center"/>
      <protection hidden="1"/>
    </xf>
    <xf numFmtId="1" fontId="7" fillId="15" borderId="41" xfId="1" applyNumberFormat="1" applyFont="1" applyFill="1" applyBorder="1" applyAlignment="1" applyProtection="1">
      <alignment horizontal="center" vertical="center"/>
      <protection hidden="1"/>
    </xf>
    <xf numFmtId="1" fontId="2" fillId="55" borderId="0" xfId="1" applyNumberFormat="1" applyFont="1" applyFill="1" applyBorder="1" applyAlignment="1" applyProtection="1">
      <alignment horizontal="center" vertical="center"/>
      <protection hidden="1"/>
    </xf>
    <xf numFmtId="167" fontId="7" fillId="15" borderId="0" xfId="0" applyNumberFormat="1" applyFont="1" applyFill="1"/>
    <xf numFmtId="0" fontId="12" fillId="0" borderId="100" xfId="0" applyFont="1" applyBorder="1" applyAlignment="1">
      <alignment horizontal="left" vertical="top" wrapText="1"/>
    </xf>
    <xf numFmtId="0" fontId="12" fillId="0" borderId="106" xfId="0" applyFont="1" applyBorder="1" applyAlignment="1">
      <alignment horizontal="left" vertical="center" wrapText="1"/>
    </xf>
    <xf numFmtId="0" fontId="47" fillId="0" borderId="100" xfId="4" applyBorder="1" applyAlignment="1">
      <alignment horizontal="left" vertical="top" wrapText="1"/>
    </xf>
    <xf numFmtId="0" fontId="12" fillId="0" borderId="103" xfId="0" applyFont="1" applyBorder="1" applyAlignment="1">
      <alignment horizontal="left" vertical="center" wrapText="1"/>
    </xf>
    <xf numFmtId="0" fontId="1" fillId="0" borderId="100" xfId="4" applyFont="1" applyBorder="1" applyAlignment="1">
      <alignment horizontal="left" vertical="top" wrapText="1"/>
    </xf>
    <xf numFmtId="0" fontId="12" fillId="0" borderId="102" xfId="0" applyFont="1" applyBorder="1" applyAlignment="1">
      <alignment vertical="top" wrapText="1"/>
    </xf>
    <xf numFmtId="0" fontId="12" fillId="0" borderId="103" xfId="0" applyFont="1" applyBorder="1" applyAlignment="1">
      <alignment vertical="top" wrapText="1"/>
    </xf>
    <xf numFmtId="0" fontId="12" fillId="0" borderId="100" xfId="0" applyFont="1" applyBorder="1" applyAlignment="1">
      <alignment vertical="top" wrapText="1"/>
    </xf>
    <xf numFmtId="0" fontId="47" fillId="0" borderId="100" xfId="4" applyBorder="1" applyAlignment="1">
      <alignment vertical="top" wrapText="1"/>
    </xf>
    <xf numFmtId="0" fontId="12" fillId="0" borderId="107" xfId="0" applyFont="1" applyBorder="1" applyAlignment="1">
      <alignment horizontal="left" vertical="center" wrapText="1"/>
    </xf>
    <xf numFmtId="0" fontId="12" fillId="14" borderId="99" xfId="0" applyFont="1" applyFill="1" applyBorder="1" applyAlignment="1">
      <alignment horizontal="left" vertical="center" wrapText="1"/>
    </xf>
    <xf numFmtId="0" fontId="12" fillId="14" borderId="105" xfId="0" applyFont="1" applyFill="1" applyBorder="1" applyAlignment="1">
      <alignment horizontal="left" vertical="center" wrapText="1"/>
    </xf>
    <xf numFmtId="0" fontId="12" fillId="14" borderId="100" xfId="0" applyFont="1" applyFill="1" applyBorder="1" applyAlignment="1">
      <alignment horizontal="left" vertical="top" wrapText="1"/>
    </xf>
    <xf numFmtId="0" fontId="12" fillId="14" borderId="106" xfId="0" applyFont="1" applyFill="1" applyBorder="1" applyAlignment="1">
      <alignment horizontal="left" vertical="center" wrapText="1"/>
    </xf>
    <xf numFmtId="0" fontId="12" fillId="14" borderId="103" xfId="0" applyFont="1" applyFill="1" applyBorder="1" applyAlignment="1">
      <alignment horizontal="left" vertical="center" wrapText="1"/>
    </xf>
    <xf numFmtId="0" fontId="1" fillId="14" borderId="100" xfId="4" applyFont="1" applyFill="1" applyBorder="1" applyAlignment="1">
      <alignment horizontal="left" vertical="top" wrapText="1"/>
    </xf>
    <xf numFmtId="0" fontId="12" fillId="14" borderId="97" xfId="0" applyFont="1" applyFill="1" applyBorder="1" applyAlignment="1">
      <alignment horizontal="left" vertical="center" wrapText="1"/>
    </xf>
    <xf numFmtId="0" fontId="12" fillId="14" borderId="100" xfId="0" applyFont="1" applyFill="1" applyBorder="1" applyAlignment="1">
      <alignment vertical="top" wrapText="1"/>
    </xf>
    <xf numFmtId="0" fontId="12" fillId="15" borderId="97" xfId="0" applyFont="1" applyFill="1" applyBorder="1" applyAlignment="1">
      <alignment horizontal="left" vertical="center" wrapText="1"/>
    </xf>
    <xf numFmtId="0" fontId="12" fillId="15" borderId="98" xfId="0" applyFont="1" applyFill="1" applyBorder="1" applyAlignment="1">
      <alignment horizontal="left" vertical="center" wrapText="1"/>
    </xf>
    <xf numFmtId="0" fontId="12" fillId="0" borderId="108" xfId="0" applyFont="1" applyBorder="1" applyAlignment="1">
      <alignment horizontal="left" vertical="center" wrapText="1"/>
    </xf>
    <xf numFmtId="0" fontId="12" fillId="73" borderId="106" xfId="0" applyFont="1" applyFill="1" applyBorder="1" applyAlignment="1">
      <alignment horizontal="left" vertical="center" wrapText="1"/>
    </xf>
    <xf numFmtId="0" fontId="74" fillId="15" borderId="109" xfId="4" applyFont="1" applyFill="1" applyBorder="1" applyAlignment="1">
      <alignment wrapText="1"/>
    </xf>
    <xf numFmtId="0" fontId="73" fillId="15" borderId="0" xfId="0" applyFont="1" applyFill="1" applyAlignment="1">
      <alignment wrapText="1"/>
    </xf>
    <xf numFmtId="0" fontId="75" fillId="74" borderId="109" xfId="0" applyFont="1" applyFill="1" applyBorder="1" applyAlignment="1">
      <alignment wrapText="1"/>
    </xf>
    <xf numFmtId="0" fontId="12" fillId="15" borderId="0" xfId="0" applyFont="1" applyFill="1" applyAlignment="1">
      <alignment horizontal="right"/>
    </xf>
    <xf numFmtId="0" fontId="32" fillId="74" borderId="109" xfId="0" applyFont="1" applyFill="1" applyBorder="1"/>
    <xf numFmtId="0" fontId="32" fillId="74" borderId="109" xfId="0" applyFont="1" applyFill="1" applyBorder="1" applyAlignment="1">
      <alignment horizontal="right"/>
    </xf>
    <xf numFmtId="0" fontId="12" fillId="15" borderId="109" xfId="0" applyFont="1" applyFill="1" applyBorder="1"/>
    <xf numFmtId="0" fontId="12" fillId="15" borderId="109" xfId="0" applyFont="1" applyFill="1" applyBorder="1" applyAlignment="1">
      <alignment horizontal="right"/>
    </xf>
    <xf numFmtId="0" fontId="12" fillId="15" borderId="109" xfId="0" applyFont="1" applyFill="1" applyBorder="1" applyAlignment="1">
      <alignment wrapText="1"/>
    </xf>
    <xf numFmtId="3" fontId="12" fillId="15" borderId="109" xfId="0" applyNumberFormat="1" applyFont="1" applyFill="1" applyBorder="1" applyAlignment="1">
      <alignment horizontal="right"/>
    </xf>
    <xf numFmtId="167" fontId="12" fillId="15" borderId="109" xfId="1" applyNumberFormat="1" applyFont="1" applyFill="1" applyBorder="1" applyAlignment="1">
      <alignment horizontal="right"/>
    </xf>
    <xf numFmtId="0" fontId="12" fillId="34" borderId="1" xfId="0" applyFont="1" applyFill="1" applyBorder="1" applyAlignment="1">
      <alignment horizontal="center" vertical="center"/>
    </xf>
    <xf numFmtId="172" fontId="70" fillId="62" borderId="58" xfId="1" applyNumberFormat="1" applyFont="1" applyFill="1" applyBorder="1" applyAlignment="1">
      <alignment horizontal="left"/>
    </xf>
    <xf numFmtId="167" fontId="51" fillId="63" borderId="0" xfId="1" applyNumberFormat="1" applyFont="1" applyFill="1" applyBorder="1" applyAlignment="1">
      <alignment vertical="center" wrapText="1"/>
    </xf>
    <xf numFmtId="4" fontId="0" fillId="15" borderId="79" xfId="1" applyNumberFormat="1" applyFont="1" applyFill="1" applyBorder="1"/>
    <xf numFmtId="4" fontId="7" fillId="15" borderId="79" xfId="1" applyNumberFormat="1" applyFont="1" applyFill="1" applyBorder="1"/>
    <xf numFmtId="4" fontId="7" fillId="15" borderId="79" xfId="0" applyNumberFormat="1" applyFont="1" applyFill="1" applyBorder="1" applyAlignment="1">
      <alignment vertical="center" wrapText="1"/>
    </xf>
    <xf numFmtId="4" fontId="0" fillId="15" borderId="79" xfId="0" applyNumberFormat="1" applyFill="1" applyBorder="1"/>
    <xf numFmtId="4" fontId="0" fillId="15" borderId="0" xfId="0" applyNumberFormat="1" applyFill="1"/>
    <xf numFmtId="4" fontId="0" fillId="15" borderId="52" xfId="1" applyNumberFormat="1" applyFont="1" applyFill="1" applyBorder="1"/>
    <xf numFmtId="4" fontId="0" fillId="15" borderId="85" xfId="1" applyNumberFormat="1" applyFont="1" applyFill="1" applyBorder="1"/>
    <xf numFmtId="4" fontId="7" fillId="15" borderId="85" xfId="1" applyNumberFormat="1" applyFont="1" applyFill="1" applyBorder="1"/>
    <xf numFmtId="4" fontId="7" fillId="15" borderId="90" xfId="1" applyNumberFormat="1" applyFont="1" applyFill="1" applyBorder="1"/>
    <xf numFmtId="4" fontId="7" fillId="15" borderId="90" xfId="0" applyNumberFormat="1" applyFont="1" applyFill="1" applyBorder="1" applyAlignment="1">
      <alignment vertical="center" wrapText="1"/>
    </xf>
    <xf numFmtId="4" fontId="7" fillId="15" borderId="90" xfId="0" applyNumberFormat="1" applyFont="1" applyFill="1" applyBorder="1"/>
    <xf numFmtId="4" fontId="0" fillId="15" borderId="72" xfId="1" applyNumberFormat="1" applyFont="1" applyFill="1" applyBorder="1"/>
    <xf numFmtId="4" fontId="0" fillId="15" borderId="69" xfId="1" applyNumberFormat="1" applyFont="1" applyFill="1" applyBorder="1"/>
    <xf numFmtId="4" fontId="0" fillId="15" borderId="68" xfId="1" applyNumberFormat="1" applyFont="1" applyFill="1" applyBorder="1"/>
    <xf numFmtId="4" fontId="7" fillId="15" borderId="68" xfId="0" applyNumberFormat="1" applyFont="1" applyFill="1" applyBorder="1" applyAlignment="1">
      <alignment vertical="center" wrapText="1"/>
    </xf>
    <xf numFmtId="4" fontId="7" fillId="15" borderId="72" xfId="0" applyNumberFormat="1" applyFont="1" applyFill="1" applyBorder="1" applyAlignment="1">
      <alignment vertical="center" wrapText="1"/>
    </xf>
    <xf numFmtId="4" fontId="7" fillId="15" borderId="69" xfId="0" applyNumberFormat="1" applyFont="1" applyFill="1" applyBorder="1" applyAlignment="1">
      <alignment vertical="center" wrapText="1"/>
    </xf>
    <xf numFmtId="4" fontId="0" fillId="15" borderId="68" xfId="0" applyNumberFormat="1" applyFill="1" applyBorder="1"/>
    <xf numFmtId="168" fontId="70" fillId="8" borderId="58" xfId="1" applyNumberFormat="1" applyFont="1" applyFill="1" applyBorder="1" applyAlignment="1">
      <alignment horizontal="center" vertical="center"/>
    </xf>
    <xf numFmtId="167" fontId="70" fillId="8" borderId="58" xfId="1" applyNumberFormat="1" applyFont="1" applyFill="1" applyBorder="1" applyAlignment="1">
      <alignment horizontal="center" vertical="center"/>
    </xf>
    <xf numFmtId="0" fontId="0" fillId="75" borderId="0" xfId="0" applyFill="1"/>
    <xf numFmtId="0" fontId="0" fillId="13" borderId="0" xfId="0" applyFill="1"/>
    <xf numFmtId="0" fontId="55" fillId="15" borderId="57" xfId="0" applyFont="1" applyFill="1" applyBorder="1"/>
    <xf numFmtId="0" fontId="55" fillId="15" borderId="58" xfId="0" applyFont="1" applyFill="1" applyBorder="1"/>
    <xf numFmtId="0" fontId="47" fillId="0" borderId="0" xfId="4" applyAlignment="1"/>
    <xf numFmtId="0" fontId="0" fillId="0" borderId="0" xfId="0" quotePrefix="1"/>
    <xf numFmtId="0" fontId="47" fillId="0" borderId="0" xfId="4" quotePrefix="1" applyAlignment="1"/>
    <xf numFmtId="168" fontId="7" fillId="15" borderId="43" xfId="1" applyNumberFormat="1" applyFont="1" applyFill="1" applyBorder="1" applyAlignment="1" applyProtection="1">
      <alignment horizontal="center" vertical="center"/>
      <protection hidden="1"/>
    </xf>
    <xf numFmtId="168" fontId="7" fillId="15" borderId="41" xfId="1" applyNumberFormat="1" applyFont="1" applyFill="1" applyBorder="1" applyAlignment="1" applyProtection="1">
      <alignment horizontal="center" vertical="center"/>
      <protection hidden="1"/>
    </xf>
    <xf numFmtId="168" fontId="2" fillId="55" borderId="0" xfId="1" applyNumberFormat="1" applyFont="1" applyFill="1" applyBorder="1" applyProtection="1">
      <protection hidden="1"/>
    </xf>
    <xf numFmtId="43" fontId="58" fillId="44" borderId="1" xfId="1" applyFont="1" applyFill="1" applyBorder="1" applyProtection="1">
      <protection locked="0"/>
    </xf>
    <xf numFmtId="167" fontId="70" fillId="62" borderId="57" xfId="0" applyNumberFormat="1" applyFont="1" applyFill="1" applyBorder="1" applyAlignment="1">
      <alignment horizontal="center" vertical="center"/>
    </xf>
    <xf numFmtId="43" fontId="70" fillId="6" borderId="113" xfId="1" applyFont="1" applyFill="1" applyBorder="1" applyAlignment="1">
      <alignment horizontal="center" vertical="center"/>
    </xf>
    <xf numFmtId="167" fontId="70" fillId="6" borderId="113" xfId="1" applyNumberFormat="1" applyFont="1" applyFill="1" applyBorder="1" applyAlignment="1">
      <alignment horizontal="center" vertical="center"/>
    </xf>
    <xf numFmtId="167" fontId="70" fillId="6" borderId="114" xfId="1" applyNumberFormat="1" applyFont="1" applyFill="1" applyBorder="1" applyAlignment="1">
      <alignment horizontal="center" vertical="center"/>
    </xf>
    <xf numFmtId="167" fontId="70" fillId="6" borderId="112" xfId="1" applyNumberFormat="1" applyFont="1" applyFill="1" applyBorder="1" applyAlignment="1">
      <alignment horizontal="center" vertical="center"/>
    </xf>
    <xf numFmtId="167" fontId="76" fillId="6" borderId="114" xfId="1" applyNumberFormat="1" applyFont="1" applyFill="1" applyBorder="1" applyAlignment="1">
      <alignment horizontal="center" vertical="center"/>
    </xf>
    <xf numFmtId="0" fontId="2" fillId="15" borderId="0" xfId="0" applyFont="1" applyFill="1" applyAlignment="1">
      <alignment vertical="center" wrapText="1"/>
    </xf>
    <xf numFmtId="0" fontId="0" fillId="15" borderId="74" xfId="0" applyFill="1" applyBorder="1" applyAlignment="1">
      <alignment horizontal="left"/>
    </xf>
    <xf numFmtId="0" fontId="0" fillId="15" borderId="75" xfId="0" applyFill="1" applyBorder="1" applyAlignment="1">
      <alignment horizontal="left" vertical="top" wrapText="1"/>
    </xf>
    <xf numFmtId="167" fontId="28" fillId="15" borderId="0" xfId="1" applyNumberFormat="1" applyFont="1" applyFill="1" applyAlignment="1">
      <alignment horizontal="center" vertical="center"/>
    </xf>
    <xf numFmtId="0" fontId="78" fillId="15" borderId="0" xfId="0" applyFont="1" applyFill="1"/>
    <xf numFmtId="0" fontId="77" fillId="15" borderId="0" xfId="0" applyFont="1" applyFill="1" applyAlignment="1">
      <alignment horizontal="left" vertical="center"/>
    </xf>
    <xf numFmtId="0" fontId="77" fillId="15" borderId="0" xfId="0" applyFont="1" applyFill="1" applyAlignment="1">
      <alignment vertical="center"/>
    </xf>
    <xf numFmtId="0" fontId="77" fillId="15" borderId="0" xfId="0" applyFont="1" applyFill="1" applyAlignment="1">
      <alignment horizontal="center"/>
    </xf>
    <xf numFmtId="168" fontId="70" fillId="62" borderId="57" xfId="1" applyNumberFormat="1" applyFont="1" applyFill="1" applyBorder="1"/>
    <xf numFmtId="168" fontId="2" fillId="55" borderId="0" xfId="1" applyNumberFormat="1" applyFont="1" applyFill="1" applyBorder="1"/>
    <xf numFmtId="0" fontId="56" fillId="47" borderId="0" xfId="0" applyFont="1" applyFill="1" applyAlignment="1">
      <alignment vertical="center" wrapText="1"/>
    </xf>
    <xf numFmtId="0" fontId="20" fillId="15" borderId="0" xfId="0" applyFont="1" applyFill="1" applyAlignment="1">
      <alignment vertical="top"/>
    </xf>
    <xf numFmtId="172" fontId="50" fillId="49" borderId="0" xfId="1" applyNumberFormat="1" applyFont="1" applyFill="1" applyBorder="1"/>
    <xf numFmtId="0" fontId="12" fillId="26" borderId="5" xfId="0" applyFont="1" applyFill="1" applyBorder="1" applyAlignment="1">
      <alignment horizontal="center" vertical="center"/>
    </xf>
    <xf numFmtId="0" fontId="83" fillId="63" borderId="0" xfId="0" applyFont="1" applyFill="1" applyAlignment="1">
      <alignment horizontal="center" vertical="top" wrapText="1"/>
    </xf>
    <xf numFmtId="0" fontId="81" fillId="15" borderId="0" xfId="0" applyFont="1" applyFill="1" applyAlignment="1">
      <alignment wrapText="1"/>
    </xf>
    <xf numFmtId="0" fontId="23" fillId="15" borderId="36" xfId="0" applyFont="1" applyFill="1" applyBorder="1" applyAlignment="1">
      <alignment horizontal="left" vertical="top"/>
    </xf>
    <xf numFmtId="0" fontId="20" fillId="15" borderId="36" xfId="0" applyFont="1" applyFill="1" applyBorder="1"/>
    <xf numFmtId="0" fontId="23" fillId="15" borderId="36" xfId="0" applyFont="1" applyFill="1" applyBorder="1" applyAlignment="1">
      <alignment horizontal="center"/>
    </xf>
    <xf numFmtId="167" fontId="23" fillId="15" borderId="36" xfId="0" applyNumberFormat="1" applyFont="1" applyFill="1" applyBorder="1"/>
    <xf numFmtId="0" fontId="23" fillId="15" borderId="36" xfId="0" applyFont="1" applyFill="1" applyBorder="1"/>
    <xf numFmtId="167" fontId="23" fillId="15" borderId="36" xfId="1" applyNumberFormat="1" applyFont="1" applyFill="1" applyBorder="1" applyAlignment="1"/>
    <xf numFmtId="0" fontId="84" fillId="15" borderId="36" xfId="0" applyFont="1" applyFill="1" applyBorder="1"/>
    <xf numFmtId="167" fontId="23" fillId="15" borderId="117" xfId="0" applyNumberFormat="1" applyFont="1" applyFill="1" applyBorder="1"/>
    <xf numFmtId="0" fontId="20" fillId="15" borderId="35" xfId="0" applyFont="1" applyFill="1" applyBorder="1"/>
    <xf numFmtId="0" fontId="23" fillId="15" borderId="117" xfId="0" applyFont="1" applyFill="1" applyBorder="1" applyAlignment="1">
      <alignment horizontal="center"/>
    </xf>
    <xf numFmtId="0" fontId="23" fillId="15" borderId="35" xfId="0" applyFont="1" applyFill="1" applyBorder="1" applyAlignment="1">
      <alignment horizontal="center"/>
    </xf>
    <xf numFmtId="167" fontId="28" fillId="15" borderId="36" xfId="1" applyNumberFormat="1" applyFont="1" applyFill="1" applyBorder="1" applyAlignment="1">
      <alignment horizontal="right" vertical="center"/>
    </xf>
    <xf numFmtId="0" fontId="23" fillId="15" borderId="36" xfId="0" applyFont="1" applyFill="1" applyBorder="1" applyAlignment="1">
      <alignment horizontal="left" vertical="center"/>
    </xf>
    <xf numFmtId="167" fontId="28" fillId="15" borderId="117" xfId="1" applyNumberFormat="1" applyFont="1" applyFill="1" applyBorder="1" applyAlignment="1">
      <alignment horizontal="right" vertical="center"/>
    </xf>
    <xf numFmtId="172" fontId="26" fillId="15" borderId="35" xfId="1" applyNumberFormat="1" applyFont="1" applyFill="1" applyBorder="1" applyAlignment="1">
      <alignment vertical="center"/>
    </xf>
    <xf numFmtId="167" fontId="28" fillId="15" borderId="117" xfId="1" applyNumberFormat="1" applyFont="1" applyFill="1" applyBorder="1" applyAlignment="1">
      <alignment horizontal="center" vertical="center"/>
    </xf>
    <xf numFmtId="172" fontId="26" fillId="15" borderId="35" xfId="1" applyNumberFormat="1" applyFont="1" applyFill="1" applyBorder="1" applyAlignment="1">
      <alignment horizontal="center" vertical="center"/>
    </xf>
    <xf numFmtId="0" fontId="23" fillId="15" borderId="35" xfId="0" applyFont="1" applyFill="1" applyBorder="1" applyAlignment="1">
      <alignment vertical="center" wrapText="1"/>
    </xf>
    <xf numFmtId="167" fontId="28" fillId="15" borderId="117" xfId="1" applyNumberFormat="1" applyFont="1" applyFill="1" applyBorder="1" applyAlignment="1">
      <alignment vertical="center"/>
    </xf>
    <xf numFmtId="0" fontId="23" fillId="15" borderId="117" xfId="0" applyFont="1" applyFill="1" applyBorder="1" applyAlignment="1">
      <alignment vertical="center" wrapText="1"/>
    </xf>
    <xf numFmtId="167" fontId="28" fillId="15" borderId="35" xfId="1" applyNumberFormat="1" applyFont="1" applyFill="1" applyBorder="1" applyAlignment="1">
      <alignment horizontal="center" vertical="center"/>
    </xf>
    <xf numFmtId="0" fontId="23" fillId="15" borderId="35" xfId="0" applyFont="1" applyFill="1" applyBorder="1" applyAlignment="1">
      <alignment horizontal="left" vertical="center" wrapText="1"/>
    </xf>
    <xf numFmtId="0" fontId="63" fillId="15" borderId="3" xfId="0" applyFont="1" applyFill="1" applyBorder="1" applyAlignment="1">
      <alignment horizontal="left" vertical="top" wrapText="1"/>
    </xf>
    <xf numFmtId="0" fontId="12" fillId="15" borderId="6" xfId="0" applyFont="1" applyFill="1" applyBorder="1" applyAlignment="1">
      <alignment horizontal="left" vertical="top" wrapText="1"/>
    </xf>
    <xf numFmtId="0" fontId="12" fillId="15" borderId="7" xfId="0" applyFont="1" applyFill="1" applyBorder="1" applyAlignment="1">
      <alignment horizontal="left" vertical="top" wrapText="1"/>
    </xf>
    <xf numFmtId="0" fontId="0" fillId="0" borderId="1" xfId="0" applyBorder="1" applyAlignment="1">
      <alignment horizontal="left" vertical="top" wrapText="1"/>
    </xf>
    <xf numFmtId="0" fontId="12" fillId="15" borderId="0" xfId="0" applyFont="1" applyFill="1" applyAlignment="1">
      <alignment horizontal="left" vertical="top"/>
    </xf>
    <xf numFmtId="0" fontId="47" fillId="15" borderId="1" xfId="4" applyFill="1" applyBorder="1" applyAlignment="1">
      <alignment horizontal="left" vertical="top" wrapText="1"/>
    </xf>
    <xf numFmtId="0" fontId="61" fillId="15" borderId="1" xfId="0" applyFont="1" applyFill="1" applyBorder="1" applyAlignment="1">
      <alignment horizontal="left" vertical="top"/>
    </xf>
    <xf numFmtId="0" fontId="33" fillId="15" borderId="1" xfId="0" applyFont="1" applyFill="1" applyBorder="1" applyAlignment="1">
      <alignment horizontal="left" vertical="top"/>
    </xf>
    <xf numFmtId="0" fontId="33" fillId="15" borderId="0" xfId="0" applyFont="1" applyFill="1" applyAlignment="1">
      <alignment horizontal="left" vertical="top"/>
    </xf>
    <xf numFmtId="0" fontId="61" fillId="15" borderId="6" xfId="0" applyFont="1" applyFill="1" applyBorder="1" applyAlignment="1">
      <alignment horizontal="left" vertical="top"/>
    </xf>
    <xf numFmtId="0" fontId="63" fillId="15" borderId="1" xfId="0" applyFont="1" applyFill="1" applyBorder="1" applyAlignment="1">
      <alignment horizontal="left" vertical="top" wrapText="1"/>
    </xf>
    <xf numFmtId="0" fontId="61" fillId="15" borderId="1" xfId="0" applyFont="1" applyFill="1" applyBorder="1" applyAlignment="1">
      <alignment horizontal="center" vertical="top" wrapText="1"/>
    </xf>
    <xf numFmtId="0" fontId="33" fillId="15" borderId="1" xfId="0" applyFont="1" applyFill="1" applyBorder="1" applyAlignment="1">
      <alignment horizontal="center" vertical="top" wrapText="1"/>
    </xf>
    <xf numFmtId="0" fontId="33" fillId="15" borderId="56" xfId="0" applyFont="1" applyFill="1" applyBorder="1" applyAlignment="1">
      <alignment horizontal="center" vertical="top" wrapText="1"/>
    </xf>
    <xf numFmtId="0" fontId="61" fillId="15" borderId="9" xfId="0" applyFont="1" applyFill="1" applyBorder="1" applyAlignment="1">
      <alignment horizontal="center" vertical="top" wrapText="1"/>
    </xf>
    <xf numFmtId="0" fontId="12" fillId="15" borderId="11" xfId="0" applyFont="1" applyFill="1" applyBorder="1" applyAlignment="1">
      <alignment horizontal="left" vertical="top" wrapText="1"/>
    </xf>
    <xf numFmtId="0" fontId="33" fillId="15" borderId="3" xfId="0" applyFont="1" applyFill="1" applyBorder="1" applyAlignment="1">
      <alignment horizontal="left" vertical="top" wrapText="1"/>
    </xf>
    <xf numFmtId="0" fontId="12" fillId="0" borderId="1" xfId="0" applyFont="1" applyBorder="1" applyAlignment="1">
      <alignment horizontal="center" vertical="center" wrapText="1"/>
    </xf>
    <xf numFmtId="0" fontId="12" fillId="0" borderId="1" xfId="0" applyFont="1" applyBorder="1" applyAlignment="1">
      <alignment horizontal="center" vertical="center"/>
    </xf>
    <xf numFmtId="168" fontId="70" fillId="62" borderId="57" xfId="1" applyNumberFormat="1" applyFont="1" applyFill="1" applyBorder="1" applyAlignment="1">
      <alignment horizontal="right" vertical="center"/>
    </xf>
    <xf numFmtId="0" fontId="32" fillId="77" borderId="0" xfId="0" applyFont="1" applyFill="1" applyAlignment="1">
      <alignment horizontal="center" vertical="center" wrapText="1"/>
    </xf>
    <xf numFmtId="0" fontId="32" fillId="0" borderId="0" xfId="0" applyFont="1" applyAlignment="1">
      <alignment horizontal="center" vertical="center" wrapText="1"/>
    </xf>
    <xf numFmtId="0" fontId="7" fillId="4" borderId="100" xfId="4" applyFont="1" applyFill="1" applyBorder="1" applyAlignment="1">
      <alignment vertical="top" wrapText="1"/>
    </xf>
    <xf numFmtId="0" fontId="7" fillId="0" borderId="100" xfId="4" applyFont="1" applyFill="1" applyBorder="1" applyAlignment="1">
      <alignment vertical="top" wrapText="1"/>
    </xf>
    <xf numFmtId="0" fontId="7" fillId="0" borderId="100" xfId="4" applyFont="1" applyBorder="1" applyAlignment="1">
      <alignment vertical="top" wrapText="1"/>
    </xf>
    <xf numFmtId="0" fontId="7" fillId="78" borderId="100" xfId="4" applyFont="1" applyFill="1" applyBorder="1" applyAlignment="1">
      <alignment vertical="top" wrapText="1"/>
    </xf>
    <xf numFmtId="0" fontId="12" fillId="78" borderId="106" xfId="0" applyFont="1" applyFill="1" applyBorder="1" applyAlignment="1">
      <alignment horizontal="left" vertical="center" wrapText="1"/>
    </xf>
    <xf numFmtId="0" fontId="12" fillId="15" borderId="1" xfId="0" applyFont="1" applyFill="1" applyBorder="1" applyAlignment="1">
      <alignment vertical="top" wrapText="1"/>
    </xf>
    <xf numFmtId="0" fontId="12" fillId="22" borderId="1" xfId="0" applyFont="1" applyFill="1" applyBorder="1" applyAlignment="1">
      <alignment horizontal="center" vertical="center" wrapText="1"/>
    </xf>
    <xf numFmtId="0" fontId="0" fillId="0" borderId="0" xfId="0" applyAlignment="1">
      <alignment horizontal="left" vertical="top"/>
    </xf>
    <xf numFmtId="0" fontId="0" fillId="0" borderId="0" xfId="0" applyAlignment="1">
      <alignment horizontal="left" vertical="top" wrapText="1"/>
    </xf>
    <xf numFmtId="0" fontId="12" fillId="0" borderId="0" xfId="0" applyFont="1" applyAlignment="1">
      <alignment horizontal="left" vertical="top" wrapText="1"/>
    </xf>
    <xf numFmtId="0" fontId="73" fillId="0" borderId="0" xfId="0" applyFont="1" applyAlignment="1">
      <alignment horizontal="left" vertical="top" wrapText="1"/>
    </xf>
    <xf numFmtId="0" fontId="47" fillId="0" borderId="0" xfId="4" applyFill="1" applyAlignment="1">
      <alignment horizontal="left" vertical="top" wrapText="1"/>
    </xf>
    <xf numFmtId="0" fontId="87" fillId="0" borderId="0" xfId="0" applyFont="1" applyAlignment="1">
      <alignment horizontal="left" vertical="top" wrapText="1"/>
    </xf>
    <xf numFmtId="0" fontId="86" fillId="0" borderId="0" xfId="0" applyFont="1" applyAlignment="1">
      <alignment horizontal="left" vertical="top" wrapText="1"/>
    </xf>
    <xf numFmtId="0" fontId="19" fillId="79" borderId="136" xfId="0" applyFont="1" applyFill="1" applyBorder="1" applyAlignment="1">
      <alignment horizontal="center" vertical="center" textRotation="90"/>
    </xf>
    <xf numFmtId="0" fontId="19" fillId="0" borderId="0" xfId="0" applyFont="1" applyAlignment="1">
      <alignment horizontal="center" vertical="center" textRotation="90"/>
    </xf>
    <xf numFmtId="0" fontId="12" fillId="35" borderId="1" xfId="0" applyFont="1" applyFill="1" applyBorder="1"/>
    <xf numFmtId="0" fontId="12" fillId="0" borderId="1" xfId="0" applyFont="1" applyBorder="1"/>
    <xf numFmtId="0" fontId="12" fillId="2" borderId="1"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center" vertical="center"/>
    </xf>
    <xf numFmtId="0" fontId="32" fillId="0" borderId="0" xfId="0" applyFont="1" applyAlignment="1">
      <alignment horizontal="center" vertical="top" wrapText="1"/>
    </xf>
    <xf numFmtId="0" fontId="12" fillId="0" borderId="0" xfId="0" applyFont="1" applyAlignment="1">
      <alignment horizontal="center" vertical="center" wrapText="1"/>
    </xf>
    <xf numFmtId="0" fontId="12" fillId="2" borderId="1" xfId="0" applyFont="1" applyFill="1" applyBorder="1"/>
    <xf numFmtId="0" fontId="12" fillId="0" borderId="3" xfId="0" applyFont="1" applyBorder="1" applyAlignment="1">
      <alignment horizontal="left" vertical="top" wrapText="1"/>
    </xf>
    <xf numFmtId="0" fontId="89" fillId="79" borderId="135" xfId="0" applyFont="1" applyFill="1" applyBorder="1" applyAlignment="1">
      <alignment vertical="top" wrapText="1"/>
    </xf>
    <xf numFmtId="0" fontId="90" fillId="0" borderId="127" xfId="4" applyFont="1" applyFill="1" applyBorder="1" applyAlignment="1">
      <alignment vertical="top" wrapText="1"/>
    </xf>
    <xf numFmtId="0" fontId="90" fillId="0" borderId="141" xfId="4" applyFont="1" applyFill="1" applyBorder="1" applyAlignment="1">
      <alignment vertical="top" wrapText="1"/>
    </xf>
    <xf numFmtId="0" fontId="90" fillId="0" borderId="142" xfId="4" applyFont="1" applyFill="1" applyBorder="1" applyAlignment="1">
      <alignment vertical="top" wrapText="1"/>
    </xf>
    <xf numFmtId="0" fontId="90" fillId="0" borderId="174" xfId="4" applyFont="1" applyFill="1" applyBorder="1" applyAlignment="1">
      <alignment vertical="top" wrapText="1"/>
    </xf>
    <xf numFmtId="0" fontId="89" fillId="0" borderId="128" xfId="0" applyFont="1" applyBorder="1" applyAlignment="1">
      <alignment vertical="top" wrapText="1"/>
    </xf>
    <xf numFmtId="0" fontId="89" fillId="0" borderId="127" xfId="0" applyFont="1" applyBorder="1" applyAlignment="1">
      <alignment vertical="top" wrapText="1"/>
    </xf>
    <xf numFmtId="0" fontId="89" fillId="0" borderId="173" xfId="0" applyFont="1" applyBorder="1" applyAlignment="1">
      <alignment vertical="top" wrapText="1"/>
    </xf>
    <xf numFmtId="0" fontId="90" fillId="0" borderId="128" xfId="4" applyFont="1" applyFill="1" applyBorder="1" applyAlignment="1">
      <alignment vertical="top" wrapText="1"/>
    </xf>
    <xf numFmtId="0" fontId="90" fillId="0" borderId="152" xfId="4" applyFont="1" applyFill="1" applyBorder="1" applyAlignment="1">
      <alignment vertical="top" wrapText="1"/>
    </xf>
    <xf numFmtId="0" fontId="90" fillId="0" borderId="154" xfId="4" applyFont="1" applyFill="1" applyBorder="1" applyAlignment="1">
      <alignment vertical="top" wrapText="1"/>
    </xf>
    <xf numFmtId="0" fontId="90" fillId="0" borderId="167" xfId="4" applyFont="1" applyFill="1" applyBorder="1" applyAlignment="1">
      <alignment vertical="top" wrapText="1"/>
    </xf>
    <xf numFmtId="0" fontId="90" fillId="0" borderId="153" xfId="4" applyFont="1" applyFill="1" applyBorder="1" applyAlignment="1">
      <alignment vertical="top" wrapText="1"/>
    </xf>
    <xf numFmtId="0" fontId="89" fillId="0" borderId="157" xfId="0" applyFont="1" applyBorder="1" applyAlignment="1">
      <alignment vertical="top" wrapText="1"/>
    </xf>
    <xf numFmtId="0" fontId="89" fillId="0" borderId="0" xfId="0" applyFont="1" applyAlignment="1">
      <alignment vertical="top" wrapText="1"/>
    </xf>
    <xf numFmtId="0" fontId="89" fillId="0" borderId="165" xfId="0" applyFont="1" applyBorder="1" applyAlignment="1">
      <alignment vertical="top" wrapText="1"/>
    </xf>
    <xf numFmtId="0" fontId="89" fillId="0" borderId="160" xfId="0" applyFont="1" applyBorder="1" applyAlignment="1">
      <alignment vertical="top" wrapText="1"/>
    </xf>
    <xf numFmtId="0" fontId="89" fillId="0" borderId="164" xfId="0" applyFont="1" applyBorder="1" applyAlignment="1">
      <alignment vertical="top" wrapText="1"/>
    </xf>
    <xf numFmtId="0" fontId="89" fillId="0" borderId="169" xfId="0" applyFont="1" applyBorder="1" applyAlignment="1">
      <alignment vertical="top" wrapText="1"/>
    </xf>
    <xf numFmtId="0" fontId="89" fillId="0" borderId="176" xfId="0" applyFont="1" applyBorder="1" applyAlignment="1">
      <alignment vertical="top" wrapText="1"/>
    </xf>
    <xf numFmtId="0" fontId="89" fillId="0" borderId="142" xfId="0" applyFont="1" applyBorder="1" applyAlignment="1">
      <alignment vertical="top" wrapText="1"/>
    </xf>
    <xf numFmtId="0" fontId="90" fillId="0" borderId="175" xfId="4" applyFont="1" applyFill="1" applyBorder="1" applyAlignment="1">
      <alignment vertical="top" wrapText="1"/>
    </xf>
    <xf numFmtId="0" fontId="89" fillId="0" borderId="141" xfId="0" applyFont="1" applyBorder="1" applyAlignment="1">
      <alignment vertical="top" wrapText="1"/>
    </xf>
    <xf numFmtId="167" fontId="41" fillId="15" borderId="34" xfId="1" applyNumberFormat="1" applyFont="1" applyFill="1" applyBorder="1" applyAlignment="1">
      <alignment horizontal="center" vertical="center"/>
    </xf>
    <xf numFmtId="167" fontId="41" fillId="15" borderId="33" xfId="1" applyNumberFormat="1" applyFont="1" applyFill="1" applyBorder="1" applyAlignment="1">
      <alignment horizontal="center" vertical="center"/>
    </xf>
    <xf numFmtId="0" fontId="39" fillId="15" borderId="0" xfId="0" applyFont="1" applyFill="1" applyAlignment="1">
      <alignment vertical="center" wrapText="1"/>
    </xf>
    <xf numFmtId="0" fontId="91" fillId="15" borderId="0" xfId="0" applyFont="1" applyFill="1" applyAlignment="1">
      <alignment horizontal="center" vertical="center" wrapText="1"/>
    </xf>
    <xf numFmtId="0" fontId="41" fillId="15" borderId="0" xfId="0" applyFont="1" applyFill="1" applyAlignment="1">
      <alignment horizontal="left"/>
    </xf>
    <xf numFmtId="176" fontId="41" fillId="15" borderId="179" xfId="3" applyNumberFormat="1" applyFont="1" applyFill="1" applyBorder="1" applyAlignment="1">
      <alignment horizontal="left" vertical="center"/>
    </xf>
    <xf numFmtId="0" fontId="41" fillId="15" borderId="179" xfId="0" applyFont="1" applyFill="1" applyBorder="1" applyAlignment="1">
      <alignment horizontal="left"/>
    </xf>
    <xf numFmtId="176" fontId="41" fillId="15" borderId="180" xfId="3" applyNumberFormat="1" applyFont="1" applyFill="1" applyBorder="1" applyAlignment="1">
      <alignment horizontal="left" vertical="center"/>
    </xf>
    <xf numFmtId="0" fontId="41" fillId="15" borderId="180" xfId="0" applyFont="1" applyFill="1" applyBorder="1" applyAlignment="1">
      <alignment horizontal="left"/>
    </xf>
    <xf numFmtId="0" fontId="91" fillId="15" borderId="0" xfId="0" applyFont="1" applyFill="1" applyAlignment="1">
      <alignment horizontal="left" vertical="center" wrapText="1"/>
    </xf>
    <xf numFmtId="0" fontId="42" fillId="15" borderId="0" xfId="0" applyFont="1" applyFill="1" applyAlignment="1">
      <alignment horizontal="left" vertical="center" wrapText="1"/>
    </xf>
    <xf numFmtId="0" fontId="92" fillId="0" borderId="0" xfId="0" applyFont="1"/>
    <xf numFmtId="43" fontId="70" fillId="8" borderId="58" xfId="1" applyFont="1" applyFill="1" applyBorder="1" applyAlignment="1">
      <alignment horizontal="center" vertical="center"/>
    </xf>
    <xf numFmtId="3" fontId="0" fillId="15" borderId="95" xfId="1" applyNumberFormat="1" applyFont="1" applyFill="1" applyBorder="1"/>
    <xf numFmtId="3" fontId="0" fillId="15" borderId="181" xfId="1" applyNumberFormat="1" applyFont="1" applyFill="1" applyBorder="1"/>
    <xf numFmtId="0" fontId="0" fillId="15" borderId="181" xfId="0" applyFill="1" applyBorder="1"/>
    <xf numFmtId="4" fontId="0" fillId="15" borderId="181" xfId="1" applyNumberFormat="1" applyFont="1" applyFill="1" applyBorder="1"/>
    <xf numFmtId="0" fontId="9" fillId="15" borderId="93" xfId="0" applyFont="1" applyFill="1" applyBorder="1"/>
    <xf numFmtId="0" fontId="65" fillId="81" borderId="15" xfId="0" applyFont="1" applyFill="1" applyBorder="1" applyAlignment="1">
      <alignment vertical="center" wrapText="1"/>
    </xf>
    <xf numFmtId="0" fontId="93" fillId="80" borderId="182" xfId="0" applyFont="1" applyFill="1" applyBorder="1" applyAlignment="1">
      <alignment horizontal="center" vertical="center"/>
    </xf>
    <xf numFmtId="0" fontId="93" fillId="80" borderId="182" xfId="0" applyFont="1" applyFill="1" applyBorder="1" applyAlignment="1">
      <alignment horizontal="center" vertical="center" wrapText="1"/>
    </xf>
    <xf numFmtId="0" fontId="65" fillId="81" borderId="183" xfId="0" applyFont="1" applyFill="1" applyBorder="1" applyAlignment="1">
      <alignment horizontal="center" vertical="center"/>
    </xf>
    <xf numFmtId="3" fontId="65" fillId="81" borderId="183" xfId="0" applyNumberFormat="1" applyFont="1" applyFill="1" applyBorder="1" applyAlignment="1">
      <alignment horizontal="center" vertical="center"/>
    </xf>
    <xf numFmtId="179" fontId="50" fillId="5" borderId="0" xfId="0" applyNumberFormat="1" applyFont="1" applyFill="1" applyAlignment="1">
      <alignment horizontal="center"/>
    </xf>
    <xf numFmtId="178" fontId="0" fillId="15" borderId="90" xfId="1" applyNumberFormat="1" applyFont="1" applyFill="1" applyBorder="1"/>
    <xf numFmtId="180" fontId="0" fillId="15" borderId="90" xfId="1" applyNumberFormat="1" applyFont="1" applyFill="1" applyBorder="1"/>
    <xf numFmtId="178" fontId="0" fillId="15" borderId="72" xfId="1" applyNumberFormat="1" applyFont="1" applyFill="1" applyBorder="1"/>
    <xf numFmtId="178" fontId="0" fillId="15" borderId="69" xfId="1" applyNumberFormat="1" applyFont="1" applyFill="1" applyBorder="1"/>
    <xf numFmtId="178" fontId="0" fillId="15" borderId="68" xfId="1" applyNumberFormat="1" applyFont="1" applyFill="1" applyBorder="1"/>
    <xf numFmtId="178" fontId="7" fillId="15" borderId="68" xfId="0" applyNumberFormat="1" applyFont="1" applyFill="1" applyBorder="1" applyAlignment="1">
      <alignment vertical="center" wrapText="1"/>
    </xf>
    <xf numFmtId="178" fontId="7" fillId="15" borderId="72" xfId="0" applyNumberFormat="1" applyFont="1" applyFill="1" applyBorder="1" applyAlignment="1">
      <alignment vertical="center" wrapText="1"/>
    </xf>
    <xf numFmtId="178" fontId="7" fillId="15" borderId="69" xfId="0" applyNumberFormat="1" applyFont="1" applyFill="1" applyBorder="1" applyAlignment="1">
      <alignment vertical="center" wrapText="1"/>
    </xf>
    <xf numFmtId="178" fontId="0" fillId="15" borderId="68" xfId="0" applyNumberFormat="1" applyFill="1" applyBorder="1"/>
    <xf numFmtId="178" fontId="0" fillId="15" borderId="0" xfId="0" applyNumberFormat="1" applyFill="1"/>
    <xf numFmtId="178" fontId="0" fillId="43" borderId="79" xfId="1" applyNumberFormat="1" applyFont="1" applyFill="1" applyBorder="1"/>
    <xf numFmtId="178" fontId="0" fillId="15" borderId="79" xfId="1" applyNumberFormat="1" applyFont="1" applyFill="1" applyBorder="1"/>
    <xf numFmtId="178" fontId="7" fillId="15" borderId="79" xfId="1" applyNumberFormat="1" applyFont="1" applyFill="1" applyBorder="1"/>
    <xf numFmtId="178" fontId="7" fillId="15" borderId="79" xfId="0" applyNumberFormat="1" applyFont="1" applyFill="1" applyBorder="1" applyAlignment="1">
      <alignment vertical="center" wrapText="1"/>
    </xf>
    <xf numFmtId="178" fontId="0" fillId="15" borderId="79" xfId="0" applyNumberFormat="1" applyFill="1" applyBorder="1"/>
    <xf numFmtId="178" fontId="0" fillId="15" borderId="52" xfId="1" applyNumberFormat="1" applyFont="1" applyFill="1" applyBorder="1"/>
    <xf numFmtId="178" fontId="0" fillId="15" borderId="85" xfId="1" applyNumberFormat="1" applyFont="1" applyFill="1" applyBorder="1"/>
    <xf numFmtId="178" fontId="7" fillId="15" borderId="85" xfId="1" applyNumberFormat="1" applyFont="1" applyFill="1" applyBorder="1"/>
    <xf numFmtId="180" fontId="0" fillId="15" borderId="72" xfId="1" applyNumberFormat="1" applyFont="1" applyFill="1" applyBorder="1"/>
    <xf numFmtId="180" fontId="0" fillId="15" borderId="69" xfId="1" applyNumberFormat="1" applyFont="1" applyFill="1" applyBorder="1"/>
    <xf numFmtId="180" fontId="0" fillId="15" borderId="68" xfId="1" applyNumberFormat="1" applyFont="1" applyFill="1" applyBorder="1"/>
    <xf numFmtId="180" fontId="7" fillId="15" borderId="68" xfId="0" applyNumberFormat="1" applyFont="1" applyFill="1" applyBorder="1" applyAlignment="1">
      <alignment vertical="center" wrapText="1"/>
    </xf>
    <xf numFmtId="180" fontId="7" fillId="15" borderId="72" xfId="0" applyNumberFormat="1" applyFont="1" applyFill="1" applyBorder="1" applyAlignment="1">
      <alignment vertical="center" wrapText="1"/>
    </xf>
    <xf numFmtId="180" fontId="7" fillId="15" borderId="69" xfId="0" applyNumberFormat="1" applyFont="1" applyFill="1" applyBorder="1" applyAlignment="1">
      <alignment vertical="center" wrapText="1"/>
    </xf>
    <xf numFmtId="180" fontId="0" fillId="15" borderId="68" xfId="0" applyNumberFormat="1" applyFill="1" applyBorder="1"/>
    <xf numFmtId="180" fontId="0" fillId="15" borderId="0" xfId="0" applyNumberFormat="1" applyFill="1"/>
    <xf numFmtId="180" fontId="0" fillId="15" borderId="79" xfId="1" applyNumberFormat="1" applyFont="1" applyFill="1" applyBorder="1"/>
    <xf numFmtId="180" fontId="7" fillId="15" borderId="79" xfId="1" applyNumberFormat="1" applyFont="1" applyFill="1" applyBorder="1"/>
    <xf numFmtId="180" fontId="7" fillId="15" borderId="79" xfId="0" applyNumberFormat="1" applyFont="1" applyFill="1" applyBorder="1" applyAlignment="1">
      <alignment vertical="center" wrapText="1"/>
    </xf>
    <xf numFmtId="180" fontId="0" fillId="15" borderId="79" xfId="0" applyNumberFormat="1" applyFill="1" applyBorder="1"/>
    <xf numFmtId="180" fontId="0" fillId="15" borderId="52" xfId="1" applyNumberFormat="1" applyFont="1" applyFill="1" applyBorder="1"/>
    <xf numFmtId="180" fontId="0" fillId="15" borderId="85" xfId="1" applyNumberFormat="1" applyFont="1" applyFill="1" applyBorder="1"/>
    <xf numFmtId="180" fontId="7" fillId="15" borderId="85" xfId="1" applyNumberFormat="1" applyFont="1" applyFill="1" applyBorder="1"/>
    <xf numFmtId="180" fontId="7" fillId="15" borderId="90" xfId="1" applyNumberFormat="1" applyFont="1" applyFill="1" applyBorder="1"/>
    <xf numFmtId="180" fontId="7" fillId="15" borderId="90" xfId="0" applyNumberFormat="1" applyFont="1" applyFill="1" applyBorder="1" applyAlignment="1">
      <alignment vertical="center" wrapText="1"/>
    </xf>
    <xf numFmtId="180" fontId="7" fillId="15" borderId="90" xfId="0" applyNumberFormat="1" applyFont="1" applyFill="1" applyBorder="1"/>
    <xf numFmtId="180" fontId="0" fillId="15" borderId="95" xfId="1" applyNumberFormat="1" applyFont="1" applyFill="1" applyBorder="1"/>
    <xf numFmtId="180" fontId="0" fillId="15" borderId="181" xfId="1" applyNumberFormat="1" applyFont="1" applyFill="1" applyBorder="1"/>
    <xf numFmtId="180" fontId="0" fillId="15" borderId="0" xfId="1" applyNumberFormat="1" applyFont="1" applyFill="1" applyBorder="1"/>
    <xf numFmtId="180" fontId="0" fillId="15" borderId="91" xfId="1" applyNumberFormat="1" applyFont="1" applyFill="1" applyBorder="1"/>
    <xf numFmtId="180" fontId="0" fillId="15" borderId="92" xfId="1" applyNumberFormat="1" applyFont="1" applyFill="1" applyBorder="1"/>
    <xf numFmtId="180" fontId="7" fillId="15" borderId="92" xfId="1" applyNumberFormat="1" applyFont="1" applyFill="1" applyBorder="1"/>
    <xf numFmtId="180" fontId="7" fillId="15" borderId="92" xfId="0" applyNumberFormat="1" applyFont="1" applyFill="1" applyBorder="1" applyAlignment="1">
      <alignment vertical="center" wrapText="1"/>
    </xf>
    <xf numFmtId="3" fontId="2" fillId="15" borderId="0" xfId="0" applyNumberFormat="1" applyFont="1" applyFill="1" applyAlignment="1">
      <alignment horizontal="center"/>
    </xf>
    <xf numFmtId="3" fontId="0" fillId="15" borderId="72" xfId="1" applyNumberFormat="1" applyFont="1" applyFill="1" applyBorder="1" applyAlignment="1">
      <alignment horizontal="center"/>
    </xf>
    <xf numFmtId="3" fontId="0" fillId="15" borderId="181" xfId="1" applyNumberFormat="1" applyFont="1" applyFill="1" applyBorder="1" applyAlignment="1">
      <alignment horizontal="center"/>
    </xf>
    <xf numFmtId="4" fontId="0" fillId="15" borderId="91" xfId="1" applyNumberFormat="1" applyFont="1" applyFill="1" applyBorder="1" applyAlignment="1">
      <alignment horizontal="center"/>
    </xf>
    <xf numFmtId="4" fontId="0" fillId="15" borderId="92" xfId="1" applyNumberFormat="1" applyFont="1" applyFill="1" applyBorder="1" applyAlignment="1">
      <alignment horizontal="center"/>
    </xf>
    <xf numFmtId="3" fontId="7" fillId="15" borderId="92" xfId="1" applyNumberFormat="1" applyFont="1" applyFill="1" applyBorder="1" applyAlignment="1">
      <alignment horizontal="center"/>
    </xf>
    <xf numFmtId="3" fontId="7" fillId="15" borderId="92" xfId="0" applyNumberFormat="1" applyFont="1" applyFill="1" applyBorder="1" applyAlignment="1">
      <alignment horizontal="center" vertical="center" wrapText="1"/>
    </xf>
    <xf numFmtId="180" fontId="0" fillId="15" borderId="181" xfId="1" applyNumberFormat="1" applyFont="1" applyFill="1" applyBorder="1" applyAlignment="1">
      <alignment horizontal="center"/>
    </xf>
    <xf numFmtId="180" fontId="0" fillId="15" borderId="0" xfId="1" applyNumberFormat="1" applyFont="1" applyFill="1" applyBorder="1" applyAlignment="1">
      <alignment horizontal="center"/>
    </xf>
    <xf numFmtId="180" fontId="0" fillId="15" borderId="91" xfId="1" applyNumberFormat="1" applyFont="1" applyFill="1" applyBorder="1" applyAlignment="1">
      <alignment horizontal="center"/>
    </xf>
    <xf numFmtId="180" fontId="0" fillId="15" borderId="92" xfId="1" applyNumberFormat="1" applyFont="1" applyFill="1" applyBorder="1" applyAlignment="1">
      <alignment horizontal="center"/>
    </xf>
    <xf numFmtId="180" fontId="7" fillId="15" borderId="92" xfId="1" applyNumberFormat="1" applyFont="1" applyFill="1" applyBorder="1" applyAlignment="1">
      <alignment horizontal="center"/>
    </xf>
    <xf numFmtId="180" fontId="7" fillId="15" borderId="92" xfId="0" applyNumberFormat="1" applyFont="1" applyFill="1" applyBorder="1" applyAlignment="1">
      <alignment horizontal="center" vertical="center" wrapText="1"/>
    </xf>
    <xf numFmtId="3" fontId="7" fillId="15" borderId="0" xfId="0" applyNumberFormat="1" applyFont="1" applyFill="1" applyAlignment="1">
      <alignment horizontal="center" vertical="center" wrapText="1"/>
    </xf>
    <xf numFmtId="4" fontId="0" fillId="15" borderId="72" xfId="1" applyNumberFormat="1" applyFont="1" applyFill="1" applyBorder="1" applyAlignment="1">
      <alignment horizontal="center"/>
    </xf>
    <xf numFmtId="4" fontId="0" fillId="15" borderId="69" xfId="1" applyNumberFormat="1" applyFont="1" applyFill="1" applyBorder="1" applyAlignment="1">
      <alignment horizontal="center"/>
    </xf>
    <xf numFmtId="4" fontId="0" fillId="15" borderId="68" xfId="1" applyNumberFormat="1" applyFont="1" applyFill="1" applyBorder="1" applyAlignment="1">
      <alignment horizontal="center"/>
    </xf>
    <xf numFmtId="4" fontId="7" fillId="15" borderId="68" xfId="0" applyNumberFormat="1" applyFont="1" applyFill="1" applyBorder="1" applyAlignment="1">
      <alignment horizontal="center" vertical="center" wrapText="1"/>
    </xf>
    <xf numFmtId="4" fontId="7" fillId="15" borderId="72" xfId="0" applyNumberFormat="1" applyFont="1" applyFill="1" applyBorder="1" applyAlignment="1">
      <alignment horizontal="center" vertical="center" wrapText="1"/>
    </xf>
    <xf numFmtId="4" fontId="7" fillId="15" borderId="69" xfId="0" applyNumberFormat="1" applyFont="1" applyFill="1" applyBorder="1" applyAlignment="1">
      <alignment horizontal="center" vertical="center" wrapText="1"/>
    </xf>
    <xf numFmtId="4" fontId="0" fillId="15" borderId="68" xfId="0" applyNumberFormat="1" applyFill="1" applyBorder="1" applyAlignment="1">
      <alignment horizontal="center"/>
    </xf>
    <xf numFmtId="4" fontId="0" fillId="15" borderId="79" xfId="1" applyNumberFormat="1" applyFont="1" applyFill="1" applyBorder="1" applyAlignment="1">
      <alignment horizontal="center"/>
    </xf>
    <xf numFmtId="4" fontId="7" fillId="15" borderId="79" xfId="1" applyNumberFormat="1" applyFont="1" applyFill="1" applyBorder="1" applyAlignment="1">
      <alignment horizontal="center"/>
    </xf>
    <xf numFmtId="4" fontId="7" fillId="15" borderId="79" xfId="0" applyNumberFormat="1" applyFont="1" applyFill="1" applyBorder="1" applyAlignment="1">
      <alignment horizontal="center" vertical="center" wrapText="1"/>
    </xf>
    <xf numFmtId="4" fontId="0" fillId="15" borderId="79" xfId="0" applyNumberFormat="1" applyFill="1" applyBorder="1" applyAlignment="1">
      <alignment horizontal="center"/>
    </xf>
    <xf numFmtId="4" fontId="0" fillId="15" borderId="52" xfId="1" applyNumberFormat="1" applyFont="1" applyFill="1" applyBorder="1" applyAlignment="1">
      <alignment horizontal="center"/>
    </xf>
    <xf numFmtId="4" fontId="0" fillId="15" borderId="85" xfId="1" applyNumberFormat="1" applyFont="1" applyFill="1" applyBorder="1" applyAlignment="1">
      <alignment horizontal="center"/>
    </xf>
    <xf numFmtId="4" fontId="7" fillId="15" borderId="85" xfId="1" applyNumberFormat="1" applyFont="1" applyFill="1" applyBorder="1" applyAlignment="1">
      <alignment horizontal="center"/>
    </xf>
    <xf numFmtId="4" fontId="0" fillId="15" borderId="90" xfId="1" applyNumberFormat="1" applyFont="1" applyFill="1" applyBorder="1" applyAlignment="1">
      <alignment horizontal="center"/>
    </xf>
    <xf numFmtId="4" fontId="7" fillId="15" borderId="90" xfId="1" applyNumberFormat="1" applyFont="1" applyFill="1" applyBorder="1" applyAlignment="1">
      <alignment horizontal="center"/>
    </xf>
    <xf numFmtId="4" fontId="7" fillId="15" borderId="90" xfId="0" applyNumberFormat="1" applyFont="1" applyFill="1" applyBorder="1" applyAlignment="1">
      <alignment horizontal="center" vertical="center" wrapText="1"/>
    </xf>
    <xf numFmtId="4" fontId="7" fillId="15" borderId="90" xfId="0" applyNumberFormat="1" applyFont="1" applyFill="1" applyBorder="1" applyAlignment="1">
      <alignment horizontal="center"/>
    </xf>
    <xf numFmtId="4" fontId="0" fillId="15" borderId="95" xfId="1" applyNumberFormat="1" applyFont="1" applyFill="1" applyBorder="1" applyAlignment="1">
      <alignment horizontal="center"/>
    </xf>
    <xf numFmtId="3" fontId="0" fillId="15" borderId="95" xfId="1" applyNumberFormat="1" applyFont="1" applyFill="1" applyBorder="1" applyAlignment="1">
      <alignment horizontal="center"/>
    </xf>
    <xf numFmtId="4" fontId="0" fillId="15" borderId="0" xfId="1" applyNumberFormat="1" applyFont="1" applyFill="1" applyBorder="1" applyAlignment="1">
      <alignment horizontal="center"/>
    </xf>
    <xf numFmtId="3" fontId="0" fillId="15" borderId="90" xfId="1" applyNumberFormat="1" applyFont="1" applyFill="1" applyBorder="1" applyAlignment="1">
      <alignment horizontal="center"/>
    </xf>
    <xf numFmtId="3" fontId="7" fillId="15" borderId="90" xfId="1" applyNumberFormat="1" applyFont="1" applyFill="1" applyBorder="1" applyAlignment="1">
      <alignment horizontal="center"/>
    </xf>
    <xf numFmtId="3" fontId="7" fillId="15" borderId="90" xfId="0" applyNumberFormat="1" applyFont="1" applyFill="1" applyBorder="1" applyAlignment="1">
      <alignment horizontal="center" vertical="center" wrapText="1"/>
    </xf>
    <xf numFmtId="3" fontId="7" fillId="15" borderId="90" xfId="0" applyNumberFormat="1" applyFont="1" applyFill="1" applyBorder="1" applyAlignment="1">
      <alignment horizontal="center"/>
    </xf>
    <xf numFmtId="4" fontId="0" fillId="15" borderId="181" xfId="1" applyNumberFormat="1" applyFont="1" applyFill="1" applyBorder="1" applyAlignment="1">
      <alignment horizontal="center"/>
    </xf>
    <xf numFmtId="0" fontId="50" fillId="49" borderId="0" xfId="0" applyFont="1" applyFill="1"/>
    <xf numFmtId="167" fontId="50" fillId="5" borderId="0" xfId="1" applyNumberFormat="1" applyFont="1" applyFill="1"/>
    <xf numFmtId="0" fontId="32" fillId="15" borderId="6" xfId="0" applyFont="1" applyFill="1" applyBorder="1" applyAlignment="1">
      <alignment horizontal="center" vertical="top" wrapText="1"/>
    </xf>
    <xf numFmtId="0" fontId="33" fillId="0" borderId="0" xfId="0" applyFont="1"/>
    <xf numFmtId="0" fontId="33" fillId="0" borderId="0" xfId="0" applyFont="1" applyAlignment="1">
      <alignment wrapText="1"/>
    </xf>
    <xf numFmtId="0" fontId="95" fillId="0" borderId="0" xfId="0" applyFont="1"/>
    <xf numFmtId="0" fontId="33" fillId="0" borderId="0" xfId="0" applyFont="1" applyAlignment="1">
      <alignment vertical="top"/>
    </xf>
    <xf numFmtId="0" fontId="94" fillId="0" borderId="0" xfId="4" applyFont="1" applyAlignment="1">
      <alignment vertical="top"/>
    </xf>
    <xf numFmtId="0" fontId="33" fillId="0" borderId="0" xfId="0" applyFont="1" applyAlignment="1">
      <alignment vertical="top" wrapText="1"/>
    </xf>
    <xf numFmtId="0" fontId="33" fillId="0" borderId="184" xfId="0" applyFont="1" applyBorder="1"/>
    <xf numFmtId="0" fontId="33" fillId="0" borderId="184" xfId="0" applyFont="1" applyBorder="1" applyAlignment="1">
      <alignment vertical="top" wrapText="1"/>
    </xf>
    <xf numFmtId="0" fontId="95" fillId="0" borderId="184" xfId="0" applyFont="1" applyBorder="1"/>
    <xf numFmtId="0" fontId="33" fillId="0" borderId="185" xfId="0" applyFont="1" applyBorder="1" applyAlignment="1">
      <alignment vertical="top"/>
    </xf>
    <xf numFmtId="0" fontId="33" fillId="0" borderId="185" xfId="0" applyFont="1" applyBorder="1" applyAlignment="1">
      <alignment vertical="top" wrapText="1"/>
    </xf>
    <xf numFmtId="0" fontId="94" fillId="0" borderId="185" xfId="4" applyFont="1" applyBorder="1" applyAlignment="1">
      <alignment vertical="top"/>
    </xf>
    <xf numFmtId="0" fontId="33" fillId="0" borderId="184" xfId="0" applyFont="1" applyBorder="1" applyAlignment="1">
      <alignment wrapText="1"/>
    </xf>
    <xf numFmtId="0" fontId="33" fillId="0" borderId="186" xfId="0" applyFont="1" applyBorder="1" applyAlignment="1">
      <alignment vertical="top" wrapText="1"/>
    </xf>
    <xf numFmtId="0" fontId="33" fillId="0" borderId="186" xfId="0" applyFont="1" applyBorder="1" applyAlignment="1">
      <alignment vertical="top"/>
    </xf>
    <xf numFmtId="0" fontId="94" fillId="0" borderId="186" xfId="4" applyFont="1" applyBorder="1" applyAlignment="1">
      <alignment vertical="top"/>
    </xf>
    <xf numFmtId="0" fontId="12" fillId="15" borderId="45" xfId="0" applyFont="1" applyFill="1" applyBorder="1" applyAlignment="1">
      <alignment horizontal="right"/>
    </xf>
    <xf numFmtId="0" fontId="12" fillId="15" borderId="111" xfId="0" applyFont="1" applyFill="1" applyBorder="1"/>
    <xf numFmtId="43" fontId="50" fillId="5" borderId="0" xfId="1" applyFont="1" applyFill="1" applyAlignment="1">
      <alignment horizontal="center"/>
    </xf>
    <xf numFmtId="0" fontId="12" fillId="5" borderId="0" xfId="0" applyFont="1" applyFill="1" applyAlignment="1">
      <alignment horizontal="left" vertical="center" wrapText="1"/>
    </xf>
    <xf numFmtId="0" fontId="32" fillId="5" borderId="0" xfId="0" applyFont="1" applyFill="1" applyAlignment="1">
      <alignment horizontal="center" vertical="center" wrapText="1"/>
    </xf>
    <xf numFmtId="43" fontId="50" fillId="50" borderId="0" xfId="1" applyFont="1" applyFill="1" applyBorder="1" applyAlignment="1">
      <alignment horizontal="center" vertical="top" wrapText="1"/>
    </xf>
    <xf numFmtId="43" fontId="70" fillId="50" borderId="57" xfId="1" applyFont="1" applyFill="1" applyBorder="1" applyAlignment="1">
      <alignment horizontal="center" vertical="center"/>
    </xf>
    <xf numFmtId="43" fontId="70" fillId="50" borderId="58" xfId="1" applyFont="1" applyFill="1" applyBorder="1" applyAlignment="1">
      <alignment horizontal="center" vertical="center"/>
    </xf>
    <xf numFmtId="43" fontId="50" fillId="50" borderId="0" xfId="1" applyFont="1" applyFill="1" applyBorder="1"/>
    <xf numFmtId="0" fontId="50" fillId="50" borderId="0" xfId="0" applyFont="1" applyFill="1" applyAlignment="1">
      <alignment horizontal="center" vertical="top" wrapText="1"/>
    </xf>
    <xf numFmtId="171" fontId="70" fillId="50" borderId="57" xfId="0" applyNumberFormat="1" applyFont="1" applyFill="1" applyBorder="1" applyAlignment="1">
      <alignment horizontal="center" vertical="center"/>
    </xf>
    <xf numFmtId="170" fontId="70" fillId="50" borderId="58" xfId="0" applyNumberFormat="1" applyFont="1" applyFill="1" applyBorder="1" applyAlignment="1">
      <alignment horizontal="center" vertical="center"/>
    </xf>
    <xf numFmtId="170" fontId="70" fillId="50" borderId="59" xfId="0" applyNumberFormat="1" applyFont="1" applyFill="1" applyBorder="1" applyAlignment="1">
      <alignment horizontal="center" vertical="center"/>
    </xf>
    <xf numFmtId="0" fontId="33" fillId="15" borderId="1" xfId="0" applyFont="1" applyFill="1" applyBorder="1" applyAlignment="1">
      <alignment horizontal="center"/>
    </xf>
    <xf numFmtId="0" fontId="33" fillId="35" borderId="1" xfId="0" applyFont="1" applyFill="1" applyBorder="1" applyAlignment="1">
      <alignment horizontal="center" vertical="center"/>
    </xf>
    <xf numFmtId="168" fontId="70" fillId="5" borderId="58" xfId="1" applyNumberFormat="1" applyFont="1" applyFill="1" applyBorder="1" applyAlignment="1">
      <alignment horizontal="center" vertical="center"/>
    </xf>
    <xf numFmtId="167" fontId="50" fillId="82" borderId="0" xfId="1" applyNumberFormat="1" applyFont="1" applyFill="1" applyBorder="1"/>
    <xf numFmtId="43" fontId="50" fillId="82" borderId="0" xfId="1" applyFont="1" applyFill="1" applyBorder="1"/>
    <xf numFmtId="172" fontId="50" fillId="82" borderId="0" xfId="1" applyNumberFormat="1" applyFont="1" applyFill="1" applyBorder="1" applyAlignment="1">
      <alignment horizontal="left" indent="2"/>
    </xf>
    <xf numFmtId="167" fontId="50" fillId="82" borderId="0" xfId="1" applyNumberFormat="1" applyFont="1" applyFill="1" applyBorder="1" applyAlignment="1">
      <alignment horizontal="left" indent="2"/>
    </xf>
    <xf numFmtId="44" fontId="42" fillId="15" borderId="0" xfId="3" applyFont="1" applyFill="1" applyAlignment="1">
      <alignment horizontal="right" vertical="center"/>
    </xf>
    <xf numFmtId="0" fontId="56" fillId="66" borderId="53" xfId="0" applyFont="1" applyFill="1" applyBorder="1" applyAlignment="1">
      <alignment horizontal="center" vertical="center" wrapText="1"/>
    </xf>
    <xf numFmtId="0" fontId="56" fillId="66" borderId="54" xfId="0" applyFont="1" applyFill="1" applyBorder="1" applyAlignment="1">
      <alignment horizontal="center" vertical="center" wrapText="1"/>
    </xf>
    <xf numFmtId="0" fontId="56" fillId="66" borderId="61" xfId="0" applyFont="1" applyFill="1" applyBorder="1" applyAlignment="1">
      <alignment horizontal="center" vertical="center" wrapText="1"/>
    </xf>
    <xf numFmtId="0" fontId="56" fillId="66" borderId="62" xfId="0" applyFont="1" applyFill="1" applyBorder="1" applyAlignment="1">
      <alignment horizontal="center" vertical="center" wrapText="1"/>
    </xf>
    <xf numFmtId="0" fontId="67" fillId="5" borderId="0" xfId="0" applyFont="1" applyFill="1" applyAlignment="1">
      <alignment horizontal="left" vertical="center" wrapText="1"/>
    </xf>
    <xf numFmtId="0" fontId="51" fillId="61" borderId="55" xfId="0" applyFont="1" applyFill="1" applyBorder="1" applyAlignment="1">
      <alignment horizontal="center" vertical="center" wrapText="1"/>
    </xf>
    <xf numFmtId="0" fontId="51" fillId="61" borderId="53" xfId="0" applyFont="1" applyFill="1" applyBorder="1" applyAlignment="1">
      <alignment horizontal="center" vertical="center" wrapText="1"/>
    </xf>
    <xf numFmtId="0" fontId="51" fillId="61" borderId="54" xfId="0" applyFont="1" applyFill="1" applyBorder="1" applyAlignment="1">
      <alignment horizontal="center" vertical="center" wrapText="1"/>
    </xf>
    <xf numFmtId="0" fontId="51" fillId="61" borderId="63" xfId="0" applyFont="1" applyFill="1" applyBorder="1" applyAlignment="1">
      <alignment horizontal="center" vertical="center" wrapText="1"/>
    </xf>
    <xf numFmtId="0" fontId="51" fillId="61" borderId="0" xfId="0" applyFont="1" applyFill="1" applyAlignment="1">
      <alignment horizontal="center" vertical="center" wrapText="1"/>
    </xf>
    <xf numFmtId="0" fontId="51" fillId="61" borderId="64" xfId="0" applyFont="1" applyFill="1" applyBorder="1" applyAlignment="1">
      <alignment horizontal="center" vertical="center" wrapText="1"/>
    </xf>
    <xf numFmtId="0" fontId="51" fillId="61" borderId="60" xfId="0" applyFont="1" applyFill="1" applyBorder="1" applyAlignment="1">
      <alignment horizontal="center" vertical="center" wrapText="1"/>
    </xf>
    <xf numFmtId="0" fontId="51" fillId="61" borderId="61" xfId="0" applyFont="1" applyFill="1" applyBorder="1" applyAlignment="1">
      <alignment horizontal="center" vertical="center" wrapText="1"/>
    </xf>
    <xf numFmtId="0" fontId="51" fillId="61" borderId="62" xfId="0" applyFont="1" applyFill="1" applyBorder="1" applyAlignment="1">
      <alignment horizontal="center" vertical="center" wrapText="1"/>
    </xf>
    <xf numFmtId="0" fontId="56" fillId="68" borderId="53" xfId="0" applyFont="1" applyFill="1" applyBorder="1" applyAlignment="1">
      <alignment horizontal="center" vertical="center"/>
    </xf>
    <xf numFmtId="0" fontId="56" fillId="68" borderId="54" xfId="0" applyFont="1" applyFill="1" applyBorder="1" applyAlignment="1">
      <alignment horizontal="center" vertical="center"/>
    </xf>
    <xf numFmtId="0" fontId="56" fillId="68" borderId="61" xfId="0" applyFont="1" applyFill="1" applyBorder="1" applyAlignment="1">
      <alignment horizontal="center" vertical="center"/>
    </xf>
    <xf numFmtId="0" fontId="56" fillId="68" borderId="62" xfId="0" applyFont="1" applyFill="1" applyBorder="1" applyAlignment="1">
      <alignment horizontal="center" vertical="center"/>
    </xf>
    <xf numFmtId="0" fontId="56" fillId="64" borderId="53" xfId="0" applyFont="1" applyFill="1" applyBorder="1" applyAlignment="1">
      <alignment horizontal="center" vertical="center"/>
    </xf>
    <xf numFmtId="0" fontId="56" fillId="64" borderId="54" xfId="0" applyFont="1" applyFill="1" applyBorder="1" applyAlignment="1">
      <alignment horizontal="center" vertical="center"/>
    </xf>
    <xf numFmtId="0" fontId="56" fillId="64" borderId="61" xfId="0" applyFont="1" applyFill="1" applyBorder="1" applyAlignment="1">
      <alignment horizontal="center" vertical="center"/>
    </xf>
    <xf numFmtId="0" fontId="56" fillId="64" borderId="62" xfId="0" applyFont="1" applyFill="1" applyBorder="1" applyAlignment="1">
      <alignment horizontal="center" vertical="center"/>
    </xf>
    <xf numFmtId="0" fontId="56" fillId="47" borderId="0" xfId="0" applyFont="1" applyFill="1" applyAlignment="1">
      <alignment horizontal="center" vertical="center" wrapText="1"/>
    </xf>
    <xf numFmtId="0" fontId="56" fillId="67" borderId="55" xfId="0" applyFont="1" applyFill="1" applyBorder="1" applyAlignment="1">
      <alignment horizontal="center" vertical="center" wrapText="1"/>
    </xf>
    <xf numFmtId="0" fontId="56" fillId="67" borderId="53" xfId="0" applyFont="1" applyFill="1" applyBorder="1" applyAlignment="1">
      <alignment horizontal="center" vertical="center" wrapText="1"/>
    </xf>
    <xf numFmtId="0" fontId="56" fillId="67" borderId="60" xfId="0" applyFont="1" applyFill="1" applyBorder="1" applyAlignment="1">
      <alignment horizontal="center" vertical="center" wrapText="1"/>
    </xf>
    <xf numFmtId="0" fontId="56" fillId="67" borderId="61" xfId="0" applyFont="1" applyFill="1" applyBorder="1" applyAlignment="1">
      <alignment horizontal="center" vertical="center" wrapText="1"/>
    </xf>
    <xf numFmtId="0" fontId="56" fillId="65" borderId="63" xfId="0" applyFont="1" applyFill="1" applyBorder="1" applyAlignment="1">
      <alignment horizontal="center" vertical="center" wrapText="1"/>
    </xf>
    <xf numFmtId="0" fontId="56" fillId="65" borderId="0" xfId="0" applyFont="1" applyFill="1" applyAlignment="1">
      <alignment horizontal="center" vertical="center" wrapText="1"/>
    </xf>
    <xf numFmtId="0" fontId="56" fillId="48" borderId="55" xfId="0" applyFont="1" applyFill="1" applyBorder="1" applyAlignment="1">
      <alignment horizontal="center" vertical="center" wrapText="1"/>
    </xf>
    <xf numFmtId="0" fontId="56" fillId="48" borderId="53" xfId="0" applyFont="1" applyFill="1" applyBorder="1" applyAlignment="1">
      <alignment horizontal="center" vertical="center" wrapText="1"/>
    </xf>
    <xf numFmtId="0" fontId="56" fillId="48" borderId="54" xfId="0" applyFont="1" applyFill="1" applyBorder="1" applyAlignment="1">
      <alignment horizontal="center" vertical="center" wrapText="1"/>
    </xf>
    <xf numFmtId="0" fontId="56" fillId="48" borderId="60" xfId="0" applyFont="1" applyFill="1" applyBorder="1" applyAlignment="1">
      <alignment horizontal="center" vertical="center" wrapText="1"/>
    </xf>
    <xf numFmtId="0" fontId="56" fillId="48" borderId="61" xfId="0" applyFont="1" applyFill="1" applyBorder="1" applyAlignment="1">
      <alignment horizontal="center" vertical="center" wrapText="1"/>
    </xf>
    <xf numFmtId="0" fontId="56" fillId="48" borderId="62" xfId="0" applyFont="1" applyFill="1" applyBorder="1" applyAlignment="1">
      <alignment horizontal="center" vertical="center" wrapText="1"/>
    </xf>
    <xf numFmtId="0" fontId="51" fillId="61" borderId="55" xfId="0" applyFont="1" applyFill="1" applyBorder="1" applyAlignment="1">
      <alignment horizontal="left" vertical="center" wrapText="1"/>
    </xf>
    <xf numFmtId="0" fontId="51" fillId="61" borderId="53" xfId="0" applyFont="1" applyFill="1" applyBorder="1" applyAlignment="1">
      <alignment horizontal="left" vertical="center" wrapText="1"/>
    </xf>
    <xf numFmtId="0" fontId="56" fillId="76" borderId="53" xfId="0" applyFont="1" applyFill="1" applyBorder="1" applyAlignment="1">
      <alignment horizontal="center" vertical="center" wrapText="1"/>
    </xf>
    <xf numFmtId="0" fontId="56" fillId="76" borderId="54" xfId="0" applyFont="1" applyFill="1" applyBorder="1" applyAlignment="1">
      <alignment horizontal="center" vertical="center" wrapText="1"/>
    </xf>
    <xf numFmtId="0" fontId="56" fillId="76" borderId="61" xfId="0" applyFont="1" applyFill="1" applyBorder="1" applyAlignment="1">
      <alignment horizontal="center" vertical="center" wrapText="1"/>
    </xf>
    <xf numFmtId="0" fontId="56" fillId="76" borderId="62" xfId="0" applyFont="1" applyFill="1" applyBorder="1" applyAlignment="1">
      <alignment horizontal="center" vertical="center" wrapText="1"/>
    </xf>
    <xf numFmtId="0" fontId="93" fillId="80" borderId="0" xfId="0" applyFont="1" applyFill="1" applyAlignment="1">
      <alignment horizontal="center" vertical="center" wrapText="1"/>
    </xf>
    <xf numFmtId="0" fontId="35" fillId="36" borderId="27" xfId="0" applyFont="1" applyFill="1" applyBorder="1" applyAlignment="1">
      <alignment horizontal="center"/>
    </xf>
    <xf numFmtId="0" fontId="35" fillId="36" borderId="1" xfId="0" applyFont="1" applyFill="1" applyBorder="1" applyAlignment="1">
      <alignment horizontal="center"/>
    </xf>
    <xf numFmtId="0" fontId="35" fillId="41" borderId="1" xfId="0" applyFont="1" applyFill="1" applyBorder="1" applyAlignment="1">
      <alignment horizontal="center" vertical="center"/>
    </xf>
    <xf numFmtId="0" fontId="35" fillId="41" borderId="29" xfId="0" applyFont="1" applyFill="1" applyBorder="1" applyAlignment="1">
      <alignment horizontal="center" vertical="center"/>
    </xf>
    <xf numFmtId="0" fontId="31" fillId="5" borderId="0" xfId="0" applyFont="1" applyFill="1" applyAlignment="1">
      <alignment horizontal="center" vertical="center" wrapText="1"/>
    </xf>
    <xf numFmtId="0" fontId="31" fillId="34" borderId="4" xfId="0" applyFont="1" applyFill="1" applyBorder="1" applyAlignment="1">
      <alignment horizontal="center" vertical="center"/>
    </xf>
    <xf numFmtId="0" fontId="32" fillId="35" borderId="2" xfId="0" applyFont="1" applyFill="1" applyBorder="1" applyAlignment="1">
      <alignment horizontal="center" vertical="center"/>
    </xf>
    <xf numFmtId="0" fontId="32" fillId="35" borderId="3" xfId="0" applyFont="1" applyFill="1" applyBorder="1" applyAlignment="1">
      <alignment horizontal="center" vertical="center"/>
    </xf>
    <xf numFmtId="0" fontId="32" fillId="35" borderId="1" xfId="0" applyFont="1" applyFill="1" applyBorder="1" applyAlignment="1">
      <alignment horizontal="center" vertical="center"/>
    </xf>
    <xf numFmtId="0" fontId="31" fillId="11" borderId="5" xfId="0" applyFont="1" applyFill="1" applyBorder="1" applyAlignment="1">
      <alignment horizontal="center" vertical="center"/>
    </xf>
    <xf numFmtId="0" fontId="29" fillId="37" borderId="1" xfId="0" applyFont="1" applyFill="1" applyBorder="1" applyAlignment="1">
      <alignment horizontal="center" vertical="center"/>
    </xf>
    <xf numFmtId="0" fontId="3" fillId="39" borderId="24" xfId="0" applyFont="1" applyFill="1" applyBorder="1" applyAlignment="1">
      <alignment horizontal="center"/>
    </xf>
    <xf numFmtId="0" fontId="3" fillId="39" borderId="25" xfId="0" applyFont="1" applyFill="1" applyBorder="1" applyAlignment="1">
      <alignment horizontal="center"/>
    </xf>
    <xf numFmtId="0" fontId="3" fillId="39" borderId="26" xfId="0" applyFont="1" applyFill="1" applyBorder="1" applyAlignment="1">
      <alignment horizontal="center"/>
    </xf>
    <xf numFmtId="0" fontId="29" fillId="37" borderId="2" xfId="0" applyFont="1" applyFill="1" applyBorder="1" applyAlignment="1">
      <alignment horizontal="center"/>
    </xf>
    <xf numFmtId="0" fontId="29" fillId="37" borderId="28" xfId="0" applyFont="1" applyFill="1" applyBorder="1" applyAlignment="1">
      <alignment horizontal="center"/>
    </xf>
    <xf numFmtId="3" fontId="35" fillId="41" borderId="1" xfId="0" applyNumberFormat="1" applyFont="1" applyFill="1" applyBorder="1" applyAlignment="1">
      <alignment horizontal="center" vertical="center"/>
    </xf>
    <xf numFmtId="3" fontId="35" fillId="41" borderId="29" xfId="0" applyNumberFormat="1" applyFont="1" applyFill="1" applyBorder="1" applyAlignment="1">
      <alignment horizontal="center" vertical="center"/>
    </xf>
    <xf numFmtId="0" fontId="35" fillId="36" borderId="30" xfId="0" applyFont="1" applyFill="1" applyBorder="1" applyAlignment="1">
      <alignment horizontal="center"/>
    </xf>
    <xf numFmtId="0" fontId="35" fillId="36" borderId="31" xfId="0" applyFont="1" applyFill="1" applyBorder="1" applyAlignment="1">
      <alignment horizontal="center"/>
    </xf>
    <xf numFmtId="0" fontId="35" fillId="41" borderId="31" xfId="0" applyFont="1" applyFill="1" applyBorder="1" applyAlignment="1">
      <alignment horizontal="center" vertical="center"/>
    </xf>
    <xf numFmtId="0" fontId="35" fillId="41" borderId="32" xfId="0" applyFont="1" applyFill="1" applyBorder="1" applyAlignment="1">
      <alignment horizontal="center" vertical="center"/>
    </xf>
    <xf numFmtId="0" fontId="35" fillId="36" borderId="27" xfId="0" applyFont="1" applyFill="1" applyBorder="1" applyAlignment="1">
      <alignment horizontal="center" wrapText="1"/>
    </xf>
    <xf numFmtId="0" fontId="35" fillId="36" borderId="1" xfId="0" applyFont="1" applyFill="1" applyBorder="1" applyAlignment="1">
      <alignment horizontal="center" wrapText="1"/>
    </xf>
    <xf numFmtId="3" fontId="35" fillId="40" borderId="1" xfId="0" applyNumberFormat="1" applyFont="1" applyFill="1" applyBorder="1" applyAlignment="1">
      <alignment horizontal="center" vertical="center"/>
    </xf>
    <xf numFmtId="0" fontId="50" fillId="49" borderId="0" xfId="0" applyFont="1" applyFill="1" applyAlignment="1">
      <alignment horizontal="center"/>
    </xf>
    <xf numFmtId="167" fontId="51" fillId="72" borderId="0" xfId="1" applyNumberFormat="1" applyFont="1" applyFill="1" applyBorder="1" applyAlignment="1">
      <alignment horizontal="center" vertical="center" wrapText="1"/>
    </xf>
    <xf numFmtId="0" fontId="32" fillId="15" borderId="0" xfId="0" applyFont="1" applyFill="1" applyAlignment="1">
      <alignment horizontal="center" vertical="top" wrapText="1"/>
    </xf>
    <xf numFmtId="0" fontId="12" fillId="0" borderId="102" xfId="0" applyFont="1" applyBorder="1" applyAlignment="1">
      <alignment horizontal="left" vertical="top" wrapText="1"/>
    </xf>
    <xf numFmtId="0" fontId="12" fillId="0" borderId="103" xfId="0" applyFont="1" applyBorder="1" applyAlignment="1">
      <alignment horizontal="left" vertical="top" wrapText="1"/>
    </xf>
    <xf numFmtId="0" fontId="12" fillId="0" borderId="100" xfId="0" applyFont="1" applyBorder="1" applyAlignment="1">
      <alignment horizontal="left" vertical="top" wrapText="1"/>
    </xf>
    <xf numFmtId="0" fontId="32" fillId="15" borderId="0" xfId="0" applyFont="1" applyFill="1" applyAlignment="1">
      <alignment horizontal="center" vertical="center" wrapText="1"/>
    </xf>
    <xf numFmtId="0" fontId="9" fillId="31" borderId="0" xfId="0" applyFont="1" applyFill="1" applyAlignment="1">
      <alignment horizontal="center"/>
    </xf>
    <xf numFmtId="0" fontId="18" fillId="5" borderId="15" xfId="0" applyFont="1" applyFill="1" applyBorder="1" applyAlignment="1">
      <alignment horizontal="center" vertical="center"/>
    </xf>
    <xf numFmtId="0" fontId="8" fillId="11" borderId="2" xfId="0" applyFont="1" applyFill="1" applyBorder="1" applyAlignment="1">
      <alignment horizontal="center" vertical="center"/>
    </xf>
    <xf numFmtId="0" fontId="8" fillId="11" borderId="3" xfId="0" applyFont="1" applyFill="1" applyBorder="1" applyAlignment="1">
      <alignment horizontal="center" vertical="center"/>
    </xf>
    <xf numFmtId="0" fontId="16" fillId="11" borderId="13" xfId="0" applyFont="1" applyFill="1" applyBorder="1" applyAlignment="1">
      <alignment horizontal="left" vertical="center"/>
    </xf>
    <xf numFmtId="0" fontId="16" fillId="11" borderId="14" xfId="0" applyFont="1" applyFill="1" applyBorder="1" applyAlignment="1">
      <alignment horizontal="left" vertical="center"/>
    </xf>
    <xf numFmtId="0" fontId="8" fillId="11" borderId="2" xfId="0" applyFont="1" applyFill="1" applyBorder="1" applyAlignment="1">
      <alignment horizontal="center" wrapText="1"/>
    </xf>
    <xf numFmtId="0" fontId="8" fillId="11" borderId="3" xfId="0" applyFont="1" applyFill="1" applyBorder="1" applyAlignment="1">
      <alignment horizontal="center" wrapText="1"/>
    </xf>
    <xf numFmtId="0" fontId="8" fillId="11" borderId="2" xfId="0" applyFont="1" applyFill="1" applyBorder="1" applyAlignment="1">
      <alignment horizontal="center"/>
    </xf>
    <xf numFmtId="0" fontId="8" fillId="11" borderId="3" xfId="0" applyFont="1" applyFill="1" applyBorder="1" applyAlignment="1">
      <alignment horizontal="center"/>
    </xf>
    <xf numFmtId="0" fontId="9" fillId="13" borderId="0" xfId="0" applyFont="1" applyFill="1" applyAlignment="1">
      <alignment horizontal="center" vertical="center"/>
    </xf>
    <xf numFmtId="0" fontId="16" fillId="28" borderId="15" xfId="0" applyFont="1" applyFill="1" applyBorder="1" applyAlignment="1">
      <alignment horizontal="left" vertical="center"/>
    </xf>
    <xf numFmtId="0" fontId="9" fillId="13" borderId="10" xfId="0" applyFont="1" applyFill="1" applyBorder="1" applyAlignment="1">
      <alignment horizontal="center" vertical="center"/>
    </xf>
    <xf numFmtId="0" fontId="9" fillId="13" borderId="11" xfId="0" applyFont="1" applyFill="1" applyBorder="1" applyAlignment="1">
      <alignment horizontal="center" vertical="center"/>
    </xf>
    <xf numFmtId="0" fontId="9" fillId="13" borderId="2" xfId="0" applyFont="1" applyFill="1" applyBorder="1" applyAlignment="1">
      <alignment horizontal="center" vertical="center"/>
    </xf>
    <xf numFmtId="0" fontId="9" fillId="13" borderId="3" xfId="0" applyFont="1" applyFill="1" applyBorder="1" applyAlignment="1">
      <alignment horizontal="center" vertical="center"/>
    </xf>
    <xf numFmtId="0" fontId="9" fillId="13" borderId="8" xfId="0" applyFont="1" applyFill="1" applyBorder="1" applyAlignment="1">
      <alignment horizontal="center" vertical="center"/>
    </xf>
    <xf numFmtId="0" fontId="9" fillId="13" borderId="9" xfId="0" applyFont="1" applyFill="1" applyBorder="1" applyAlignment="1">
      <alignment horizontal="center" vertical="center"/>
    </xf>
    <xf numFmtId="0" fontId="16" fillId="22" borderId="0" xfId="0" applyFont="1" applyFill="1" applyAlignment="1">
      <alignment horizontal="left" vertical="center"/>
    </xf>
    <xf numFmtId="0" fontId="8" fillId="12" borderId="2" xfId="0" applyFont="1" applyFill="1" applyBorder="1" applyAlignment="1">
      <alignment horizontal="center"/>
    </xf>
    <xf numFmtId="0" fontId="8" fillId="12" borderId="3" xfId="0" applyFont="1" applyFill="1" applyBorder="1" applyAlignment="1">
      <alignment horizontal="center"/>
    </xf>
    <xf numFmtId="0" fontId="8" fillId="12" borderId="2" xfId="0" applyFont="1" applyFill="1" applyBorder="1" applyAlignment="1">
      <alignment horizontal="center" vertical="center"/>
    </xf>
    <xf numFmtId="0" fontId="8" fillId="12" borderId="3" xfId="0" applyFont="1" applyFill="1" applyBorder="1" applyAlignment="1">
      <alignment horizontal="center" vertical="center"/>
    </xf>
    <xf numFmtId="0" fontId="16" fillId="17" borderId="12" xfId="0" applyFont="1" applyFill="1" applyBorder="1" applyAlignment="1">
      <alignment horizontal="left" vertical="center"/>
    </xf>
    <xf numFmtId="0" fontId="10" fillId="18" borderId="2" xfId="0" applyFont="1" applyFill="1" applyBorder="1" applyAlignment="1">
      <alignment horizontal="center" vertical="center"/>
    </xf>
    <xf numFmtId="0" fontId="10" fillId="18" borderId="3" xfId="0" applyFont="1" applyFill="1" applyBorder="1" applyAlignment="1">
      <alignment horizontal="center" vertical="center"/>
    </xf>
    <xf numFmtId="0" fontId="16" fillId="28" borderId="20" xfId="0" applyFont="1" applyFill="1" applyBorder="1" applyAlignment="1">
      <alignment horizontal="left" vertical="center"/>
    </xf>
    <xf numFmtId="0" fontId="16" fillId="28" borderId="21" xfId="0" applyFont="1" applyFill="1" applyBorder="1" applyAlignment="1">
      <alignment horizontal="left" vertical="center"/>
    </xf>
    <xf numFmtId="0" fontId="10" fillId="18" borderId="2" xfId="0" applyFont="1" applyFill="1" applyBorder="1" applyAlignment="1">
      <alignment horizontal="center"/>
    </xf>
    <xf numFmtId="0" fontId="10" fillId="18" borderId="3" xfId="0" applyFont="1" applyFill="1" applyBorder="1" applyAlignment="1">
      <alignment horizontal="center"/>
    </xf>
    <xf numFmtId="0" fontId="2" fillId="20" borderId="10" xfId="0" applyFont="1" applyFill="1" applyBorder="1" applyAlignment="1">
      <alignment horizontal="center"/>
    </xf>
    <xf numFmtId="0" fontId="2" fillId="20" borderId="11" xfId="0" applyFont="1" applyFill="1" applyBorder="1" applyAlignment="1">
      <alignment horizontal="center"/>
    </xf>
    <xf numFmtId="0" fontId="0" fillId="20" borderId="2" xfId="0" applyFill="1" applyBorder="1" applyAlignment="1">
      <alignment horizontal="left" vertical="top" wrapText="1"/>
    </xf>
    <xf numFmtId="0" fontId="0" fillId="20" borderId="3" xfId="0" applyFill="1" applyBorder="1" applyAlignment="1">
      <alignment horizontal="left" vertical="top" wrapText="1"/>
    </xf>
    <xf numFmtId="0" fontId="16" fillId="20" borderId="13" xfId="0" applyFont="1" applyFill="1" applyBorder="1" applyAlignment="1">
      <alignment horizontal="left" vertical="center"/>
    </xf>
    <xf numFmtId="0" fontId="16" fillId="20" borderId="14" xfId="0" applyFont="1" applyFill="1" applyBorder="1" applyAlignment="1">
      <alignment horizontal="left" vertical="center"/>
    </xf>
    <xf numFmtId="0" fontId="0" fillId="20" borderId="2" xfId="0" applyFill="1" applyBorder="1" applyAlignment="1">
      <alignment horizontal="center"/>
    </xf>
    <xf numFmtId="0" fontId="0" fillId="20" borderId="3" xfId="0" applyFill="1" applyBorder="1" applyAlignment="1">
      <alignment horizontal="center"/>
    </xf>
    <xf numFmtId="0" fontId="16" fillId="31" borderId="13" xfId="0" applyFont="1" applyFill="1" applyBorder="1" applyAlignment="1">
      <alignment horizontal="center" vertical="center" wrapText="1"/>
    </xf>
    <xf numFmtId="0" fontId="16" fillId="31" borderId="14" xfId="0" applyFont="1" applyFill="1" applyBorder="1" applyAlignment="1">
      <alignment horizontal="center" vertical="center" wrapText="1"/>
    </xf>
    <xf numFmtId="0" fontId="16" fillId="23" borderId="5" xfId="0" applyFont="1" applyFill="1" applyBorder="1" applyAlignment="1">
      <alignment horizontal="left" vertical="center"/>
    </xf>
    <xf numFmtId="0" fontId="19" fillId="15" borderId="0" xfId="0" applyFont="1" applyFill="1" applyAlignment="1">
      <alignment horizontal="center" vertical="center" wrapText="1"/>
    </xf>
    <xf numFmtId="0" fontId="14" fillId="49" borderId="0" xfId="0" applyFont="1" applyFill="1" applyAlignment="1">
      <alignment horizontal="center" vertical="center" wrapText="1"/>
    </xf>
    <xf numFmtId="0" fontId="57" fillId="49" borderId="0" xfId="0" applyFont="1" applyFill="1" applyAlignment="1">
      <alignment horizontal="center" vertical="top" wrapText="1"/>
    </xf>
    <xf numFmtId="0" fontId="57" fillId="52" borderId="0" xfId="0" applyFont="1" applyFill="1" applyAlignment="1">
      <alignment horizontal="center" vertical="top" wrapText="1"/>
    </xf>
    <xf numFmtId="0" fontId="59" fillId="49" borderId="0" xfId="0" applyFont="1" applyFill="1" applyAlignment="1">
      <alignment horizontal="center" vertical="center" wrapText="1"/>
    </xf>
    <xf numFmtId="0" fontId="2" fillId="55" borderId="0" xfId="0" applyFont="1" applyFill="1" applyAlignment="1">
      <alignment horizontal="center"/>
    </xf>
    <xf numFmtId="0" fontId="57" fillId="53" borderId="0" xfId="0" applyFont="1" applyFill="1" applyAlignment="1">
      <alignment horizontal="center" vertical="top" wrapText="1"/>
    </xf>
    <xf numFmtId="0" fontId="57" fillId="51" borderId="0" xfId="0" applyFont="1" applyFill="1" applyAlignment="1">
      <alignment horizontal="center" vertical="top" wrapText="1"/>
    </xf>
    <xf numFmtId="0" fontId="57" fillId="50" borderId="0" xfId="0" applyFont="1" applyFill="1" applyAlignment="1">
      <alignment horizontal="center" vertical="top" wrapText="1"/>
    </xf>
    <xf numFmtId="0" fontId="14" fillId="54" borderId="0" xfId="0" applyFont="1" applyFill="1" applyAlignment="1">
      <alignment horizontal="center" vertical="center" wrapText="1"/>
    </xf>
    <xf numFmtId="0" fontId="57" fillId="9" borderId="0" xfId="0" applyFont="1" applyFill="1" applyAlignment="1">
      <alignment horizontal="center" vertical="top" wrapText="1"/>
    </xf>
    <xf numFmtId="0" fontId="23" fillId="2" borderId="0" xfId="0" applyFont="1" applyFill="1" applyAlignment="1">
      <alignment horizontal="center" vertical="center" wrapText="1"/>
    </xf>
    <xf numFmtId="0" fontId="27" fillId="15" borderId="0" xfId="0" applyFont="1" applyFill="1" applyAlignment="1">
      <alignment horizontal="center" vertical="center"/>
    </xf>
    <xf numFmtId="0" fontId="23" fillId="15" borderId="0" xfId="0" applyFont="1" applyFill="1" applyAlignment="1">
      <alignment horizontal="left" vertical="center" wrapText="1"/>
    </xf>
    <xf numFmtId="3" fontId="26" fillId="2" borderId="0" xfId="1" applyNumberFormat="1" applyFont="1" applyFill="1" applyAlignment="1">
      <alignment horizontal="center" vertical="center"/>
    </xf>
    <xf numFmtId="0" fontId="23" fillId="2" borderId="0" xfId="0" applyFont="1" applyFill="1" applyAlignment="1">
      <alignment horizontal="center" vertical="top" wrapText="1"/>
    </xf>
    <xf numFmtId="0" fontId="23" fillId="2" borderId="0" xfId="0" applyFont="1" applyFill="1" applyAlignment="1">
      <alignment horizontal="center"/>
    </xf>
    <xf numFmtId="15" fontId="40" fillId="15" borderId="0" xfId="0" applyNumberFormat="1" applyFont="1" applyFill="1" applyAlignment="1">
      <alignment horizontal="left" vertical="center"/>
    </xf>
    <xf numFmtId="0" fontId="40" fillId="15" borderId="0" xfId="0" applyFont="1" applyFill="1" applyAlignment="1">
      <alignment horizontal="left" vertical="center"/>
    </xf>
    <xf numFmtId="0" fontId="44" fillId="2" borderId="0" xfId="0" quotePrefix="1" applyFont="1" applyFill="1" applyAlignment="1">
      <alignment horizontal="center"/>
    </xf>
    <xf numFmtId="0" fontId="23" fillId="2" borderId="0" xfId="0" applyFont="1" applyFill="1" applyAlignment="1">
      <alignment horizontal="left" vertical="top" wrapText="1"/>
    </xf>
    <xf numFmtId="0" fontId="23" fillId="2" borderId="0" xfId="0" applyFont="1" applyFill="1" applyAlignment="1">
      <alignment horizontal="left" vertical="center" wrapText="1"/>
    </xf>
    <xf numFmtId="0" fontId="23" fillId="2" borderId="0" xfId="0" applyFont="1" applyFill="1" applyAlignment="1">
      <alignment horizontal="right" vertical="center" wrapText="1"/>
    </xf>
    <xf numFmtId="0" fontId="23" fillId="2" borderId="0" xfId="0" applyFont="1" applyFill="1" applyAlignment="1">
      <alignment vertical="center"/>
    </xf>
    <xf numFmtId="0" fontId="44" fillId="2" borderId="0" xfId="0" applyFont="1" applyFill="1" applyAlignment="1">
      <alignment horizontal="center" vertical="center" wrapText="1"/>
    </xf>
    <xf numFmtId="0" fontId="23" fillId="15" borderId="0" xfId="0" applyFont="1" applyFill="1" applyAlignment="1">
      <alignment horizontal="center"/>
    </xf>
    <xf numFmtId="0" fontId="39" fillId="15" borderId="0" xfId="0" applyFont="1" applyFill="1" applyAlignment="1">
      <alignment horizontal="center" vertical="center" wrapText="1"/>
    </xf>
    <xf numFmtId="0" fontId="25" fillId="15" borderId="0" xfId="0" applyFont="1" applyFill="1" applyAlignment="1">
      <alignment horizontal="center" vertical="center"/>
    </xf>
    <xf numFmtId="0" fontId="43" fillId="40" borderId="0" xfId="0" applyFont="1" applyFill="1" applyAlignment="1">
      <alignment horizontal="center" vertical="center"/>
    </xf>
    <xf numFmtId="0" fontId="0" fillId="15" borderId="94" xfId="0" applyFill="1" applyBorder="1" applyAlignment="1">
      <alignment horizontal="left" vertical="top" wrapText="1"/>
    </xf>
    <xf numFmtId="0" fontId="0" fillId="15" borderId="0" xfId="0" applyFill="1" applyAlignment="1">
      <alignment horizontal="left" vertical="top" wrapText="1"/>
    </xf>
    <xf numFmtId="0" fontId="0" fillId="15" borderId="72" xfId="0" applyFill="1" applyBorder="1" applyAlignment="1">
      <alignment horizontal="left"/>
    </xf>
    <xf numFmtId="0" fontId="0" fillId="15" borderId="75" xfId="0" applyFill="1" applyBorder="1" applyAlignment="1">
      <alignment horizontal="left" vertical="top" wrapText="1"/>
    </xf>
    <xf numFmtId="0" fontId="0" fillId="15" borderId="73" xfId="0" applyFill="1" applyBorder="1" applyAlignment="1">
      <alignment horizontal="left" vertical="top" wrapText="1"/>
    </xf>
    <xf numFmtId="0" fontId="0" fillId="15" borderId="74" xfId="0" applyFill="1" applyBorder="1" applyAlignment="1">
      <alignment horizontal="left"/>
    </xf>
    <xf numFmtId="0" fontId="0" fillId="15" borderId="115" xfId="0" applyFill="1" applyBorder="1" applyAlignment="1">
      <alignment horizontal="left" vertical="top" wrapText="1"/>
    </xf>
    <xf numFmtId="0" fontId="0" fillId="15" borderId="88" xfId="0" applyFill="1" applyBorder="1" applyAlignment="1">
      <alignment horizontal="left" vertical="top" wrapText="1"/>
    </xf>
    <xf numFmtId="0" fontId="3" fillId="15" borderId="0" xfId="0" applyFont="1" applyFill="1" applyAlignment="1">
      <alignment horizontal="center"/>
    </xf>
    <xf numFmtId="0" fontId="0" fillId="15" borderId="93" xfId="0" applyFill="1" applyBorder="1" applyAlignment="1">
      <alignment horizontal="left" vertical="top" wrapText="1"/>
    </xf>
    <xf numFmtId="0" fontId="0" fillId="15" borderId="74" xfId="0" applyFill="1" applyBorder="1" applyAlignment="1">
      <alignment horizontal="left" vertical="top"/>
    </xf>
    <xf numFmtId="0" fontId="0" fillId="15" borderId="116" xfId="0" applyFill="1" applyBorder="1" applyAlignment="1">
      <alignment horizontal="left" vertical="top" wrapText="1"/>
    </xf>
    <xf numFmtId="0" fontId="0" fillId="15" borderId="93" xfId="0" applyFill="1" applyBorder="1" applyAlignment="1">
      <alignment horizontal="left" wrapText="1"/>
    </xf>
    <xf numFmtId="0" fontId="61" fillId="6" borderId="0" xfId="0" applyFont="1" applyFill="1" applyAlignment="1">
      <alignment horizontal="center" vertical="center"/>
    </xf>
    <xf numFmtId="0" fontId="61" fillId="6" borderId="0" xfId="0" applyFont="1" applyFill="1" applyAlignment="1">
      <alignment horizontal="left" vertical="top" wrapText="1"/>
    </xf>
    <xf numFmtId="0" fontId="29" fillId="48" borderId="0" xfId="0" applyFont="1" applyFill="1" applyAlignment="1">
      <alignment horizontal="center" wrapText="1"/>
    </xf>
    <xf numFmtId="0" fontId="61" fillId="6" borderId="0" xfId="0" applyFont="1" applyFill="1" applyAlignment="1">
      <alignment horizontal="left" vertical="top"/>
    </xf>
    <xf numFmtId="0" fontId="29" fillId="56" borderId="0" xfId="0" applyFont="1" applyFill="1" applyAlignment="1">
      <alignment horizontal="center" wrapText="1"/>
    </xf>
    <xf numFmtId="0" fontId="29" fillId="57" borderId="0" xfId="0" applyFont="1" applyFill="1" applyAlignment="1">
      <alignment horizontal="center" wrapText="1"/>
    </xf>
    <xf numFmtId="0" fontId="29" fillId="26" borderId="0" xfId="0" applyFont="1" applyFill="1" applyAlignment="1">
      <alignment horizontal="center" wrapText="1"/>
    </xf>
    <xf numFmtId="0" fontId="61" fillId="6" borderId="5" xfId="0" applyFont="1" applyFill="1" applyBorder="1" applyAlignment="1">
      <alignment horizontal="left" vertical="top" wrapText="1"/>
    </xf>
    <xf numFmtId="0" fontId="29" fillId="58" borderId="0" xfId="0" applyFont="1" applyFill="1" applyAlignment="1">
      <alignment horizontal="center" wrapText="1"/>
    </xf>
    <xf numFmtId="0" fontId="61" fillId="6" borderId="5" xfId="0" applyFont="1" applyFill="1" applyBorder="1" applyAlignment="1">
      <alignment horizontal="center" vertical="center"/>
    </xf>
    <xf numFmtId="0" fontId="61" fillId="6" borderId="5" xfId="0" applyFont="1" applyFill="1" applyBorder="1" applyAlignment="1">
      <alignment horizontal="left" vertical="top"/>
    </xf>
    <xf numFmtId="0" fontId="61" fillId="6" borderId="0" xfId="0" applyFont="1" applyFill="1" applyAlignment="1">
      <alignment horizontal="center" vertical="top" wrapText="1"/>
    </xf>
    <xf numFmtId="0" fontId="62" fillId="51" borderId="0" xfId="0" applyFont="1" applyFill="1" applyAlignment="1">
      <alignment horizontal="center" vertical="center" wrapText="1"/>
    </xf>
    <xf numFmtId="0" fontId="29" fillId="3" borderId="0" xfId="0" applyFont="1" applyFill="1" applyAlignment="1">
      <alignment horizontal="center" wrapText="1"/>
    </xf>
    <xf numFmtId="0" fontId="29" fillId="32" borderId="0" xfId="0" applyFont="1" applyFill="1" applyAlignment="1">
      <alignment horizontal="center" wrapText="1"/>
    </xf>
    <xf numFmtId="0" fontId="61" fillId="6" borderId="56" xfId="0" applyFont="1" applyFill="1" applyBorder="1" applyAlignment="1">
      <alignment horizontal="left" vertical="top" wrapText="1"/>
    </xf>
    <xf numFmtId="0" fontId="29" fillId="58" borderId="35" xfId="0" applyFont="1" applyFill="1" applyBorder="1" applyAlignment="1">
      <alignment horizontal="center" wrapText="1"/>
    </xf>
    <xf numFmtId="0" fontId="20" fillId="15" borderId="0" xfId="0" applyFont="1" applyFill="1" applyAlignment="1">
      <alignment horizontal="center"/>
    </xf>
    <xf numFmtId="0" fontId="23" fillId="15" borderId="0" xfId="0" quotePrefix="1" applyFont="1" applyFill="1" applyAlignment="1">
      <alignment horizontal="right"/>
    </xf>
    <xf numFmtId="0" fontId="23" fillId="15" borderId="0" xfId="0" applyFont="1" applyFill="1" applyAlignment="1">
      <alignment horizontal="left" vertical="center"/>
    </xf>
    <xf numFmtId="0" fontId="23" fillId="15" borderId="0" xfId="0" applyFont="1" applyFill="1" applyAlignment="1">
      <alignment horizontal="center" vertical="center"/>
    </xf>
    <xf numFmtId="174" fontId="28" fillId="15" borderId="0" xfId="1" applyNumberFormat="1" applyFont="1" applyFill="1" applyAlignment="1">
      <alignment horizontal="center" vertical="center"/>
    </xf>
    <xf numFmtId="0" fontId="26" fillId="15" borderId="0" xfId="0" applyFont="1" applyFill="1" applyAlignment="1">
      <alignment horizontal="center"/>
    </xf>
    <xf numFmtId="0" fontId="23" fillId="15" borderId="0" xfId="0" applyFont="1" applyFill="1" applyAlignment="1">
      <alignment horizontal="left"/>
    </xf>
    <xf numFmtId="0" fontId="23" fillId="15" borderId="0" xfId="0" applyFont="1" applyFill="1" applyAlignment="1">
      <alignment horizontal="right"/>
    </xf>
    <xf numFmtId="172" fontId="26" fillId="15" borderId="0" xfId="1" applyNumberFormat="1" applyFont="1" applyFill="1" applyAlignment="1">
      <alignment horizontal="center" vertical="center"/>
    </xf>
    <xf numFmtId="167" fontId="28" fillId="15" borderId="0" xfId="1" applyNumberFormat="1" applyFont="1" applyFill="1" applyAlignment="1">
      <alignment horizontal="center" vertical="center"/>
    </xf>
    <xf numFmtId="0" fontId="23" fillId="15" borderId="0" xfId="0" applyFont="1" applyFill="1" applyAlignment="1">
      <alignment horizontal="left" vertical="top"/>
    </xf>
    <xf numFmtId="0" fontId="23" fillId="15" borderId="0" xfId="0" applyFont="1" applyFill="1" applyAlignment="1">
      <alignment horizontal="right" vertical="center"/>
    </xf>
    <xf numFmtId="15" fontId="23" fillId="15" borderId="0" xfId="0" applyNumberFormat="1" applyFont="1" applyFill="1" applyAlignment="1">
      <alignment horizontal="left" vertical="center"/>
    </xf>
    <xf numFmtId="0" fontId="23" fillId="15" borderId="0" xfId="0" applyFont="1" applyFill="1" applyAlignment="1">
      <alignment horizontal="center" vertical="center" wrapText="1"/>
    </xf>
    <xf numFmtId="0" fontId="24" fillId="15" borderId="0" xfId="0" applyFont="1" applyFill="1" applyAlignment="1">
      <alignment horizontal="center" vertical="center"/>
    </xf>
    <xf numFmtId="0" fontId="25" fillId="15" borderId="0" xfId="0" applyFont="1" applyFill="1" applyAlignment="1">
      <alignment horizontal="center" vertical="top"/>
    </xf>
    <xf numFmtId="0" fontId="23" fillId="15" borderId="117" xfId="0" applyFont="1" applyFill="1" applyBorder="1" applyAlignment="1">
      <alignment horizontal="center"/>
    </xf>
    <xf numFmtId="0" fontId="23" fillId="15" borderId="35" xfId="0" applyFont="1" applyFill="1" applyBorder="1" applyAlignment="1">
      <alignment horizontal="center"/>
    </xf>
    <xf numFmtId="0" fontId="23" fillId="15" borderId="117" xfId="0" applyFont="1" applyFill="1" applyBorder="1" applyAlignment="1">
      <alignment horizontal="left" vertical="center"/>
    </xf>
    <xf numFmtId="0" fontId="23" fillId="15" borderId="36" xfId="0" applyFont="1" applyFill="1" applyBorder="1" applyAlignment="1">
      <alignment horizontal="left" vertical="center" wrapText="1"/>
    </xf>
    <xf numFmtId="167" fontId="28" fillId="15" borderId="36" xfId="1" applyNumberFormat="1" applyFont="1" applyFill="1" applyBorder="1" applyAlignment="1">
      <alignment horizontal="center" vertical="center"/>
    </xf>
    <xf numFmtId="167" fontId="28" fillId="15" borderId="117" xfId="1" applyNumberFormat="1" applyFont="1" applyFill="1" applyBorder="1" applyAlignment="1">
      <alignment horizontal="center" vertical="center"/>
    </xf>
    <xf numFmtId="0" fontId="23" fillId="15" borderId="117" xfId="0" applyFont="1" applyFill="1" applyBorder="1" applyAlignment="1">
      <alignment horizontal="left" vertical="center" wrapText="1"/>
    </xf>
    <xf numFmtId="0" fontId="84" fillId="15" borderId="36" xfId="0" applyFont="1" applyFill="1" applyBorder="1" applyAlignment="1">
      <alignment horizontal="left" wrapText="1"/>
    </xf>
    <xf numFmtId="172" fontId="26" fillId="15" borderId="35" xfId="1" applyNumberFormat="1" applyFont="1" applyFill="1" applyBorder="1" applyAlignment="1">
      <alignment horizontal="center" vertical="center"/>
    </xf>
    <xf numFmtId="0" fontId="23" fillId="15" borderId="36" xfId="0" applyFont="1" applyFill="1" applyBorder="1" applyAlignment="1">
      <alignment horizontal="left" vertical="center"/>
    </xf>
    <xf numFmtId="0" fontId="82" fillId="15" borderId="0" xfId="0" applyFont="1" applyFill="1" applyAlignment="1">
      <alignment horizontal="center" vertical="top" wrapText="1"/>
    </xf>
    <xf numFmtId="0" fontId="80" fillId="15" borderId="0" xfId="0" applyFont="1" applyFill="1" applyAlignment="1">
      <alignment horizontal="center" vertical="center" wrapText="1"/>
    </xf>
    <xf numFmtId="0" fontId="79" fillId="15" borderId="0" xfId="0" applyFont="1" applyFill="1" applyAlignment="1">
      <alignment horizontal="center" vertical="center" wrapText="1"/>
    </xf>
    <xf numFmtId="0" fontId="77" fillId="15" borderId="0" xfId="0" applyFont="1" applyFill="1" applyAlignment="1">
      <alignment horizontal="right" vertical="center"/>
    </xf>
    <xf numFmtId="0" fontId="77" fillId="15" borderId="0" xfId="0" applyFont="1" applyFill="1" applyAlignment="1">
      <alignment horizontal="left" vertical="center" wrapText="1"/>
    </xf>
    <xf numFmtId="0" fontId="0" fillId="74" borderId="110" xfId="0" applyFill="1" applyBorder="1" applyAlignment="1">
      <alignment horizontal="center"/>
    </xf>
    <xf numFmtId="0" fontId="0" fillId="74" borderId="45" xfId="0" applyFill="1" applyBorder="1" applyAlignment="1">
      <alignment horizontal="center"/>
    </xf>
    <xf numFmtId="0" fontId="0" fillId="74" borderId="111" xfId="0" applyFill="1" applyBorder="1" applyAlignment="1">
      <alignment horizontal="center"/>
    </xf>
    <xf numFmtId="0" fontId="19" fillId="15" borderId="0" xfId="0" applyFont="1" applyFill="1" applyAlignment="1">
      <alignment horizontal="center" wrapText="1"/>
    </xf>
    <xf numFmtId="0" fontId="12" fillId="15" borderId="110" xfId="0" applyFont="1" applyFill="1" applyBorder="1" applyAlignment="1">
      <alignment horizontal="center"/>
    </xf>
    <xf numFmtId="0" fontId="12" fillId="15" borderId="45" xfId="0" applyFont="1" applyFill="1" applyBorder="1" applyAlignment="1">
      <alignment horizontal="center"/>
    </xf>
    <xf numFmtId="0" fontId="12" fillId="15" borderId="111" xfId="0" applyFont="1" applyFill="1" applyBorder="1" applyAlignment="1">
      <alignment horizontal="center"/>
    </xf>
    <xf numFmtId="0" fontId="95" fillId="0" borderId="0" xfId="0" applyFont="1" applyAlignment="1">
      <alignment horizontal="center"/>
    </xf>
    <xf numFmtId="0" fontId="96" fillId="0" borderId="0" xfId="0" applyFont="1" applyAlignment="1">
      <alignment horizontal="center" vertical="center"/>
    </xf>
    <xf numFmtId="0" fontId="0" fillId="0" borderId="123" xfId="0" applyBorder="1" applyAlignment="1">
      <alignment horizontal="left" vertical="top" wrapText="1"/>
    </xf>
    <xf numFmtId="0" fontId="0" fillId="0" borderId="118" xfId="0" applyBorder="1" applyAlignment="1">
      <alignment horizontal="left" vertical="top" wrapText="1"/>
    </xf>
    <xf numFmtId="0" fontId="0" fillId="0" borderId="132" xfId="0" applyBorder="1" applyAlignment="1">
      <alignment horizontal="left" vertical="top" wrapText="1"/>
    </xf>
    <xf numFmtId="0" fontId="0" fillId="0" borderId="133" xfId="0" applyBorder="1" applyAlignment="1">
      <alignment horizontal="left" vertical="top" wrapText="1"/>
    </xf>
    <xf numFmtId="0" fontId="0" fillId="0" borderId="126" xfId="0" applyBorder="1" applyAlignment="1">
      <alignment horizontal="left" vertical="top" wrapText="1"/>
    </xf>
    <xf numFmtId="0" fontId="32" fillId="0" borderId="139" xfId="0" applyFont="1" applyBorder="1" applyAlignment="1">
      <alignment horizontal="center" vertical="center" wrapText="1"/>
    </xf>
    <xf numFmtId="0" fontId="32" fillId="0" borderId="121" xfId="0" applyFont="1" applyBorder="1" applyAlignment="1">
      <alignment horizontal="center" vertical="center" wrapText="1"/>
    </xf>
    <xf numFmtId="0" fontId="32" fillId="0" borderId="140" xfId="0" applyFont="1" applyBorder="1" applyAlignment="1">
      <alignment horizontal="center" vertical="center" wrapText="1"/>
    </xf>
    <xf numFmtId="0" fontId="0" fillId="0" borderId="125" xfId="0" applyBorder="1" applyAlignment="1">
      <alignment horizontal="left" vertical="top" wrapText="1"/>
    </xf>
    <xf numFmtId="0" fontId="0" fillId="0" borderId="147" xfId="0" applyBorder="1" applyAlignment="1">
      <alignment horizontal="left" vertical="top" wrapText="1"/>
    </xf>
    <xf numFmtId="0" fontId="0" fillId="0" borderId="148" xfId="0" applyBorder="1" applyAlignment="1">
      <alignment horizontal="left" vertical="top" wrapText="1"/>
    </xf>
    <xf numFmtId="0" fontId="0" fillId="0" borderId="122" xfId="0" applyBorder="1" applyAlignment="1">
      <alignment horizontal="left" vertical="top" wrapText="1"/>
    </xf>
    <xf numFmtId="0" fontId="19" fillId="0" borderId="155" xfId="0" applyFont="1" applyBorder="1" applyAlignment="1">
      <alignment horizontal="center" vertical="center" textRotation="90"/>
    </xf>
    <xf numFmtId="0" fontId="19" fillId="0" borderId="0" xfId="0" applyFont="1" applyAlignment="1">
      <alignment horizontal="center" vertical="center" textRotation="90"/>
    </xf>
    <xf numFmtId="0" fontId="0" fillId="0" borderId="131" xfId="0" applyBorder="1" applyAlignment="1">
      <alignment horizontal="left" vertical="top" wrapText="1"/>
    </xf>
    <xf numFmtId="0" fontId="0" fillId="0" borderId="144" xfId="0" applyBorder="1" applyAlignment="1">
      <alignment horizontal="left" vertical="top" wrapText="1"/>
    </xf>
    <xf numFmtId="0" fontId="0" fillId="0" borderId="145" xfId="0" applyBorder="1" applyAlignment="1">
      <alignment horizontal="left" vertical="top" wrapText="1"/>
    </xf>
    <xf numFmtId="0" fontId="0" fillId="0" borderId="146" xfId="0" applyBorder="1" applyAlignment="1">
      <alignment horizontal="left" vertical="top" wrapText="1"/>
    </xf>
    <xf numFmtId="0" fontId="0" fillId="0" borderId="158" xfId="0" applyBorder="1" applyAlignment="1">
      <alignment horizontal="left" vertical="top" wrapText="1"/>
    </xf>
    <xf numFmtId="0" fontId="0" fillId="0" borderId="156" xfId="0" applyBorder="1" applyAlignment="1">
      <alignment horizontal="left" vertical="top" wrapText="1"/>
    </xf>
    <xf numFmtId="0" fontId="0" fillId="0" borderId="159" xfId="0" applyBorder="1" applyAlignment="1">
      <alignment horizontal="left" vertical="top" wrapText="1"/>
    </xf>
    <xf numFmtId="0" fontId="0" fillId="0" borderId="161" xfId="0" applyBorder="1" applyAlignment="1">
      <alignment horizontal="left" vertical="top" wrapText="1"/>
    </xf>
    <xf numFmtId="0" fontId="0" fillId="0" borderId="162" xfId="0" applyBorder="1" applyAlignment="1">
      <alignment horizontal="left" vertical="top" wrapText="1"/>
    </xf>
    <xf numFmtId="0" fontId="0" fillId="0" borderId="163" xfId="0" applyBorder="1" applyAlignment="1">
      <alignment horizontal="left" vertical="top" wrapText="1"/>
    </xf>
    <xf numFmtId="0" fontId="0" fillId="0" borderId="166" xfId="0" applyBorder="1" applyAlignment="1">
      <alignment horizontal="left" vertical="top" wrapText="1"/>
    </xf>
    <xf numFmtId="0" fontId="0" fillId="0" borderId="164" xfId="0" applyBorder="1" applyAlignment="1">
      <alignment horizontal="left" vertical="top" wrapText="1"/>
    </xf>
    <xf numFmtId="0" fontId="0" fillId="0" borderId="168" xfId="0" applyBorder="1" applyAlignment="1">
      <alignment horizontal="left" vertical="top" wrapText="1"/>
    </xf>
    <xf numFmtId="0" fontId="89" fillId="0" borderId="128" xfId="0" applyFont="1" applyBorder="1" applyAlignment="1">
      <alignment vertical="top" wrapText="1"/>
    </xf>
    <xf numFmtId="0" fontId="89" fillId="0" borderId="127" xfId="0" applyFont="1" applyBorder="1" applyAlignment="1">
      <alignment vertical="top" wrapText="1"/>
    </xf>
    <xf numFmtId="0" fontId="0" fillId="0" borderId="119"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0" fillId="0" borderId="124" xfId="0" applyBorder="1" applyAlignment="1">
      <alignment horizontal="left" vertical="top" wrapText="1"/>
    </xf>
    <xf numFmtId="0" fontId="0" fillId="0" borderId="0" xfId="0" applyAlignment="1">
      <alignment horizontal="left" vertical="top" wrapText="1"/>
    </xf>
    <xf numFmtId="0" fontId="0" fillId="0" borderId="143" xfId="0" applyBorder="1" applyAlignment="1">
      <alignment horizontal="left" vertical="top" wrapText="1"/>
    </xf>
    <xf numFmtId="0" fontId="19" fillId="0" borderId="138" xfId="0" applyFont="1" applyBorder="1" applyAlignment="1">
      <alignment horizontal="center" vertical="center" textRotation="90"/>
    </xf>
    <xf numFmtId="0" fontId="19" fillId="0" borderId="137" xfId="0" applyFont="1" applyBorder="1" applyAlignment="1">
      <alignment horizontal="center" vertical="center" textRotation="90"/>
    </xf>
    <xf numFmtId="0" fontId="19" fillId="0" borderId="139" xfId="0" applyFont="1" applyBorder="1" applyAlignment="1">
      <alignment horizontal="center" vertical="center" textRotation="90"/>
    </xf>
    <xf numFmtId="0" fontId="19" fillId="0" borderId="121" xfId="0" applyFont="1" applyBorder="1" applyAlignment="1">
      <alignment horizontal="center" vertical="center" textRotation="90"/>
    </xf>
    <xf numFmtId="0" fontId="19" fillId="0" borderId="140" xfId="0" applyFont="1" applyBorder="1" applyAlignment="1">
      <alignment horizontal="center" vertical="center" textRotation="90"/>
    </xf>
    <xf numFmtId="0" fontId="0" fillId="0" borderId="120" xfId="0" applyBorder="1" applyAlignment="1">
      <alignment horizontal="left" vertical="top" wrapText="1"/>
    </xf>
    <xf numFmtId="0" fontId="0" fillId="0" borderId="177" xfId="0" applyBorder="1" applyAlignment="1">
      <alignment horizontal="left" vertical="top" wrapText="1"/>
    </xf>
    <xf numFmtId="0" fontId="0" fillId="0" borderId="178" xfId="0" applyBorder="1" applyAlignment="1">
      <alignment horizontal="left" vertical="top" wrapText="1"/>
    </xf>
    <xf numFmtId="0" fontId="88" fillId="79" borderId="134" xfId="0" applyFont="1" applyFill="1" applyBorder="1" applyAlignment="1">
      <alignment horizontal="center" vertical="top" wrapText="1"/>
    </xf>
    <xf numFmtId="0" fontId="88" fillId="79" borderId="135" xfId="0" applyFont="1" applyFill="1" applyBorder="1" applyAlignment="1">
      <alignment horizontal="center" vertical="top" wrapText="1"/>
    </xf>
    <xf numFmtId="0" fontId="0" fillId="0" borderId="170" xfId="0" applyBorder="1" applyAlignment="1">
      <alignment horizontal="left" vertical="top" wrapText="1"/>
    </xf>
    <xf numFmtId="0" fontId="0" fillId="0" borderId="171" xfId="0" applyBorder="1" applyAlignment="1">
      <alignment horizontal="left" vertical="top" wrapText="1"/>
    </xf>
    <xf numFmtId="0" fontId="0" fillId="0" borderId="172" xfId="0" applyBorder="1" applyAlignment="1">
      <alignment horizontal="left" vertical="top" wrapText="1"/>
    </xf>
    <xf numFmtId="0" fontId="0" fillId="0" borderId="149"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cellXfs>
  <cellStyles count="5">
    <cellStyle name="Hipervínculo" xfId="4" builtinId="8"/>
    <cellStyle name="Millares" xfId="1" builtinId="3"/>
    <cellStyle name="Moneda" xfId="3" builtinId="4"/>
    <cellStyle name="Normal" xfId="0" builtinId="0"/>
    <cellStyle name="Porcentaje" xfId="2" builtinId="5"/>
  </cellStyles>
  <dxfs count="0"/>
  <tableStyles count="0" defaultTableStyle="TableStyleMedium2" defaultPivotStyle="PivotStyleLight16"/>
  <colors>
    <mruColors>
      <color rgb="FFFF33CC"/>
      <color rgb="FF6A8ED0"/>
      <color rgb="FF4472C4"/>
      <color rgb="FF32599E"/>
      <color rgb="FF006CA2"/>
      <color rgb="FF2C4E8C"/>
      <color rgb="FF203966"/>
      <color rgb="FFA679FF"/>
      <color rgb="FF0075B0"/>
      <color rgb="FF0041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svg"/><Relationship Id="rId18" Type="http://schemas.openxmlformats.org/officeDocument/2006/relationships/image" Target="../media/image18.svg"/><Relationship Id="rId26" Type="http://schemas.openxmlformats.org/officeDocument/2006/relationships/image" Target="../media/image25.svg"/><Relationship Id="rId39" Type="http://schemas.microsoft.com/office/2007/relationships/hdphoto" Target="../media/hdphoto9.wdp"/><Relationship Id="rId21" Type="http://schemas.openxmlformats.org/officeDocument/2006/relationships/image" Target="../media/image20.png"/><Relationship Id="rId34" Type="http://schemas.openxmlformats.org/officeDocument/2006/relationships/image" Target="../media/image31.png"/><Relationship Id="rId42" Type="http://schemas.openxmlformats.org/officeDocument/2006/relationships/image" Target="../media/image36.png"/><Relationship Id="rId47" Type="http://schemas.openxmlformats.org/officeDocument/2006/relationships/image" Target="../media/image41.png"/><Relationship Id="rId50" Type="http://schemas.microsoft.com/office/2007/relationships/hdphoto" Target="../media/hdphoto11.wdp"/><Relationship Id="rId55" Type="http://schemas.openxmlformats.org/officeDocument/2006/relationships/image" Target="../media/image46.png"/><Relationship Id="rId63" Type="http://schemas.openxmlformats.org/officeDocument/2006/relationships/image" Target="../media/image51.png"/><Relationship Id="rId7" Type="http://schemas.microsoft.com/office/2007/relationships/hdphoto" Target="../media/hdphoto1.wdp"/><Relationship Id="rId2" Type="http://schemas.openxmlformats.org/officeDocument/2006/relationships/image" Target="../media/image5.png"/><Relationship Id="rId16" Type="http://schemas.microsoft.com/office/2007/relationships/hdphoto" Target="../media/hdphoto3.wdp"/><Relationship Id="rId29" Type="http://schemas.openxmlformats.org/officeDocument/2006/relationships/image" Target="../media/image28.svg"/><Relationship Id="rId11" Type="http://schemas.openxmlformats.org/officeDocument/2006/relationships/image" Target="../media/image12.svg"/><Relationship Id="rId24" Type="http://schemas.openxmlformats.org/officeDocument/2006/relationships/image" Target="../media/image23.svg"/><Relationship Id="rId32" Type="http://schemas.openxmlformats.org/officeDocument/2006/relationships/image" Target="../media/image30.png"/><Relationship Id="rId37" Type="http://schemas.microsoft.com/office/2007/relationships/hdphoto" Target="../media/hdphoto8.wdp"/><Relationship Id="rId40" Type="http://schemas.openxmlformats.org/officeDocument/2006/relationships/image" Target="../media/image34.png"/><Relationship Id="rId45" Type="http://schemas.openxmlformats.org/officeDocument/2006/relationships/image" Target="../media/image39.png"/><Relationship Id="rId53" Type="http://schemas.microsoft.com/office/2007/relationships/hdphoto" Target="../media/hdphoto12.wdp"/><Relationship Id="rId58" Type="http://schemas.microsoft.com/office/2007/relationships/hdphoto" Target="../media/hdphoto14.wdp"/><Relationship Id="rId5" Type="http://schemas.openxmlformats.org/officeDocument/2006/relationships/image" Target="../media/image8.png"/><Relationship Id="rId61" Type="http://schemas.openxmlformats.org/officeDocument/2006/relationships/image" Target="../media/image50.png"/><Relationship Id="rId19" Type="http://schemas.openxmlformats.org/officeDocument/2006/relationships/image" Target="../media/image19.png"/><Relationship Id="rId14" Type="http://schemas.openxmlformats.org/officeDocument/2006/relationships/image" Target="../media/image15.png"/><Relationship Id="rId22" Type="http://schemas.openxmlformats.org/officeDocument/2006/relationships/image" Target="../media/image21.svg"/><Relationship Id="rId27" Type="http://schemas.openxmlformats.org/officeDocument/2006/relationships/image" Target="../media/image26.png"/><Relationship Id="rId30" Type="http://schemas.openxmlformats.org/officeDocument/2006/relationships/image" Target="../media/image29.png"/><Relationship Id="rId35" Type="http://schemas.microsoft.com/office/2007/relationships/hdphoto" Target="../media/hdphoto7.wdp"/><Relationship Id="rId43" Type="http://schemas.openxmlformats.org/officeDocument/2006/relationships/image" Target="../media/image37.png"/><Relationship Id="rId48" Type="http://schemas.microsoft.com/office/2007/relationships/hdphoto" Target="../media/hdphoto10.wdp"/><Relationship Id="rId56" Type="http://schemas.microsoft.com/office/2007/relationships/hdphoto" Target="../media/hdphoto13.wdp"/><Relationship Id="rId64" Type="http://schemas.openxmlformats.org/officeDocument/2006/relationships/image" Target="../media/image52.svg"/><Relationship Id="rId8" Type="http://schemas.openxmlformats.org/officeDocument/2006/relationships/image" Target="../media/image10.png"/><Relationship Id="rId51" Type="http://schemas.openxmlformats.org/officeDocument/2006/relationships/image" Target="../media/image43.png"/><Relationship Id="rId3" Type="http://schemas.openxmlformats.org/officeDocument/2006/relationships/image" Target="../media/image6.png"/><Relationship Id="rId12" Type="http://schemas.openxmlformats.org/officeDocument/2006/relationships/image" Target="../media/image13.png"/><Relationship Id="rId17" Type="http://schemas.openxmlformats.org/officeDocument/2006/relationships/image" Target="../media/image17.png"/><Relationship Id="rId25" Type="http://schemas.openxmlformats.org/officeDocument/2006/relationships/image" Target="../media/image24.png"/><Relationship Id="rId33" Type="http://schemas.microsoft.com/office/2007/relationships/hdphoto" Target="../media/hdphoto6.wdp"/><Relationship Id="rId38" Type="http://schemas.openxmlformats.org/officeDocument/2006/relationships/image" Target="../media/image33.png"/><Relationship Id="rId46" Type="http://schemas.openxmlformats.org/officeDocument/2006/relationships/image" Target="../media/image40.png"/><Relationship Id="rId59" Type="http://schemas.openxmlformats.org/officeDocument/2006/relationships/image" Target="../media/image48.png"/><Relationship Id="rId20" Type="http://schemas.microsoft.com/office/2007/relationships/hdphoto" Target="../media/hdphoto4.wdp"/><Relationship Id="rId41" Type="http://schemas.openxmlformats.org/officeDocument/2006/relationships/image" Target="../media/image35.svg"/><Relationship Id="rId54" Type="http://schemas.openxmlformats.org/officeDocument/2006/relationships/image" Target="../media/image45.png"/><Relationship Id="rId62" Type="http://schemas.microsoft.com/office/2007/relationships/hdphoto" Target="../media/hdphoto15.wdp"/><Relationship Id="rId1" Type="http://schemas.openxmlformats.org/officeDocument/2006/relationships/image" Target="../media/image4.png"/><Relationship Id="rId6" Type="http://schemas.openxmlformats.org/officeDocument/2006/relationships/image" Target="../media/image9.png"/><Relationship Id="rId15" Type="http://schemas.openxmlformats.org/officeDocument/2006/relationships/image" Target="../media/image16.png"/><Relationship Id="rId23" Type="http://schemas.openxmlformats.org/officeDocument/2006/relationships/image" Target="../media/image22.png"/><Relationship Id="rId28" Type="http://schemas.openxmlformats.org/officeDocument/2006/relationships/image" Target="../media/image27.png"/><Relationship Id="rId36" Type="http://schemas.openxmlformats.org/officeDocument/2006/relationships/image" Target="../media/image32.png"/><Relationship Id="rId49" Type="http://schemas.openxmlformats.org/officeDocument/2006/relationships/image" Target="../media/image42.png"/><Relationship Id="rId57" Type="http://schemas.openxmlformats.org/officeDocument/2006/relationships/image" Target="../media/image47.png"/><Relationship Id="rId10" Type="http://schemas.openxmlformats.org/officeDocument/2006/relationships/image" Target="../media/image11.png"/><Relationship Id="rId31" Type="http://schemas.microsoft.com/office/2007/relationships/hdphoto" Target="../media/hdphoto5.wdp"/><Relationship Id="rId44" Type="http://schemas.openxmlformats.org/officeDocument/2006/relationships/image" Target="../media/image38.svg"/><Relationship Id="rId52" Type="http://schemas.openxmlformats.org/officeDocument/2006/relationships/image" Target="../media/image44.png"/><Relationship Id="rId60" Type="http://schemas.openxmlformats.org/officeDocument/2006/relationships/image" Target="../media/image49.png"/><Relationship Id="rId4" Type="http://schemas.openxmlformats.org/officeDocument/2006/relationships/image" Target="../media/image7.png"/><Relationship Id="rId9" Type="http://schemas.microsoft.com/office/2007/relationships/hdphoto" Target="../media/hdphoto2.wdp"/></Relationships>
</file>

<file path=xl/drawings/_rels/drawing3.xml.rels><?xml version="1.0" encoding="UTF-8" standalone="yes"?>
<Relationships xmlns="http://schemas.openxmlformats.org/package/2006/relationships"><Relationship Id="rId8" Type="http://schemas.openxmlformats.org/officeDocument/2006/relationships/image" Target="../media/image45.png"/><Relationship Id="rId3" Type="http://schemas.openxmlformats.org/officeDocument/2006/relationships/image" Target="../media/image32.png"/><Relationship Id="rId7" Type="http://schemas.microsoft.com/office/2007/relationships/hdphoto" Target="../media/hdphoto10.wdp"/><Relationship Id="rId2" Type="http://schemas.openxmlformats.org/officeDocument/2006/relationships/image" Target="../media/image6.png"/><Relationship Id="rId1" Type="http://schemas.openxmlformats.org/officeDocument/2006/relationships/image" Target="../media/image49.png"/><Relationship Id="rId6" Type="http://schemas.openxmlformats.org/officeDocument/2006/relationships/image" Target="../media/image41.png"/><Relationship Id="rId5" Type="http://schemas.openxmlformats.org/officeDocument/2006/relationships/image" Target="../media/image5.png"/><Relationship Id="rId4" Type="http://schemas.microsoft.com/office/2007/relationships/hdphoto" Target="../media/hdphoto8.wdp"/></Relationships>
</file>

<file path=xl/drawings/_rels/drawing4.xml.rels><?xml version="1.0" encoding="UTF-8" standalone="yes"?>
<Relationships xmlns="http://schemas.openxmlformats.org/package/2006/relationships"><Relationship Id="rId8" Type="http://schemas.openxmlformats.org/officeDocument/2006/relationships/hyperlink" Target="https://www.reynaers.com/en/fabricators/endless-recycling-aluminium" TargetMode="External"/><Relationship Id="rId3" Type="http://schemas.openxmlformats.org/officeDocument/2006/relationships/image" Target="../media/image54.png"/><Relationship Id="rId7" Type="http://schemas.openxmlformats.org/officeDocument/2006/relationships/hyperlink" Target="https://www.metalrecyclesforever.eu/" TargetMode="External"/><Relationship Id="rId2" Type="http://schemas.microsoft.com/office/2007/relationships/hdphoto" Target="../media/hdphoto16.wdp"/><Relationship Id="rId1" Type="http://schemas.openxmlformats.org/officeDocument/2006/relationships/image" Target="../media/image53.png"/><Relationship Id="rId6" Type="http://schemas.openxmlformats.org/officeDocument/2006/relationships/image" Target="../media/image56.svg"/><Relationship Id="rId5" Type="http://schemas.openxmlformats.org/officeDocument/2006/relationships/image" Target="../media/image55.png"/><Relationship Id="rId10" Type="http://schemas.openxmlformats.org/officeDocument/2006/relationships/hyperlink" Target="https://www.recycle-more.co.uk/home" TargetMode="External"/><Relationship Id="rId4" Type="http://schemas.openxmlformats.org/officeDocument/2006/relationships/hyperlink" Target="https://hablandoenvidrio.com/wp-content/uploads/2015/06/consejos_para_ganar_en_verde.html" TargetMode="External"/><Relationship Id="rId9" Type="http://schemas.openxmlformats.org/officeDocument/2006/relationships/hyperlink" Target="http://www.anfevi.com/el-envase-de-vidrio/reciclado/"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hyperlink" Target="https://torrelatinoamericana.com.mx/historia/#:~:text=Para%20soportar%20un%20peso%20total,el%20nivel%20de%20la%20calle." TargetMode="External"/><Relationship Id="rId3" Type="http://schemas.openxmlformats.org/officeDocument/2006/relationships/image" Target="../media/image56.svg"/><Relationship Id="rId7" Type="http://schemas.openxmlformats.org/officeDocument/2006/relationships/hyperlink" Target="FUENTE%20BIBLIOGRAFICA/BIBLIOGRAFIA_AVION_PESO.png" TargetMode="External"/><Relationship Id="rId12" Type="http://schemas.openxmlformats.org/officeDocument/2006/relationships/hyperlink" Target="https://www.emptyleg.com/es/planes/boeing-737---600700800900900er" TargetMode="External"/><Relationship Id="rId2" Type="http://schemas.openxmlformats.org/officeDocument/2006/relationships/image" Target="../media/image55.png"/><Relationship Id="rId1" Type="http://schemas.openxmlformats.org/officeDocument/2006/relationships/hyperlink" Target="https://www.miteco.gob.es/es/cambio-climatico/temas/mitigacion-politicas-y-medidas/factores_emision_tcm30-479095.pdf" TargetMode="External"/><Relationship Id="rId6" Type="http://schemas.openxmlformats.org/officeDocument/2006/relationships/image" Target="../media/image12.svg"/><Relationship Id="rId11" Type="http://schemas.openxmlformats.org/officeDocument/2006/relationships/hyperlink" Target="FUENTE%20BIBLIOGRAFICA/BIBLIOGRAFIA_BOEING.JPG" TargetMode="External"/><Relationship Id="rId5" Type="http://schemas.openxmlformats.org/officeDocument/2006/relationships/image" Target="../media/image11.png"/><Relationship Id="rId10" Type="http://schemas.openxmlformats.org/officeDocument/2006/relationships/hyperlink" Target="https://www.nationalgeographic.es/animales/18-datos-sobre-el-animal-terrestre-mas-grande-del-mundo-el-elefante" TargetMode="External"/><Relationship Id="rId4" Type="http://schemas.openxmlformats.org/officeDocument/2006/relationships/hyperlink" Target="FUENTE%20BIBLIOGRAFICA/BIBLIOGRAFIA_FACTOR%20DE%20EMISI&#211;N_GASOLINA.JPG" TargetMode="External"/><Relationship Id="rId9" Type="http://schemas.openxmlformats.org/officeDocument/2006/relationships/hyperlink" Target="FUENTE%20BIBLIOGRAFICA/BIBLIOGRAFIA_&#128024;%20_PESO.png" TargetMode="External"/></Relationships>
</file>

<file path=xl/drawings/_rels/drawing7.xml.rels><?xml version="1.0" encoding="UTF-8" standalone="yes"?>
<Relationships xmlns="http://schemas.openxmlformats.org/package/2006/relationships"><Relationship Id="rId3" Type="http://schemas.microsoft.com/office/2007/relationships/hdphoto" Target="../media/hdphoto17.wdp"/><Relationship Id="rId2" Type="http://schemas.openxmlformats.org/officeDocument/2006/relationships/image" Target="../media/image57.png"/><Relationship Id="rId1" Type="http://schemas.openxmlformats.org/officeDocument/2006/relationships/image" Target="../media/image4.png"/><Relationship Id="rId4" Type="http://schemas.openxmlformats.org/officeDocument/2006/relationships/image" Target="../media/image58.png"/></Relationships>
</file>

<file path=xl/drawings/_rels/drawing8.xml.rels><?xml version="1.0" encoding="UTF-8" standalone="yes"?>
<Relationships xmlns="http://schemas.openxmlformats.org/package/2006/relationships"><Relationship Id="rId3" Type="http://schemas.microsoft.com/office/2007/relationships/hdphoto" Target="../media/hdphoto18.wdp"/><Relationship Id="rId2" Type="http://schemas.openxmlformats.org/officeDocument/2006/relationships/image" Target="../media/image59.png"/><Relationship Id="rId1" Type="http://schemas.openxmlformats.org/officeDocument/2006/relationships/image" Target="../media/image4.png"/><Relationship Id="rId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3" Type="http://schemas.openxmlformats.org/officeDocument/2006/relationships/image" Target="../media/image61.png"/><Relationship Id="rId2" Type="http://schemas.microsoft.com/office/2007/relationships/hdphoto" Target="../media/hdphoto19.wdp"/><Relationship Id="rId1" Type="http://schemas.openxmlformats.org/officeDocument/2006/relationships/image" Target="../media/image60.png"/><Relationship Id="rId5" Type="http://schemas.openxmlformats.org/officeDocument/2006/relationships/image" Target="../media/image4.png"/><Relationship Id="rId4" Type="http://schemas.microsoft.com/office/2007/relationships/hdphoto" Target="../media/hdphoto20.wdp"/></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21.wdp"/><Relationship Id="rId1" Type="http://schemas.openxmlformats.org/officeDocument/2006/relationships/image" Target="../media/image6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microsoft.com/office/2007/relationships/hdphoto" Target="../media/hdphoto22.wdp"/><Relationship Id="rId2" Type="http://schemas.openxmlformats.org/officeDocument/2006/relationships/image" Target="../media/image64.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5.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23.wdp"/><Relationship Id="rId1" Type="http://schemas.openxmlformats.org/officeDocument/2006/relationships/image" Target="../media/image66.png"/></Relationships>
</file>

<file path=xl/drawings/_rels/drawing15.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image" Target="../media/image7.png"/><Relationship Id="rId7" Type="http://schemas.openxmlformats.org/officeDocument/2006/relationships/image" Target="../media/image70.jpeg"/><Relationship Id="rId2" Type="http://schemas.openxmlformats.org/officeDocument/2006/relationships/image" Target="../media/image68.png"/><Relationship Id="rId1" Type="http://schemas.openxmlformats.org/officeDocument/2006/relationships/image" Target="../media/image67.png"/><Relationship Id="rId6"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69.png"/></Relationships>
</file>

<file path=xl/drawings/_rels/drawing16.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image" Target="../media/image7.png"/><Relationship Id="rId7" Type="http://schemas.openxmlformats.org/officeDocument/2006/relationships/image" Target="../media/image69.png"/><Relationship Id="rId2" Type="http://schemas.openxmlformats.org/officeDocument/2006/relationships/image" Target="../media/image67.png"/><Relationship Id="rId1" Type="http://schemas.openxmlformats.org/officeDocument/2006/relationships/image" Target="../media/image72.png"/><Relationship Id="rId6" Type="http://schemas.openxmlformats.org/officeDocument/2006/relationships/image" Target="../media/image74.png"/><Relationship Id="rId11" Type="http://schemas.openxmlformats.org/officeDocument/2006/relationships/image" Target="../media/image77.png"/><Relationship Id="rId5" Type="http://schemas.openxmlformats.org/officeDocument/2006/relationships/image" Target="../media/image8.png"/><Relationship Id="rId10" Type="http://schemas.openxmlformats.org/officeDocument/2006/relationships/image" Target="../media/image76.png"/><Relationship Id="rId4" Type="http://schemas.openxmlformats.org/officeDocument/2006/relationships/image" Target="../media/image73.png"/><Relationship Id="rId9"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17" Type="http://schemas.openxmlformats.org/officeDocument/2006/relationships/hyperlink" Target="https://berecycled.org/how-to-recycle/steel/" TargetMode="External"/><Relationship Id="rId21" Type="http://schemas.openxmlformats.org/officeDocument/2006/relationships/image" Target="../media/image23.svg"/><Relationship Id="rId42" Type="http://schemas.openxmlformats.org/officeDocument/2006/relationships/hyperlink" Target="http://www.acoplasticos.org/boletines/2011/noticias_ambientales_2011_04julio/asipla_huella_de_carbono.pdf" TargetMode="External"/><Relationship Id="rId63" Type="http://schemas.openxmlformats.org/officeDocument/2006/relationships/hyperlink" Target="FUENTE%20BIBLIOGRAFICA/BIBLIOGRAFIA_RENDIMIENTO_COMBUSTIBLE_2020.pdf" TargetMode="External"/><Relationship Id="rId84" Type="http://schemas.openxmlformats.org/officeDocument/2006/relationships/hyperlink" Target="FUENTE%20BIBLIOGRAFICA/BIBLIOGRAFIA_CONVERSIONES_ECOCE.JPG" TargetMode="External"/><Relationship Id="rId138" Type="http://schemas.openxmlformats.org/officeDocument/2006/relationships/image" Target="../media/image88.png"/><Relationship Id="rId159" Type="http://schemas.openxmlformats.org/officeDocument/2006/relationships/hyperlink" Target="FUENTE%20BIBLIOGRAFICA/BIBLIOGRAFIA_PET_M3_ECOCE.JPG" TargetMode="External"/><Relationship Id="rId170" Type="http://schemas.openxmlformats.org/officeDocument/2006/relationships/hyperlink" Target="2.%20RESPALDO%20BIBLIOGRAFICO/BIBLIOGRAFIA_CO2_GASOLINA.pdf" TargetMode="External"/><Relationship Id="rId191" Type="http://schemas.openxmlformats.org/officeDocument/2006/relationships/hyperlink" Target="FUENTE%20BIBLIOGRAFICA/AGUA_ALU_EXPANSION.png" TargetMode="External"/><Relationship Id="rId107" Type="http://schemas.openxmlformats.org/officeDocument/2006/relationships/hyperlink" Target="https://www.interempresas.net/Envase/Articulos/107941-La-Industria-de-fabricacion-de-envases-de-vidrio-publica-su-primer-informe-sectorial.html" TargetMode="External"/><Relationship Id="rId11" Type="http://schemas.openxmlformats.org/officeDocument/2006/relationships/hyperlink" Target="http://cadenaser.com/ser/2014/01/20/sociedad/1390187610_850215.html" TargetMode="External"/><Relationship Id="rId32" Type="http://schemas.openxmlformats.org/officeDocument/2006/relationships/image" Target="../media/image83.png"/><Relationship Id="rId53" Type="http://schemas.openxmlformats.org/officeDocument/2006/relationships/hyperlink" Target="FUENTE%20BIBLIOGRAFICA/BIBLIOGRAFIA_FOCOSENMEXICO_ENCEVI_INEGI.JPG" TargetMode="External"/><Relationship Id="rId74" Type="http://schemas.microsoft.com/office/2007/relationships/hdphoto" Target="../media/hdphoto13.wdp"/><Relationship Id="rId128" Type="http://schemas.openxmlformats.org/officeDocument/2006/relationships/hyperlink" Target="https://www.redalyc.org/pdf/1694/169443282008.pdf" TargetMode="External"/><Relationship Id="rId149" Type="http://schemas.openxmlformats.org/officeDocument/2006/relationships/hyperlink" Target="FUENTE%20BIBLIOGRAFICA/BIBLIOGRAFIA_CELULARES%20EN%20MEXICO_FORBES.JPG" TargetMode="External"/><Relationship Id="rId5" Type="http://schemas.openxmlformats.org/officeDocument/2006/relationships/image" Target="../media/image13.png"/><Relationship Id="rId95" Type="http://schemas.openxmlformats.org/officeDocument/2006/relationships/hyperlink" Target="FUENTE%20BIBLIOGRAFICA/BIBLIOGRAFIA_ENERGIA_VIDRIO_OI.JPG" TargetMode="External"/><Relationship Id="rId160" Type="http://schemas.openxmlformats.org/officeDocument/2006/relationships/hyperlink" Target="FUENTE%20BIBLIOGRAFICA/BIBLIOGRAFIA_PET_M3_INDORAMA.pdf" TargetMode="External"/><Relationship Id="rId181" Type="http://schemas.openxmlformats.org/officeDocument/2006/relationships/hyperlink" Target="https://www.ecovidrio.com/reciclaje/medioambiente" TargetMode="External"/><Relationship Id="rId22" Type="http://schemas.openxmlformats.org/officeDocument/2006/relationships/image" Target="../media/image24.png"/><Relationship Id="rId43" Type="http://schemas.openxmlformats.org/officeDocument/2006/relationships/hyperlink" Target="https://heraldodemexico.com.mx/estados/toneladas-de-basura-que-ingresan-de-la-cdmx-al-edomex-son-bienvenidas-jorge-rescala/" TargetMode="External"/><Relationship Id="rId64" Type="http://schemas.openxmlformats.org/officeDocument/2006/relationships/hyperlink" Target="https://www.gob.mx/cms/uploads/attachment/file/87979/guiaaumovilef.pdf" TargetMode="External"/><Relationship Id="rId118" Type="http://schemas.openxmlformats.org/officeDocument/2006/relationships/hyperlink" Target="FUENTE%20BIBLIOGRAFICA/Acero_1ton.JPG" TargetMode="External"/><Relationship Id="rId139" Type="http://schemas.microsoft.com/office/2007/relationships/hdphoto" Target="../media/hdphoto27.wdp"/><Relationship Id="rId85" Type="http://schemas.openxmlformats.org/officeDocument/2006/relationships/hyperlink" Target="FUENTE%20BIBLIOGRAFICA/Bibliografia_Carro_Aveo.pdf" TargetMode="External"/><Relationship Id="rId150" Type="http://schemas.openxmlformats.org/officeDocument/2006/relationships/hyperlink" Target="FUENTE%20BIBLIOGRAFICA/BIBLIOGRAFIA_MAS%20VENDIDO_SAMSUNG.JPG" TargetMode="External"/><Relationship Id="rId171" Type="http://schemas.openxmlformats.org/officeDocument/2006/relationships/hyperlink" Target="2.%20RESPALDO%20BIBLIOGRAFICO/BIBLIOGRAFIA_PEBD_ACV_FRANKLIN.pdf" TargetMode="External"/><Relationship Id="rId192" Type="http://schemas.openxmlformats.org/officeDocument/2006/relationships/image" Target="../media/image92.png"/><Relationship Id="rId12" Type="http://schemas.openxmlformats.org/officeDocument/2006/relationships/hyperlink" Target="http://www.fao.org/resources/infographics/infographics-details/es/c/218880/" TargetMode="External"/><Relationship Id="rId33" Type="http://schemas.openxmlformats.org/officeDocument/2006/relationships/image" Target="../media/image84.png"/><Relationship Id="rId108" Type="http://schemas.openxmlformats.org/officeDocument/2006/relationships/hyperlink" Target="FUENTE%20BIBLIOGRAFICA/BIBLIOGRAFIA_PET_MJ_PETSTAR.JPG" TargetMode="External"/><Relationship Id="rId129" Type="http://schemas.openxmlformats.org/officeDocument/2006/relationships/hyperlink" Target="FUENTE%20BIBLIOGRAFICA/BIBLIOGRAFIA_ALUMINIO_REDLY_RECICLAJE%20COLOMBIA.JPG" TargetMode="External"/><Relationship Id="rId54" Type="http://schemas.openxmlformats.org/officeDocument/2006/relationships/hyperlink" Target="https://www.cemi.it/es/proyecto-realizacion/construccion-piscinas-deportivas/piscinas-natacion#:~:text=Seg%C3%BAn%20lo%20establecido%20por%20la,disciplinas%20como%20la%20nataci%C3%B3n%20sincronizada." TargetMode="External"/><Relationship Id="rId75" Type="http://schemas.openxmlformats.org/officeDocument/2006/relationships/hyperlink" Target="FUENTE%20BIBLIOGRAFICA/BIBLIOGRAFIA_ASIPLA.JPG" TargetMode="External"/><Relationship Id="rId96" Type="http://schemas.openxmlformats.org/officeDocument/2006/relationships/hyperlink" Target="https://www.o-i.com/our-story/glass-benefits/" TargetMode="External"/><Relationship Id="rId140" Type="http://schemas.openxmlformats.org/officeDocument/2006/relationships/hyperlink" Target="https://www.inegi.org.mx/contenidos/programas/encevi/2018/doc/encevi2018_presentacion_resultados.pdf" TargetMode="External"/><Relationship Id="rId161" Type="http://schemas.openxmlformats.org/officeDocument/2006/relationships/hyperlink" Target="FUENTE%20BIBLIOGRAFICA/BIBLIOGRAFIA_PETROLEO_GASOLINA_PEMEX.jpg" TargetMode="External"/><Relationship Id="rId182" Type="http://schemas.openxmlformats.org/officeDocument/2006/relationships/hyperlink" Target="FUENTE%20BIBLIOGRAFICA/BIBLIOGRAFIA_VIDRIO_ENERGIA.jpg" TargetMode="External"/><Relationship Id="rId6" Type="http://schemas.openxmlformats.org/officeDocument/2006/relationships/image" Target="../media/image14.svg"/><Relationship Id="rId23" Type="http://schemas.openxmlformats.org/officeDocument/2006/relationships/image" Target="../media/image25.svg"/><Relationship Id="rId119" Type="http://schemas.openxmlformats.org/officeDocument/2006/relationships/hyperlink" Target="https://www.recyclecartons.com/learn/" TargetMode="External"/><Relationship Id="rId44" Type="http://schemas.openxmlformats.org/officeDocument/2006/relationships/hyperlink" Target="https://www.criteriohidalgo.com/noticias/basura-cuesta-a-pachuquenos-3-6-mdp-al-mes" TargetMode="External"/><Relationship Id="rId65" Type="http://schemas.openxmlformats.org/officeDocument/2006/relationships/hyperlink" Target="FUENTE%20BIBLIOGRAFICA/BIBLIOGRAFIA_CENEER_GASOLINA.pdf" TargetMode="External"/><Relationship Id="rId86" Type="http://schemas.openxmlformats.org/officeDocument/2006/relationships/hyperlink" Target="FUENTE%20BIBLIOGRAFICA/BIBLIOGRAFIA_PIPA_20.JPG" TargetMode="External"/><Relationship Id="rId130" Type="http://schemas.openxmlformats.org/officeDocument/2006/relationships/hyperlink" Target="FUENTE%20BIBLIOGRAFICA/BIBLIOGRAFIA_ALUMINIO_REDLY_RECICLAJE%20COLOMBIA_BAUXITA.JPG" TargetMode="External"/><Relationship Id="rId151" Type="http://schemas.openxmlformats.org/officeDocument/2006/relationships/hyperlink" Target="FUENTE%20BIBLIOGRAFICA/BIBLIOGRAFIA_PET_H20_ECOCE.png" TargetMode="External"/><Relationship Id="rId172" Type="http://schemas.openxmlformats.org/officeDocument/2006/relationships/hyperlink" Target="2.%20RESPALDO%20BIBLIOGRAFICO/BIBLIOGRAFIA_PET_ACV_FRANKLIN.pdf" TargetMode="External"/><Relationship Id="rId193" Type="http://schemas.openxmlformats.org/officeDocument/2006/relationships/hyperlink" Target="https://expansion.mx/manufactura/2010/09/24/latas-recicladas-ahorran-agua-y-energia#:~:text=Reutilizar%20una%20tonelada%20de%20aluminio,evitar%20hormigas%20y%20mal%20olor." TargetMode="External"/><Relationship Id="rId13" Type="http://schemas.openxmlformats.org/officeDocument/2006/relationships/hyperlink" Target="https://issuu.com/profeco/docs/revista_del_consumidor_mayo_2018" TargetMode="External"/><Relationship Id="rId109" Type="http://schemas.openxmlformats.org/officeDocument/2006/relationships/hyperlink" Target="FUENTE%20BIBLIOGRAFICA/BIBLIOGRAFIA_MJ_APR_PETSTAR.JPG" TargetMode="External"/><Relationship Id="rId34" Type="http://schemas.openxmlformats.org/officeDocument/2006/relationships/image" Target="../media/image34.png"/><Relationship Id="rId50" Type="http://schemas.openxmlformats.org/officeDocument/2006/relationships/hyperlink" Target="https://www.ecoembes.com/sites/default/files/informe-esci-completo-latas-botellas-champu-y-suavizante.pdf" TargetMode="External"/><Relationship Id="rId55" Type="http://schemas.openxmlformats.org/officeDocument/2006/relationships/hyperlink" Target="https://www.forbes.com.mx/estas-son-las-cinco-marcas-de-smartphones-que-mas-compran-los-mexicanos/" TargetMode="External"/><Relationship Id="rId76" Type="http://schemas.openxmlformats.org/officeDocument/2006/relationships/hyperlink" Target="FUENTE%20BIBLIOGRAFICA/BIBLIOGRAFIA_PET_ECOCE.JPG" TargetMode="External"/><Relationship Id="rId97" Type="http://schemas.openxmlformats.org/officeDocument/2006/relationships/hyperlink" Target="FUENTE%20BIBLIOGRAFICA/BIBLIOGRAFIA_ENERGIA_VIDRIO_R.JPG" TargetMode="External"/><Relationship Id="rId104" Type="http://schemas.openxmlformats.org/officeDocument/2006/relationships/image" Target="../media/image86.png"/><Relationship Id="rId120" Type="http://schemas.openxmlformats.org/officeDocument/2006/relationships/hyperlink" Target="https://www.gpi.org/why-recycle-glass" TargetMode="External"/><Relationship Id="rId125" Type="http://schemas.openxmlformats.org/officeDocument/2006/relationships/hyperlink" Target="FUENTE%20BIBLIOGRAFICA/BIBLIOGRAFIA_ALUMINIO_KCOE.JPG" TargetMode="External"/><Relationship Id="rId141" Type="http://schemas.openxmlformats.org/officeDocument/2006/relationships/image" Target="../media/image89.png"/><Relationship Id="rId146" Type="http://schemas.openxmlformats.org/officeDocument/2006/relationships/hyperlink" Target="FUENTE%20BIBLIOGRAFICA/BIBLIOGRAFIA_REFRI_PROFECO.JPG" TargetMode="External"/><Relationship Id="rId167" Type="http://schemas.openxmlformats.org/officeDocument/2006/relationships/hyperlink" Target="FUENTE%20BIBLIOGRAFICA/BIBLIOGRAFIA_PEAD_MJ_UNESCO.JPG" TargetMode="External"/><Relationship Id="rId188" Type="http://schemas.openxmlformats.org/officeDocument/2006/relationships/image" Target="../media/image91.png"/><Relationship Id="rId7" Type="http://schemas.openxmlformats.org/officeDocument/2006/relationships/hyperlink" Target="https://docplayer.es/72035401-Catedra-unesco-de-ciclo-de-vida-y-cambio-climatico.html" TargetMode="External"/><Relationship Id="rId71" Type="http://schemas.microsoft.com/office/2007/relationships/hdphoto" Target="../media/hdphoto25.wdp"/><Relationship Id="rId92" Type="http://schemas.openxmlformats.org/officeDocument/2006/relationships/hyperlink" Target="FUENTE%20BIBLIOGRAFICA/BIBLIOGRAFIA_HOJALATA_ECOEMBES.JPG" TargetMode="External"/><Relationship Id="rId162" Type="http://schemas.openxmlformats.org/officeDocument/2006/relationships/hyperlink" Target="FUENTE%20BIBLIOGRAFICA/BIBLIOGRAFIA_PIPA_PEMEX.JPG" TargetMode="External"/><Relationship Id="rId183" Type="http://schemas.openxmlformats.org/officeDocument/2006/relationships/hyperlink" Target="FUENTE%20BIBLIOGRAFICA/BIBLIOGRAFIA_VIDRIO_CO2_ECOVIDRIO.jpg" TargetMode="External"/><Relationship Id="rId2" Type="http://schemas.openxmlformats.org/officeDocument/2006/relationships/image" Target="../media/image79.svg"/><Relationship Id="rId29" Type="http://schemas.microsoft.com/office/2007/relationships/hdphoto" Target="../media/hdphoto7.wdp"/><Relationship Id="rId24" Type="http://schemas.openxmlformats.org/officeDocument/2006/relationships/image" Target="../media/image26.png"/><Relationship Id="rId40" Type="http://schemas.openxmlformats.org/officeDocument/2006/relationships/image" Target="../media/image39.png"/><Relationship Id="rId45" Type="http://schemas.openxmlformats.org/officeDocument/2006/relationships/hyperlink" Target="https://contraparte.mx/index.php/ciudad/6759-puebla-tiene-servicio-eficiente-de-recolecci%C3%B3n-y-tratamiento-de-basura-jes%C3%BAs-mendieta.html" TargetMode="External"/><Relationship Id="rId66" Type="http://schemas.openxmlformats.org/officeDocument/2006/relationships/hyperlink" Target="https://dof.gob.mx/nota_detalle.php?codigo=5278684&amp;fecha=22/11/2012#:~:text=Art%C3%ADculo%201.,integridad%20f%C3%ADsica%20de%20sus%20usuarios." TargetMode="External"/><Relationship Id="rId87" Type="http://schemas.openxmlformats.org/officeDocument/2006/relationships/hyperlink" Target="FUENTE%20BIBLIOGRAFICA/Bibliografia_Carro_BEAT.pdf" TargetMode="External"/><Relationship Id="rId110" Type="http://schemas.openxmlformats.org/officeDocument/2006/relationships/hyperlink" Target="FUENTE%20BIBLIOGRAFICA/BIBLIOGRAFIA_AGUA_APR.JPG" TargetMode="External"/><Relationship Id="rId115" Type="http://schemas.openxmlformats.org/officeDocument/2006/relationships/hyperlink" Target="FUENTE%20BIBLIOGRAFICA/BIBLIOGRAFIA_ACERO_MPE.JPG" TargetMode="External"/><Relationship Id="rId131" Type="http://schemas.openxmlformats.org/officeDocument/2006/relationships/hyperlink" Target="https://www.aluminiumleader.com/production/how_aluminium_is_produced/" TargetMode="External"/><Relationship Id="rId136" Type="http://schemas.openxmlformats.org/officeDocument/2006/relationships/image" Target="../media/image87.png"/><Relationship Id="rId157" Type="http://schemas.openxmlformats.org/officeDocument/2006/relationships/hyperlink" Target="FUENTE%20BIBLIOGRAFICA/BIBLIOGRAFIA_WC_HD.JPG" TargetMode="External"/><Relationship Id="rId178" Type="http://schemas.openxmlformats.org/officeDocument/2006/relationships/hyperlink" Target="FUENTE%20BIBLIOGRAFICA/BIBLIOGRAFIA_CARTON_REVISTA.JPG" TargetMode="External"/><Relationship Id="rId61" Type="http://schemas.openxmlformats.org/officeDocument/2006/relationships/hyperlink" Target="FUENTE%20BIBLIOGRAFICA/BIBLIOGRAFIA_AUTOS_VENDIDOS%20_2019_INEGI.xlsx" TargetMode="External"/><Relationship Id="rId82" Type="http://schemas.openxmlformats.org/officeDocument/2006/relationships/hyperlink" Target="https://www.steelforpackaging.org/steel-for-packaging-recycling-and-resource-saving/steel-for-packaging-saving-resources/" TargetMode="External"/><Relationship Id="rId152" Type="http://schemas.openxmlformats.org/officeDocument/2006/relationships/hyperlink" Target="FUENTE%20BIBLIOGRAFICA/BIBLIOGRAFIA_PET_PEAD_PP_AGUA_APR.JPG" TargetMode="External"/><Relationship Id="rId173" Type="http://schemas.openxmlformats.org/officeDocument/2006/relationships/hyperlink" Target="../../../RESPALDO%20BIBLIOGR&#193;FICO/ANALISIS%20DE%20CICLO%20DE%20VIDA/ACV_ALUMINIO_2016.pdf" TargetMode="External"/><Relationship Id="rId194" Type="http://schemas.openxmlformats.org/officeDocument/2006/relationships/image" Target="../media/image93.png"/><Relationship Id="rId19" Type="http://schemas.openxmlformats.org/officeDocument/2006/relationships/image" Target="../media/image21.svg"/><Relationship Id="rId14" Type="http://schemas.openxmlformats.org/officeDocument/2006/relationships/hyperlink" Target="http://www.imss.gob.mx/prensa/archivo/201305/063" TargetMode="External"/><Relationship Id="rId30" Type="http://schemas.openxmlformats.org/officeDocument/2006/relationships/image" Target="../media/image82.png"/><Relationship Id="rId35" Type="http://schemas.openxmlformats.org/officeDocument/2006/relationships/image" Target="../media/image35.svg"/><Relationship Id="rId56" Type="http://schemas.openxmlformats.org/officeDocument/2006/relationships/hyperlink" Target="https://www.elobservador.com.uy/nota/-cuales-fueron-los-cinco-smartphones-mas-vendidos-de-latinoamerica-en-2019--20203214122" TargetMode="External"/><Relationship Id="rId77" Type="http://schemas.openxmlformats.org/officeDocument/2006/relationships/hyperlink" Target="FUENTE%20BIBLIOGRAFICA/BIBLIOGRAFIA_RECICLAME_ENV%20PLASTICOS.JPG" TargetMode="External"/><Relationship Id="rId100" Type="http://schemas.openxmlformats.org/officeDocument/2006/relationships/hyperlink" Target="http://www.conama11.vsf.es/conama10/download/files/conama2016/CT%202016/1998973493.pdf" TargetMode="External"/><Relationship Id="rId105" Type="http://schemas.microsoft.com/office/2007/relationships/hdphoto" Target="../media/hdphoto26.wdp"/><Relationship Id="rId126" Type="http://schemas.openxmlformats.org/officeDocument/2006/relationships/hyperlink" Target="https://www.aluminum.org/sites/default/files/2022-01/2022_Semi-Fab_LCA_Report.pdf" TargetMode="External"/><Relationship Id="rId147" Type="http://schemas.openxmlformats.org/officeDocument/2006/relationships/hyperlink" Target="FUENTE%20BIBLIOGRAFICA/BIBLIOGRAFIA_KWH_CEL_FORBES.JPG" TargetMode="External"/><Relationship Id="rId168" Type="http://schemas.openxmlformats.org/officeDocument/2006/relationships/hyperlink" Target="FUENTE%20BIBLIOGRAFICA/BIBLIOGRAFIA_OTROS_ECOCE.JPG" TargetMode="External"/><Relationship Id="rId8" Type="http://schemas.openxmlformats.org/officeDocument/2006/relationships/image" Target="../media/image55.png"/><Relationship Id="rId51" Type="http://schemas.openxmlformats.org/officeDocument/2006/relationships/image" Target="../media/image15.png"/><Relationship Id="rId72" Type="http://schemas.openxmlformats.org/officeDocument/2006/relationships/image" Target="../media/image45.png"/><Relationship Id="rId93" Type="http://schemas.openxmlformats.org/officeDocument/2006/relationships/hyperlink" Target="FUENTE%20BIBLIOGRAFICA/BIBLIOGRAFIAS_Iron_recycling.pdf" TargetMode="External"/><Relationship Id="rId98" Type="http://schemas.openxmlformats.org/officeDocument/2006/relationships/hyperlink" Target="FUENTE%20BIBLIOGRAFICA/BIBLIOGRAFIA_RN_VIDRIO_IO.JPG" TargetMode="External"/><Relationship Id="rId121" Type="http://schemas.openxmlformats.org/officeDocument/2006/relationships/hyperlink" Target="FUENTE%20BIBLIOGRAFICA/GLASS%20PACKAGING.JPG" TargetMode="External"/><Relationship Id="rId142" Type="http://schemas.openxmlformats.org/officeDocument/2006/relationships/hyperlink" Target="FUENTE%20BIBLIOGRAFICA/BIBLIOGRAFIA_FOCOSENMEXICO_ENCEVI_EXCINEGI.JPG" TargetMode="External"/><Relationship Id="rId163" Type="http://schemas.openxmlformats.org/officeDocument/2006/relationships/hyperlink" Target="FUENTE%20BIBLIOGRAFICA/Bibliografia_Tanque_Aveo.pdf" TargetMode="External"/><Relationship Id="rId184" Type="http://schemas.openxmlformats.org/officeDocument/2006/relationships/hyperlink" Target="2.%20RESPALDO%20BIBLIOGRAFICO/PAPEL_CEPAL_VARIOS.jpg" TargetMode="External"/><Relationship Id="rId189" Type="http://schemas.openxmlformats.org/officeDocument/2006/relationships/hyperlink" Target="FUENTE%20BIBLIOGRAFICA/ARBOLES_CHAPULTEPEC.png" TargetMode="External"/><Relationship Id="rId3" Type="http://schemas.openxmlformats.org/officeDocument/2006/relationships/image" Target="../media/image11.png"/><Relationship Id="rId25" Type="http://schemas.openxmlformats.org/officeDocument/2006/relationships/image" Target="../media/image40.png"/><Relationship Id="rId46" Type="http://schemas.openxmlformats.org/officeDocument/2006/relationships/hyperlink" Target="https://app.cfe.mx/Aplicaciones/CCFE/Tarifas/TarifasCRECasa/Tarifas/TarifaDAC.aspx" TargetMode="External"/><Relationship Id="rId67" Type="http://schemas.openxmlformats.org/officeDocument/2006/relationships/hyperlink" Target="https://www.inegi.org.mx/contenidos/saladeprensa/boletines/2020/OtrTemEcon/ENDUTIH_2019.pdf" TargetMode="External"/><Relationship Id="rId116" Type="http://schemas.openxmlformats.org/officeDocument/2006/relationships/hyperlink" Target="https://sustainability.indoramaventures.com/storage/content/environmental/recycling/education/pet-recycle-brochure/2018-PET-Recycle-Brochure-02-en-01.pdf" TargetMode="External"/><Relationship Id="rId137" Type="http://schemas.openxmlformats.org/officeDocument/2006/relationships/hyperlink" Target="FUENTE%20BIBLIOGRAFICA/BIBLIOGRAFIA_LED_STEREN.JPG" TargetMode="External"/><Relationship Id="rId158" Type="http://schemas.openxmlformats.org/officeDocument/2006/relationships/hyperlink" Target="FUENTE%20BIBLIOGRAFICA/BIBLIOGRAFIA_WCECOLOGICO_ART.JPG" TargetMode="External"/><Relationship Id="rId20" Type="http://schemas.openxmlformats.org/officeDocument/2006/relationships/image" Target="../media/image22.png"/><Relationship Id="rId41" Type="http://schemas.openxmlformats.org/officeDocument/2006/relationships/hyperlink" Target="https://heraldodemexico.com.mx/mer-k-2/pemex-autoriza-pipas-de-doble-remolque-para-abasto-de-gasolinas/" TargetMode="External"/><Relationship Id="rId62" Type="http://schemas.openxmlformats.org/officeDocument/2006/relationships/hyperlink" Target="https://www.conuee.gob.mx/transparencia/boletines/transporte/Rendimiento_vehicular/Catalogo_de_Rendimientos_2020_v20.03_2.pdf" TargetMode="External"/><Relationship Id="rId83" Type="http://schemas.openxmlformats.org/officeDocument/2006/relationships/hyperlink" Target="FUENTE%20BIBLIOGRAFICA/BIBLIOGRAFIA_AGUA_PET.png" TargetMode="External"/><Relationship Id="rId88" Type="http://schemas.openxmlformats.org/officeDocument/2006/relationships/hyperlink" Target="FUENTE%20BIBLIOGRAFICA/BIBLIOGRAFIA_CO2_ALUMINIO.png" TargetMode="External"/><Relationship Id="rId111" Type="http://schemas.openxmlformats.org/officeDocument/2006/relationships/hyperlink" Target="http://www.plastico.com/temas/Reciclaje-de-Tetra-Pak-abre-opciones-de-negocio-en-plasticos+122269?pagina=2" TargetMode="External"/><Relationship Id="rId132" Type="http://schemas.openxmlformats.org/officeDocument/2006/relationships/hyperlink" Target="FUENTE%20BIBLIOGRAFICA/BIBLIOGRAFIA_ALUMINIO_KWH.JPG" TargetMode="External"/><Relationship Id="rId153" Type="http://schemas.openxmlformats.org/officeDocument/2006/relationships/hyperlink" Target="FUENTE%20BIBLIOGRAFICA/BIBLIOGRAFIA_DUCHA_OMS.JPG" TargetMode="External"/><Relationship Id="rId174" Type="http://schemas.openxmlformats.org/officeDocument/2006/relationships/hyperlink" Target="FUENTE%20BIBLIOGRAFICA/BIBLIOGRAFIA_CARTONMULTI_KWH_RECYCLECARTONS.JPG" TargetMode="External"/><Relationship Id="rId179" Type="http://schemas.openxmlformats.org/officeDocument/2006/relationships/hyperlink" Target="FUENTE%20BIBLIOGRAFICA/BIBLIOGRAFIA_CARTON_CAMARA%20DE%20PAPEL.JPG" TargetMode="External"/><Relationship Id="rId195" Type="http://schemas.openxmlformats.org/officeDocument/2006/relationships/hyperlink" Target="https://es.statista.com/grafico/27298/media-de-emisiones-de-co2-de-los-automoviles-a-nivel-mundial/" TargetMode="External"/><Relationship Id="rId190" Type="http://schemas.openxmlformats.org/officeDocument/2006/relationships/hyperlink" Target="http://data.sedema.cdmx.gob.mx/bosquedechapultepec/index.php?option=com_content&amp;view=article&amp;id=56&amp;Itemid=89#:~:text=Es%20un%20espacio%20abierto%20que,el%20trueno%20y%20el%20cedro." TargetMode="External"/><Relationship Id="rId15" Type="http://schemas.openxmlformats.org/officeDocument/2006/relationships/image" Target="../media/image80.png"/><Relationship Id="rId36" Type="http://schemas.openxmlformats.org/officeDocument/2006/relationships/image" Target="../media/image8.png"/><Relationship Id="rId57" Type="http://schemas.openxmlformats.org/officeDocument/2006/relationships/hyperlink" Target="https://www.facebook.com/Pemex/photos/a.366280850185662/1222718291208576/?type=1&amp;theater" TargetMode="External"/><Relationship Id="rId106" Type="http://schemas.openxmlformats.org/officeDocument/2006/relationships/hyperlink" Target="http://www.anfevi.com/el-envase-de-vidrio/reciclado/" TargetMode="External"/><Relationship Id="rId127" Type="http://schemas.openxmlformats.org/officeDocument/2006/relationships/hyperlink" Target="FUENTE%20BIBLIOGRAFICA/BIBLIOGRAFIA_KWH_ALU_COLOMBIA_REDALYC.JPG" TargetMode="External"/><Relationship Id="rId10" Type="http://schemas.openxmlformats.org/officeDocument/2006/relationships/hyperlink" Target="https://www.inegi.org.mx/contenidos/saladeprensa/boletines/2018/EstSociodemo/ENCEVI2018.pdf" TargetMode="External"/><Relationship Id="rId31" Type="http://schemas.microsoft.com/office/2007/relationships/hdphoto" Target="../media/hdphoto9.wdp"/><Relationship Id="rId52" Type="http://schemas.openxmlformats.org/officeDocument/2006/relationships/hyperlink" Target="FUENTE%20BIBLIOGRAFICA/BIBLIOGRAFIA_PET_MJ_ECOEMBES.JPG" TargetMode="External"/><Relationship Id="rId73" Type="http://schemas.openxmlformats.org/officeDocument/2006/relationships/image" Target="../media/image46.png"/><Relationship Id="rId78" Type="http://schemas.openxmlformats.org/officeDocument/2006/relationships/hyperlink" Target="http://www.reciclame.info/sabias-que/" TargetMode="External"/><Relationship Id="rId94" Type="http://schemas.openxmlformats.org/officeDocument/2006/relationships/hyperlink" Target="https://www.steelsustainability.org/-/media/recycling-resources/buy-recycled-recyclable-steel.ashx" TargetMode="External"/><Relationship Id="rId99" Type="http://schemas.openxmlformats.org/officeDocument/2006/relationships/hyperlink" Target="FUENTE%20BIBLIOGRAFICA/BIBLIOGRAFIA_VIDRIO_CO2.JPG" TargetMode="External"/><Relationship Id="rId101" Type="http://schemas.openxmlformats.org/officeDocument/2006/relationships/hyperlink" Target="FUENTE%20BIBLIOGRAFICA/BIBLIOGRAFIA_VIDRIO_CO2_CONAMA.JPG" TargetMode="External"/><Relationship Id="rId122" Type="http://schemas.openxmlformats.org/officeDocument/2006/relationships/hyperlink" Target="FUENTE%20BIBLIOGRAFICA/BIBLIOGRAFIA_KGCO2_VIDRIO_FEVE.JPG" TargetMode="External"/><Relationship Id="rId143" Type="http://schemas.openxmlformats.org/officeDocument/2006/relationships/hyperlink" Target="FUENTE%20BIBLIOGRAFICA/BIBLIOGRAFIA_REFRI_ENCEVI_INEGI.JPG" TargetMode="External"/><Relationship Id="rId148" Type="http://schemas.openxmlformats.org/officeDocument/2006/relationships/hyperlink" Target="FUENTE%20BIBLIOGRAFICA/BIBLIOGRAFIA_SMARTPHONE_INEGI.JPG" TargetMode="External"/><Relationship Id="rId164" Type="http://schemas.openxmlformats.org/officeDocument/2006/relationships/hyperlink" Target="FUENTE%20BIBLIOGRAFICA/BIBLIOGRAFIA_TANQUE_BEAT.pdf" TargetMode="External"/><Relationship Id="rId169" Type="http://schemas.openxmlformats.org/officeDocument/2006/relationships/hyperlink" Target="FUENTE%20BIBLIOGRAFICA/BIBLIOGRAFIA_CO2_GASOLINA_SENER.JPG" TargetMode="External"/><Relationship Id="rId185" Type="http://schemas.openxmlformats.org/officeDocument/2006/relationships/hyperlink" Target="chrome-extension://efaidnbmnnnibpcajpcglclefindmkaj/https:/repositorio.cepal.org/bitstream/handle/11362/47309/1/S2100423_es.pdf" TargetMode="External"/><Relationship Id="rId4" Type="http://schemas.openxmlformats.org/officeDocument/2006/relationships/image" Target="../media/image12.svg"/><Relationship Id="rId9" Type="http://schemas.openxmlformats.org/officeDocument/2006/relationships/image" Target="../media/image56.svg"/><Relationship Id="rId180" Type="http://schemas.openxmlformats.org/officeDocument/2006/relationships/hyperlink" Target="https://plattsinfo.spglobal.com/rs/325-KYL-599/images/ubcs-pet-and-sustainability-oh-my%20%281%29.pdf?mkt_tok=MzI1LUtZTC01OTkAAAGG9Nv5o4CRUVna5abVejLYam8Xqa0uXgVBKl81v8IIduvF4CwbLIVmdIfFDlbWpepxaNUuc9iybXSby4hCOYyhZDeO9fq4vY0VuTi1XrvuKSEb8xkc" TargetMode="External"/><Relationship Id="rId26" Type="http://schemas.openxmlformats.org/officeDocument/2006/relationships/image" Target="../media/image51.png"/><Relationship Id="rId47" Type="http://schemas.openxmlformats.org/officeDocument/2006/relationships/hyperlink" Target="https://www.cespt.gob.mx/ServTarifas/Tarifas.aspx" TargetMode="External"/><Relationship Id="rId68" Type="http://schemas.openxmlformats.org/officeDocument/2006/relationships/image" Target="../media/image32.png"/><Relationship Id="rId89" Type="http://schemas.openxmlformats.org/officeDocument/2006/relationships/hyperlink" Target="FUENTE%20BIBLIOGRAFICA/BIBLIOGRAFIA_EPA_VARIOS.JPG" TargetMode="External"/><Relationship Id="rId112" Type="http://schemas.openxmlformats.org/officeDocument/2006/relationships/hyperlink" Target="FUENTE%20BIBLIOGRAFICA/BIBLIOGRAFIA_ACERO_AHORROS.JPG" TargetMode="External"/><Relationship Id="rId133" Type="http://schemas.openxmlformats.org/officeDocument/2006/relationships/hyperlink" Target="2.%20RESPALDO%20BIBLIOGRAFICO/BIBLIOGRAFIA_ACV_PET_PEAD_ALU_MJ_ECOEMBES.pdf" TargetMode="External"/><Relationship Id="rId154" Type="http://schemas.openxmlformats.org/officeDocument/2006/relationships/hyperlink" Target="FUENTE%20BIBLIOGRAFICA/BIBLIOGRAFIA_AGUA_IMSS.JPG" TargetMode="External"/><Relationship Id="rId175" Type="http://schemas.openxmlformats.org/officeDocument/2006/relationships/hyperlink" Target="FUENTE%20BIBLIOGRAFICA/BIBLIOGRAFIA_VARIOS_EPA.JPG" TargetMode="External"/><Relationship Id="rId16" Type="http://schemas.openxmlformats.org/officeDocument/2006/relationships/image" Target="../media/image81.png"/><Relationship Id="rId37" Type="http://schemas.openxmlformats.org/officeDocument/2006/relationships/image" Target="../media/image36.png"/><Relationship Id="rId58" Type="http://schemas.openxmlformats.org/officeDocument/2006/relationships/hyperlink" Target="https://www.amda.mx/wp-content/uploads/1906_Reporte_Mercado_Automotor.pdf" TargetMode="External"/><Relationship Id="rId79" Type="http://schemas.openxmlformats.org/officeDocument/2006/relationships/hyperlink" Target="FUENTE%20BIBLIOGRAFICA/BIBLIOGRAFIA_GASOLINA_PEMEX_1.jpg" TargetMode="External"/><Relationship Id="rId102" Type="http://schemas.openxmlformats.org/officeDocument/2006/relationships/hyperlink" Target="http://reciclajesavi.es/principales-beneficios-del-reciclaje-de-papel/" TargetMode="External"/><Relationship Id="rId123" Type="http://schemas.openxmlformats.org/officeDocument/2006/relationships/hyperlink" Target="https://feve.org/glass_recycling_stats_2019/" TargetMode="External"/><Relationship Id="rId144" Type="http://schemas.openxmlformats.org/officeDocument/2006/relationships/image" Target="../media/image90.png"/><Relationship Id="rId90" Type="http://schemas.openxmlformats.org/officeDocument/2006/relationships/hyperlink" Target="https://archive.epa.gov/epawaste/conserve/smm/wastewise/web/html/factoid.html" TargetMode="External"/><Relationship Id="rId165" Type="http://schemas.openxmlformats.org/officeDocument/2006/relationships/hyperlink" Target="FUENTE%20BIBLIOGRAFICA/BIBLIOGRAFIA_PET_CO2_ASIPLA.JPG" TargetMode="External"/><Relationship Id="rId186" Type="http://schemas.openxmlformats.org/officeDocument/2006/relationships/hyperlink" Target="FUENTE%20BIBLIOGRAFICA/ARBOL_FAO.png" TargetMode="External"/><Relationship Id="rId27" Type="http://schemas.openxmlformats.org/officeDocument/2006/relationships/image" Target="../media/image52.svg"/><Relationship Id="rId48" Type="http://schemas.openxmlformats.org/officeDocument/2006/relationships/hyperlink" Target="http://187.189.183.90/usoindustrial.php" TargetMode="External"/><Relationship Id="rId69" Type="http://schemas.microsoft.com/office/2007/relationships/hdphoto" Target="../media/hdphoto8.wdp"/><Relationship Id="rId113" Type="http://schemas.openxmlformats.org/officeDocument/2006/relationships/hyperlink" Target="https://aarc.org.in/" TargetMode="External"/><Relationship Id="rId134" Type="http://schemas.openxmlformats.org/officeDocument/2006/relationships/hyperlink" Target="2.%20RESPALDO%20BIBLIOGRAFICO/BIBLIOGRAFIA_ACV_PET_PEAD_PP_MJ_CO2_PETSTARPUBLICO.pdf" TargetMode="External"/><Relationship Id="rId80" Type="http://schemas.openxmlformats.org/officeDocument/2006/relationships/hyperlink" Target="FUENTE%20BIBLIOGRAFICA/BIBLIOGRAFIA_ALUMINIO_SEDESOL.JPG" TargetMode="External"/><Relationship Id="rId155" Type="http://schemas.openxmlformats.org/officeDocument/2006/relationships/hyperlink" Target="FUENTE%20BIBLIOGRAFICA/BIBLIOGRAFIA_ALIMENTOS_FAO.pdf" TargetMode="External"/><Relationship Id="rId176" Type="http://schemas.openxmlformats.org/officeDocument/2006/relationships/hyperlink" Target="FUENTE%20BIBLIOGRAFICA/BIBLIOGRAFIA_CARTON_LAMINADO_INDIA.JPG" TargetMode="External"/><Relationship Id="rId17" Type="http://schemas.microsoft.com/office/2007/relationships/hdphoto" Target="../media/hdphoto24.wdp"/><Relationship Id="rId38" Type="http://schemas.openxmlformats.org/officeDocument/2006/relationships/image" Target="../media/image37.png"/><Relationship Id="rId59" Type="http://schemas.openxmlformats.org/officeDocument/2006/relationships/hyperlink" Target="FUENTE%20BIBLIOGRAFICA/BIBLIOGRAFIAS_REPORTE_MERCADO_AUTOMOTOR_RLITRO.pdf" TargetMode="External"/><Relationship Id="rId103" Type="http://schemas.openxmlformats.org/officeDocument/2006/relationships/hyperlink" Target="http://camaradelpapel.mx/historia-del-papel/" TargetMode="External"/><Relationship Id="rId124" Type="http://schemas.openxmlformats.org/officeDocument/2006/relationships/hyperlink" Target="https://www.miteco.gob.es/es/ceneam/recursos/mini-portales-tematicos/cuanto_es_1t_co2_tcm30-70715.pdf" TargetMode="External"/><Relationship Id="rId70" Type="http://schemas.openxmlformats.org/officeDocument/2006/relationships/image" Target="../media/image85.png"/><Relationship Id="rId91" Type="http://schemas.openxmlformats.org/officeDocument/2006/relationships/hyperlink" Target="https://www.ecoembes.com/es/planeta-recicla/blog/el-acero-que-usamos-tiene-mas-de-150-anos" TargetMode="External"/><Relationship Id="rId145" Type="http://schemas.openxmlformats.org/officeDocument/2006/relationships/hyperlink" Target="2.%20RESPALDO%20BIBLIOGRAFICO/BIBLIOGRAFIA_ENCEVI_INEGI.pdf" TargetMode="External"/><Relationship Id="rId166" Type="http://schemas.openxmlformats.org/officeDocument/2006/relationships/hyperlink" Target="FUENTE%20BIBLIOGRAFICA/BIBLIOGRAFIA_CO2_APR.JPG" TargetMode="External"/><Relationship Id="rId187" Type="http://schemas.openxmlformats.org/officeDocument/2006/relationships/hyperlink" Target="https://www.fao.org/news/story/es/item/1172235/icode/" TargetMode="External"/><Relationship Id="rId1" Type="http://schemas.openxmlformats.org/officeDocument/2006/relationships/image" Target="../media/image78.png"/><Relationship Id="rId28" Type="http://schemas.openxmlformats.org/officeDocument/2006/relationships/image" Target="../media/image31.png"/><Relationship Id="rId49" Type="http://schemas.openxmlformats.org/officeDocument/2006/relationships/hyperlink" Target="https://www.forbes.com.mx/cuanto-pagas-cargar-celular/" TargetMode="External"/><Relationship Id="rId114" Type="http://schemas.openxmlformats.org/officeDocument/2006/relationships/hyperlink" Target="https://www.latasdebebidas.org/se-recicla-para-siempre" TargetMode="External"/><Relationship Id="rId60" Type="http://schemas.openxmlformats.org/officeDocument/2006/relationships/hyperlink" Target="https://www.inegi.org.mx/datosprimarios/iavl/" TargetMode="External"/><Relationship Id="rId81" Type="http://schemas.openxmlformats.org/officeDocument/2006/relationships/hyperlink" Target="FUENTE%20BIBLIOGRAFICA/BIBLIOGRAFIA_ACERO.JPG" TargetMode="External"/><Relationship Id="rId135" Type="http://schemas.openxmlformats.org/officeDocument/2006/relationships/hyperlink" Target="2.%20RESPALDO%20BIBLIOGRAFICO/BIBLIOGRAFIA_FOCOSENMEXICO_ENCEVI_INEGI.pdf" TargetMode="External"/><Relationship Id="rId156" Type="http://schemas.openxmlformats.org/officeDocument/2006/relationships/hyperlink" Target="FUENTE%20BIBLIOGRAFICA/BIBLIOGRAFIA_ALBERCA_CEMI.JPG" TargetMode="External"/><Relationship Id="rId177" Type="http://schemas.openxmlformats.org/officeDocument/2006/relationships/hyperlink" Target="FUENTE%20BIBLIOGRAFICA/BIBLIOGRAFIA_CARTONMULTI_AHORROS_TETRAPAK.JPG" TargetMode="External"/><Relationship Id="rId18" Type="http://schemas.openxmlformats.org/officeDocument/2006/relationships/image" Target="../media/image20.png"/><Relationship Id="rId39" Type="http://schemas.openxmlformats.org/officeDocument/2006/relationships/image" Target="../media/image38.svg"/></Relationships>
</file>

<file path=xl/drawings/_rels/drawing18.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image" Target="../media/image7.png"/><Relationship Id="rId7" Type="http://schemas.openxmlformats.org/officeDocument/2006/relationships/image" Target="../media/image69.png"/><Relationship Id="rId2" Type="http://schemas.openxmlformats.org/officeDocument/2006/relationships/image" Target="../media/image67.png"/><Relationship Id="rId1" Type="http://schemas.openxmlformats.org/officeDocument/2006/relationships/image" Target="../media/image72.png"/><Relationship Id="rId6" Type="http://schemas.openxmlformats.org/officeDocument/2006/relationships/image" Target="../media/image74.png"/><Relationship Id="rId11" Type="http://schemas.openxmlformats.org/officeDocument/2006/relationships/image" Target="../media/image77.png"/><Relationship Id="rId5" Type="http://schemas.openxmlformats.org/officeDocument/2006/relationships/image" Target="../media/image8.png"/><Relationship Id="rId10" Type="http://schemas.openxmlformats.org/officeDocument/2006/relationships/image" Target="../media/image76.png"/><Relationship Id="rId4" Type="http://schemas.openxmlformats.org/officeDocument/2006/relationships/image" Target="../media/image73.png"/><Relationship Id="rId9" Type="http://schemas.openxmlformats.org/officeDocument/2006/relationships/image" Target="../media/image5.png"/></Relationships>
</file>

<file path=xl/drawings/_rels/drawing19.xml.rels><?xml version="1.0" encoding="UTF-8" standalone="yes"?>
<Relationships xmlns="http://schemas.openxmlformats.org/package/2006/relationships"><Relationship Id="rId8" Type="http://schemas.openxmlformats.org/officeDocument/2006/relationships/image" Target="../media/image69.png"/><Relationship Id="rId3" Type="http://schemas.openxmlformats.org/officeDocument/2006/relationships/image" Target="../media/image67.png"/><Relationship Id="rId7" Type="http://schemas.openxmlformats.org/officeDocument/2006/relationships/image" Target="../media/image74.png"/><Relationship Id="rId2" Type="http://schemas.openxmlformats.org/officeDocument/2006/relationships/image" Target="../media/image72.png"/><Relationship Id="rId1" Type="http://schemas.openxmlformats.org/officeDocument/2006/relationships/image" Target="../media/image94.jpeg"/><Relationship Id="rId6" Type="http://schemas.openxmlformats.org/officeDocument/2006/relationships/image" Target="../media/image8.png"/><Relationship Id="rId11" Type="http://schemas.openxmlformats.org/officeDocument/2006/relationships/image" Target="../media/image76.png"/><Relationship Id="rId5" Type="http://schemas.openxmlformats.org/officeDocument/2006/relationships/image" Target="../media/image95.png"/><Relationship Id="rId10" Type="http://schemas.openxmlformats.org/officeDocument/2006/relationships/image" Target="../media/image5.png"/><Relationship Id="rId4" Type="http://schemas.openxmlformats.org/officeDocument/2006/relationships/image" Target="../media/image7.png"/><Relationship Id="rId9" Type="http://schemas.openxmlformats.org/officeDocument/2006/relationships/image" Target="../media/image75.png"/></Relationships>
</file>

<file path=xl/drawings/_rels/drawing20.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image" Target="../media/image7.png"/><Relationship Id="rId7" Type="http://schemas.openxmlformats.org/officeDocument/2006/relationships/image" Target="../media/image69.png"/><Relationship Id="rId2" Type="http://schemas.openxmlformats.org/officeDocument/2006/relationships/image" Target="../media/image67.png"/><Relationship Id="rId1" Type="http://schemas.openxmlformats.org/officeDocument/2006/relationships/image" Target="../media/image72.png"/><Relationship Id="rId6" Type="http://schemas.openxmlformats.org/officeDocument/2006/relationships/image" Target="../media/image74.png"/><Relationship Id="rId5" Type="http://schemas.openxmlformats.org/officeDocument/2006/relationships/image" Target="../media/image8.png"/><Relationship Id="rId10" Type="http://schemas.openxmlformats.org/officeDocument/2006/relationships/image" Target="../media/image76.png"/><Relationship Id="rId4" Type="http://schemas.openxmlformats.org/officeDocument/2006/relationships/image" Target="../media/image95.png"/><Relationship Id="rId9" Type="http://schemas.openxmlformats.org/officeDocument/2006/relationships/image" Target="../media/image5.png"/></Relationships>
</file>

<file path=xl/drawings/_rels/drawing21.xml.rels><?xml version="1.0" encoding="UTF-8" standalone="yes"?>
<Relationships xmlns="http://schemas.openxmlformats.org/package/2006/relationships"><Relationship Id="rId1" Type="http://schemas.openxmlformats.org/officeDocument/2006/relationships/image" Target="../media/image96.png"/></Relationships>
</file>

<file path=xl/drawings/_rels/drawing22.xml.rels><?xml version="1.0" encoding="UTF-8" standalone="yes"?>
<Relationships xmlns="http://schemas.openxmlformats.org/package/2006/relationships"><Relationship Id="rId8" Type="http://schemas.openxmlformats.org/officeDocument/2006/relationships/hyperlink" Target="https://www.gpi.org/why-recycle-glass" TargetMode="External"/><Relationship Id="rId3" Type="http://schemas.openxmlformats.org/officeDocument/2006/relationships/image" Target="../media/image12.svg"/><Relationship Id="rId7" Type="http://schemas.openxmlformats.org/officeDocument/2006/relationships/hyperlink" Target="FUENTE%20BIBLIOGRAFICA/bibliografia_vidrio_peso.JPG" TargetMode="External"/><Relationship Id="rId2" Type="http://schemas.openxmlformats.org/officeDocument/2006/relationships/image" Target="../media/image11.png"/><Relationship Id="rId1" Type="http://schemas.openxmlformats.org/officeDocument/2006/relationships/hyperlink" Target="../../../4.%20INFOGRAFIAS/ALUMINIO/COMPARATIVO%20PESO_LATAS%20ALUMINIO.JPG" TargetMode="External"/><Relationship Id="rId6" Type="http://schemas.openxmlformats.org/officeDocument/2006/relationships/image" Target="../media/image56.svg"/><Relationship Id="rId5" Type="http://schemas.openxmlformats.org/officeDocument/2006/relationships/image" Target="../media/image55.png"/><Relationship Id="rId4" Type="http://schemas.openxmlformats.org/officeDocument/2006/relationships/hyperlink" Target="https://www.aluminum.org/product-markets/aluminum-cans" TargetMode="External"/></Relationships>
</file>

<file path=xl/drawings/_rels/drawing23.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image" Target="../media/image7.png"/><Relationship Id="rId7" Type="http://schemas.openxmlformats.org/officeDocument/2006/relationships/image" Target="../media/image69.png"/><Relationship Id="rId2" Type="http://schemas.openxmlformats.org/officeDocument/2006/relationships/image" Target="../media/image67.png"/><Relationship Id="rId1" Type="http://schemas.openxmlformats.org/officeDocument/2006/relationships/image" Target="../media/image72.png"/><Relationship Id="rId6" Type="http://schemas.openxmlformats.org/officeDocument/2006/relationships/image" Target="../media/image74.png"/><Relationship Id="rId5" Type="http://schemas.openxmlformats.org/officeDocument/2006/relationships/image" Target="../media/image8.png"/><Relationship Id="rId10" Type="http://schemas.openxmlformats.org/officeDocument/2006/relationships/image" Target="../media/image76.png"/><Relationship Id="rId4" Type="http://schemas.openxmlformats.org/officeDocument/2006/relationships/image" Target="../media/image73.png"/><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0</xdr:row>
      <xdr:rowOff>111125</xdr:rowOff>
    </xdr:from>
    <xdr:to>
      <xdr:col>20</xdr:col>
      <xdr:colOff>142875</xdr:colOff>
      <xdr:row>41</xdr:row>
      <xdr:rowOff>111125</xdr:rowOff>
    </xdr:to>
    <xdr:pic>
      <xdr:nvPicPr>
        <xdr:cNvPr id="2" name="Imagen 1">
          <a:extLst>
            <a:ext uri="{FF2B5EF4-FFF2-40B4-BE49-F238E27FC236}">
              <a16:creationId xmlns:a16="http://schemas.microsoft.com/office/drawing/2014/main" id="{DAAFFEED-FA05-4BFF-A86C-28EE68093E9B}"/>
            </a:ext>
          </a:extLst>
        </xdr:cNvPr>
        <xdr:cNvPicPr>
          <a:picLocks noChangeAspect="1"/>
        </xdr:cNvPicPr>
      </xdr:nvPicPr>
      <xdr:blipFill rotWithShape="1">
        <a:blip xmlns:r="http://schemas.openxmlformats.org/officeDocument/2006/relationships" r:embed="rId1"/>
        <a:srcRect l="6354" r="9189"/>
        <a:stretch/>
      </xdr:blipFill>
      <xdr:spPr>
        <a:xfrm>
          <a:off x="190500" y="111125"/>
          <a:ext cx="15192375" cy="7810500"/>
        </a:xfrm>
        <a:prstGeom prst="rect">
          <a:avLst/>
        </a:prstGeom>
      </xdr:spPr>
    </xdr:pic>
    <xdr:clientData/>
  </xdr:twoCellAnchor>
  <xdr:twoCellAnchor>
    <xdr:from>
      <xdr:col>9</xdr:col>
      <xdr:colOff>596218</xdr:colOff>
      <xdr:row>9</xdr:row>
      <xdr:rowOff>111125</xdr:rowOff>
    </xdr:from>
    <xdr:to>
      <xdr:col>16</xdr:col>
      <xdr:colOff>396875</xdr:colOff>
      <xdr:row>26</xdr:row>
      <xdr:rowOff>63501</xdr:rowOff>
    </xdr:to>
    <xdr:sp macro="" textlink="">
      <xdr:nvSpPr>
        <xdr:cNvPr id="3" name="Rectángulo 2">
          <a:extLst>
            <a:ext uri="{FF2B5EF4-FFF2-40B4-BE49-F238E27FC236}">
              <a16:creationId xmlns:a16="http://schemas.microsoft.com/office/drawing/2014/main" id="{A2053A3D-BD8A-4BC9-8E9F-A35DD90FA857}"/>
            </a:ext>
          </a:extLst>
        </xdr:cNvPr>
        <xdr:cNvSpPr/>
      </xdr:nvSpPr>
      <xdr:spPr>
        <a:xfrm>
          <a:off x="7454218" y="1825625"/>
          <a:ext cx="5134657" cy="319087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10</xdr:col>
      <xdr:colOff>119969</xdr:colOff>
      <xdr:row>10</xdr:row>
      <xdr:rowOff>106362</xdr:rowOff>
    </xdr:from>
    <xdr:to>
      <xdr:col>16</xdr:col>
      <xdr:colOff>215870</xdr:colOff>
      <xdr:row>25</xdr:row>
      <xdr:rowOff>59129</xdr:rowOff>
    </xdr:to>
    <xdr:pic>
      <xdr:nvPicPr>
        <xdr:cNvPr id="8" name="Imagen 7">
          <a:extLst>
            <a:ext uri="{FF2B5EF4-FFF2-40B4-BE49-F238E27FC236}">
              <a16:creationId xmlns:a16="http://schemas.microsoft.com/office/drawing/2014/main" id="{768BE749-53D5-0C77-F313-6E3BF2045C11}"/>
            </a:ext>
          </a:extLst>
        </xdr:cNvPr>
        <xdr:cNvPicPr>
          <a:picLocks noChangeAspect="1"/>
        </xdr:cNvPicPr>
      </xdr:nvPicPr>
      <xdr:blipFill>
        <a:blip xmlns:r="http://schemas.openxmlformats.org/officeDocument/2006/relationships" r:embed="rId2"/>
        <a:stretch>
          <a:fillRect/>
        </a:stretch>
      </xdr:blipFill>
      <xdr:spPr>
        <a:xfrm>
          <a:off x="7739969" y="2011362"/>
          <a:ext cx="4667901" cy="2810267"/>
        </a:xfrm>
        <a:prstGeom prst="rect">
          <a:avLst/>
        </a:prstGeom>
      </xdr:spPr>
    </xdr:pic>
    <xdr:clientData/>
  </xdr:twoCellAnchor>
  <xdr:twoCellAnchor editAs="oneCell">
    <xdr:from>
      <xdr:col>3</xdr:col>
      <xdr:colOff>285750</xdr:colOff>
      <xdr:row>25</xdr:row>
      <xdr:rowOff>119914</xdr:rowOff>
    </xdr:from>
    <xdr:to>
      <xdr:col>16</xdr:col>
      <xdr:colOff>750619</xdr:colOff>
      <xdr:row>41</xdr:row>
      <xdr:rowOff>30539</xdr:rowOff>
    </xdr:to>
    <xdr:pic>
      <xdr:nvPicPr>
        <xdr:cNvPr id="9" name="Imagen 8">
          <a:extLst>
            <a:ext uri="{FF2B5EF4-FFF2-40B4-BE49-F238E27FC236}">
              <a16:creationId xmlns:a16="http://schemas.microsoft.com/office/drawing/2014/main" id="{D3E8C517-50F1-E41B-3F44-2CF32EA99276}"/>
            </a:ext>
          </a:extLst>
        </xdr:cNvPr>
        <xdr:cNvPicPr>
          <a:picLocks noChangeAspect="1"/>
        </xdr:cNvPicPr>
      </xdr:nvPicPr>
      <xdr:blipFill>
        <a:blip xmlns:r="http://schemas.openxmlformats.org/officeDocument/2006/relationships" r:embed="rId3"/>
        <a:stretch>
          <a:fillRect/>
        </a:stretch>
      </xdr:blipFill>
      <xdr:spPr>
        <a:xfrm>
          <a:off x="2571750" y="4882414"/>
          <a:ext cx="10370869" cy="2958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50005</xdr:rowOff>
    </xdr:from>
    <xdr:to>
      <xdr:col>0</xdr:col>
      <xdr:colOff>1098284</xdr:colOff>
      <xdr:row>4</xdr:row>
      <xdr:rowOff>217806</xdr:rowOff>
    </xdr:to>
    <xdr:pic>
      <xdr:nvPicPr>
        <xdr:cNvPr id="2" name="Imagen 1">
          <a:extLst>
            <a:ext uri="{FF2B5EF4-FFF2-40B4-BE49-F238E27FC236}">
              <a16:creationId xmlns:a16="http://schemas.microsoft.com/office/drawing/2014/main" id="{A79C422F-E8A7-4475-B323-59ABC8F4583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8472"/>
        <a:stretch/>
      </xdr:blipFill>
      <xdr:spPr>
        <a:xfrm>
          <a:off x="0" y="992980"/>
          <a:ext cx="1098284" cy="901226"/>
        </a:xfrm>
        <a:prstGeom prst="rect">
          <a:avLst/>
        </a:prstGeom>
      </xdr:spPr>
    </xdr:pic>
    <xdr:clientData/>
  </xdr:twoCellAnchor>
  <xdr:twoCellAnchor editAs="oneCell">
    <xdr:from>
      <xdr:col>31</xdr:col>
      <xdr:colOff>228600</xdr:colOff>
      <xdr:row>5</xdr:row>
      <xdr:rowOff>73802</xdr:rowOff>
    </xdr:from>
    <xdr:to>
      <xdr:col>31</xdr:col>
      <xdr:colOff>866775</xdr:colOff>
      <xdr:row>7</xdr:row>
      <xdr:rowOff>3011</xdr:rowOff>
    </xdr:to>
    <xdr:pic>
      <xdr:nvPicPr>
        <xdr:cNvPr id="3" name="Imagen 2">
          <a:extLst>
            <a:ext uri="{FF2B5EF4-FFF2-40B4-BE49-F238E27FC236}">
              <a16:creationId xmlns:a16="http://schemas.microsoft.com/office/drawing/2014/main" id="{7C043563-4E5C-4458-8121-9D2CBADDFCAD}"/>
            </a:ext>
          </a:extLst>
        </xdr:cNvPr>
        <xdr:cNvPicPr>
          <a:picLocks noChangeAspect="1"/>
        </xdr:cNvPicPr>
      </xdr:nvPicPr>
      <xdr:blipFill>
        <a:blip xmlns:r="http://schemas.openxmlformats.org/officeDocument/2006/relationships" r:embed="rId2"/>
        <a:stretch>
          <a:fillRect/>
        </a:stretch>
      </xdr:blipFill>
      <xdr:spPr>
        <a:xfrm>
          <a:off x="28651200" y="2035952"/>
          <a:ext cx="638175" cy="641467"/>
        </a:xfrm>
        <a:prstGeom prst="rect">
          <a:avLst/>
        </a:prstGeom>
      </xdr:spPr>
    </xdr:pic>
    <xdr:clientData/>
  </xdr:twoCellAnchor>
  <xdr:twoCellAnchor editAs="oneCell">
    <xdr:from>
      <xdr:col>13</xdr:col>
      <xdr:colOff>323851</xdr:colOff>
      <xdr:row>6</xdr:row>
      <xdr:rowOff>30999</xdr:rowOff>
    </xdr:from>
    <xdr:to>
      <xdr:col>13</xdr:col>
      <xdr:colOff>804003</xdr:colOff>
      <xdr:row>6</xdr:row>
      <xdr:rowOff>495300</xdr:rowOff>
    </xdr:to>
    <xdr:pic>
      <xdr:nvPicPr>
        <xdr:cNvPr id="5" name="Imagen 4">
          <a:extLst>
            <a:ext uri="{FF2B5EF4-FFF2-40B4-BE49-F238E27FC236}">
              <a16:creationId xmlns:a16="http://schemas.microsoft.com/office/drawing/2014/main" id="{7BD73A4C-41DE-4274-9CB6-48C559F5363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30201" y="2040774"/>
          <a:ext cx="480152" cy="464301"/>
        </a:xfrm>
        <a:prstGeom prst="rect">
          <a:avLst/>
        </a:prstGeom>
      </xdr:spPr>
    </xdr:pic>
    <xdr:clientData/>
  </xdr:twoCellAnchor>
  <xdr:twoCellAnchor editAs="oneCell">
    <xdr:from>
      <xdr:col>46</xdr:col>
      <xdr:colOff>0</xdr:colOff>
      <xdr:row>29</xdr:row>
      <xdr:rowOff>38100</xdr:rowOff>
    </xdr:from>
    <xdr:to>
      <xdr:col>46</xdr:col>
      <xdr:colOff>658429</xdr:colOff>
      <xdr:row>32</xdr:row>
      <xdr:rowOff>73526</xdr:rowOff>
    </xdr:to>
    <xdr:pic>
      <xdr:nvPicPr>
        <xdr:cNvPr id="6" name="Imagen 5">
          <a:extLst>
            <a:ext uri="{FF2B5EF4-FFF2-40B4-BE49-F238E27FC236}">
              <a16:creationId xmlns:a16="http://schemas.microsoft.com/office/drawing/2014/main" id="{F33F5FDA-2322-473E-85CF-AE338407746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833175" y="6734175"/>
          <a:ext cx="658429" cy="635501"/>
        </a:xfrm>
        <a:prstGeom prst="rect">
          <a:avLst/>
        </a:prstGeom>
      </xdr:spPr>
    </xdr:pic>
    <xdr:clientData/>
  </xdr:twoCellAnchor>
  <xdr:twoCellAnchor editAs="oneCell">
    <xdr:from>
      <xdr:col>37</xdr:col>
      <xdr:colOff>276225</xdr:colOff>
      <xdr:row>6</xdr:row>
      <xdr:rowOff>202577</xdr:rowOff>
    </xdr:from>
    <xdr:to>
      <xdr:col>37</xdr:col>
      <xdr:colOff>781050</xdr:colOff>
      <xdr:row>7</xdr:row>
      <xdr:rowOff>48509</xdr:rowOff>
    </xdr:to>
    <xdr:pic>
      <xdr:nvPicPr>
        <xdr:cNvPr id="7" name="Imagen 6">
          <a:extLst>
            <a:ext uri="{FF2B5EF4-FFF2-40B4-BE49-F238E27FC236}">
              <a16:creationId xmlns:a16="http://schemas.microsoft.com/office/drawing/2014/main" id="{5CD5C3F1-F5F8-49BA-977C-FB57C37A61F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813625" y="2212352"/>
          <a:ext cx="504825" cy="484107"/>
        </a:xfrm>
        <a:prstGeom prst="rect">
          <a:avLst/>
        </a:prstGeom>
      </xdr:spPr>
    </xdr:pic>
    <xdr:clientData/>
  </xdr:twoCellAnchor>
  <xdr:twoCellAnchor>
    <xdr:from>
      <xdr:col>1</xdr:col>
      <xdr:colOff>518583</xdr:colOff>
      <xdr:row>6</xdr:row>
      <xdr:rowOff>987425</xdr:rowOff>
    </xdr:from>
    <xdr:to>
      <xdr:col>1</xdr:col>
      <xdr:colOff>823383</xdr:colOff>
      <xdr:row>6</xdr:row>
      <xdr:rowOff>1139825</xdr:rowOff>
    </xdr:to>
    <xdr:sp macro="[0]!PET" textlink="">
      <xdr:nvSpPr>
        <xdr:cNvPr id="9" name="Flecha: pentágono 8">
          <a:extLst>
            <a:ext uri="{FF2B5EF4-FFF2-40B4-BE49-F238E27FC236}">
              <a16:creationId xmlns:a16="http://schemas.microsoft.com/office/drawing/2014/main" id="{280F9EEE-CDEC-4906-9DC0-71DDA153AF26}"/>
            </a:ext>
          </a:extLst>
        </xdr:cNvPr>
        <xdr:cNvSpPr/>
      </xdr:nvSpPr>
      <xdr:spPr>
        <a:xfrm>
          <a:off x="1680633" y="2997200"/>
          <a:ext cx="304800" cy="152400"/>
        </a:xfrm>
        <a:prstGeom prst="homePlate">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l-GR" sz="1000" b="1"/>
            <a:t>∑</a:t>
          </a:r>
          <a:endParaRPr lang="es-MX" sz="1100" b="1"/>
        </a:p>
      </xdr:txBody>
    </xdr:sp>
    <xdr:clientData/>
  </xdr:twoCellAnchor>
  <xdr:twoCellAnchor editAs="oneCell">
    <xdr:from>
      <xdr:col>6</xdr:col>
      <xdr:colOff>371476</xdr:colOff>
      <xdr:row>6</xdr:row>
      <xdr:rowOff>38101</xdr:rowOff>
    </xdr:from>
    <xdr:to>
      <xdr:col>6</xdr:col>
      <xdr:colOff>770468</xdr:colOff>
      <xdr:row>6</xdr:row>
      <xdr:rowOff>486967</xdr:rowOff>
    </xdr:to>
    <xdr:pic>
      <xdr:nvPicPr>
        <xdr:cNvPr id="12" name="Imagen 11">
          <a:extLst>
            <a:ext uri="{FF2B5EF4-FFF2-40B4-BE49-F238E27FC236}">
              <a16:creationId xmlns:a16="http://schemas.microsoft.com/office/drawing/2014/main" id="{506209BC-5200-4783-ACF6-F36BDF6389CD}"/>
            </a:ext>
          </a:extLst>
        </xdr:cNvPr>
        <xdr:cNvPicPr>
          <a:picLocks noChangeAspect="1"/>
        </xdr:cNvPicPr>
      </xdr:nvPicPr>
      <xdr:blipFill rotWithShape="1">
        <a:blip xmlns:r="http://schemas.openxmlformats.org/officeDocument/2006/relationships" r:embed="rId6" cstate="print">
          <a:clrChange>
            <a:clrFrom>
              <a:srgbClr val="000000">
                <a:alpha val="0"/>
              </a:srgbClr>
            </a:clrFrom>
            <a:clrTo>
              <a:srgbClr val="000000">
                <a:alpha val="0"/>
              </a:srgbClr>
            </a:clrTo>
          </a:clrChange>
          <a:biLevel thresh="75000"/>
          <a:extLst>
            <a:ext uri="{BEBA8EAE-BF5A-486C-A8C5-ECC9F3942E4B}">
              <a14:imgProps xmlns:a14="http://schemas.microsoft.com/office/drawing/2010/main">
                <a14:imgLayer r:embed="rId7">
                  <a14:imgEffect>
                    <a14:backgroundRemoval t="4355" b="43226" l="61500" r="95667">
                      <a14:foregroundMark x1="70833" y1="43387" x2="70833" y2="43387"/>
                      <a14:foregroundMark x1="61500" y1="15645" x2="61500" y2="15645"/>
                    </a14:backgroundRemoval>
                  </a14:imgEffect>
                </a14:imgLayer>
              </a14:imgProps>
            </a:ext>
            <a:ext uri="{28A0092B-C50C-407E-A947-70E740481C1C}">
              <a14:useLocalDpi xmlns:a14="http://schemas.microsoft.com/office/drawing/2010/main" val="0"/>
            </a:ext>
          </a:extLst>
        </a:blip>
        <a:srcRect l="58333" b="54637"/>
        <a:stretch/>
      </xdr:blipFill>
      <xdr:spPr>
        <a:xfrm>
          <a:off x="6867526" y="2095501"/>
          <a:ext cx="398992" cy="448866"/>
        </a:xfrm>
        <a:prstGeom prst="rect">
          <a:avLst/>
        </a:prstGeom>
      </xdr:spPr>
    </xdr:pic>
    <xdr:clientData/>
  </xdr:twoCellAnchor>
  <xdr:twoCellAnchor editAs="oneCell">
    <xdr:from>
      <xdr:col>5</xdr:col>
      <xdr:colOff>266699</xdr:colOff>
      <xdr:row>6</xdr:row>
      <xdr:rowOff>66676</xdr:rowOff>
    </xdr:from>
    <xdr:to>
      <xdr:col>5</xdr:col>
      <xdr:colOff>608374</xdr:colOff>
      <xdr:row>6</xdr:row>
      <xdr:rowOff>513868</xdr:rowOff>
    </xdr:to>
    <xdr:pic>
      <xdr:nvPicPr>
        <xdr:cNvPr id="13" name="Imagen 12">
          <a:extLst>
            <a:ext uri="{FF2B5EF4-FFF2-40B4-BE49-F238E27FC236}">
              <a16:creationId xmlns:a16="http://schemas.microsoft.com/office/drawing/2014/main" id="{F43ADD85-F28C-428A-B793-5F5ECD589751}"/>
            </a:ext>
          </a:extLst>
        </xdr:cNvPr>
        <xdr:cNvPicPr>
          <a:picLocks noChangeAspect="1"/>
        </xdr:cNvPicPr>
      </xdr:nvPicPr>
      <xdr:blipFill rotWithShape="1">
        <a:blip xmlns:r="http://schemas.openxmlformats.org/officeDocument/2006/relationships" r:embed="rId8" cstate="print">
          <a:clrChange>
            <a:clrFrom>
              <a:srgbClr val="000000">
                <a:alpha val="0"/>
              </a:srgbClr>
            </a:clrFrom>
            <a:clrTo>
              <a:srgbClr val="000000">
                <a:alpha val="0"/>
              </a:srgbClr>
            </a:clrTo>
          </a:clrChange>
          <a:biLevel thresh="75000"/>
          <a:extLst>
            <a:ext uri="{BEBA8EAE-BF5A-486C-A8C5-ECC9F3942E4B}">
              <a14:imgProps xmlns:a14="http://schemas.microsoft.com/office/drawing/2010/main">
                <a14:imgLayer r:embed="rId9">
                  <a14:imgEffect>
                    <a14:backgroundRemoval t="4355" b="42903" l="3500" r="31833">
                      <a14:foregroundMark x1="24000" y1="5484" x2="24000" y2="5484"/>
                      <a14:foregroundMark x1="21833" y1="11129" x2="21833" y2="11129"/>
                      <a14:foregroundMark x1="22333" y1="13548" x2="22333" y2="13548"/>
                      <a14:foregroundMark x1="22333" y1="17097" x2="22333" y2="17097"/>
                      <a14:foregroundMark x1="21833" y1="42903" x2="21833" y2="42903"/>
                    </a14:backgroundRemoval>
                  </a14:imgEffect>
                </a14:imgLayer>
              </a14:imgProps>
            </a:ext>
            <a:ext uri="{28A0092B-C50C-407E-A947-70E740481C1C}">
              <a14:useLocalDpi xmlns:a14="http://schemas.microsoft.com/office/drawing/2010/main" val="0"/>
            </a:ext>
          </a:extLst>
        </a:blip>
        <a:srcRect r="64583" b="55141"/>
        <a:stretch/>
      </xdr:blipFill>
      <xdr:spPr>
        <a:xfrm>
          <a:off x="5781674" y="2124076"/>
          <a:ext cx="341675" cy="447192"/>
        </a:xfrm>
        <a:prstGeom prst="rect">
          <a:avLst/>
        </a:prstGeom>
      </xdr:spPr>
    </xdr:pic>
    <xdr:clientData/>
  </xdr:twoCellAnchor>
  <xdr:twoCellAnchor editAs="oneCell">
    <xdr:from>
      <xdr:col>7</xdr:col>
      <xdr:colOff>257175</xdr:colOff>
      <xdr:row>6</xdr:row>
      <xdr:rowOff>66675</xdr:rowOff>
    </xdr:from>
    <xdr:to>
      <xdr:col>7</xdr:col>
      <xdr:colOff>714375</xdr:colOff>
      <xdr:row>6</xdr:row>
      <xdr:rowOff>523875</xdr:rowOff>
    </xdr:to>
    <xdr:pic>
      <xdr:nvPicPr>
        <xdr:cNvPr id="14" name="Gráfico 13" descr="Hogar">
          <a:extLst>
            <a:ext uri="{FF2B5EF4-FFF2-40B4-BE49-F238E27FC236}">
              <a16:creationId xmlns:a16="http://schemas.microsoft.com/office/drawing/2014/main" id="{A113F0B8-7FDD-4575-99B9-1F5C0B6F50A1}"/>
            </a:ext>
          </a:extLst>
        </xdr:cNvPr>
        <xdr:cNvPicPr>
          <a:picLocks noChangeAspect="1"/>
        </xdr:cNvPicPr>
      </xdr:nvPicPr>
      <xdr:blipFill>
        <a:blip xmlns:r="http://schemas.openxmlformats.org/officeDocument/2006/relationships" r:embed="rId10" cstate="print">
          <a:clrChange>
            <a:clrFrom>
              <a:srgbClr val="000000">
                <a:alpha val="0"/>
              </a:srgbClr>
            </a:clrFrom>
            <a:clrTo>
              <a:srgbClr val="000000">
                <a:alpha val="0"/>
              </a:srgbClr>
            </a:clrTo>
          </a:clrChange>
          <a:duotone>
            <a:prstClr val="black"/>
            <a:schemeClr val="accent4">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734300" y="2124075"/>
          <a:ext cx="457200" cy="457200"/>
        </a:xfrm>
        <a:prstGeom prst="rect">
          <a:avLst/>
        </a:prstGeom>
      </xdr:spPr>
    </xdr:pic>
    <xdr:clientData/>
  </xdr:twoCellAnchor>
  <xdr:twoCellAnchor editAs="oneCell">
    <xdr:from>
      <xdr:col>7</xdr:col>
      <xdr:colOff>613682</xdr:colOff>
      <xdr:row>6</xdr:row>
      <xdr:rowOff>101499</xdr:rowOff>
    </xdr:from>
    <xdr:to>
      <xdr:col>7</xdr:col>
      <xdr:colOff>872898</xdr:colOff>
      <xdr:row>6</xdr:row>
      <xdr:rowOff>361631</xdr:rowOff>
    </xdr:to>
    <xdr:pic>
      <xdr:nvPicPr>
        <xdr:cNvPr id="15" name="Gráfico 14" descr="Bombilla fluorescente">
          <a:extLst>
            <a:ext uri="{FF2B5EF4-FFF2-40B4-BE49-F238E27FC236}">
              <a16:creationId xmlns:a16="http://schemas.microsoft.com/office/drawing/2014/main" id="{6302BA93-6402-4079-B233-8A75D23B3E6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0807" y="2158899"/>
          <a:ext cx="259216" cy="260132"/>
        </a:xfrm>
        <a:prstGeom prst="rect">
          <a:avLst/>
        </a:prstGeom>
      </xdr:spPr>
    </xdr:pic>
    <xdr:clientData/>
  </xdr:twoCellAnchor>
  <xdr:twoCellAnchor editAs="oneCell">
    <xdr:from>
      <xdr:col>9</xdr:col>
      <xdr:colOff>285750</xdr:colOff>
      <xdr:row>6</xdr:row>
      <xdr:rowOff>104775</xdr:rowOff>
    </xdr:from>
    <xdr:to>
      <xdr:col>9</xdr:col>
      <xdr:colOff>685800</xdr:colOff>
      <xdr:row>6</xdr:row>
      <xdr:rowOff>504825</xdr:rowOff>
    </xdr:to>
    <xdr:pic>
      <xdr:nvPicPr>
        <xdr:cNvPr id="16" name="Imagen 15">
          <a:extLst>
            <a:ext uri="{FF2B5EF4-FFF2-40B4-BE49-F238E27FC236}">
              <a16:creationId xmlns:a16="http://schemas.microsoft.com/office/drawing/2014/main" id="{281F2075-7055-4703-B1B9-A7787D2646A3}"/>
            </a:ext>
          </a:extLst>
        </xdr:cNvPr>
        <xdr:cNvPicPr>
          <a:picLocks noChangeAspect="1"/>
        </xdr:cNvPicPr>
      </xdr:nvPicPr>
      <xdr:blipFill>
        <a:blip xmlns:r="http://schemas.openxmlformats.org/officeDocument/2006/relationships" r:embed="rId14" cstate="print">
          <a:clrChange>
            <a:clrFrom>
              <a:srgbClr val="000000">
                <a:alpha val="0"/>
              </a:srgbClr>
            </a:clrFrom>
            <a:clrTo>
              <a:srgbClr val="000000">
                <a:alpha val="0"/>
              </a:srgbClr>
            </a:clrTo>
          </a:clrChange>
          <a:duotone>
            <a:prstClr val="black"/>
            <a:schemeClr val="accent4">
              <a:tint val="45000"/>
              <a:satMod val="400000"/>
            </a:schemeClr>
          </a:duotone>
          <a:extLst>
            <a:ext uri="{28A0092B-C50C-407E-A947-70E740481C1C}">
              <a14:useLocalDpi xmlns:a14="http://schemas.microsoft.com/office/drawing/2010/main" val="0"/>
            </a:ext>
          </a:extLst>
        </a:blip>
        <a:stretch>
          <a:fillRect/>
        </a:stretch>
      </xdr:blipFill>
      <xdr:spPr>
        <a:xfrm>
          <a:off x="8743950" y="2162175"/>
          <a:ext cx="400050" cy="400050"/>
        </a:xfrm>
        <a:prstGeom prst="rect">
          <a:avLst/>
        </a:prstGeom>
      </xdr:spPr>
    </xdr:pic>
    <xdr:clientData/>
  </xdr:twoCellAnchor>
  <xdr:twoCellAnchor editAs="oneCell">
    <xdr:from>
      <xdr:col>10</xdr:col>
      <xdr:colOff>71071</xdr:colOff>
      <xdr:row>6</xdr:row>
      <xdr:rowOff>76200</xdr:rowOff>
    </xdr:from>
    <xdr:to>
      <xdr:col>10</xdr:col>
      <xdr:colOff>800100</xdr:colOff>
      <xdr:row>6</xdr:row>
      <xdr:rowOff>497416</xdr:rowOff>
    </xdr:to>
    <xdr:pic>
      <xdr:nvPicPr>
        <xdr:cNvPr id="20" name="Imagen 19">
          <a:extLst>
            <a:ext uri="{FF2B5EF4-FFF2-40B4-BE49-F238E27FC236}">
              <a16:creationId xmlns:a16="http://schemas.microsoft.com/office/drawing/2014/main" id="{A0C33543-8B20-4EC6-BB03-D3CDCF764D7A}"/>
            </a:ext>
          </a:extLst>
        </xdr:cNvPr>
        <xdr:cNvPicPr>
          <a:picLocks noChangeAspect="1"/>
        </xdr:cNvPicPr>
      </xdr:nvPicPr>
      <xdr:blipFill>
        <a:blip xmlns:r="http://schemas.openxmlformats.org/officeDocument/2006/relationships" r:embed="rId15" cstate="print">
          <a:clrChange>
            <a:clrFrom>
              <a:srgbClr val="000000">
                <a:alpha val="0"/>
              </a:srgbClr>
            </a:clrFrom>
            <a:clrTo>
              <a:srgbClr val="000000">
                <a:alpha val="0"/>
              </a:srgbClr>
            </a:clrTo>
          </a:clrChange>
          <a:biLevel thresh="75000"/>
          <a:extLst>
            <a:ext uri="{BEBA8EAE-BF5A-486C-A8C5-ECC9F3942E4B}">
              <a14:imgProps xmlns:a14="http://schemas.microsoft.com/office/drawing/2010/main">
                <a14:imgLayer r:embed="rId16">
                  <a14:imgEffect>
                    <a14:backgroundRemoval t="3077" b="93654" l="10000" r="90000">
                      <a14:foregroundMark x1="50111" y1="91731" x2="50111" y2="91731"/>
                      <a14:foregroundMark x1="63000" y1="94038" x2="63000" y2="94038"/>
                      <a14:foregroundMark x1="71444" y1="64038" x2="71444" y2="64038"/>
                      <a14:foregroundMark x1="71444" y1="50192" x2="71444" y2="50192"/>
                      <a14:foregroundMark x1="65667" y1="7692" x2="65667" y2="7692"/>
                      <a14:foregroundMark x1="55889" y1="3077" x2="55889" y2="3077"/>
                    </a14:backgroundRemoval>
                  </a14:imgEffect>
                </a14:imgLayer>
              </a14:imgProps>
            </a:ext>
            <a:ext uri="{28A0092B-C50C-407E-A947-70E740481C1C}">
              <a14:useLocalDpi xmlns:a14="http://schemas.microsoft.com/office/drawing/2010/main" val="0"/>
            </a:ext>
          </a:extLst>
        </a:blip>
        <a:stretch>
          <a:fillRect/>
        </a:stretch>
      </xdr:blipFill>
      <xdr:spPr>
        <a:xfrm>
          <a:off x="10491421" y="2133600"/>
          <a:ext cx="729029" cy="421216"/>
        </a:xfrm>
        <a:prstGeom prst="rect">
          <a:avLst/>
        </a:prstGeom>
      </xdr:spPr>
    </xdr:pic>
    <xdr:clientData/>
  </xdr:twoCellAnchor>
  <xdr:twoCellAnchor editAs="oneCell">
    <xdr:from>
      <xdr:col>11</xdr:col>
      <xdr:colOff>219075</xdr:colOff>
      <xdr:row>5</xdr:row>
      <xdr:rowOff>28575</xdr:rowOff>
    </xdr:from>
    <xdr:to>
      <xdr:col>11</xdr:col>
      <xdr:colOff>809624</xdr:colOff>
      <xdr:row>6</xdr:row>
      <xdr:rowOff>573616</xdr:rowOff>
    </xdr:to>
    <xdr:pic>
      <xdr:nvPicPr>
        <xdr:cNvPr id="22" name="Gráfico 21" descr="Hucha">
          <a:extLst>
            <a:ext uri="{FF2B5EF4-FFF2-40B4-BE49-F238E27FC236}">
              <a16:creationId xmlns:a16="http://schemas.microsoft.com/office/drawing/2014/main" id="{605FB6A7-2DC2-4CBA-AA6F-000D5A3B251F}"/>
            </a:ext>
          </a:extLst>
        </xdr:cNvPr>
        <xdr:cNvPicPr>
          <a:picLocks noChangeAspect="1"/>
        </xdr:cNvPicPr>
      </xdr:nvPicPr>
      <xdr:blipFill>
        <a:blip xmlns:r="http://schemas.openxmlformats.org/officeDocument/2006/relationships" r:embed="rId17">
          <a:biLevel thresh="75000"/>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848975" y="1990725"/>
          <a:ext cx="590549" cy="592666"/>
        </a:xfrm>
        <a:prstGeom prst="rect">
          <a:avLst/>
        </a:prstGeom>
      </xdr:spPr>
    </xdr:pic>
    <xdr:clientData/>
  </xdr:twoCellAnchor>
  <xdr:twoCellAnchor editAs="oneCell">
    <xdr:from>
      <xdr:col>15</xdr:col>
      <xdr:colOff>228600</xdr:colOff>
      <xdr:row>6</xdr:row>
      <xdr:rowOff>57149</xdr:rowOff>
    </xdr:from>
    <xdr:to>
      <xdr:col>15</xdr:col>
      <xdr:colOff>742949</xdr:colOff>
      <xdr:row>6</xdr:row>
      <xdr:rowOff>572557</xdr:rowOff>
    </xdr:to>
    <xdr:pic>
      <xdr:nvPicPr>
        <xdr:cNvPr id="23" name="Imagen 22">
          <a:extLst>
            <a:ext uri="{FF2B5EF4-FFF2-40B4-BE49-F238E27FC236}">
              <a16:creationId xmlns:a16="http://schemas.microsoft.com/office/drawing/2014/main" id="{37BE7981-79B1-4E14-81C7-82A534741E35}"/>
            </a:ext>
          </a:extLst>
        </xdr:cNvPr>
        <xdr:cNvPicPr>
          <a:picLocks noChangeAspect="1"/>
        </xdr:cNvPicPr>
      </xdr:nvPicPr>
      <xdr:blipFill>
        <a:blip xmlns:r="http://schemas.openxmlformats.org/officeDocument/2006/relationships" r:embed="rId19" cstate="print">
          <a:biLevel thresh="75000"/>
          <a:extLst>
            <a:ext uri="{BEBA8EAE-BF5A-486C-A8C5-ECC9F3942E4B}">
              <a14:imgProps xmlns:a14="http://schemas.microsoft.com/office/drawing/2010/main">
                <a14:imgLayer r:embed="rId20">
                  <a14:imgEffect>
                    <a14:saturation sat="0"/>
                  </a14:imgEffect>
                </a14:imgLayer>
              </a14:imgProps>
            </a:ext>
            <a:ext uri="{28A0092B-C50C-407E-A947-70E740481C1C}">
              <a14:useLocalDpi xmlns:a14="http://schemas.microsoft.com/office/drawing/2010/main" val="0"/>
            </a:ext>
          </a:extLst>
        </a:blip>
        <a:stretch>
          <a:fillRect/>
        </a:stretch>
      </xdr:blipFill>
      <xdr:spPr>
        <a:xfrm>
          <a:off x="12934950" y="2066924"/>
          <a:ext cx="514349" cy="515408"/>
        </a:xfrm>
        <a:prstGeom prst="rect">
          <a:avLst/>
        </a:prstGeom>
      </xdr:spPr>
    </xdr:pic>
    <xdr:clientData/>
  </xdr:twoCellAnchor>
  <xdr:twoCellAnchor editAs="oneCell">
    <xdr:from>
      <xdr:col>16</xdr:col>
      <xdr:colOff>266699</xdr:colOff>
      <xdr:row>6</xdr:row>
      <xdr:rowOff>47624</xdr:rowOff>
    </xdr:from>
    <xdr:to>
      <xdr:col>16</xdr:col>
      <xdr:colOff>733425</xdr:colOff>
      <xdr:row>6</xdr:row>
      <xdr:rowOff>514350</xdr:rowOff>
    </xdr:to>
    <xdr:pic>
      <xdr:nvPicPr>
        <xdr:cNvPr id="24" name="Gráfico 23" descr="Botella de agua">
          <a:extLst>
            <a:ext uri="{FF2B5EF4-FFF2-40B4-BE49-F238E27FC236}">
              <a16:creationId xmlns:a16="http://schemas.microsoft.com/office/drawing/2014/main" id="{E977010C-E1AE-4F71-BA71-47F77405F307}"/>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5754349" y="2105024"/>
          <a:ext cx="466726" cy="466726"/>
        </a:xfrm>
        <a:prstGeom prst="rect">
          <a:avLst/>
        </a:prstGeom>
      </xdr:spPr>
    </xdr:pic>
    <xdr:clientData/>
  </xdr:twoCellAnchor>
  <xdr:twoCellAnchor editAs="oneCell">
    <xdr:from>
      <xdr:col>17</xdr:col>
      <xdr:colOff>238125</xdr:colOff>
      <xdr:row>6</xdr:row>
      <xdr:rowOff>28575</xdr:rowOff>
    </xdr:from>
    <xdr:to>
      <xdr:col>17</xdr:col>
      <xdr:colOff>752475</xdr:colOff>
      <xdr:row>6</xdr:row>
      <xdr:rowOff>542925</xdr:rowOff>
    </xdr:to>
    <xdr:pic>
      <xdr:nvPicPr>
        <xdr:cNvPr id="25" name="Gráfico 24" descr="Manzana">
          <a:extLst>
            <a:ext uri="{FF2B5EF4-FFF2-40B4-BE49-F238E27FC236}">
              <a16:creationId xmlns:a16="http://schemas.microsoft.com/office/drawing/2014/main" id="{DE536B72-A5C5-4B20-B07E-2167A4C1B14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6659225" y="2085975"/>
          <a:ext cx="514350" cy="514350"/>
        </a:xfrm>
        <a:prstGeom prst="rect">
          <a:avLst/>
        </a:prstGeom>
      </xdr:spPr>
    </xdr:pic>
    <xdr:clientData/>
  </xdr:twoCellAnchor>
  <xdr:twoCellAnchor editAs="oneCell">
    <xdr:from>
      <xdr:col>21</xdr:col>
      <xdr:colOff>165506</xdr:colOff>
      <xdr:row>6</xdr:row>
      <xdr:rowOff>38100</xdr:rowOff>
    </xdr:from>
    <xdr:to>
      <xdr:col>21</xdr:col>
      <xdr:colOff>670832</xdr:colOff>
      <xdr:row>6</xdr:row>
      <xdr:rowOff>543426</xdr:rowOff>
    </xdr:to>
    <xdr:pic>
      <xdr:nvPicPr>
        <xdr:cNvPr id="26" name="Gráfico 25" descr="Buceo">
          <a:extLst>
            <a:ext uri="{FF2B5EF4-FFF2-40B4-BE49-F238E27FC236}">
              <a16:creationId xmlns:a16="http://schemas.microsoft.com/office/drawing/2014/main" id="{53E9E7C2-020A-4C3D-9BF4-37EFF53401C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21139556" y="2095500"/>
          <a:ext cx="505326" cy="505326"/>
        </a:xfrm>
        <a:prstGeom prst="rect">
          <a:avLst/>
        </a:prstGeom>
      </xdr:spPr>
    </xdr:pic>
    <xdr:clientData/>
  </xdr:twoCellAnchor>
  <xdr:twoCellAnchor editAs="oneCell">
    <xdr:from>
      <xdr:col>23</xdr:col>
      <xdr:colOff>332164</xdr:colOff>
      <xdr:row>6</xdr:row>
      <xdr:rowOff>95249</xdr:rowOff>
    </xdr:from>
    <xdr:to>
      <xdr:col>23</xdr:col>
      <xdr:colOff>746563</xdr:colOff>
      <xdr:row>6</xdr:row>
      <xdr:rowOff>509648</xdr:rowOff>
    </xdr:to>
    <xdr:pic>
      <xdr:nvPicPr>
        <xdr:cNvPr id="27" name="Imagen 26">
          <a:extLst>
            <a:ext uri="{FF2B5EF4-FFF2-40B4-BE49-F238E27FC236}">
              <a16:creationId xmlns:a16="http://schemas.microsoft.com/office/drawing/2014/main" id="{08F2FEB1-D27B-415A-A632-BC12E05DC1E6}"/>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22220614" y="2152649"/>
          <a:ext cx="414399" cy="414399"/>
        </a:xfrm>
        <a:prstGeom prst="rect">
          <a:avLst/>
        </a:prstGeom>
      </xdr:spPr>
    </xdr:pic>
    <xdr:clientData/>
  </xdr:twoCellAnchor>
  <xdr:twoCellAnchor editAs="oneCell">
    <xdr:from>
      <xdr:col>18</xdr:col>
      <xdr:colOff>266700</xdr:colOff>
      <xdr:row>6</xdr:row>
      <xdr:rowOff>66675</xdr:rowOff>
    </xdr:from>
    <xdr:to>
      <xdr:col>18</xdr:col>
      <xdr:colOff>723899</xdr:colOff>
      <xdr:row>6</xdr:row>
      <xdr:rowOff>523874</xdr:rowOff>
    </xdr:to>
    <xdr:pic>
      <xdr:nvPicPr>
        <xdr:cNvPr id="31" name="Gráfico 30" descr="Naranja">
          <a:extLst>
            <a:ext uri="{FF2B5EF4-FFF2-40B4-BE49-F238E27FC236}">
              <a16:creationId xmlns:a16="http://schemas.microsoft.com/office/drawing/2014/main" id="{04472A25-090D-49CD-86D1-49BF88E4325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7668875" y="2124075"/>
          <a:ext cx="457199" cy="457199"/>
        </a:xfrm>
        <a:prstGeom prst="rect">
          <a:avLst/>
        </a:prstGeom>
      </xdr:spPr>
    </xdr:pic>
    <xdr:clientData/>
  </xdr:twoCellAnchor>
  <xdr:twoCellAnchor editAs="oneCell">
    <xdr:from>
      <xdr:col>19</xdr:col>
      <xdr:colOff>257176</xdr:colOff>
      <xdr:row>6</xdr:row>
      <xdr:rowOff>57150</xdr:rowOff>
    </xdr:from>
    <xdr:to>
      <xdr:col>19</xdr:col>
      <xdr:colOff>762000</xdr:colOff>
      <xdr:row>6</xdr:row>
      <xdr:rowOff>561975</xdr:rowOff>
    </xdr:to>
    <xdr:pic>
      <xdr:nvPicPr>
        <xdr:cNvPr id="33" name="Imagen 32">
          <a:extLst>
            <a:ext uri="{FF2B5EF4-FFF2-40B4-BE49-F238E27FC236}">
              <a16:creationId xmlns:a16="http://schemas.microsoft.com/office/drawing/2014/main" id="{BC94160C-39A4-4DE0-952E-1272654C2AAF}"/>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333" l="9222" r="90556">
                      <a14:foregroundMark x1="53333" y1="18556" x2="53333" y2="18556"/>
                      <a14:foregroundMark x1="90556" y1="51444" x2="90556" y2="51444"/>
                      <a14:foregroundMark x1="9333" y1="47778" x2="9333" y2="47778"/>
                      <a14:foregroundMark x1="48889" y1="90333" x2="48889" y2="90333"/>
                    </a14:backgroundRemoval>
                  </a14:imgEffect>
                </a14:imgLayer>
              </a14:imgProps>
            </a:ext>
            <a:ext uri="{28A0092B-C50C-407E-A947-70E740481C1C}">
              <a14:useLocalDpi xmlns:a14="http://schemas.microsoft.com/office/drawing/2010/main" val="0"/>
            </a:ext>
          </a:extLst>
        </a:blip>
        <a:stretch>
          <a:fillRect/>
        </a:stretch>
      </xdr:blipFill>
      <xdr:spPr>
        <a:xfrm>
          <a:off x="18640426" y="2114550"/>
          <a:ext cx="504824" cy="504824"/>
        </a:xfrm>
        <a:prstGeom prst="rect">
          <a:avLst/>
        </a:prstGeom>
      </xdr:spPr>
    </xdr:pic>
    <xdr:clientData/>
  </xdr:twoCellAnchor>
  <xdr:twoCellAnchor editAs="oneCell">
    <xdr:from>
      <xdr:col>20</xdr:col>
      <xdr:colOff>133350</xdr:colOff>
      <xdr:row>6</xdr:row>
      <xdr:rowOff>0</xdr:rowOff>
    </xdr:from>
    <xdr:to>
      <xdr:col>20</xdr:col>
      <xdr:colOff>917120</xdr:colOff>
      <xdr:row>6</xdr:row>
      <xdr:rowOff>611716</xdr:rowOff>
    </xdr:to>
    <xdr:pic>
      <xdr:nvPicPr>
        <xdr:cNvPr id="35" name="Imagen 34">
          <a:extLst>
            <a:ext uri="{FF2B5EF4-FFF2-40B4-BE49-F238E27FC236}">
              <a16:creationId xmlns:a16="http://schemas.microsoft.com/office/drawing/2014/main" id="{00F0E105-DA75-4459-A04C-C5B15E0FAFB0}"/>
            </a:ext>
          </a:extLst>
        </xdr:cNvPr>
        <xdr:cNvPicPr>
          <a:picLocks noChangeAspect="1"/>
        </xdr:cNvPicPr>
      </xdr:nvPicPr>
      <xdr:blipFill>
        <a:blip xmlns:r="http://schemas.openxmlformats.org/officeDocument/2006/relationships" r:embed="rId32" cstate="print">
          <a:extLst>
            <a:ext uri="{BEBA8EAE-BF5A-486C-A8C5-ECC9F3942E4B}">
              <a14:imgProps xmlns:a14="http://schemas.microsoft.com/office/drawing/2010/main">
                <a14:imgLayer r:embed="rId3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19497675" y="2057400"/>
          <a:ext cx="783770" cy="609599"/>
        </a:xfrm>
        <a:prstGeom prst="rect">
          <a:avLst/>
        </a:prstGeom>
      </xdr:spPr>
    </xdr:pic>
    <xdr:clientData/>
  </xdr:twoCellAnchor>
  <xdr:twoCellAnchor editAs="oneCell">
    <xdr:from>
      <xdr:col>28</xdr:col>
      <xdr:colOff>9524</xdr:colOff>
      <xdr:row>6</xdr:row>
      <xdr:rowOff>171198</xdr:rowOff>
    </xdr:from>
    <xdr:to>
      <xdr:col>29</xdr:col>
      <xdr:colOff>112891</xdr:colOff>
      <xdr:row>6</xdr:row>
      <xdr:rowOff>612389</xdr:rowOff>
    </xdr:to>
    <xdr:pic>
      <xdr:nvPicPr>
        <xdr:cNvPr id="37" name="Imagen 36">
          <a:extLst>
            <a:ext uri="{FF2B5EF4-FFF2-40B4-BE49-F238E27FC236}">
              <a16:creationId xmlns:a16="http://schemas.microsoft.com/office/drawing/2014/main" id="{EB87F659-1524-4208-AFAC-104FD8827378}"/>
            </a:ext>
          </a:extLst>
        </xdr:cNvPr>
        <xdr:cNvPicPr>
          <a:picLocks noChangeAspect="1"/>
        </xdr:cNvPicPr>
      </xdr:nvPicPr>
      <xdr:blipFill rotWithShape="1">
        <a:blip xmlns:r="http://schemas.openxmlformats.org/officeDocument/2006/relationships" r:embed="rId34" cstate="print">
          <a:extLst>
            <a:ext uri="{BEBA8EAE-BF5A-486C-A8C5-ECC9F3942E4B}">
              <a14:imgProps xmlns:a14="http://schemas.microsoft.com/office/drawing/2010/main">
                <a14:imgLayer r:embed="rId35">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28594049" y="2180973"/>
          <a:ext cx="1084442" cy="441191"/>
        </a:xfrm>
        <a:prstGeom prst="rect">
          <a:avLst/>
        </a:prstGeom>
      </xdr:spPr>
    </xdr:pic>
    <xdr:clientData/>
  </xdr:twoCellAnchor>
  <xdr:twoCellAnchor editAs="oneCell">
    <xdr:from>
      <xdr:col>29</xdr:col>
      <xdr:colOff>258991</xdr:colOff>
      <xdr:row>6</xdr:row>
      <xdr:rowOff>51606</xdr:rowOff>
    </xdr:from>
    <xdr:to>
      <xdr:col>29</xdr:col>
      <xdr:colOff>749202</xdr:colOff>
      <xdr:row>6</xdr:row>
      <xdr:rowOff>541817</xdr:rowOff>
    </xdr:to>
    <xdr:pic>
      <xdr:nvPicPr>
        <xdr:cNvPr id="38" name="Imagen 37">
          <a:extLst>
            <a:ext uri="{FF2B5EF4-FFF2-40B4-BE49-F238E27FC236}">
              <a16:creationId xmlns:a16="http://schemas.microsoft.com/office/drawing/2014/main" id="{5A04618A-EAF8-4B62-B020-A8D3E2B4BA40}"/>
            </a:ext>
          </a:extLst>
        </xdr:cNvPr>
        <xdr:cNvPicPr>
          <a:picLocks noChangeAspect="1"/>
        </xdr:cNvPicPr>
      </xdr:nvPicPr>
      <xdr:blipFill>
        <a:blip xmlns:r="http://schemas.openxmlformats.org/officeDocument/2006/relationships" r:embed="rId36" cstate="print">
          <a:extLst>
            <a:ext uri="{BEBA8EAE-BF5A-486C-A8C5-ECC9F3942E4B}">
              <a14:imgProps xmlns:a14="http://schemas.microsoft.com/office/drawing/2010/main">
                <a14:imgLayer r:embed="rId37">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25871716" y="2109006"/>
          <a:ext cx="490211" cy="490211"/>
        </a:xfrm>
        <a:prstGeom prst="rect">
          <a:avLst/>
        </a:prstGeom>
      </xdr:spPr>
    </xdr:pic>
    <xdr:clientData/>
  </xdr:twoCellAnchor>
  <xdr:twoCellAnchor editAs="oneCell">
    <xdr:from>
      <xdr:col>32</xdr:col>
      <xdr:colOff>47625</xdr:colOff>
      <xdr:row>6</xdr:row>
      <xdr:rowOff>38100</xdr:rowOff>
    </xdr:from>
    <xdr:to>
      <xdr:col>32</xdr:col>
      <xdr:colOff>923925</xdr:colOff>
      <xdr:row>7</xdr:row>
      <xdr:rowOff>10778</xdr:rowOff>
    </xdr:to>
    <xdr:pic>
      <xdr:nvPicPr>
        <xdr:cNvPr id="40" name="Imagen 39">
          <a:extLst>
            <a:ext uri="{FF2B5EF4-FFF2-40B4-BE49-F238E27FC236}">
              <a16:creationId xmlns:a16="http://schemas.microsoft.com/office/drawing/2014/main" id="{53595A68-1706-42ED-A7E4-15686DA48DAF}"/>
            </a:ext>
          </a:extLst>
        </xdr:cNvPr>
        <xdr:cNvPicPr>
          <a:picLocks noChangeAspect="1"/>
        </xdr:cNvPicPr>
      </xdr:nvPicPr>
      <xdr:blipFill>
        <a:blip xmlns:r="http://schemas.openxmlformats.org/officeDocument/2006/relationships" r:embed="rId38" cstate="print">
          <a:extLst>
            <a:ext uri="{BEBA8EAE-BF5A-486C-A8C5-ECC9F3942E4B}">
              <a14:imgProps xmlns:a14="http://schemas.microsoft.com/office/drawing/2010/main">
                <a14:imgLayer r:embed="rId39">
                  <a14:imgEffect>
                    <a14:backgroundRemoval t="10000" b="90000" l="10000" r="90000">
                      <a14:foregroundMark x1="32967" y1="43164" x2="32967" y2="43164"/>
                      <a14:foregroundMark x1="74176" y1="45117" x2="74176" y2="45117"/>
                      <a14:foregroundMark x1="60714" y1="58008" x2="60714" y2="58008"/>
                      <a14:foregroundMark x1="30632" y1="58789" x2="30632" y2="58789"/>
                      <a14:backgroundMark x1="70701" y1="49550" x2="70701" y2="49550"/>
                      <a14:backgroundMark x1="38217" y1="53153" x2="38217" y2="53153"/>
                      <a14:backgroundMark x1="30573" y1="55856" x2="30573" y2="55856"/>
                      <a14:backgroundMark x1="61146" y1="55856" x2="61146" y2="55856"/>
                    </a14:backgroundRemoval>
                  </a14:imgEffect>
                </a14:imgLayer>
              </a14:imgProps>
            </a:ext>
            <a:ext uri="{28A0092B-C50C-407E-A947-70E740481C1C}">
              <a14:useLocalDpi xmlns:a14="http://schemas.microsoft.com/office/drawing/2010/main" val="0"/>
            </a:ext>
          </a:extLst>
        </a:blip>
        <a:stretch>
          <a:fillRect/>
        </a:stretch>
      </xdr:blipFill>
      <xdr:spPr>
        <a:xfrm>
          <a:off x="29451300" y="2095500"/>
          <a:ext cx="876300" cy="608736"/>
        </a:xfrm>
        <a:prstGeom prst="rect">
          <a:avLst/>
        </a:prstGeom>
      </xdr:spPr>
    </xdr:pic>
    <xdr:clientData/>
  </xdr:twoCellAnchor>
  <xdr:twoCellAnchor editAs="oneCell">
    <xdr:from>
      <xdr:col>35</xdr:col>
      <xdr:colOff>165470</xdr:colOff>
      <xdr:row>6</xdr:row>
      <xdr:rowOff>1</xdr:rowOff>
    </xdr:from>
    <xdr:to>
      <xdr:col>35</xdr:col>
      <xdr:colOff>720490</xdr:colOff>
      <xdr:row>6</xdr:row>
      <xdr:rowOff>552451</xdr:rowOff>
    </xdr:to>
    <xdr:pic>
      <xdr:nvPicPr>
        <xdr:cNvPr id="42" name="Gráfico 41" descr="Barril de petróleo">
          <a:extLst>
            <a:ext uri="{FF2B5EF4-FFF2-40B4-BE49-F238E27FC236}">
              <a16:creationId xmlns:a16="http://schemas.microsoft.com/office/drawing/2014/main" id="{FF402AB4-2B1A-430F-88B2-2B7B95B96887}"/>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31645595" y="2057401"/>
          <a:ext cx="555020" cy="552450"/>
        </a:xfrm>
        <a:prstGeom prst="rect">
          <a:avLst/>
        </a:prstGeom>
      </xdr:spPr>
    </xdr:pic>
    <xdr:clientData/>
  </xdr:twoCellAnchor>
  <xdr:twoCellAnchor editAs="oneCell">
    <xdr:from>
      <xdr:col>39</xdr:col>
      <xdr:colOff>311090</xdr:colOff>
      <xdr:row>6</xdr:row>
      <xdr:rowOff>125901</xdr:rowOff>
    </xdr:from>
    <xdr:to>
      <xdr:col>39</xdr:col>
      <xdr:colOff>644465</xdr:colOff>
      <xdr:row>6</xdr:row>
      <xdr:rowOff>475652</xdr:rowOff>
    </xdr:to>
    <xdr:pic>
      <xdr:nvPicPr>
        <xdr:cNvPr id="43" name="Imagen 42">
          <a:extLst>
            <a:ext uri="{FF2B5EF4-FFF2-40B4-BE49-F238E27FC236}">
              <a16:creationId xmlns:a16="http://schemas.microsoft.com/office/drawing/2014/main" id="{FA04DB15-3B8B-4D63-8700-6E3BF3C32F87}"/>
            </a:ext>
          </a:extLst>
        </xdr:cNvPr>
        <xdr:cNvPicPr>
          <a:picLocks noChangeAspect="1"/>
        </xdr:cNvPicPr>
      </xdr:nvPicPr>
      <xdr:blipFill>
        <a:blip xmlns:r="http://schemas.openxmlformats.org/officeDocument/2006/relationships" r:embed="rId42" cstate="print">
          <a:biLevel thresh="75000"/>
          <a:extLst>
            <a:ext uri="{28A0092B-C50C-407E-A947-70E740481C1C}">
              <a14:useLocalDpi xmlns:a14="http://schemas.microsoft.com/office/drawing/2010/main" val="0"/>
            </a:ext>
          </a:extLst>
        </a:blip>
        <a:stretch>
          <a:fillRect/>
        </a:stretch>
      </xdr:blipFill>
      <xdr:spPr>
        <a:xfrm>
          <a:off x="36363215" y="2183301"/>
          <a:ext cx="333375" cy="349751"/>
        </a:xfrm>
        <a:prstGeom prst="rect">
          <a:avLst/>
        </a:prstGeom>
      </xdr:spPr>
    </xdr:pic>
    <xdr:clientData/>
  </xdr:twoCellAnchor>
  <xdr:twoCellAnchor editAs="oneCell">
    <xdr:from>
      <xdr:col>41</xdr:col>
      <xdr:colOff>88446</xdr:colOff>
      <xdr:row>6</xdr:row>
      <xdr:rowOff>15875</xdr:rowOff>
    </xdr:from>
    <xdr:to>
      <xdr:col>41</xdr:col>
      <xdr:colOff>676275</xdr:colOff>
      <xdr:row>6</xdr:row>
      <xdr:rowOff>601156</xdr:rowOff>
    </xdr:to>
    <xdr:pic>
      <xdr:nvPicPr>
        <xdr:cNvPr id="44" name="Gráfico 43" descr="Convertible">
          <a:extLst>
            <a:ext uri="{FF2B5EF4-FFF2-40B4-BE49-F238E27FC236}">
              <a16:creationId xmlns:a16="http://schemas.microsoft.com/office/drawing/2014/main" id="{7731C0EC-0F1D-49FD-B1F3-B5A88C233771}"/>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37969371" y="2073275"/>
          <a:ext cx="587829" cy="583164"/>
        </a:xfrm>
        <a:prstGeom prst="rect">
          <a:avLst/>
        </a:prstGeom>
      </xdr:spPr>
    </xdr:pic>
    <xdr:clientData/>
  </xdr:twoCellAnchor>
  <xdr:twoCellAnchor editAs="oneCell">
    <xdr:from>
      <xdr:col>40</xdr:col>
      <xdr:colOff>177510</xdr:colOff>
      <xdr:row>6</xdr:row>
      <xdr:rowOff>48683</xdr:rowOff>
    </xdr:from>
    <xdr:to>
      <xdr:col>40</xdr:col>
      <xdr:colOff>710677</xdr:colOff>
      <xdr:row>6</xdr:row>
      <xdr:rowOff>583967</xdr:rowOff>
    </xdr:to>
    <xdr:pic>
      <xdr:nvPicPr>
        <xdr:cNvPr id="45" name="Imagen 44">
          <a:extLst>
            <a:ext uri="{FF2B5EF4-FFF2-40B4-BE49-F238E27FC236}">
              <a16:creationId xmlns:a16="http://schemas.microsoft.com/office/drawing/2014/main" id="{B50BC85B-EDB1-46CB-BB72-65D312E6BDBE}"/>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37144035" y="2106083"/>
          <a:ext cx="533167" cy="533167"/>
        </a:xfrm>
        <a:prstGeom prst="rect">
          <a:avLst/>
        </a:prstGeom>
      </xdr:spPr>
    </xdr:pic>
    <xdr:clientData/>
  </xdr:twoCellAnchor>
  <xdr:twoCellAnchor editAs="oneCell">
    <xdr:from>
      <xdr:col>36</xdr:col>
      <xdr:colOff>647700</xdr:colOff>
      <xdr:row>6</xdr:row>
      <xdr:rowOff>28574</xdr:rowOff>
    </xdr:from>
    <xdr:to>
      <xdr:col>36</xdr:col>
      <xdr:colOff>877583</xdr:colOff>
      <xdr:row>6</xdr:row>
      <xdr:rowOff>258457</xdr:rowOff>
    </xdr:to>
    <xdr:pic>
      <xdr:nvPicPr>
        <xdr:cNvPr id="46" name="Imagen 45">
          <a:extLst>
            <a:ext uri="{FF2B5EF4-FFF2-40B4-BE49-F238E27FC236}">
              <a16:creationId xmlns:a16="http://schemas.microsoft.com/office/drawing/2014/main" id="{A4E13F2B-4B13-4421-93BB-5B9FF3E0CAA3}"/>
            </a:ext>
          </a:extLst>
        </xdr:cNvPr>
        <xdr:cNvPicPr>
          <a:picLocks noChangeAspect="1"/>
        </xdr:cNvPicPr>
      </xdr:nvPicPr>
      <xdr:blipFill>
        <a:blip xmlns:r="http://schemas.openxmlformats.org/officeDocument/2006/relationships" r:embed="rId46" cstate="print">
          <a:extLst>
            <a:ext uri="{28A0092B-C50C-407E-A947-70E740481C1C}">
              <a14:useLocalDpi xmlns:a14="http://schemas.microsoft.com/office/drawing/2010/main" val="0"/>
            </a:ext>
          </a:extLst>
        </a:blip>
        <a:stretch>
          <a:fillRect/>
        </a:stretch>
      </xdr:blipFill>
      <xdr:spPr>
        <a:xfrm>
          <a:off x="33956625" y="2085974"/>
          <a:ext cx="229883" cy="229883"/>
        </a:xfrm>
        <a:prstGeom prst="rect">
          <a:avLst/>
        </a:prstGeom>
      </xdr:spPr>
    </xdr:pic>
    <xdr:clientData/>
  </xdr:twoCellAnchor>
  <xdr:twoCellAnchor editAs="oneCell">
    <xdr:from>
      <xdr:col>36</xdr:col>
      <xdr:colOff>228600</xdr:colOff>
      <xdr:row>6</xdr:row>
      <xdr:rowOff>19049</xdr:rowOff>
    </xdr:from>
    <xdr:to>
      <xdr:col>36</xdr:col>
      <xdr:colOff>774051</xdr:colOff>
      <xdr:row>6</xdr:row>
      <xdr:rowOff>561975</xdr:rowOff>
    </xdr:to>
    <xdr:pic>
      <xdr:nvPicPr>
        <xdr:cNvPr id="47" name="Gráfico 46" descr="Barril de petróleo">
          <a:extLst>
            <a:ext uri="{FF2B5EF4-FFF2-40B4-BE49-F238E27FC236}">
              <a16:creationId xmlns:a16="http://schemas.microsoft.com/office/drawing/2014/main" id="{9F881B6B-837A-4FF8-9AEC-A2D04913522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33537525" y="2076449"/>
          <a:ext cx="545451" cy="542925"/>
        </a:xfrm>
        <a:prstGeom prst="rect">
          <a:avLst/>
        </a:prstGeom>
      </xdr:spPr>
    </xdr:pic>
    <xdr:clientData/>
  </xdr:twoCellAnchor>
  <xdr:twoCellAnchor editAs="oneCell">
    <xdr:from>
      <xdr:col>38</xdr:col>
      <xdr:colOff>66675</xdr:colOff>
      <xdr:row>6</xdr:row>
      <xdr:rowOff>76200</xdr:rowOff>
    </xdr:from>
    <xdr:to>
      <xdr:col>38</xdr:col>
      <xdr:colOff>857983</xdr:colOff>
      <xdr:row>6</xdr:row>
      <xdr:rowOff>533400</xdr:rowOff>
    </xdr:to>
    <xdr:pic>
      <xdr:nvPicPr>
        <xdr:cNvPr id="49" name="Imagen 48">
          <a:extLst>
            <a:ext uri="{FF2B5EF4-FFF2-40B4-BE49-F238E27FC236}">
              <a16:creationId xmlns:a16="http://schemas.microsoft.com/office/drawing/2014/main" id="{A60EEC73-2DCB-4F0A-B711-91B77E4453A1}"/>
            </a:ext>
          </a:extLst>
        </xdr:cNvPr>
        <xdr:cNvPicPr>
          <a:picLocks noChangeAspect="1"/>
        </xdr:cNvPicPr>
      </xdr:nvPicPr>
      <xdr:blipFill>
        <a:blip xmlns:r="http://schemas.openxmlformats.org/officeDocument/2006/relationships" r:embed="rId47" cstate="print">
          <a:extLst>
            <a:ext uri="{BEBA8EAE-BF5A-486C-A8C5-ECC9F3942E4B}">
              <a14:imgProps xmlns:a14="http://schemas.microsoft.com/office/drawing/2010/main">
                <a14:imgLayer r:embed="rId48">
                  <a14:imgEffect>
                    <a14:backgroundRemoval t="3846" b="98077" l="10000" r="90000">
                      <a14:foregroundMark x1="48889" y1="12885" x2="48889" y2="12885"/>
                      <a14:foregroundMark x1="47222" y1="4038" x2="47222" y2="4038"/>
                      <a14:foregroundMark x1="48889" y1="86154" x2="48889" y2="86154"/>
                      <a14:foregroundMark x1="64778" y1="98077" x2="64778" y2="98077"/>
                    </a14:backgroundRemoval>
                  </a14:imgEffect>
                </a14:imgLayer>
              </a14:imgProps>
            </a:ext>
            <a:ext uri="{28A0092B-C50C-407E-A947-70E740481C1C}">
              <a14:useLocalDpi xmlns:a14="http://schemas.microsoft.com/office/drawing/2010/main" val="0"/>
            </a:ext>
          </a:extLst>
        </a:blip>
        <a:stretch>
          <a:fillRect/>
        </a:stretch>
      </xdr:blipFill>
      <xdr:spPr>
        <a:xfrm>
          <a:off x="35204400" y="2133600"/>
          <a:ext cx="791308" cy="457200"/>
        </a:xfrm>
        <a:prstGeom prst="rect">
          <a:avLst/>
        </a:prstGeom>
      </xdr:spPr>
    </xdr:pic>
    <xdr:clientData/>
  </xdr:twoCellAnchor>
  <xdr:twoCellAnchor editAs="oneCell">
    <xdr:from>
      <xdr:col>42</xdr:col>
      <xdr:colOff>104776</xdr:colOff>
      <xdr:row>5</xdr:row>
      <xdr:rowOff>57150</xdr:rowOff>
    </xdr:from>
    <xdr:to>
      <xdr:col>42</xdr:col>
      <xdr:colOff>845943</xdr:colOff>
      <xdr:row>7</xdr:row>
      <xdr:rowOff>156421</xdr:rowOff>
    </xdr:to>
    <xdr:pic>
      <xdr:nvPicPr>
        <xdr:cNvPr id="51" name="Imagen 50">
          <a:extLst>
            <a:ext uri="{FF2B5EF4-FFF2-40B4-BE49-F238E27FC236}">
              <a16:creationId xmlns:a16="http://schemas.microsoft.com/office/drawing/2014/main" id="{02A80D57-C997-48D7-8AF6-BD34C41C763C}"/>
            </a:ext>
          </a:extLst>
        </xdr:cNvPr>
        <xdr:cNvPicPr>
          <a:picLocks noChangeAspect="1"/>
        </xdr:cNvPicPr>
      </xdr:nvPicPr>
      <xdr:blipFill>
        <a:blip xmlns:r="http://schemas.openxmlformats.org/officeDocument/2006/relationships" r:embed="rId49" cstate="print">
          <a:biLevel thresh="75000"/>
          <a:extLst>
            <a:ext uri="{BEBA8EAE-BF5A-486C-A8C5-ECC9F3942E4B}">
              <a14:imgProps xmlns:a14="http://schemas.microsoft.com/office/drawing/2010/main">
                <a14:imgLayer r:embed="rId50">
                  <a14:imgEffect>
                    <a14:backgroundRemoval t="10000" b="90000" l="10000" r="90000">
                      <a14:foregroundMark x1="53923" y1="32230" x2="53923" y2="32230"/>
                      <a14:foregroundMark x1="50615" y1="28633" x2="50615" y2="28633"/>
                      <a14:foregroundMark x1="61538" y1="31727" x2="61538" y2="31727"/>
                      <a14:foregroundMark x1="68385" y1="38417" x2="68385" y2="38417"/>
                      <a14:foregroundMark x1="40231" y1="31439" x2="40231" y2="31439"/>
                      <a14:foregroundMark x1="33462" y1="36547" x2="33462" y2="36547"/>
                      <a14:foregroundMark x1="29154" y1="47914" x2="29154" y2="47914"/>
                      <a14:foregroundMark x1="47692" y1="45180" x2="47692" y2="45180"/>
                      <a14:foregroundMark x1="54923" y1="44604" x2="54923" y2="44604"/>
                      <a14:foregroundMark x1="71231" y1="48058" x2="71231" y2="48058"/>
                      <a14:foregroundMark x1="32231" y1="57554" x2="32231" y2="57554"/>
                      <a14:foregroundMark x1="38000" y1="63237" x2="38000" y2="63237"/>
                      <a14:foregroundMark x1="50615" y1="66115" x2="50615" y2="66115"/>
                      <a14:foregroundMark x1="59769" y1="64892" x2="59769" y2="64892"/>
                      <a14:foregroundMark x1="66385" y1="59353" x2="66385" y2="59353"/>
                      <a14:backgroundMark x1="52923" y1="47554" x2="52923" y2="47554"/>
                      <a14:backgroundMark x1="50000" y1="18777" x2="50000" y2="18777"/>
                    </a14:backgroundRemoval>
                  </a14:imgEffect>
                </a14:imgLayer>
              </a14:imgProps>
            </a:ext>
            <a:ext uri="{28A0092B-C50C-407E-A947-70E740481C1C}">
              <a14:useLocalDpi xmlns:a14="http://schemas.microsoft.com/office/drawing/2010/main" val="0"/>
            </a:ext>
          </a:extLst>
        </a:blip>
        <a:stretch>
          <a:fillRect/>
        </a:stretch>
      </xdr:blipFill>
      <xdr:spPr>
        <a:xfrm>
          <a:off x="38900101" y="2019300"/>
          <a:ext cx="741167" cy="792479"/>
        </a:xfrm>
        <a:prstGeom prst="rect">
          <a:avLst/>
        </a:prstGeom>
      </xdr:spPr>
    </xdr:pic>
    <xdr:clientData/>
  </xdr:twoCellAnchor>
  <xdr:twoCellAnchor editAs="oneCell">
    <xdr:from>
      <xdr:col>43</xdr:col>
      <xdr:colOff>257174</xdr:colOff>
      <xdr:row>6</xdr:row>
      <xdr:rowOff>76199</xdr:rowOff>
    </xdr:from>
    <xdr:to>
      <xdr:col>43</xdr:col>
      <xdr:colOff>723899</xdr:colOff>
      <xdr:row>6</xdr:row>
      <xdr:rowOff>542924</xdr:rowOff>
    </xdr:to>
    <xdr:pic>
      <xdr:nvPicPr>
        <xdr:cNvPr id="53" name="Imagen 52">
          <a:extLst>
            <a:ext uri="{FF2B5EF4-FFF2-40B4-BE49-F238E27FC236}">
              <a16:creationId xmlns:a16="http://schemas.microsoft.com/office/drawing/2014/main" id="{9A1613D8-3C5A-4AAF-8039-291C0F0A5F9E}"/>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39966899" y="2133599"/>
          <a:ext cx="466725" cy="466725"/>
        </a:xfrm>
        <a:prstGeom prst="rect">
          <a:avLst/>
        </a:prstGeom>
      </xdr:spPr>
    </xdr:pic>
    <xdr:clientData/>
  </xdr:twoCellAnchor>
  <xdr:twoCellAnchor editAs="oneCell">
    <xdr:from>
      <xdr:col>44</xdr:col>
      <xdr:colOff>123825</xdr:colOff>
      <xdr:row>6</xdr:row>
      <xdr:rowOff>38100</xdr:rowOff>
    </xdr:from>
    <xdr:to>
      <xdr:col>44</xdr:col>
      <xdr:colOff>838199</xdr:colOff>
      <xdr:row>6</xdr:row>
      <xdr:rowOff>536236</xdr:rowOff>
    </xdr:to>
    <xdr:pic>
      <xdr:nvPicPr>
        <xdr:cNvPr id="57" name="Imagen 56">
          <a:extLst>
            <a:ext uri="{FF2B5EF4-FFF2-40B4-BE49-F238E27FC236}">
              <a16:creationId xmlns:a16="http://schemas.microsoft.com/office/drawing/2014/main" id="{A33C136A-D180-47FE-98E6-CF2E9251A625}"/>
            </a:ext>
          </a:extLst>
        </xdr:cNvPr>
        <xdr:cNvPicPr>
          <a:picLocks noChangeAspect="1"/>
        </xdr:cNvPicPr>
      </xdr:nvPicPr>
      <xdr:blipFill rotWithShape="1">
        <a:blip xmlns:r="http://schemas.openxmlformats.org/officeDocument/2006/relationships" r:embed="rId52" cstate="print">
          <a:biLevel thresh="50000"/>
          <a:extLst>
            <a:ext uri="{BEBA8EAE-BF5A-486C-A8C5-ECC9F3942E4B}">
              <a14:imgProps xmlns:a14="http://schemas.microsoft.com/office/drawing/2010/main">
                <a14:imgLayer r:embed="rId53">
                  <a14:imgEffect>
                    <a14:backgroundRemoval t="25601" b="81385" l="10000" r="90000">
                      <a14:foregroundMark x1="47769" y1="70692" x2="53538" y2="77692"/>
                      <a14:foregroundMark x1="49231" y1="42538" x2="52538" y2="47308"/>
                      <a14:foregroundMark x1="54769" y1="42385" x2="54769" y2="42385"/>
                      <a14:foregroundMark x1="21692" y1="54308" x2="21692" y2="54308"/>
                      <a14:foregroundMark x1="12538" y1="48154" x2="12538" y2="48154"/>
                      <a14:foregroundMark x1="13000" y1="41538" x2="13000" y2="41538"/>
                      <a14:foregroundMark x1="85692" y1="49231" x2="85692" y2="49231"/>
                      <a14:foregroundMark x1="49846" y1="32615" x2="49846" y2="32615"/>
                    </a14:backgroundRemoval>
                  </a14:imgEffect>
                </a14:imgLayer>
              </a14:imgProps>
            </a:ext>
            <a:ext uri="{28A0092B-C50C-407E-A947-70E740481C1C}">
              <a14:useLocalDpi xmlns:a14="http://schemas.microsoft.com/office/drawing/2010/main" val="0"/>
            </a:ext>
          </a:extLst>
        </a:blip>
        <a:srcRect t="18628" b="11642"/>
        <a:stretch/>
      </xdr:blipFill>
      <xdr:spPr>
        <a:xfrm>
          <a:off x="40747950" y="2095500"/>
          <a:ext cx="714374" cy="498136"/>
        </a:xfrm>
        <a:prstGeom prst="rect">
          <a:avLst/>
        </a:prstGeom>
      </xdr:spPr>
    </xdr:pic>
    <xdr:clientData/>
  </xdr:twoCellAnchor>
  <xdr:twoCellAnchor editAs="oneCell">
    <xdr:from>
      <xdr:col>46</xdr:col>
      <xdr:colOff>323850</xdr:colOff>
      <xdr:row>6</xdr:row>
      <xdr:rowOff>190500</xdr:rowOff>
    </xdr:from>
    <xdr:to>
      <xdr:col>46</xdr:col>
      <xdr:colOff>863880</xdr:colOff>
      <xdr:row>7</xdr:row>
      <xdr:rowOff>57130</xdr:rowOff>
    </xdr:to>
    <xdr:pic>
      <xdr:nvPicPr>
        <xdr:cNvPr id="58" name="Imagen 57">
          <a:extLst>
            <a:ext uri="{FF2B5EF4-FFF2-40B4-BE49-F238E27FC236}">
              <a16:creationId xmlns:a16="http://schemas.microsoft.com/office/drawing/2014/main" id="{48E4ACAA-CFEB-40EE-A87F-F42176A8C778}"/>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Lst>
        </a:blip>
        <a:stretch>
          <a:fillRect/>
        </a:stretch>
      </xdr:blipFill>
      <xdr:spPr>
        <a:xfrm>
          <a:off x="42938700" y="2200275"/>
          <a:ext cx="540030" cy="504805"/>
        </a:xfrm>
        <a:prstGeom prst="rect">
          <a:avLst/>
        </a:prstGeom>
      </xdr:spPr>
    </xdr:pic>
    <xdr:clientData/>
  </xdr:twoCellAnchor>
  <xdr:twoCellAnchor editAs="oneCell">
    <xdr:from>
      <xdr:col>49</xdr:col>
      <xdr:colOff>332693</xdr:colOff>
      <xdr:row>6</xdr:row>
      <xdr:rowOff>71437</xdr:rowOff>
    </xdr:from>
    <xdr:to>
      <xdr:col>49</xdr:col>
      <xdr:colOff>759263</xdr:colOff>
      <xdr:row>6</xdr:row>
      <xdr:rowOff>498007</xdr:rowOff>
    </xdr:to>
    <xdr:pic>
      <xdr:nvPicPr>
        <xdr:cNvPr id="59" name="Imagen 58">
          <a:extLst>
            <a:ext uri="{FF2B5EF4-FFF2-40B4-BE49-F238E27FC236}">
              <a16:creationId xmlns:a16="http://schemas.microsoft.com/office/drawing/2014/main" id="{7D6AF0E8-B1A6-4E49-B441-2B6A07E486A4}"/>
            </a:ext>
          </a:extLst>
        </xdr:cNvPr>
        <xdr:cNvPicPr>
          <a:picLocks noChangeAspect="1"/>
        </xdr:cNvPicPr>
      </xdr:nvPicPr>
      <xdr:blipFill>
        <a:blip xmlns:r="http://schemas.openxmlformats.org/officeDocument/2006/relationships" r:embed="rId55" cstate="print">
          <a:extLst>
            <a:ext uri="{BEBA8EAE-BF5A-486C-A8C5-ECC9F3942E4B}">
              <a14:imgProps xmlns:a14="http://schemas.microsoft.com/office/drawing/2010/main">
                <a14:imgLayer r:embed="rId56">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3947668" y="2128837"/>
          <a:ext cx="426570" cy="426570"/>
        </a:xfrm>
        <a:prstGeom prst="rect">
          <a:avLst/>
        </a:prstGeom>
      </xdr:spPr>
    </xdr:pic>
    <xdr:clientData/>
  </xdr:twoCellAnchor>
  <xdr:twoCellAnchor editAs="oneCell">
    <xdr:from>
      <xdr:col>50</xdr:col>
      <xdr:colOff>170090</xdr:colOff>
      <xdr:row>6</xdr:row>
      <xdr:rowOff>9524</xdr:rowOff>
    </xdr:from>
    <xdr:to>
      <xdr:col>50</xdr:col>
      <xdr:colOff>800100</xdr:colOff>
      <xdr:row>7</xdr:row>
      <xdr:rowOff>1652</xdr:rowOff>
    </xdr:to>
    <xdr:pic>
      <xdr:nvPicPr>
        <xdr:cNvPr id="60" name="Gráfico 59" descr="Convertible">
          <a:extLst>
            <a:ext uri="{FF2B5EF4-FFF2-40B4-BE49-F238E27FC236}">
              <a16:creationId xmlns:a16="http://schemas.microsoft.com/office/drawing/2014/main" id="{5F470CF6-9B7C-4BF1-B2BC-F8B933E9E1D4}"/>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44766140" y="2066924"/>
          <a:ext cx="630010" cy="625011"/>
        </a:xfrm>
        <a:prstGeom prst="rect">
          <a:avLst/>
        </a:prstGeom>
      </xdr:spPr>
    </xdr:pic>
    <xdr:clientData/>
  </xdr:twoCellAnchor>
  <xdr:twoCellAnchor editAs="oneCell">
    <xdr:from>
      <xdr:col>53</xdr:col>
      <xdr:colOff>257173</xdr:colOff>
      <xdr:row>6</xdr:row>
      <xdr:rowOff>38099</xdr:rowOff>
    </xdr:from>
    <xdr:to>
      <xdr:col>53</xdr:col>
      <xdr:colOff>723898</xdr:colOff>
      <xdr:row>6</xdr:row>
      <xdr:rowOff>504824</xdr:rowOff>
    </xdr:to>
    <xdr:pic>
      <xdr:nvPicPr>
        <xdr:cNvPr id="62" name="Imagen 61">
          <a:extLst>
            <a:ext uri="{FF2B5EF4-FFF2-40B4-BE49-F238E27FC236}">
              <a16:creationId xmlns:a16="http://schemas.microsoft.com/office/drawing/2014/main" id="{77221301-C9C1-4526-8F95-8D373C182BFE}"/>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46815373" y="2095499"/>
          <a:ext cx="466725" cy="466725"/>
        </a:xfrm>
        <a:prstGeom prst="rect">
          <a:avLst/>
        </a:prstGeom>
      </xdr:spPr>
    </xdr:pic>
    <xdr:clientData/>
  </xdr:twoCellAnchor>
  <xdr:twoCellAnchor editAs="oneCell">
    <xdr:from>
      <xdr:col>33</xdr:col>
      <xdr:colOff>38100</xdr:colOff>
      <xdr:row>4</xdr:row>
      <xdr:rowOff>222712</xdr:rowOff>
    </xdr:from>
    <xdr:to>
      <xdr:col>34</xdr:col>
      <xdr:colOff>87840</xdr:colOff>
      <xdr:row>6</xdr:row>
      <xdr:rowOff>5159</xdr:rowOff>
    </xdr:to>
    <xdr:pic>
      <xdr:nvPicPr>
        <xdr:cNvPr id="11" name="Imagen 10">
          <a:extLst>
            <a:ext uri="{FF2B5EF4-FFF2-40B4-BE49-F238E27FC236}">
              <a16:creationId xmlns:a16="http://schemas.microsoft.com/office/drawing/2014/main" id="{6AE00F57-86FF-4C66-A9A5-9B6A2CB540CF}"/>
            </a:ext>
          </a:extLst>
        </xdr:cNvPr>
        <xdr:cNvPicPr>
          <a:picLocks noChangeAspect="1"/>
        </xdr:cNvPicPr>
      </xdr:nvPicPr>
      <xdr:blipFill rotWithShape="1">
        <a:blip xmlns:r="http://schemas.openxmlformats.org/officeDocument/2006/relationships" r:embed="rId57" cstate="print">
          <a:biLevel thresh="50000"/>
          <a:extLst>
            <a:ext uri="{BEBA8EAE-BF5A-486C-A8C5-ECC9F3942E4B}">
              <a14:imgProps xmlns:a14="http://schemas.microsoft.com/office/drawing/2010/main">
                <a14:imgLayer r:embed="rId58">
                  <a14:imgEffect>
                    <a14:backgroundRemoval t="6353" b="59529" l="9412" r="89412">
                      <a14:foregroundMark x1="19294" y1="58353" x2="19294" y2="58353"/>
                      <a14:foregroundMark x1="24941" y1="59529" x2="24941" y2="59529"/>
                      <a14:foregroundMark x1="75765" y1="59529" x2="75765" y2="59529"/>
                      <a14:backgroundMark x1="43765" y1="44471" x2="43765" y2="44471"/>
                      <a14:backgroundMark x1="40235" y1="35059" x2="42824" y2="30353"/>
                      <a14:backgroundMark x1="59059" y1="34353" x2="59059" y2="34353"/>
                      <a14:backgroundMark x1="55765" y1="28941" x2="55765" y2="28941"/>
                    </a14:backgroundRemoval>
                  </a14:imgEffect>
                </a14:imgLayer>
              </a14:imgProps>
            </a:ext>
            <a:ext uri="{28A0092B-C50C-407E-A947-70E740481C1C}">
              <a14:useLocalDpi xmlns:a14="http://schemas.microsoft.com/office/drawing/2010/main" val="0"/>
            </a:ext>
          </a:extLst>
        </a:blip>
        <a:srcRect b="35425"/>
        <a:stretch/>
      </xdr:blipFill>
      <xdr:spPr>
        <a:xfrm>
          <a:off x="26612850" y="1899112"/>
          <a:ext cx="1030817" cy="664462"/>
        </a:xfrm>
        <a:prstGeom prst="rect">
          <a:avLst/>
        </a:prstGeom>
      </xdr:spPr>
    </xdr:pic>
    <xdr:clientData/>
  </xdr:twoCellAnchor>
  <xdr:twoCellAnchor editAs="oneCell">
    <xdr:from>
      <xdr:col>52</xdr:col>
      <xdr:colOff>337038</xdr:colOff>
      <xdr:row>6</xdr:row>
      <xdr:rowOff>65942</xdr:rowOff>
    </xdr:from>
    <xdr:to>
      <xdr:col>52</xdr:col>
      <xdr:colOff>783980</xdr:colOff>
      <xdr:row>6</xdr:row>
      <xdr:rowOff>512884</xdr:rowOff>
    </xdr:to>
    <xdr:pic>
      <xdr:nvPicPr>
        <xdr:cNvPr id="18" name="Imagen 17">
          <a:extLst>
            <a:ext uri="{FF2B5EF4-FFF2-40B4-BE49-F238E27FC236}">
              <a16:creationId xmlns:a16="http://schemas.microsoft.com/office/drawing/2014/main" id="{E6BA9A11-EA8E-446C-833E-F3931C90F371}"/>
            </a:ext>
          </a:extLst>
        </xdr:cNvPr>
        <xdr:cNvPicPr>
          <a:picLocks noChangeAspect="1"/>
        </xdr:cNvPicPr>
      </xdr:nvPicPr>
      <xdr:blipFill>
        <a:blip xmlns:r="http://schemas.openxmlformats.org/officeDocument/2006/relationships" r:embed="rId59" cstate="print">
          <a:biLevel thresh="50000"/>
          <a:extLst>
            <a:ext uri="{28A0092B-C50C-407E-A947-70E740481C1C}">
              <a14:useLocalDpi xmlns:a14="http://schemas.microsoft.com/office/drawing/2010/main" val="0"/>
            </a:ext>
          </a:extLst>
        </a:blip>
        <a:stretch>
          <a:fillRect/>
        </a:stretch>
      </xdr:blipFill>
      <xdr:spPr>
        <a:xfrm>
          <a:off x="45969115" y="2088173"/>
          <a:ext cx="446942" cy="446942"/>
        </a:xfrm>
        <a:prstGeom prst="rect">
          <a:avLst/>
        </a:prstGeom>
      </xdr:spPr>
    </xdr:pic>
    <xdr:clientData/>
  </xdr:twoCellAnchor>
  <xdr:twoCellAnchor editAs="oneCell">
    <xdr:from>
      <xdr:col>4</xdr:col>
      <xdr:colOff>390525</xdr:colOff>
      <xdr:row>6</xdr:row>
      <xdr:rowOff>76200</xdr:rowOff>
    </xdr:from>
    <xdr:to>
      <xdr:col>4</xdr:col>
      <xdr:colOff>872888</xdr:colOff>
      <xdr:row>6</xdr:row>
      <xdr:rowOff>548108</xdr:rowOff>
    </xdr:to>
    <xdr:pic>
      <xdr:nvPicPr>
        <xdr:cNvPr id="52" name="Imagen 51">
          <a:extLst>
            <a:ext uri="{FF2B5EF4-FFF2-40B4-BE49-F238E27FC236}">
              <a16:creationId xmlns:a16="http://schemas.microsoft.com/office/drawing/2014/main" id="{913503B1-8BDB-4E0B-B112-4F676B87E199}"/>
            </a:ext>
          </a:extLst>
        </xdr:cNvPr>
        <xdr:cNvPicPr>
          <a:picLocks noChangeAspect="1"/>
        </xdr:cNvPicPr>
      </xdr:nvPicPr>
      <xdr:blipFill>
        <a:blip xmlns:r="http://schemas.openxmlformats.org/officeDocument/2006/relationships" r:embed="rId60" cstate="print">
          <a:biLevel thresh="75000"/>
          <a:extLst>
            <a:ext uri="{28A0092B-C50C-407E-A947-70E740481C1C}">
              <a14:useLocalDpi xmlns:a14="http://schemas.microsoft.com/office/drawing/2010/main" val="0"/>
            </a:ext>
          </a:extLst>
        </a:blip>
        <a:stretch>
          <a:fillRect/>
        </a:stretch>
      </xdr:blipFill>
      <xdr:spPr>
        <a:xfrm>
          <a:off x="3943350" y="2085975"/>
          <a:ext cx="482363" cy="471908"/>
        </a:xfrm>
        <a:prstGeom prst="rect">
          <a:avLst/>
        </a:prstGeom>
        <a:noFill/>
      </xdr:spPr>
    </xdr:pic>
    <xdr:clientData/>
  </xdr:twoCellAnchor>
  <xdr:twoCellAnchor editAs="oneCell">
    <xdr:from>
      <xdr:col>14</xdr:col>
      <xdr:colOff>381000</xdr:colOff>
      <xdr:row>6</xdr:row>
      <xdr:rowOff>19050</xdr:rowOff>
    </xdr:from>
    <xdr:to>
      <xdr:col>14</xdr:col>
      <xdr:colOff>971549</xdr:colOff>
      <xdr:row>6</xdr:row>
      <xdr:rowOff>611716</xdr:rowOff>
    </xdr:to>
    <xdr:pic>
      <xdr:nvPicPr>
        <xdr:cNvPr id="54" name="Gráfico 53" descr="Hucha">
          <a:extLst>
            <a:ext uri="{FF2B5EF4-FFF2-40B4-BE49-F238E27FC236}">
              <a16:creationId xmlns:a16="http://schemas.microsoft.com/office/drawing/2014/main" id="{B4133A05-2C35-4B62-9580-03E8D5735A85}"/>
            </a:ext>
          </a:extLst>
        </xdr:cNvPr>
        <xdr:cNvPicPr>
          <a:picLocks noChangeAspect="1"/>
        </xdr:cNvPicPr>
      </xdr:nvPicPr>
      <xdr:blipFill>
        <a:blip xmlns:r="http://schemas.openxmlformats.org/officeDocument/2006/relationships" r:embed="rId17">
          <a:biLevel thresh="75000"/>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3087350" y="2028825"/>
          <a:ext cx="590549" cy="592666"/>
        </a:xfrm>
        <a:prstGeom prst="rect">
          <a:avLst/>
        </a:prstGeom>
      </xdr:spPr>
    </xdr:pic>
    <xdr:clientData/>
  </xdr:twoCellAnchor>
  <xdr:oneCellAnchor>
    <xdr:from>
      <xdr:col>47</xdr:col>
      <xdr:colOff>381000</xdr:colOff>
      <xdr:row>6</xdr:row>
      <xdr:rowOff>19050</xdr:rowOff>
    </xdr:from>
    <xdr:ext cx="590549" cy="592666"/>
    <xdr:pic>
      <xdr:nvPicPr>
        <xdr:cNvPr id="55" name="Gráfico 54" descr="Hucha">
          <a:extLst>
            <a:ext uri="{FF2B5EF4-FFF2-40B4-BE49-F238E27FC236}">
              <a16:creationId xmlns:a16="http://schemas.microsoft.com/office/drawing/2014/main" id="{EBCD7C65-D61E-43A3-BBB9-61290CFCF43C}"/>
            </a:ext>
          </a:extLst>
        </xdr:cNvPr>
        <xdr:cNvPicPr>
          <a:picLocks noChangeAspect="1"/>
        </xdr:cNvPicPr>
      </xdr:nvPicPr>
      <xdr:blipFill>
        <a:blip xmlns:r="http://schemas.openxmlformats.org/officeDocument/2006/relationships" r:embed="rId17">
          <a:biLevel thresh="75000"/>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3087350" y="2028825"/>
          <a:ext cx="590549" cy="592666"/>
        </a:xfrm>
        <a:prstGeom prst="rect">
          <a:avLst/>
        </a:prstGeom>
      </xdr:spPr>
    </xdr:pic>
    <xdr:clientData/>
  </xdr:oneCellAnchor>
  <xdr:oneCellAnchor>
    <xdr:from>
      <xdr:col>55</xdr:col>
      <xdr:colOff>0</xdr:colOff>
      <xdr:row>29</xdr:row>
      <xdr:rowOff>38100</xdr:rowOff>
    </xdr:from>
    <xdr:ext cx="658429" cy="635501"/>
    <xdr:pic>
      <xdr:nvPicPr>
        <xdr:cNvPr id="48" name="Imagen 47">
          <a:extLst>
            <a:ext uri="{FF2B5EF4-FFF2-40B4-BE49-F238E27FC236}">
              <a16:creationId xmlns:a16="http://schemas.microsoft.com/office/drawing/2014/main" id="{6EAC08A9-ABB3-4072-B635-0283D84E6EA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986200" y="7019925"/>
          <a:ext cx="658429" cy="635501"/>
        </a:xfrm>
        <a:prstGeom prst="rect">
          <a:avLst/>
        </a:prstGeom>
      </xdr:spPr>
    </xdr:pic>
    <xdr:clientData/>
  </xdr:oneCellAnchor>
  <xdr:twoCellAnchor editAs="oneCell">
    <xdr:from>
      <xdr:col>48</xdr:col>
      <xdr:colOff>352425</xdr:colOff>
      <xdr:row>6</xdr:row>
      <xdr:rowOff>171450</xdr:rowOff>
    </xdr:from>
    <xdr:to>
      <xdr:col>48</xdr:col>
      <xdr:colOff>744671</xdr:colOff>
      <xdr:row>6</xdr:row>
      <xdr:rowOff>563696</xdr:rowOff>
    </xdr:to>
    <xdr:pic>
      <xdr:nvPicPr>
        <xdr:cNvPr id="50" name="Imagen 49">
          <a:extLst>
            <a:ext uri="{FF2B5EF4-FFF2-40B4-BE49-F238E27FC236}">
              <a16:creationId xmlns:a16="http://schemas.microsoft.com/office/drawing/2014/main" id="{C078AA23-B173-42F3-A085-71C9E4C01898}"/>
            </a:ext>
          </a:extLst>
        </xdr:cNvPr>
        <xdr:cNvPicPr>
          <a:picLocks noChangeAspect="1"/>
        </xdr:cNvPicPr>
      </xdr:nvPicPr>
      <xdr:blipFill>
        <a:blip xmlns:r="http://schemas.openxmlformats.org/officeDocument/2006/relationships" r:embed="rId61">
          <a:biLevel thresh="75000"/>
          <a:extLst>
            <a:ext uri="{BEBA8EAE-BF5A-486C-A8C5-ECC9F3942E4B}">
              <a14:imgProps xmlns:a14="http://schemas.microsoft.com/office/drawing/2010/main">
                <a14:imgLayer r:embed="rId62">
                  <a14:imgEffect>
                    <a14:saturation sat="0"/>
                  </a14:imgEffect>
                </a14:imgLayer>
              </a14:imgProps>
            </a:ext>
            <a:ext uri="{28A0092B-C50C-407E-A947-70E740481C1C}">
              <a14:useLocalDpi xmlns:a14="http://schemas.microsoft.com/office/drawing/2010/main" val="0"/>
            </a:ext>
          </a:extLst>
        </a:blip>
        <a:stretch>
          <a:fillRect/>
        </a:stretch>
      </xdr:blipFill>
      <xdr:spPr>
        <a:xfrm>
          <a:off x="44910375" y="2181225"/>
          <a:ext cx="392246" cy="392246"/>
        </a:xfrm>
        <a:prstGeom prst="rect">
          <a:avLst/>
        </a:prstGeom>
      </xdr:spPr>
    </xdr:pic>
    <xdr:clientData/>
  </xdr:twoCellAnchor>
  <xdr:twoCellAnchor editAs="oneCell">
    <xdr:from>
      <xdr:col>26</xdr:col>
      <xdr:colOff>457200</xdr:colOff>
      <xdr:row>6</xdr:row>
      <xdr:rowOff>57150</xdr:rowOff>
    </xdr:from>
    <xdr:to>
      <xdr:col>26</xdr:col>
      <xdr:colOff>957217</xdr:colOff>
      <xdr:row>6</xdr:row>
      <xdr:rowOff>557167</xdr:rowOff>
    </xdr:to>
    <xdr:pic>
      <xdr:nvPicPr>
        <xdr:cNvPr id="4" name="Gráfico 3" descr="Árbol de hojas podridas">
          <a:extLst>
            <a:ext uri="{FF2B5EF4-FFF2-40B4-BE49-F238E27FC236}">
              <a16:creationId xmlns:a16="http://schemas.microsoft.com/office/drawing/2014/main" id="{EF9C4AE8-EEF7-4A98-BBB6-36D9538B9F4E}"/>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26879550" y="2066925"/>
          <a:ext cx="500017" cy="5000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2</xdr:row>
      <xdr:rowOff>76200</xdr:rowOff>
    </xdr:from>
    <xdr:to>
      <xdr:col>0</xdr:col>
      <xdr:colOff>539513</xdr:colOff>
      <xdr:row>2</xdr:row>
      <xdr:rowOff>548108</xdr:rowOff>
    </xdr:to>
    <xdr:pic>
      <xdr:nvPicPr>
        <xdr:cNvPr id="2" name="Imagen 1">
          <a:extLst>
            <a:ext uri="{FF2B5EF4-FFF2-40B4-BE49-F238E27FC236}">
              <a16:creationId xmlns:a16="http://schemas.microsoft.com/office/drawing/2014/main" id="{0E70CCCA-209E-4E85-BA34-B1E8B30D8C40}"/>
            </a:ext>
          </a:extLst>
        </xdr:cNvPr>
        <xdr:cNvPicPr>
          <a:picLocks noChangeAspect="1"/>
        </xdr:cNvPicPr>
      </xdr:nvPicPr>
      <xdr:blipFill>
        <a:blip xmlns:r="http://schemas.openxmlformats.org/officeDocument/2006/relationships" r:embed="rId1" cstate="print">
          <a:biLevel thresh="75000"/>
          <a:extLst>
            <a:ext uri="{28A0092B-C50C-407E-A947-70E740481C1C}">
              <a14:useLocalDpi xmlns:a14="http://schemas.microsoft.com/office/drawing/2010/main" val="0"/>
            </a:ext>
          </a:extLst>
        </a:blip>
        <a:stretch>
          <a:fillRect/>
        </a:stretch>
      </xdr:blipFill>
      <xdr:spPr>
        <a:xfrm>
          <a:off x="57150" y="1104900"/>
          <a:ext cx="482363" cy="471908"/>
        </a:xfrm>
        <a:prstGeom prst="rect">
          <a:avLst/>
        </a:prstGeom>
        <a:noFill/>
      </xdr:spPr>
    </xdr:pic>
    <xdr:clientData/>
  </xdr:twoCellAnchor>
  <xdr:twoCellAnchor editAs="oneCell">
    <xdr:from>
      <xdr:col>0</xdr:col>
      <xdr:colOff>114300</xdr:colOff>
      <xdr:row>1</xdr:row>
      <xdr:rowOff>66675</xdr:rowOff>
    </xdr:from>
    <xdr:to>
      <xdr:col>0</xdr:col>
      <xdr:colOff>594452</xdr:colOff>
      <xdr:row>1</xdr:row>
      <xdr:rowOff>530976</xdr:rowOff>
    </xdr:to>
    <xdr:pic>
      <xdr:nvPicPr>
        <xdr:cNvPr id="3" name="Imagen 2">
          <a:extLst>
            <a:ext uri="{FF2B5EF4-FFF2-40B4-BE49-F238E27FC236}">
              <a16:creationId xmlns:a16="http://schemas.microsoft.com/office/drawing/2014/main" id="{14ED0E96-72A4-4819-845D-B2B38C9ACFB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466725"/>
          <a:ext cx="480152" cy="464301"/>
        </a:xfrm>
        <a:prstGeom prst="rect">
          <a:avLst/>
        </a:prstGeom>
      </xdr:spPr>
    </xdr:pic>
    <xdr:clientData/>
  </xdr:twoCellAnchor>
  <xdr:twoCellAnchor editAs="oneCell">
    <xdr:from>
      <xdr:col>0</xdr:col>
      <xdr:colOff>47625</xdr:colOff>
      <xdr:row>3</xdr:row>
      <xdr:rowOff>38100</xdr:rowOff>
    </xdr:from>
    <xdr:to>
      <xdr:col>0</xdr:col>
      <xdr:colOff>537836</xdr:colOff>
      <xdr:row>3</xdr:row>
      <xdr:rowOff>528311</xdr:rowOff>
    </xdr:to>
    <xdr:pic>
      <xdr:nvPicPr>
        <xdr:cNvPr id="10" name="Imagen 9">
          <a:extLst>
            <a:ext uri="{FF2B5EF4-FFF2-40B4-BE49-F238E27FC236}">
              <a16:creationId xmlns:a16="http://schemas.microsoft.com/office/drawing/2014/main" id="{FA7BC4AE-8218-4F80-A4C1-BD2258705B64}"/>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7625" y="1695450"/>
          <a:ext cx="490211" cy="490211"/>
        </a:xfrm>
        <a:prstGeom prst="rect">
          <a:avLst/>
        </a:prstGeom>
      </xdr:spPr>
    </xdr:pic>
    <xdr:clientData/>
  </xdr:twoCellAnchor>
  <xdr:twoCellAnchor editAs="oneCell">
    <xdr:from>
      <xdr:col>0</xdr:col>
      <xdr:colOff>19051</xdr:colOff>
      <xdr:row>4</xdr:row>
      <xdr:rowOff>9525</xdr:rowOff>
    </xdr:from>
    <xdr:to>
      <xdr:col>0</xdr:col>
      <xdr:colOff>576303</xdr:colOff>
      <xdr:row>4</xdr:row>
      <xdr:rowOff>571500</xdr:rowOff>
    </xdr:to>
    <xdr:pic>
      <xdr:nvPicPr>
        <xdr:cNvPr id="14" name="Imagen 13">
          <a:extLst>
            <a:ext uri="{FF2B5EF4-FFF2-40B4-BE49-F238E27FC236}">
              <a16:creationId xmlns:a16="http://schemas.microsoft.com/office/drawing/2014/main" id="{98E404E1-2C08-48C8-B417-1B7FD7FEB9CE}"/>
            </a:ext>
          </a:extLst>
        </xdr:cNvPr>
        <xdr:cNvPicPr>
          <a:picLocks noChangeAspect="1"/>
        </xdr:cNvPicPr>
      </xdr:nvPicPr>
      <xdr:blipFill>
        <a:blip xmlns:r="http://schemas.openxmlformats.org/officeDocument/2006/relationships" r:embed="rId5"/>
        <a:stretch>
          <a:fillRect/>
        </a:stretch>
      </xdr:blipFill>
      <xdr:spPr>
        <a:xfrm>
          <a:off x="19051" y="2295525"/>
          <a:ext cx="557252" cy="561975"/>
        </a:xfrm>
        <a:prstGeom prst="rect">
          <a:avLst/>
        </a:prstGeom>
      </xdr:spPr>
    </xdr:pic>
    <xdr:clientData/>
  </xdr:twoCellAnchor>
  <xdr:twoCellAnchor editAs="oneCell">
    <xdr:from>
      <xdr:col>0</xdr:col>
      <xdr:colOff>0</xdr:colOff>
      <xdr:row>5</xdr:row>
      <xdr:rowOff>149647</xdr:rowOff>
    </xdr:from>
    <xdr:to>
      <xdr:col>0</xdr:col>
      <xdr:colOff>647700</xdr:colOff>
      <xdr:row>5</xdr:row>
      <xdr:rowOff>523874</xdr:rowOff>
    </xdr:to>
    <xdr:pic>
      <xdr:nvPicPr>
        <xdr:cNvPr id="16" name="Imagen 15">
          <a:extLst>
            <a:ext uri="{FF2B5EF4-FFF2-40B4-BE49-F238E27FC236}">
              <a16:creationId xmlns:a16="http://schemas.microsoft.com/office/drawing/2014/main" id="{0EBE2B6F-3181-4774-A06C-8AC2D303FE8F}"/>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3846" b="98077" l="10000" r="90000">
                      <a14:foregroundMark x1="48889" y1="12885" x2="48889" y2="12885"/>
                      <a14:foregroundMark x1="47222" y1="4038" x2="47222" y2="4038"/>
                      <a14:foregroundMark x1="48889" y1="86154" x2="48889" y2="86154"/>
                      <a14:foregroundMark x1="64778" y1="98077" x2="64778" y2="98077"/>
                    </a14:backgroundRemoval>
                  </a14:imgEffect>
                </a14:imgLayer>
              </a14:imgProps>
            </a:ext>
            <a:ext uri="{28A0092B-C50C-407E-A947-70E740481C1C}">
              <a14:useLocalDpi xmlns:a14="http://schemas.microsoft.com/office/drawing/2010/main" val="0"/>
            </a:ext>
          </a:extLst>
        </a:blip>
        <a:stretch>
          <a:fillRect/>
        </a:stretch>
      </xdr:blipFill>
      <xdr:spPr>
        <a:xfrm>
          <a:off x="0" y="4321597"/>
          <a:ext cx="647700" cy="374227"/>
        </a:xfrm>
        <a:prstGeom prst="rect">
          <a:avLst/>
        </a:prstGeom>
      </xdr:spPr>
    </xdr:pic>
    <xdr:clientData/>
  </xdr:twoCellAnchor>
  <xdr:twoCellAnchor editAs="oneCell">
    <xdr:from>
      <xdr:col>0</xdr:col>
      <xdr:colOff>85725</xdr:colOff>
      <xdr:row>6</xdr:row>
      <xdr:rowOff>66675</xdr:rowOff>
    </xdr:from>
    <xdr:to>
      <xdr:col>0</xdr:col>
      <xdr:colOff>625755</xdr:colOff>
      <xdr:row>6</xdr:row>
      <xdr:rowOff>571480</xdr:rowOff>
    </xdr:to>
    <xdr:pic>
      <xdr:nvPicPr>
        <xdr:cNvPr id="17" name="Imagen 16">
          <a:extLst>
            <a:ext uri="{FF2B5EF4-FFF2-40B4-BE49-F238E27FC236}">
              <a16:creationId xmlns:a16="http://schemas.microsoft.com/office/drawing/2014/main" id="{E27DA40C-3CED-4B32-85D5-96DD7C76EE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5725" y="4867275"/>
          <a:ext cx="540030" cy="5048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273844</xdr:colOff>
      <xdr:row>3</xdr:row>
      <xdr:rowOff>59532</xdr:rowOff>
    </xdr:from>
    <xdr:to>
      <xdr:col>0</xdr:col>
      <xdr:colOff>1178719</xdr:colOff>
      <xdr:row>4</xdr:row>
      <xdr:rowOff>11907</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273844" y="1507332"/>
          <a:ext cx="904875" cy="904875"/>
        </a:xfrm>
        <a:prstGeom prst="rect">
          <a:avLst/>
        </a:prstGeom>
      </xdr:spPr>
    </xdr:pic>
    <xdr:clientData/>
  </xdr:twoCellAnchor>
  <xdr:twoCellAnchor editAs="oneCell">
    <xdr:from>
      <xdr:col>0</xdr:col>
      <xdr:colOff>214312</xdr:colOff>
      <xdr:row>19</xdr:row>
      <xdr:rowOff>59532</xdr:rowOff>
    </xdr:from>
    <xdr:to>
      <xdr:col>0</xdr:col>
      <xdr:colOff>1095374</xdr:colOff>
      <xdr:row>19</xdr:row>
      <xdr:rowOff>940594</xdr:rowOff>
    </xdr:to>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4312" y="7174707"/>
          <a:ext cx="881062" cy="881062"/>
        </a:xfrm>
        <a:prstGeom prst="rect">
          <a:avLst/>
        </a:prstGeom>
      </xdr:spPr>
    </xdr:pic>
    <xdr:clientData/>
  </xdr:twoCellAnchor>
  <xdr:oneCellAnchor>
    <xdr:from>
      <xdr:col>3</xdr:col>
      <xdr:colOff>542925</xdr:colOff>
      <xdr:row>60</xdr:row>
      <xdr:rowOff>238125</xdr:rowOff>
    </xdr:from>
    <xdr:ext cx="295275" cy="295275"/>
    <xdr:pic>
      <xdr:nvPicPr>
        <xdr:cNvPr id="4" name="Gráfico 3" descr="Inalámbrico">
          <a:hlinkClick xmlns:r="http://schemas.openxmlformats.org/officeDocument/2006/relationships" r:id="rId4"/>
          <a:extLst>
            <a:ext uri="{FF2B5EF4-FFF2-40B4-BE49-F238E27FC236}">
              <a16:creationId xmlns:a16="http://schemas.microsoft.com/office/drawing/2014/main" id="{7C4EDA97-EC3A-43B7-9DA2-A75F500DF01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314700" y="18707100"/>
          <a:ext cx="295275" cy="295275"/>
        </a:xfrm>
        <a:prstGeom prst="rect">
          <a:avLst/>
        </a:prstGeom>
      </xdr:spPr>
    </xdr:pic>
    <xdr:clientData/>
  </xdr:oneCellAnchor>
  <xdr:oneCellAnchor>
    <xdr:from>
      <xdr:col>3</xdr:col>
      <xdr:colOff>514350</xdr:colOff>
      <xdr:row>62</xdr:row>
      <xdr:rowOff>0</xdr:rowOff>
    </xdr:from>
    <xdr:ext cx="295275" cy="295275"/>
    <xdr:pic>
      <xdr:nvPicPr>
        <xdr:cNvPr id="5" name="Gráfico 4" descr="Inalámbrico">
          <a:hlinkClick xmlns:r="http://schemas.openxmlformats.org/officeDocument/2006/relationships" r:id="rId7"/>
          <a:extLst>
            <a:ext uri="{FF2B5EF4-FFF2-40B4-BE49-F238E27FC236}">
              <a16:creationId xmlns:a16="http://schemas.microsoft.com/office/drawing/2014/main" id="{6A482CE1-2084-43BF-8D0E-24961C9F77C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286125" y="18716625"/>
          <a:ext cx="295275" cy="295275"/>
        </a:xfrm>
        <a:prstGeom prst="rect">
          <a:avLst/>
        </a:prstGeom>
      </xdr:spPr>
    </xdr:pic>
    <xdr:clientData/>
  </xdr:oneCellAnchor>
  <xdr:oneCellAnchor>
    <xdr:from>
      <xdr:col>3</xdr:col>
      <xdr:colOff>504825</xdr:colOff>
      <xdr:row>66</xdr:row>
      <xdr:rowOff>47625</xdr:rowOff>
    </xdr:from>
    <xdr:ext cx="295275" cy="295275"/>
    <xdr:pic>
      <xdr:nvPicPr>
        <xdr:cNvPr id="6" name="Gráfico 5" descr="Inalámbrico">
          <a:hlinkClick xmlns:r="http://schemas.openxmlformats.org/officeDocument/2006/relationships" r:id="rId8"/>
          <a:extLst>
            <a:ext uri="{FF2B5EF4-FFF2-40B4-BE49-F238E27FC236}">
              <a16:creationId xmlns:a16="http://schemas.microsoft.com/office/drawing/2014/main" id="{1E76B73E-C8F6-4CC9-AC63-595EC24863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38625" y="3009900"/>
          <a:ext cx="295275" cy="295275"/>
        </a:xfrm>
        <a:prstGeom prst="rect">
          <a:avLst/>
        </a:prstGeom>
      </xdr:spPr>
    </xdr:pic>
    <xdr:clientData/>
  </xdr:oneCellAnchor>
  <xdr:oneCellAnchor>
    <xdr:from>
      <xdr:col>3</xdr:col>
      <xdr:colOff>542925</xdr:colOff>
      <xdr:row>63</xdr:row>
      <xdr:rowOff>9525</xdr:rowOff>
    </xdr:from>
    <xdr:ext cx="257175" cy="257175"/>
    <xdr:pic>
      <xdr:nvPicPr>
        <xdr:cNvPr id="7" name="Gráfico 6" descr="Inalámbrico">
          <a:hlinkClick xmlns:r="http://schemas.openxmlformats.org/officeDocument/2006/relationships" r:id="rId9"/>
          <a:extLst>
            <a:ext uri="{FF2B5EF4-FFF2-40B4-BE49-F238E27FC236}">
              <a16:creationId xmlns:a16="http://schemas.microsoft.com/office/drawing/2014/main" id="{5A430D05-D533-422A-B718-EFFA20839B4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314700" y="19221450"/>
          <a:ext cx="257175" cy="257175"/>
        </a:xfrm>
        <a:prstGeom prst="rect">
          <a:avLst/>
        </a:prstGeom>
      </xdr:spPr>
    </xdr:pic>
    <xdr:clientData/>
  </xdr:oneCellAnchor>
  <xdr:oneCellAnchor>
    <xdr:from>
      <xdr:col>3</xdr:col>
      <xdr:colOff>514350</xdr:colOff>
      <xdr:row>64</xdr:row>
      <xdr:rowOff>0</xdr:rowOff>
    </xdr:from>
    <xdr:ext cx="276225" cy="276225"/>
    <xdr:pic>
      <xdr:nvPicPr>
        <xdr:cNvPr id="8" name="Gráfico 7" descr="Inalámbrico">
          <a:hlinkClick xmlns:r="http://schemas.openxmlformats.org/officeDocument/2006/relationships" r:id="rId10"/>
          <a:extLst>
            <a:ext uri="{FF2B5EF4-FFF2-40B4-BE49-F238E27FC236}">
              <a16:creationId xmlns:a16="http://schemas.microsoft.com/office/drawing/2014/main" id="{6C5FCE55-BADD-4A81-AD24-1221D410605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286125" y="19459575"/>
          <a:ext cx="276225" cy="2762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753341</xdr:colOff>
      <xdr:row>0</xdr:row>
      <xdr:rowOff>0</xdr:rowOff>
    </xdr:from>
    <xdr:to>
      <xdr:col>1</xdr:col>
      <xdr:colOff>827190</xdr:colOff>
      <xdr:row>2</xdr:row>
      <xdr:rowOff>94967</xdr:rowOff>
    </xdr:to>
    <xdr:pic>
      <xdr:nvPicPr>
        <xdr:cNvPr id="10" name="Imagen 9">
          <a:extLst>
            <a:ext uri="{FF2B5EF4-FFF2-40B4-BE49-F238E27FC236}">
              <a16:creationId xmlns:a16="http://schemas.microsoft.com/office/drawing/2014/main" id="{676FD140-65CF-480F-A000-BA6EE4DF2AF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8472"/>
        <a:stretch/>
      </xdr:blipFill>
      <xdr:spPr>
        <a:xfrm>
          <a:off x="753341" y="0"/>
          <a:ext cx="839931" cy="6924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3971925</xdr:colOff>
      <xdr:row>4</xdr:row>
      <xdr:rowOff>200025</xdr:rowOff>
    </xdr:from>
    <xdr:to>
      <xdr:col>10</xdr:col>
      <xdr:colOff>19050</xdr:colOff>
      <xdr:row>5</xdr:row>
      <xdr:rowOff>57150</xdr:rowOff>
    </xdr:to>
    <xdr:pic>
      <xdr:nvPicPr>
        <xdr:cNvPr id="3" name="Gráfico 2" descr="Inalámbrico">
          <a:hlinkClick xmlns:r="http://schemas.openxmlformats.org/officeDocument/2006/relationships" r:id="rId1"/>
          <a:extLst>
            <a:ext uri="{FF2B5EF4-FFF2-40B4-BE49-F238E27FC236}">
              <a16:creationId xmlns:a16="http://schemas.microsoft.com/office/drawing/2014/main" id="{B018BBA0-00AD-4EA4-AE54-90FE7E9EF13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15875" y="962025"/>
          <a:ext cx="228600" cy="228600"/>
        </a:xfrm>
        <a:prstGeom prst="rect">
          <a:avLst/>
        </a:prstGeom>
      </xdr:spPr>
    </xdr:pic>
    <xdr:clientData/>
  </xdr:twoCellAnchor>
  <xdr:twoCellAnchor editAs="oneCell">
    <xdr:from>
      <xdr:col>9</xdr:col>
      <xdr:colOff>3724275</xdr:colOff>
      <xdr:row>4</xdr:row>
      <xdr:rowOff>142875</xdr:rowOff>
    </xdr:from>
    <xdr:to>
      <xdr:col>9</xdr:col>
      <xdr:colOff>4000500</xdr:colOff>
      <xdr:row>5</xdr:row>
      <xdr:rowOff>47625</xdr:rowOff>
    </xdr:to>
    <xdr:pic>
      <xdr:nvPicPr>
        <xdr:cNvPr id="5" name="Gráfico 4" descr="Hogar">
          <a:hlinkClick xmlns:r="http://schemas.openxmlformats.org/officeDocument/2006/relationships" r:id="rId4"/>
          <a:extLst>
            <a:ext uri="{FF2B5EF4-FFF2-40B4-BE49-F238E27FC236}">
              <a16:creationId xmlns:a16="http://schemas.microsoft.com/office/drawing/2014/main" id="{79D8729C-54AA-4FE8-8197-336441C5CA4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68225" y="904875"/>
          <a:ext cx="276225" cy="276225"/>
        </a:xfrm>
        <a:prstGeom prst="rect">
          <a:avLst/>
        </a:prstGeom>
      </xdr:spPr>
    </xdr:pic>
    <xdr:clientData/>
  </xdr:twoCellAnchor>
  <xdr:oneCellAnchor>
    <xdr:from>
      <xdr:col>9</xdr:col>
      <xdr:colOff>3971925</xdr:colOff>
      <xdr:row>3</xdr:row>
      <xdr:rowOff>200025</xdr:rowOff>
    </xdr:from>
    <xdr:ext cx="228600" cy="228600"/>
    <xdr:pic>
      <xdr:nvPicPr>
        <xdr:cNvPr id="6" name="Gráfico 5" descr="Inalámbrico">
          <a:hlinkClick xmlns:r="http://schemas.openxmlformats.org/officeDocument/2006/relationships" r:id="rId1"/>
          <a:extLst>
            <a:ext uri="{FF2B5EF4-FFF2-40B4-BE49-F238E27FC236}">
              <a16:creationId xmlns:a16="http://schemas.microsoft.com/office/drawing/2014/main" id="{5874CA2D-1CEF-4FD4-A8EC-315848E58D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15875" y="962025"/>
          <a:ext cx="228600" cy="228600"/>
        </a:xfrm>
        <a:prstGeom prst="rect">
          <a:avLst/>
        </a:prstGeom>
      </xdr:spPr>
    </xdr:pic>
    <xdr:clientData/>
  </xdr:oneCellAnchor>
  <xdr:oneCellAnchor>
    <xdr:from>
      <xdr:col>9</xdr:col>
      <xdr:colOff>3724275</xdr:colOff>
      <xdr:row>3</xdr:row>
      <xdr:rowOff>142875</xdr:rowOff>
    </xdr:from>
    <xdr:ext cx="276225" cy="276225"/>
    <xdr:pic>
      <xdr:nvPicPr>
        <xdr:cNvPr id="7" name="Gráfico 6" descr="Hogar">
          <a:hlinkClick xmlns:r="http://schemas.openxmlformats.org/officeDocument/2006/relationships" r:id="rId4"/>
          <a:extLst>
            <a:ext uri="{FF2B5EF4-FFF2-40B4-BE49-F238E27FC236}">
              <a16:creationId xmlns:a16="http://schemas.microsoft.com/office/drawing/2014/main" id="{BEA2E0E9-10DC-4334-BE3E-517440049FE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68225" y="904875"/>
          <a:ext cx="276225" cy="276225"/>
        </a:xfrm>
        <a:prstGeom prst="rect">
          <a:avLst/>
        </a:prstGeom>
      </xdr:spPr>
    </xdr:pic>
    <xdr:clientData/>
  </xdr:oneCellAnchor>
  <xdr:twoCellAnchor editAs="oneCell">
    <xdr:from>
      <xdr:col>9</xdr:col>
      <xdr:colOff>3743325</xdr:colOff>
      <xdr:row>21</xdr:row>
      <xdr:rowOff>9525</xdr:rowOff>
    </xdr:from>
    <xdr:to>
      <xdr:col>9</xdr:col>
      <xdr:colOff>4019550</xdr:colOff>
      <xdr:row>21</xdr:row>
      <xdr:rowOff>285750</xdr:rowOff>
    </xdr:to>
    <xdr:pic>
      <xdr:nvPicPr>
        <xdr:cNvPr id="12" name="Gráfico 11" descr="Hogar">
          <a:hlinkClick xmlns:r="http://schemas.openxmlformats.org/officeDocument/2006/relationships" r:id="rId7"/>
          <a:extLst>
            <a:ext uri="{FF2B5EF4-FFF2-40B4-BE49-F238E27FC236}">
              <a16:creationId xmlns:a16="http://schemas.microsoft.com/office/drawing/2014/main" id="{FE14E15E-6CE4-4F68-8063-0BA3B4F425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77750" y="4191000"/>
          <a:ext cx="276225" cy="276225"/>
        </a:xfrm>
        <a:prstGeom prst="rect">
          <a:avLst/>
        </a:prstGeom>
      </xdr:spPr>
    </xdr:pic>
    <xdr:clientData/>
  </xdr:twoCellAnchor>
  <xdr:oneCellAnchor>
    <xdr:from>
      <xdr:col>9</xdr:col>
      <xdr:colOff>3981450</xdr:colOff>
      <xdr:row>21</xdr:row>
      <xdr:rowOff>76200</xdr:rowOff>
    </xdr:from>
    <xdr:ext cx="228600" cy="228600"/>
    <xdr:pic>
      <xdr:nvPicPr>
        <xdr:cNvPr id="13" name="Gráfico 12" descr="Inalámbrico">
          <a:hlinkClick xmlns:r="http://schemas.openxmlformats.org/officeDocument/2006/relationships" r:id="rId8"/>
          <a:extLst>
            <a:ext uri="{FF2B5EF4-FFF2-40B4-BE49-F238E27FC236}">
              <a16:creationId xmlns:a16="http://schemas.microsoft.com/office/drawing/2014/main" id="{550E335F-447E-4F18-AD71-B851469521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15875" y="4257675"/>
          <a:ext cx="228600" cy="228600"/>
        </a:xfrm>
        <a:prstGeom prst="rect">
          <a:avLst/>
        </a:prstGeom>
      </xdr:spPr>
    </xdr:pic>
    <xdr:clientData/>
  </xdr:oneCellAnchor>
  <xdr:twoCellAnchor editAs="oneCell">
    <xdr:from>
      <xdr:col>9</xdr:col>
      <xdr:colOff>3705225</xdr:colOff>
      <xdr:row>17</xdr:row>
      <xdr:rowOff>123825</xdr:rowOff>
    </xdr:from>
    <xdr:to>
      <xdr:col>9</xdr:col>
      <xdr:colOff>3981450</xdr:colOff>
      <xdr:row>19</xdr:row>
      <xdr:rowOff>19050</xdr:rowOff>
    </xdr:to>
    <xdr:pic>
      <xdr:nvPicPr>
        <xdr:cNvPr id="14" name="Gráfico 13" descr="Hogar">
          <a:hlinkClick xmlns:r="http://schemas.openxmlformats.org/officeDocument/2006/relationships" r:id="rId9"/>
          <a:extLst>
            <a:ext uri="{FF2B5EF4-FFF2-40B4-BE49-F238E27FC236}">
              <a16:creationId xmlns:a16="http://schemas.microsoft.com/office/drawing/2014/main" id="{5CAF346E-4A87-40C6-83B7-F297DA40C39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39650" y="3733800"/>
          <a:ext cx="276225" cy="276225"/>
        </a:xfrm>
        <a:prstGeom prst="rect">
          <a:avLst/>
        </a:prstGeom>
      </xdr:spPr>
    </xdr:pic>
    <xdr:clientData/>
  </xdr:twoCellAnchor>
  <xdr:oneCellAnchor>
    <xdr:from>
      <xdr:col>9</xdr:col>
      <xdr:colOff>3952875</xdr:colOff>
      <xdr:row>17</xdr:row>
      <xdr:rowOff>171450</xdr:rowOff>
    </xdr:from>
    <xdr:ext cx="228600" cy="228600"/>
    <xdr:pic>
      <xdr:nvPicPr>
        <xdr:cNvPr id="15" name="Gráfico 14" descr="Inalámbrico">
          <a:hlinkClick xmlns:r="http://schemas.openxmlformats.org/officeDocument/2006/relationships" r:id="rId10"/>
          <a:extLst>
            <a:ext uri="{FF2B5EF4-FFF2-40B4-BE49-F238E27FC236}">
              <a16:creationId xmlns:a16="http://schemas.microsoft.com/office/drawing/2014/main" id="{987DA553-1872-4CE6-8CF9-06DD8B41F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687300" y="3781425"/>
          <a:ext cx="228600" cy="228600"/>
        </a:xfrm>
        <a:prstGeom prst="rect">
          <a:avLst/>
        </a:prstGeom>
      </xdr:spPr>
    </xdr:pic>
    <xdr:clientData/>
  </xdr:oneCellAnchor>
  <xdr:twoCellAnchor editAs="oneCell">
    <xdr:from>
      <xdr:col>9</xdr:col>
      <xdr:colOff>3714750</xdr:colOff>
      <xdr:row>19</xdr:row>
      <xdr:rowOff>85725</xdr:rowOff>
    </xdr:from>
    <xdr:to>
      <xdr:col>9</xdr:col>
      <xdr:colOff>3990975</xdr:colOff>
      <xdr:row>20</xdr:row>
      <xdr:rowOff>9525</xdr:rowOff>
    </xdr:to>
    <xdr:pic>
      <xdr:nvPicPr>
        <xdr:cNvPr id="10" name="Gráfico 9" descr="Hogar">
          <a:hlinkClick xmlns:r="http://schemas.openxmlformats.org/officeDocument/2006/relationships" r:id="rId11"/>
          <a:extLst>
            <a:ext uri="{FF2B5EF4-FFF2-40B4-BE49-F238E27FC236}">
              <a16:creationId xmlns:a16="http://schemas.microsoft.com/office/drawing/2014/main" id="{0F6C462B-70FE-4751-A6B4-B38205156B9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49175" y="4076700"/>
          <a:ext cx="276225" cy="276225"/>
        </a:xfrm>
        <a:prstGeom prst="rect">
          <a:avLst/>
        </a:prstGeom>
      </xdr:spPr>
    </xdr:pic>
    <xdr:clientData/>
  </xdr:twoCellAnchor>
  <xdr:oneCellAnchor>
    <xdr:from>
      <xdr:col>9</xdr:col>
      <xdr:colOff>3971925</xdr:colOff>
      <xdr:row>19</xdr:row>
      <xdr:rowOff>123825</xdr:rowOff>
    </xdr:from>
    <xdr:ext cx="228600" cy="228600"/>
    <xdr:pic>
      <xdr:nvPicPr>
        <xdr:cNvPr id="11" name="Gráfico 10" descr="Inalámbrico">
          <a:hlinkClick xmlns:r="http://schemas.openxmlformats.org/officeDocument/2006/relationships" r:id="rId12"/>
          <a:extLst>
            <a:ext uri="{FF2B5EF4-FFF2-40B4-BE49-F238E27FC236}">
              <a16:creationId xmlns:a16="http://schemas.microsoft.com/office/drawing/2014/main" id="{142B5400-85B9-4F86-942E-E4AF104FD7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6350" y="4114800"/>
          <a:ext cx="228600" cy="2286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404812</xdr:colOff>
      <xdr:row>0</xdr:row>
      <xdr:rowOff>239181</xdr:rowOff>
    </xdr:from>
    <xdr:to>
      <xdr:col>1</xdr:col>
      <xdr:colOff>1142999</xdr:colOff>
      <xdr:row>0</xdr:row>
      <xdr:rowOff>1454942</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9089"/>
        <a:stretch/>
      </xdr:blipFill>
      <xdr:spPr>
        <a:xfrm>
          <a:off x="404812" y="239181"/>
          <a:ext cx="1500187" cy="1215761"/>
        </a:xfrm>
        <a:prstGeom prst="rect">
          <a:avLst/>
        </a:prstGeom>
      </xdr:spPr>
    </xdr:pic>
    <xdr:clientData/>
  </xdr:twoCellAnchor>
  <xdr:twoCellAnchor editAs="oneCell">
    <xdr:from>
      <xdr:col>5</xdr:col>
      <xdr:colOff>440532</xdr:colOff>
      <xdr:row>1</xdr:row>
      <xdr:rowOff>73014</xdr:rowOff>
    </xdr:from>
    <xdr:to>
      <xdr:col>5</xdr:col>
      <xdr:colOff>785812</xdr:colOff>
      <xdr:row>1</xdr:row>
      <xdr:rowOff>764876</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4706" b="94118" l="9146" r="89024">
                      <a14:foregroundMark x1="43902" y1="4706" x2="62805" y2="13529"/>
                      <a14:foregroundMark x1="62805" y1="13529" x2="66463" y2="18235"/>
                      <a14:foregroundMark x1="55488" y1="12059" x2="38415" y2="22059"/>
                      <a14:foregroundMark x1="38415" y1="22059" x2="26220" y2="25882"/>
                      <a14:foregroundMark x1="57317" y1="15000" x2="73171" y2="27059"/>
                      <a14:foregroundMark x1="37195" y1="26765" x2="72561" y2="26765"/>
                      <a14:foregroundMark x1="25610" y1="57353" x2="30488" y2="82941"/>
                      <a14:foregroundMark x1="30488" y1="82941" x2="39634" y2="93235"/>
                      <a14:foregroundMark x1="39634" y1="93235" x2="65244" y2="94118"/>
                      <a14:foregroundMark x1="65244" y1="94118" x2="79268" y2="82941"/>
                      <a14:foregroundMark x1="79268" y1="82941" x2="74390" y2="54706"/>
                      <a14:foregroundMark x1="43293" y1="56765" x2="67073" y2="90588"/>
                      <a14:foregroundMark x1="56098" y1="56471" x2="56098" y2="56471"/>
                      <a14:foregroundMark x1="40854" y1="76176" x2="40854" y2="76176"/>
                      <a14:foregroundMark x1="40244" y1="72941" x2="56098" y2="87647"/>
                    </a14:backgroundRemoval>
                  </a14:imgEffect>
                </a14:imgLayer>
              </a14:imgProps>
            </a:ext>
            <a:ext uri="{28A0092B-C50C-407E-A947-70E740481C1C}">
              <a14:useLocalDpi xmlns:a14="http://schemas.microsoft.com/office/drawing/2010/main" val="0"/>
            </a:ext>
          </a:extLst>
        </a:blip>
        <a:stretch>
          <a:fillRect/>
        </a:stretch>
      </xdr:blipFill>
      <xdr:spPr>
        <a:xfrm>
          <a:off x="5679282" y="1573202"/>
          <a:ext cx="345280" cy="691862"/>
        </a:xfrm>
        <a:prstGeom prst="rect">
          <a:avLst/>
        </a:prstGeom>
      </xdr:spPr>
    </xdr:pic>
    <xdr:clientData/>
  </xdr:twoCellAnchor>
  <xdr:twoCellAnchor editAs="oneCell">
    <xdr:from>
      <xdr:col>5</xdr:col>
      <xdr:colOff>881062</xdr:colOff>
      <xdr:row>1</xdr:row>
      <xdr:rowOff>190500</xdr:rowOff>
    </xdr:from>
    <xdr:to>
      <xdr:col>5</xdr:col>
      <xdr:colOff>1375833</xdr:colOff>
      <xdr:row>1</xdr:row>
      <xdr:rowOff>730251</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75000" b="53726"/>
        <a:stretch/>
      </xdr:blipFill>
      <xdr:spPr>
        <a:xfrm>
          <a:off x="6119812" y="1690688"/>
          <a:ext cx="494771" cy="5397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797718</xdr:colOff>
      <xdr:row>0</xdr:row>
      <xdr:rowOff>168698</xdr:rowOff>
    </xdr:from>
    <xdr:to>
      <xdr:col>2</xdr:col>
      <xdr:colOff>13229</xdr:colOff>
      <xdr:row>0</xdr:row>
      <xdr:rowOff>1474344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9089"/>
        <a:stretch/>
      </xdr:blipFill>
      <xdr:spPr>
        <a:xfrm>
          <a:off x="797718" y="168698"/>
          <a:ext cx="1608667" cy="1305646"/>
        </a:xfrm>
        <a:prstGeom prst="rect">
          <a:avLst/>
        </a:prstGeom>
      </xdr:spPr>
    </xdr:pic>
    <xdr:clientData/>
  </xdr:twoCellAnchor>
  <xdr:twoCellAnchor editAs="oneCell">
    <xdr:from>
      <xdr:col>5</xdr:col>
      <xdr:colOff>107156</xdr:colOff>
      <xdr:row>0</xdr:row>
      <xdr:rowOff>1631157</xdr:rowOff>
    </xdr:from>
    <xdr:to>
      <xdr:col>5</xdr:col>
      <xdr:colOff>1013112</xdr:colOff>
      <xdr:row>1</xdr:row>
      <xdr:rowOff>787414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5738812" y="1631157"/>
          <a:ext cx="905956" cy="782651"/>
        </a:xfrm>
        <a:prstGeom prst="rect">
          <a:avLst/>
        </a:prstGeom>
      </xdr:spPr>
    </xdr:pic>
    <xdr:clientData/>
  </xdr:twoCellAnchor>
  <xdr:twoCellAnchor editAs="oneCell">
    <xdr:from>
      <xdr:col>5</xdr:col>
      <xdr:colOff>845344</xdr:colOff>
      <xdr:row>1</xdr:row>
      <xdr:rowOff>107157</xdr:rowOff>
    </xdr:from>
    <xdr:to>
      <xdr:col>6</xdr:col>
      <xdr:colOff>43</xdr:colOff>
      <xdr:row>1</xdr:row>
      <xdr:rowOff>741435</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4863" t="-2687" r="34862" b="52297"/>
        <a:stretch/>
      </xdr:blipFill>
      <xdr:spPr>
        <a:xfrm>
          <a:off x="6477000" y="1750220"/>
          <a:ext cx="559637" cy="63427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773906</xdr:colOff>
      <xdr:row>0</xdr:row>
      <xdr:rowOff>1488467</xdr:rowOff>
    </xdr:from>
    <xdr:to>
      <xdr:col>6</xdr:col>
      <xdr:colOff>531813</xdr:colOff>
      <xdr:row>2</xdr:row>
      <xdr:rowOff>50800</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6012656" y="1488467"/>
          <a:ext cx="1170782" cy="911833"/>
        </a:xfrm>
        <a:prstGeom prst="rect">
          <a:avLst/>
        </a:prstGeom>
      </xdr:spPr>
    </xdr:pic>
    <xdr:clientData/>
  </xdr:twoCellAnchor>
  <xdr:twoCellAnchor editAs="oneCell">
    <xdr:from>
      <xdr:col>6</xdr:col>
      <xdr:colOff>579488</xdr:colOff>
      <xdr:row>1</xdr:row>
      <xdr:rowOff>59531</xdr:rowOff>
    </xdr:from>
    <xdr:to>
      <xdr:col>6</xdr:col>
      <xdr:colOff>1175767</xdr:colOff>
      <xdr:row>1</xdr:row>
      <xdr:rowOff>809625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3" cstate="print">
          <a:duotone>
            <a:schemeClr val="accent6">
              <a:shade val="45000"/>
              <a:satMod val="135000"/>
            </a:schemeClr>
            <a:prstClr val="white"/>
          </a:duotone>
          <a:extLst>
            <a:ext uri="{BEBA8EAE-BF5A-486C-A8C5-ECC9F3942E4B}">
              <a14:imgProps xmlns:a14="http://schemas.microsoft.com/office/drawing/2010/main">
                <a14:imgLayer r:embed="rId4">
                  <a14:imgEffect>
                    <a14:colorTemperature colorTemp="7200"/>
                  </a14:imgEffect>
                </a14:imgLayer>
              </a14:imgProps>
            </a:ext>
            <a:ext uri="{28A0092B-C50C-407E-A947-70E740481C1C}">
              <a14:useLocalDpi xmlns:a14="http://schemas.microsoft.com/office/drawing/2010/main" val="0"/>
            </a:ext>
          </a:extLst>
        </a:blip>
        <a:srcRect t="53330" r="74670"/>
        <a:stretch/>
      </xdr:blipFill>
      <xdr:spPr>
        <a:xfrm>
          <a:off x="7231113" y="1583531"/>
          <a:ext cx="596279" cy="750094"/>
        </a:xfrm>
        <a:prstGeom prst="rect">
          <a:avLst/>
        </a:prstGeom>
      </xdr:spPr>
    </xdr:pic>
    <xdr:clientData/>
  </xdr:twoCellAnchor>
  <xdr:twoCellAnchor editAs="oneCell">
    <xdr:from>
      <xdr:col>0</xdr:col>
      <xdr:colOff>222250</xdr:colOff>
      <xdr:row>0</xdr:row>
      <xdr:rowOff>174625</xdr:rowOff>
    </xdr:from>
    <xdr:to>
      <xdr:col>1</xdr:col>
      <xdr:colOff>1076061</xdr:colOff>
      <xdr:row>0</xdr:row>
      <xdr:rowOff>1480271</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9089"/>
        <a:stretch/>
      </xdr:blipFill>
      <xdr:spPr>
        <a:xfrm>
          <a:off x="222250" y="174625"/>
          <a:ext cx="1615811" cy="130564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1164165</xdr:colOff>
      <xdr:row>1</xdr:row>
      <xdr:rowOff>31219</xdr:rowOff>
    </xdr:from>
    <xdr:to>
      <xdr:col>6</xdr:col>
      <xdr:colOff>939270</xdr:colOff>
      <xdr:row>1</xdr:row>
      <xdr:rowOff>812270</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9756" b="92378" l="10000" r="90000">
                      <a14:foregroundMark x1="16200" y1="12805" x2="19800" y2="48476"/>
                      <a14:foregroundMark x1="21800" y1="14939" x2="43800" y2="14939"/>
                      <a14:foregroundMark x1="41600" y1="24695" x2="41600" y2="24695"/>
                      <a14:foregroundMark x1="19000" y1="24695" x2="19000" y2="24695"/>
                      <a14:foregroundMark x1="28200" y1="10671" x2="28200" y2="10671"/>
                      <a14:foregroundMark x1="64800" y1="59146" x2="64800" y2="59146"/>
                      <a14:foregroundMark x1="31000" y1="92378" x2="31000" y2="92378"/>
                      <a14:backgroundMark x1="53000" y1="80793" x2="52200" y2="90244"/>
                    </a14:backgroundRemoval>
                  </a14:imgEffect>
                </a14:imgLayer>
              </a14:imgProps>
            </a:ext>
            <a:ext uri="{28A0092B-C50C-407E-A947-70E740481C1C}">
              <a14:useLocalDpi xmlns:a14="http://schemas.microsoft.com/office/drawing/2010/main" val="0"/>
            </a:ext>
          </a:extLst>
        </a:blip>
        <a:stretch>
          <a:fillRect/>
        </a:stretch>
      </xdr:blipFill>
      <xdr:spPr>
        <a:xfrm>
          <a:off x="5852582" y="1555219"/>
          <a:ext cx="1182688" cy="781051"/>
        </a:xfrm>
        <a:prstGeom prst="rect">
          <a:avLst/>
        </a:prstGeom>
      </xdr:spPr>
    </xdr:pic>
    <xdr:clientData/>
  </xdr:twoCellAnchor>
  <xdr:twoCellAnchor editAs="oneCell">
    <xdr:from>
      <xdr:col>0</xdr:col>
      <xdr:colOff>404812</xdr:colOff>
      <xdr:row>0</xdr:row>
      <xdr:rowOff>239181</xdr:rowOff>
    </xdr:from>
    <xdr:to>
      <xdr:col>1</xdr:col>
      <xdr:colOff>1142999</xdr:colOff>
      <xdr:row>0</xdr:row>
      <xdr:rowOff>1454942</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9089"/>
        <a:stretch/>
      </xdr:blipFill>
      <xdr:spPr>
        <a:xfrm>
          <a:off x="404812" y="239181"/>
          <a:ext cx="1500187" cy="121576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404812</xdr:colOff>
      <xdr:row>0</xdr:row>
      <xdr:rowOff>239181</xdr:rowOff>
    </xdr:from>
    <xdr:to>
      <xdr:col>2</xdr:col>
      <xdr:colOff>114299</xdr:colOff>
      <xdr:row>0</xdr:row>
      <xdr:rowOff>1454942</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9089"/>
        <a:stretch/>
      </xdr:blipFill>
      <xdr:spPr>
        <a:xfrm>
          <a:off x="404812" y="239181"/>
          <a:ext cx="1500187" cy="1215761"/>
        </a:xfrm>
        <a:prstGeom prst="rect">
          <a:avLst/>
        </a:prstGeom>
      </xdr:spPr>
    </xdr:pic>
    <xdr:clientData/>
  </xdr:twoCellAnchor>
  <xdr:twoCellAnchor editAs="oneCell">
    <xdr:from>
      <xdr:col>5</xdr:col>
      <xdr:colOff>1455965</xdr:colOff>
      <xdr:row>1</xdr:row>
      <xdr:rowOff>95250</xdr:rowOff>
    </xdr:from>
    <xdr:to>
      <xdr:col>6</xdr:col>
      <xdr:colOff>53310</xdr:colOff>
      <xdr:row>1</xdr:row>
      <xdr:rowOff>783794</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17822" y="1619250"/>
          <a:ext cx="379881" cy="6885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404812</xdr:colOff>
      <xdr:row>0</xdr:row>
      <xdr:rowOff>239181</xdr:rowOff>
    </xdr:from>
    <xdr:to>
      <xdr:col>2</xdr:col>
      <xdr:colOff>78581</xdr:colOff>
      <xdr:row>2</xdr:row>
      <xdr:rowOff>356392</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9089"/>
        <a:stretch/>
      </xdr:blipFill>
      <xdr:spPr>
        <a:xfrm>
          <a:off x="404812" y="239181"/>
          <a:ext cx="1500187" cy="1215761"/>
        </a:xfrm>
        <a:prstGeom prst="rect">
          <a:avLst/>
        </a:prstGeom>
      </xdr:spPr>
    </xdr:pic>
    <xdr:clientData/>
  </xdr:twoCellAnchor>
  <xdr:twoCellAnchor editAs="oneCell">
    <xdr:from>
      <xdr:col>6</xdr:col>
      <xdr:colOff>1000126</xdr:colOff>
      <xdr:row>1</xdr:row>
      <xdr:rowOff>23812</xdr:rowOff>
    </xdr:from>
    <xdr:to>
      <xdr:col>7</xdr:col>
      <xdr:colOff>454820</xdr:colOff>
      <xdr:row>1</xdr:row>
      <xdr:rowOff>785813</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foregroundMark x1="18500" y1="14000" x2="14000" y2="82500"/>
                      <a14:foregroundMark x1="23000" y1="14000" x2="42015" y2="21830"/>
                      <a14:foregroundMark x1="42723" y1="51365" x2="38500" y2="71000"/>
                      <a14:foregroundMark x1="38500" y1="71000" x2="34500" y2="79000"/>
                      <a14:foregroundMark x1="22500" y1="11000" x2="35000" y2="13500"/>
                      <a14:foregroundMark x1="38500" y1="10000" x2="38500" y2="10000"/>
                      <a14:foregroundMark x1="38500" y1="10000" x2="32500" y2="10000"/>
                      <a14:foregroundMark x1="39500" y1="14500" x2="44500" y2="19500"/>
                      <a14:foregroundMark x1="63500" y1="12000" x2="77000" y2="12500"/>
                      <a14:backgroundMark x1="50000" y1="21500" x2="52500" y2="82000"/>
                    </a14:backgroundRemoval>
                  </a14:imgEffect>
                </a14:imgLayer>
              </a14:imgProps>
            </a:ext>
            <a:ext uri="{28A0092B-C50C-407E-A947-70E740481C1C}">
              <a14:useLocalDpi xmlns:a14="http://schemas.microsoft.com/office/drawing/2010/main" val="0"/>
            </a:ext>
          </a:extLst>
        </a:blip>
        <a:stretch>
          <a:fillRect/>
        </a:stretch>
      </xdr:blipFill>
      <xdr:spPr>
        <a:xfrm>
          <a:off x="7108032" y="1547812"/>
          <a:ext cx="764382" cy="76200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2646</xdr:colOff>
      <xdr:row>0</xdr:row>
      <xdr:rowOff>207431</xdr:rowOff>
    </xdr:from>
    <xdr:to>
      <xdr:col>1</xdr:col>
      <xdr:colOff>721783</xdr:colOff>
      <xdr:row>0</xdr:row>
      <xdr:rowOff>1423192</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9089"/>
        <a:stretch/>
      </xdr:blipFill>
      <xdr:spPr>
        <a:xfrm>
          <a:off x="2646" y="207431"/>
          <a:ext cx="1502304" cy="1215761"/>
        </a:xfrm>
        <a:prstGeom prst="rect">
          <a:avLst/>
        </a:prstGeom>
      </xdr:spPr>
    </xdr:pic>
    <xdr:clientData/>
  </xdr:twoCellAnchor>
  <xdr:twoCellAnchor editAs="oneCell">
    <xdr:from>
      <xdr:col>8</xdr:col>
      <xdr:colOff>1037166</xdr:colOff>
      <xdr:row>1</xdr:row>
      <xdr:rowOff>52917</xdr:rowOff>
    </xdr:from>
    <xdr:to>
      <xdr:col>9</xdr:col>
      <xdr:colOff>95249</xdr:colOff>
      <xdr:row>1</xdr:row>
      <xdr:rowOff>766457</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87833" y="1576917"/>
          <a:ext cx="306916" cy="7135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453760</xdr:colOff>
      <xdr:row>0</xdr:row>
      <xdr:rowOff>1491719</xdr:rowOff>
    </xdr:from>
    <xdr:to>
      <xdr:col>4</xdr:col>
      <xdr:colOff>1267353</xdr:colOff>
      <xdr:row>2</xdr:row>
      <xdr:rowOff>65350</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2600" r="97600">
                      <a14:foregroundMark x1="12400" y1="21400" x2="2800" y2="79600"/>
                      <a14:foregroundMark x1="62800" y1="17400" x2="54200" y2="23200"/>
                      <a14:foregroundMark x1="10400" y1="75800" x2="29600" y2="81000"/>
                      <a14:foregroundMark x1="89800" y1="41600" x2="97600" y2="52800"/>
                      <a14:foregroundMark x1="32000" y1="15400" x2="44000" y2="14200"/>
                      <a14:foregroundMark x1="44000" y1="14200" x2="48600" y2="11400"/>
                    </a14:backgroundRemoval>
                  </a14:imgEffect>
                </a14:imgLayer>
              </a14:imgProps>
            </a:ext>
            <a:ext uri="{28A0092B-C50C-407E-A947-70E740481C1C}">
              <a14:useLocalDpi xmlns:a14="http://schemas.microsoft.com/office/drawing/2010/main" val="0"/>
            </a:ext>
          </a:extLst>
        </a:blip>
        <a:stretch>
          <a:fillRect/>
        </a:stretch>
      </xdr:blipFill>
      <xdr:spPr>
        <a:xfrm>
          <a:off x="5502010" y="1491719"/>
          <a:ext cx="813593" cy="817298"/>
        </a:xfrm>
        <a:prstGeom prst="rect">
          <a:avLst/>
        </a:prstGeom>
      </xdr:spPr>
    </xdr:pic>
    <xdr:clientData/>
  </xdr:twoCellAnchor>
  <xdr:twoCellAnchor editAs="oneCell">
    <xdr:from>
      <xdr:col>0</xdr:col>
      <xdr:colOff>404812</xdr:colOff>
      <xdr:row>0</xdr:row>
      <xdr:rowOff>239181</xdr:rowOff>
    </xdr:from>
    <xdr:to>
      <xdr:col>1</xdr:col>
      <xdr:colOff>1142999</xdr:colOff>
      <xdr:row>0</xdr:row>
      <xdr:rowOff>1454942</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9089"/>
        <a:stretch/>
      </xdr:blipFill>
      <xdr:spPr>
        <a:xfrm>
          <a:off x="404812" y="239181"/>
          <a:ext cx="1500187" cy="121576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171450</xdr:colOff>
      <xdr:row>17</xdr:row>
      <xdr:rowOff>326133</xdr:rowOff>
    </xdr:from>
    <xdr:to>
      <xdr:col>10</xdr:col>
      <xdr:colOff>1035843</xdr:colOff>
      <xdr:row>19</xdr:row>
      <xdr:rowOff>393830</xdr:rowOff>
    </xdr:to>
    <xdr:pic>
      <xdr:nvPicPr>
        <xdr:cNvPr id="3" name="Imagen 2">
          <a:extLst>
            <a:ext uri="{FF2B5EF4-FFF2-40B4-BE49-F238E27FC236}">
              <a16:creationId xmlns:a16="http://schemas.microsoft.com/office/drawing/2014/main" id="{23E42074-702F-411A-922B-F82903AF3B18}"/>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9351169" y="2147789"/>
          <a:ext cx="864393" cy="829697"/>
        </a:xfrm>
        <a:prstGeom prst="rect">
          <a:avLst/>
        </a:prstGeom>
      </xdr:spPr>
    </xdr:pic>
    <xdr:clientData/>
  </xdr:twoCellAnchor>
  <xdr:twoCellAnchor editAs="oneCell">
    <xdr:from>
      <xdr:col>12</xdr:col>
      <xdr:colOff>119060</xdr:colOff>
      <xdr:row>17</xdr:row>
      <xdr:rowOff>290720</xdr:rowOff>
    </xdr:from>
    <xdr:to>
      <xdr:col>12</xdr:col>
      <xdr:colOff>988217</xdr:colOff>
      <xdr:row>19</xdr:row>
      <xdr:rowOff>375443</xdr:rowOff>
    </xdr:to>
    <xdr:pic>
      <xdr:nvPicPr>
        <xdr:cNvPr id="4" name="Imagen 3">
          <a:extLst>
            <a:ext uri="{FF2B5EF4-FFF2-40B4-BE49-F238E27FC236}">
              <a16:creationId xmlns:a16="http://schemas.microsoft.com/office/drawing/2014/main" id="{A10602F6-2AA5-47CA-B845-AAE1191BF59C}"/>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10429873" y="2112376"/>
          <a:ext cx="869157" cy="846723"/>
        </a:xfrm>
        <a:prstGeom prst="rect">
          <a:avLst/>
        </a:prstGeom>
      </xdr:spPr>
    </xdr:pic>
    <xdr:clientData/>
  </xdr:twoCellAnchor>
  <xdr:twoCellAnchor editAs="oneCell">
    <xdr:from>
      <xdr:col>16</xdr:col>
      <xdr:colOff>47625</xdr:colOff>
      <xdr:row>17</xdr:row>
      <xdr:rowOff>219104</xdr:rowOff>
    </xdr:from>
    <xdr:to>
      <xdr:col>16</xdr:col>
      <xdr:colOff>1023938</xdr:colOff>
      <xdr:row>19</xdr:row>
      <xdr:rowOff>393143</xdr:rowOff>
    </xdr:to>
    <xdr:pic>
      <xdr:nvPicPr>
        <xdr:cNvPr id="5" name="Imagen 4">
          <a:extLst>
            <a:ext uri="{FF2B5EF4-FFF2-40B4-BE49-F238E27FC236}">
              <a16:creationId xmlns:a16="http://schemas.microsoft.com/office/drawing/2014/main" id="{889A5633-727C-4480-BAEB-891B20F2D0CC}"/>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12620625" y="2040760"/>
          <a:ext cx="976313" cy="936039"/>
        </a:xfrm>
        <a:prstGeom prst="rect">
          <a:avLst/>
        </a:prstGeom>
      </xdr:spPr>
    </xdr:pic>
    <xdr:clientData/>
  </xdr:twoCellAnchor>
  <xdr:twoCellAnchor editAs="oneCell">
    <xdr:from>
      <xdr:col>14</xdr:col>
      <xdr:colOff>95249</xdr:colOff>
      <xdr:row>17</xdr:row>
      <xdr:rowOff>296582</xdr:rowOff>
    </xdr:from>
    <xdr:to>
      <xdr:col>14</xdr:col>
      <xdr:colOff>1047749</xdr:colOff>
      <xdr:row>19</xdr:row>
      <xdr:rowOff>419256</xdr:rowOff>
    </xdr:to>
    <xdr:pic>
      <xdr:nvPicPr>
        <xdr:cNvPr id="6" name="Imagen 5">
          <a:extLst>
            <a:ext uri="{FF2B5EF4-FFF2-40B4-BE49-F238E27FC236}">
              <a16:creationId xmlns:a16="http://schemas.microsoft.com/office/drawing/2014/main" id="{4AC493B1-8CAC-46B3-8C21-50AAB06508FC}"/>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11525249" y="2118238"/>
          <a:ext cx="952500" cy="884674"/>
        </a:xfrm>
        <a:prstGeom prst="rect">
          <a:avLst/>
        </a:prstGeom>
      </xdr:spPr>
    </xdr:pic>
    <xdr:clientData/>
  </xdr:twoCellAnchor>
  <xdr:twoCellAnchor editAs="oneCell">
    <xdr:from>
      <xdr:col>7</xdr:col>
      <xdr:colOff>47624</xdr:colOff>
      <xdr:row>17</xdr:row>
      <xdr:rowOff>285852</xdr:rowOff>
    </xdr:from>
    <xdr:to>
      <xdr:col>8</xdr:col>
      <xdr:colOff>892970</xdr:colOff>
      <xdr:row>19</xdr:row>
      <xdr:rowOff>383092</xdr:rowOff>
    </xdr:to>
    <xdr:pic>
      <xdr:nvPicPr>
        <xdr:cNvPr id="7" name="Imagen 6">
          <a:extLst>
            <a:ext uri="{FF2B5EF4-FFF2-40B4-BE49-F238E27FC236}">
              <a16:creationId xmlns:a16="http://schemas.microsoft.com/office/drawing/2014/main" id="{05F3B6AD-32CC-428F-BD75-F905645B9049}"/>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8036718" y="2107508"/>
          <a:ext cx="904875" cy="859240"/>
        </a:xfrm>
        <a:prstGeom prst="rect">
          <a:avLst/>
        </a:prstGeom>
      </xdr:spPr>
    </xdr:pic>
    <xdr:clientData/>
  </xdr:twoCellAnchor>
  <xdr:twoCellAnchor editAs="oneCell">
    <xdr:from>
      <xdr:col>18</xdr:col>
      <xdr:colOff>250030</xdr:colOff>
      <xdr:row>18</xdr:row>
      <xdr:rowOff>72</xdr:rowOff>
    </xdr:from>
    <xdr:to>
      <xdr:col>18</xdr:col>
      <xdr:colOff>976311</xdr:colOff>
      <xdr:row>21</xdr:row>
      <xdr:rowOff>34925</xdr:rowOff>
    </xdr:to>
    <xdr:pic>
      <xdr:nvPicPr>
        <xdr:cNvPr id="8" name="Imagen 7">
          <a:extLst>
            <a:ext uri="{FF2B5EF4-FFF2-40B4-BE49-F238E27FC236}">
              <a16:creationId xmlns:a16="http://schemas.microsoft.com/office/drawing/2014/main" id="{E538188A-9B16-4078-A80C-65F90717BD8A}"/>
            </a:ext>
          </a:extLst>
        </xdr:cNvPr>
        <xdr:cNvPicPr>
          <a:picLocks noChangeAspect="1"/>
        </xdr:cNvPicPr>
      </xdr:nvPicPr>
      <xdr:blipFill>
        <a:blip xmlns:r="http://schemas.openxmlformats.org/officeDocument/2006/relationships" r:embed="rId6">
          <a:lum bright="70000" contrast="-70000"/>
        </a:blip>
        <a:stretch>
          <a:fillRect/>
        </a:stretch>
      </xdr:blipFill>
      <xdr:spPr>
        <a:xfrm>
          <a:off x="13954124" y="2393228"/>
          <a:ext cx="726281" cy="725416"/>
        </a:xfrm>
        <a:prstGeom prst="rect">
          <a:avLst/>
        </a:prstGeom>
      </xdr:spPr>
    </xdr:pic>
    <xdr:clientData/>
  </xdr:twoCellAnchor>
  <xdr:twoCellAnchor editAs="oneCell">
    <xdr:from>
      <xdr:col>1</xdr:col>
      <xdr:colOff>345280</xdr:colOff>
      <xdr:row>0</xdr:row>
      <xdr:rowOff>261938</xdr:rowOff>
    </xdr:from>
    <xdr:to>
      <xdr:col>2</xdr:col>
      <xdr:colOff>765148</xdr:colOff>
      <xdr:row>0</xdr:row>
      <xdr:rowOff>1526380</xdr:rowOff>
    </xdr:to>
    <xdr:pic>
      <xdr:nvPicPr>
        <xdr:cNvPr id="12" name="1 Imagen">
          <a:extLst>
            <a:ext uri="{FF2B5EF4-FFF2-40B4-BE49-F238E27FC236}">
              <a16:creationId xmlns:a16="http://schemas.microsoft.com/office/drawing/2014/main" id="{6E2AF0C8-C07F-4F93-9DC8-A989D50345C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26343" y="261938"/>
          <a:ext cx="1265211" cy="1264442"/>
        </a:xfrm>
        <a:prstGeom prst="rect">
          <a:avLst/>
        </a:prstGeom>
      </xdr:spPr>
    </xdr:pic>
    <xdr:clientData/>
  </xdr:twoCellAnchor>
  <xdr:twoCellAnchor editAs="oneCell">
    <xdr:from>
      <xdr:col>16</xdr:col>
      <xdr:colOff>571500</xdr:colOff>
      <xdr:row>0</xdr:row>
      <xdr:rowOff>71438</xdr:rowOff>
    </xdr:from>
    <xdr:to>
      <xdr:col>18</xdr:col>
      <xdr:colOff>845346</xdr:colOff>
      <xdr:row>0</xdr:row>
      <xdr:rowOff>1768224</xdr:rowOff>
    </xdr:to>
    <xdr:pic>
      <xdr:nvPicPr>
        <xdr:cNvPr id="13" name="Imagen 12">
          <a:extLst>
            <a:ext uri="{FF2B5EF4-FFF2-40B4-BE49-F238E27FC236}">
              <a16:creationId xmlns:a16="http://schemas.microsoft.com/office/drawing/2014/main" id="{0A1E4535-243E-484C-9CFA-ABDB188208D8}"/>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805" t="21470" r="27317" b="19323"/>
        <a:stretch/>
      </xdr:blipFill>
      <xdr:spPr>
        <a:xfrm>
          <a:off x="13870781" y="71438"/>
          <a:ext cx="1404940" cy="169678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744106</xdr:colOff>
      <xdr:row>2</xdr:row>
      <xdr:rowOff>238126</xdr:rowOff>
    </xdr:from>
    <xdr:to>
      <xdr:col>3</xdr:col>
      <xdr:colOff>1183269</xdr:colOff>
      <xdr:row>8</xdr:row>
      <xdr:rowOff>63500</xdr:rowOff>
    </xdr:to>
    <xdr:pic>
      <xdr:nvPicPr>
        <xdr:cNvPr id="3" name="Imagen 2">
          <a:extLst>
            <a:ext uri="{FF2B5EF4-FFF2-40B4-BE49-F238E27FC236}">
              <a16:creationId xmlns:a16="http://schemas.microsoft.com/office/drawing/2014/main" id="{0A7DA369-E460-448F-81F1-8E139604D6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69606" y="1031876"/>
          <a:ext cx="1661538" cy="2000249"/>
        </a:xfrm>
        <a:prstGeom prst="rect">
          <a:avLst/>
        </a:prstGeom>
      </xdr:spPr>
    </xdr:pic>
    <xdr:clientData/>
  </xdr:twoCellAnchor>
  <xdr:twoCellAnchor editAs="oneCell">
    <xdr:from>
      <xdr:col>6</xdr:col>
      <xdr:colOff>531683</xdr:colOff>
      <xdr:row>34</xdr:row>
      <xdr:rowOff>203078</xdr:rowOff>
    </xdr:from>
    <xdr:to>
      <xdr:col>6</xdr:col>
      <xdr:colOff>1125564</xdr:colOff>
      <xdr:row>36</xdr:row>
      <xdr:rowOff>47104</xdr:rowOff>
    </xdr:to>
    <xdr:pic>
      <xdr:nvPicPr>
        <xdr:cNvPr id="4" name="Imagen 3">
          <a:extLst>
            <a:ext uri="{FF2B5EF4-FFF2-40B4-BE49-F238E27FC236}">
              <a16:creationId xmlns:a16="http://schemas.microsoft.com/office/drawing/2014/main" id="{D47277E0-5AE5-47DE-968F-38344B03802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10058" y="10299578"/>
          <a:ext cx="593881" cy="574276"/>
        </a:xfrm>
        <a:prstGeom prst="rect">
          <a:avLst/>
        </a:prstGeom>
      </xdr:spPr>
    </xdr:pic>
    <xdr:clientData/>
  </xdr:twoCellAnchor>
  <xdr:twoCellAnchor editAs="oneCell">
    <xdr:from>
      <xdr:col>6</xdr:col>
      <xdr:colOff>501730</xdr:colOff>
      <xdr:row>44</xdr:row>
      <xdr:rowOff>69424</xdr:rowOff>
    </xdr:from>
    <xdr:to>
      <xdr:col>6</xdr:col>
      <xdr:colOff>1195771</xdr:colOff>
      <xdr:row>45</xdr:row>
      <xdr:rowOff>565225</xdr:rowOff>
    </xdr:to>
    <xdr:pic>
      <xdr:nvPicPr>
        <xdr:cNvPr id="5" name="Imagen 4">
          <a:extLst>
            <a:ext uri="{FF2B5EF4-FFF2-40B4-BE49-F238E27FC236}">
              <a16:creationId xmlns:a16="http://schemas.microsoft.com/office/drawing/2014/main" id="{9D8818DF-3774-4038-8D23-0F4B724A64E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80105" y="13912424"/>
          <a:ext cx="694041" cy="670426"/>
        </a:xfrm>
        <a:prstGeom prst="rect">
          <a:avLst/>
        </a:prstGeom>
      </xdr:spPr>
    </xdr:pic>
    <xdr:clientData/>
  </xdr:twoCellAnchor>
  <xdr:twoCellAnchor editAs="oneCell">
    <xdr:from>
      <xdr:col>6</xdr:col>
      <xdr:colOff>448083</xdr:colOff>
      <xdr:row>38</xdr:row>
      <xdr:rowOff>255042</xdr:rowOff>
    </xdr:from>
    <xdr:to>
      <xdr:col>6</xdr:col>
      <xdr:colOff>1041243</xdr:colOff>
      <xdr:row>40</xdr:row>
      <xdr:rowOff>94175</xdr:rowOff>
    </xdr:to>
    <xdr:pic>
      <xdr:nvPicPr>
        <xdr:cNvPr id="6" name="Imagen 5">
          <a:extLst>
            <a:ext uri="{FF2B5EF4-FFF2-40B4-BE49-F238E27FC236}">
              <a16:creationId xmlns:a16="http://schemas.microsoft.com/office/drawing/2014/main" id="{9FF8FFE7-8FF6-4FB1-90EB-97A2F90813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67833" y="12561342"/>
          <a:ext cx="593160" cy="582083"/>
        </a:xfrm>
        <a:prstGeom prst="rect">
          <a:avLst/>
        </a:prstGeom>
      </xdr:spPr>
    </xdr:pic>
    <xdr:clientData/>
  </xdr:twoCellAnchor>
  <xdr:twoCellAnchor editAs="oneCell">
    <xdr:from>
      <xdr:col>6</xdr:col>
      <xdr:colOff>284769</xdr:colOff>
      <xdr:row>36</xdr:row>
      <xdr:rowOff>187382</xdr:rowOff>
    </xdr:from>
    <xdr:to>
      <xdr:col>6</xdr:col>
      <xdr:colOff>993157</xdr:colOff>
      <xdr:row>38</xdr:row>
      <xdr:rowOff>102541</xdr:rowOff>
    </xdr:to>
    <xdr:pic>
      <xdr:nvPicPr>
        <xdr:cNvPr id="7" name="Imagen 6">
          <a:extLst>
            <a:ext uri="{FF2B5EF4-FFF2-40B4-BE49-F238E27FC236}">
              <a16:creationId xmlns:a16="http://schemas.microsoft.com/office/drawing/2014/main" id="{8BCCF15B-FF47-48E5-86CB-0FD2F8E9D79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3144" y="11045882"/>
          <a:ext cx="708388" cy="677159"/>
        </a:xfrm>
        <a:prstGeom prst="rect">
          <a:avLst/>
        </a:prstGeom>
      </xdr:spPr>
    </xdr:pic>
    <xdr:clientData/>
  </xdr:twoCellAnchor>
  <xdr:twoCellAnchor editAs="oneCell">
    <xdr:from>
      <xdr:col>3</xdr:col>
      <xdr:colOff>434004</xdr:colOff>
      <xdr:row>35</xdr:row>
      <xdr:rowOff>70829</xdr:rowOff>
    </xdr:from>
    <xdr:to>
      <xdr:col>3</xdr:col>
      <xdr:colOff>2000249</xdr:colOff>
      <xdr:row>39</xdr:row>
      <xdr:rowOff>81977</xdr:rowOff>
    </xdr:to>
    <xdr:pic>
      <xdr:nvPicPr>
        <xdr:cNvPr id="8" name="Imagen 7">
          <a:extLst>
            <a:ext uri="{FF2B5EF4-FFF2-40B4-BE49-F238E27FC236}">
              <a16:creationId xmlns:a16="http://schemas.microsoft.com/office/drawing/2014/main" id="{4E2C248F-230F-4E47-8E97-BDDE2640FD7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91404" y="11577029"/>
          <a:ext cx="1566245" cy="1535148"/>
        </a:xfrm>
        <a:prstGeom prst="rect">
          <a:avLst/>
        </a:prstGeom>
      </xdr:spPr>
    </xdr:pic>
    <xdr:clientData/>
  </xdr:twoCellAnchor>
  <xdr:twoCellAnchor editAs="oneCell">
    <xdr:from>
      <xdr:col>6</xdr:col>
      <xdr:colOff>425732</xdr:colOff>
      <xdr:row>46</xdr:row>
      <xdr:rowOff>69914</xdr:rowOff>
    </xdr:from>
    <xdr:to>
      <xdr:col>6</xdr:col>
      <xdr:colOff>1143037</xdr:colOff>
      <xdr:row>48</xdr:row>
      <xdr:rowOff>1276</xdr:rowOff>
    </xdr:to>
    <xdr:pic>
      <xdr:nvPicPr>
        <xdr:cNvPr id="9" name="Imagen 8">
          <a:extLst>
            <a:ext uri="{FF2B5EF4-FFF2-40B4-BE49-F238E27FC236}">
              <a16:creationId xmlns:a16="http://schemas.microsoft.com/office/drawing/2014/main" id="{AF54CC04-ED13-495F-858F-CB0837C3D23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04107" y="14754289"/>
          <a:ext cx="717305" cy="661612"/>
        </a:xfrm>
        <a:prstGeom prst="rect">
          <a:avLst/>
        </a:prstGeom>
      </xdr:spPr>
    </xdr:pic>
    <xdr:clientData/>
  </xdr:twoCellAnchor>
  <xdr:twoCellAnchor editAs="oneCell">
    <xdr:from>
      <xdr:col>6</xdr:col>
      <xdr:colOff>554331</xdr:colOff>
      <xdr:row>32</xdr:row>
      <xdr:rowOff>179009</xdr:rowOff>
    </xdr:from>
    <xdr:to>
      <xdr:col>6</xdr:col>
      <xdr:colOff>1082883</xdr:colOff>
      <xdr:row>34</xdr:row>
      <xdr:rowOff>51325</xdr:rowOff>
    </xdr:to>
    <xdr:pic>
      <xdr:nvPicPr>
        <xdr:cNvPr id="10" name="Imagen 9">
          <a:extLst>
            <a:ext uri="{FF2B5EF4-FFF2-40B4-BE49-F238E27FC236}">
              <a16:creationId xmlns:a16="http://schemas.microsoft.com/office/drawing/2014/main" id="{D8FC33DB-5BB0-4C0A-AC39-362D9B187B7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332706" y="9656384"/>
          <a:ext cx="528552" cy="523191"/>
        </a:xfrm>
        <a:prstGeom prst="rect">
          <a:avLst/>
        </a:prstGeom>
      </xdr:spPr>
    </xdr:pic>
    <xdr:clientData/>
  </xdr:twoCellAnchor>
  <xdr:twoCellAnchor editAs="oneCell">
    <xdr:from>
      <xdr:col>6</xdr:col>
      <xdr:colOff>515171</xdr:colOff>
      <xdr:row>40</xdr:row>
      <xdr:rowOff>205877</xdr:rowOff>
    </xdr:from>
    <xdr:to>
      <xdr:col>6</xdr:col>
      <xdr:colOff>1140018</xdr:colOff>
      <xdr:row>42</xdr:row>
      <xdr:rowOff>103697</xdr:rowOff>
    </xdr:to>
    <xdr:pic>
      <xdr:nvPicPr>
        <xdr:cNvPr id="11" name="Imagen 10">
          <a:extLst>
            <a:ext uri="{FF2B5EF4-FFF2-40B4-BE49-F238E27FC236}">
              <a16:creationId xmlns:a16="http://schemas.microsoft.com/office/drawing/2014/main" id="{C0B482B5-1CB7-4575-A3A5-07B923CBF8A8}"/>
            </a:ext>
          </a:extLst>
        </xdr:cNvPr>
        <xdr:cNvPicPr>
          <a:picLocks noChangeAspect="1"/>
        </xdr:cNvPicPr>
      </xdr:nvPicPr>
      <xdr:blipFill>
        <a:blip xmlns:r="http://schemas.openxmlformats.org/officeDocument/2006/relationships" r:embed="rId9"/>
        <a:stretch>
          <a:fillRect/>
        </a:stretch>
      </xdr:blipFill>
      <xdr:spPr>
        <a:xfrm>
          <a:off x="6134921" y="13255127"/>
          <a:ext cx="624847" cy="640770"/>
        </a:xfrm>
        <a:prstGeom prst="rect">
          <a:avLst/>
        </a:prstGeom>
      </xdr:spPr>
    </xdr:pic>
    <xdr:clientData/>
  </xdr:twoCellAnchor>
  <xdr:twoCellAnchor editAs="oneCell">
    <xdr:from>
      <xdr:col>0</xdr:col>
      <xdr:colOff>790575</xdr:colOff>
      <xdr:row>47</xdr:row>
      <xdr:rowOff>57151</xdr:rowOff>
    </xdr:from>
    <xdr:to>
      <xdr:col>4</xdr:col>
      <xdr:colOff>135730</xdr:colOff>
      <xdr:row>63</xdr:row>
      <xdr:rowOff>4082</xdr:rowOff>
    </xdr:to>
    <xdr:pic>
      <xdr:nvPicPr>
        <xdr:cNvPr id="12" name="5 Imagen">
          <a:extLst>
            <a:ext uri="{FF2B5EF4-FFF2-40B4-BE49-F238E27FC236}">
              <a16:creationId xmlns:a16="http://schemas.microsoft.com/office/drawing/2014/main" id="{8B87DA70-D6EA-4FA8-BDDA-21F4C37F460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90575" y="15563851"/>
          <a:ext cx="3459955" cy="4219574"/>
        </a:xfrm>
        <a:prstGeom prst="rect">
          <a:avLst/>
        </a:prstGeom>
      </xdr:spPr>
    </xdr:pic>
    <xdr:clientData/>
  </xdr:twoCellAnchor>
  <xdr:twoCellAnchor editAs="oneCell">
    <xdr:from>
      <xdr:col>9</xdr:col>
      <xdr:colOff>1148558</xdr:colOff>
      <xdr:row>47</xdr:row>
      <xdr:rowOff>269082</xdr:rowOff>
    </xdr:from>
    <xdr:to>
      <xdr:col>14</xdr:col>
      <xdr:colOff>240848</xdr:colOff>
      <xdr:row>61</xdr:row>
      <xdr:rowOff>30956</xdr:rowOff>
    </xdr:to>
    <xdr:pic>
      <xdr:nvPicPr>
        <xdr:cNvPr id="13" name="15 Imagen">
          <a:extLst>
            <a:ext uri="{FF2B5EF4-FFF2-40B4-BE49-F238E27FC236}">
              <a16:creationId xmlns:a16="http://schemas.microsoft.com/office/drawing/2014/main" id="{F3EEC0B9-D470-451F-87B2-6BFF59CDB7B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rot="16200000">
          <a:off x="10823181" y="15835709"/>
          <a:ext cx="3590924" cy="3471069"/>
        </a:xfrm>
        <a:prstGeom prst="rect">
          <a:avLst/>
        </a:prstGeom>
      </xdr:spPr>
    </xdr:pic>
    <xdr:clientData/>
  </xdr:twoCellAnchor>
  <xdr:twoCellAnchor>
    <xdr:from>
      <xdr:col>1</xdr:col>
      <xdr:colOff>23812</xdr:colOff>
      <xdr:row>61</xdr:row>
      <xdr:rowOff>23813</xdr:rowOff>
    </xdr:from>
    <xdr:to>
      <xdr:col>14</xdr:col>
      <xdr:colOff>0</xdr:colOff>
      <xdr:row>61</xdr:row>
      <xdr:rowOff>23813</xdr:rowOff>
    </xdr:to>
    <xdr:cxnSp macro="">
      <xdr:nvCxnSpPr>
        <xdr:cNvPr id="16" name="24 Conector recto">
          <a:extLst>
            <a:ext uri="{FF2B5EF4-FFF2-40B4-BE49-F238E27FC236}">
              <a16:creationId xmlns:a16="http://schemas.microsoft.com/office/drawing/2014/main" id="{5A95305A-F651-49FA-8BA3-50EEEB5E711F}"/>
            </a:ext>
          </a:extLst>
        </xdr:cNvPr>
        <xdr:cNvCxnSpPr/>
      </xdr:nvCxnSpPr>
      <xdr:spPr>
        <a:xfrm>
          <a:off x="23812" y="19740563"/>
          <a:ext cx="15104269"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xdr:colOff>
      <xdr:row>1</xdr:row>
      <xdr:rowOff>19843</xdr:rowOff>
    </xdr:from>
    <xdr:to>
      <xdr:col>1</xdr:col>
      <xdr:colOff>31751</xdr:colOff>
      <xdr:row>61</xdr:row>
      <xdr:rowOff>0</xdr:rowOff>
    </xdr:to>
    <xdr:cxnSp macro="">
      <xdr:nvCxnSpPr>
        <xdr:cNvPr id="17" name="29 Conector recto">
          <a:extLst>
            <a:ext uri="{FF2B5EF4-FFF2-40B4-BE49-F238E27FC236}">
              <a16:creationId xmlns:a16="http://schemas.microsoft.com/office/drawing/2014/main" id="{7A1CDFFA-A456-4E9B-8353-A4900104ECB2}"/>
            </a:ext>
          </a:extLst>
        </xdr:cNvPr>
        <xdr:cNvCxnSpPr/>
      </xdr:nvCxnSpPr>
      <xdr:spPr>
        <a:xfrm flipH="1">
          <a:off x="857250" y="511968"/>
          <a:ext cx="1" cy="18474532"/>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xdr:row>
      <xdr:rowOff>79376</xdr:rowOff>
    </xdr:from>
    <xdr:to>
      <xdr:col>13</xdr:col>
      <xdr:colOff>746125</xdr:colOff>
      <xdr:row>1</xdr:row>
      <xdr:rowOff>95250</xdr:rowOff>
    </xdr:to>
    <xdr:cxnSp macro="">
      <xdr:nvCxnSpPr>
        <xdr:cNvPr id="18" name="31 Conector recto">
          <a:extLst>
            <a:ext uri="{FF2B5EF4-FFF2-40B4-BE49-F238E27FC236}">
              <a16:creationId xmlns:a16="http://schemas.microsoft.com/office/drawing/2014/main" id="{60030803-8F20-4E79-A6E2-A91C17B1C3C2}"/>
            </a:ext>
          </a:extLst>
        </xdr:cNvPr>
        <xdr:cNvCxnSpPr/>
      </xdr:nvCxnSpPr>
      <xdr:spPr>
        <a:xfrm flipV="1">
          <a:off x="838200" y="574676"/>
          <a:ext cx="13109575" cy="15874"/>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1190626</xdr:colOff>
      <xdr:row>2</xdr:row>
      <xdr:rowOff>158750</xdr:rowOff>
    </xdr:from>
    <xdr:to>
      <xdr:col>13</xdr:col>
      <xdr:colOff>357069</xdr:colOff>
      <xdr:row>9</xdr:row>
      <xdr:rowOff>111125</xdr:rowOff>
    </xdr:to>
    <xdr:pic>
      <xdr:nvPicPr>
        <xdr:cNvPr id="20" name="Imagen 19">
          <a:extLst>
            <a:ext uri="{FF2B5EF4-FFF2-40B4-BE49-F238E27FC236}">
              <a16:creationId xmlns:a16="http://schemas.microsoft.com/office/drawing/2014/main" id="{526E408B-58A0-4F25-B5E3-43845C330402}"/>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11764" b="1"/>
        <a:stretch/>
      </xdr:blipFill>
      <xdr:spPr>
        <a:xfrm>
          <a:off x="10906126" y="952500"/>
          <a:ext cx="2776872" cy="2444750"/>
        </a:xfrm>
        <a:prstGeom prst="rect">
          <a:avLst/>
        </a:prstGeom>
      </xdr:spPr>
    </xdr:pic>
    <xdr:clientData/>
  </xdr:twoCellAnchor>
  <xdr:twoCellAnchor>
    <xdr:from>
      <xdr:col>13</xdr:col>
      <xdr:colOff>730250</xdr:colOff>
      <xdr:row>1</xdr:row>
      <xdr:rowOff>47625</xdr:rowOff>
    </xdr:from>
    <xdr:to>
      <xdr:col>14</xdr:col>
      <xdr:colOff>15875</xdr:colOff>
      <xdr:row>60</xdr:row>
      <xdr:rowOff>142875</xdr:rowOff>
    </xdr:to>
    <xdr:cxnSp macro="">
      <xdr:nvCxnSpPr>
        <xdr:cNvPr id="21" name="29 Conector recto">
          <a:extLst>
            <a:ext uri="{FF2B5EF4-FFF2-40B4-BE49-F238E27FC236}">
              <a16:creationId xmlns:a16="http://schemas.microsoft.com/office/drawing/2014/main" id="{8967F3B5-13E0-47D6-8F71-3873C4172554}"/>
            </a:ext>
          </a:extLst>
        </xdr:cNvPr>
        <xdr:cNvCxnSpPr/>
      </xdr:nvCxnSpPr>
      <xdr:spPr>
        <a:xfrm>
          <a:off x="13906500" y="539750"/>
          <a:ext cx="47625" cy="1860550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60</xdr:row>
      <xdr:rowOff>158750</xdr:rowOff>
    </xdr:from>
    <xdr:to>
      <xdr:col>14</xdr:col>
      <xdr:colOff>15875</xdr:colOff>
      <xdr:row>61</xdr:row>
      <xdr:rowOff>0</xdr:rowOff>
    </xdr:to>
    <xdr:cxnSp macro="">
      <xdr:nvCxnSpPr>
        <xdr:cNvPr id="25" name="31 Conector recto">
          <a:extLst>
            <a:ext uri="{FF2B5EF4-FFF2-40B4-BE49-F238E27FC236}">
              <a16:creationId xmlns:a16="http://schemas.microsoft.com/office/drawing/2014/main" id="{6C06E1A5-86A2-49BA-9E3F-49D035375606}"/>
            </a:ext>
          </a:extLst>
        </xdr:cNvPr>
        <xdr:cNvCxnSpPr/>
      </xdr:nvCxnSpPr>
      <xdr:spPr>
        <a:xfrm>
          <a:off x="825500" y="19605625"/>
          <a:ext cx="13128625" cy="15875"/>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66675</xdr:colOff>
      <xdr:row>1</xdr:row>
      <xdr:rowOff>60325</xdr:rowOff>
    </xdr:from>
    <xdr:to>
      <xdr:col>13</xdr:col>
      <xdr:colOff>611712</xdr:colOff>
      <xdr:row>1</xdr:row>
      <xdr:rowOff>591754</xdr:rowOff>
    </xdr:to>
    <xdr:pic macro="[0]!RETORNO">
      <xdr:nvPicPr>
        <xdr:cNvPr id="5" name="Gráfico 4" descr="Atrás">
          <a:extLst>
            <a:ext uri="{FF2B5EF4-FFF2-40B4-BE49-F238E27FC236}">
              <a16:creationId xmlns:a16="http://schemas.microsoft.com/office/drawing/2014/main" id="{42048ACC-7EB4-4C39-9E3D-D9B6898BC2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07175" y="1546225"/>
          <a:ext cx="545037" cy="531429"/>
        </a:xfrm>
        <a:prstGeom prst="rect">
          <a:avLst/>
        </a:prstGeom>
      </xdr:spPr>
    </xdr:pic>
    <xdr:clientData/>
  </xdr:twoCellAnchor>
  <xdr:oneCellAnchor>
    <xdr:from>
      <xdr:col>8</xdr:col>
      <xdr:colOff>174137</xdr:colOff>
      <xdr:row>4</xdr:row>
      <xdr:rowOff>246690</xdr:rowOff>
    </xdr:from>
    <xdr:ext cx="1590255" cy="172227"/>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8CB6D978-FB60-44F8-A6EC-AAFEBFA5647C}"/>
                </a:ext>
              </a:extLst>
            </xdr:cNvPr>
            <xdr:cNvSpPr txBox="1"/>
          </xdr:nvSpPr>
          <xdr:spPr>
            <a:xfrm>
              <a:off x="7032137" y="32661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𝐸𝑣</m:t>
                    </m:r>
                    <m:r>
                      <a:rPr lang="es-MX" sz="1100" b="0" i="1">
                        <a:latin typeface="Cambria Math" panose="02040503050406030204" pitchFamily="18" charset="0"/>
                      </a:rPr>
                      <m:t> −</m:t>
                    </m:r>
                    <m:r>
                      <a:rPr lang="es-MX" sz="1100" b="0" i="1">
                        <a:latin typeface="Cambria Math" panose="02040503050406030204" pitchFamily="18" charset="0"/>
                      </a:rPr>
                      <m:t>𝐸𝑟</m:t>
                    </m:r>
                    <m:r>
                      <a:rPr lang="es-MX" sz="1100" b="0" i="1">
                        <a:latin typeface="Cambria Math" panose="02040503050406030204" pitchFamily="18" charset="0"/>
                      </a:rPr>
                      <m:t> </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8CB6D978-FB60-44F8-A6EC-AAFEBFA5647C}"/>
                </a:ext>
              </a:extLst>
            </xdr:cNvPr>
            <xdr:cNvSpPr txBox="1"/>
          </xdr:nvSpPr>
          <xdr:spPr>
            <a:xfrm>
              <a:off x="7032137" y="32661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𝐸𝑣 −𝐸𝑟 </a:t>
              </a:r>
              <a:endParaRPr lang="es-MX" sz="1100"/>
            </a:p>
          </xdr:txBody>
        </xdr:sp>
      </mc:Fallback>
    </mc:AlternateContent>
    <xdr:clientData/>
  </xdr:oneCellAnchor>
  <xdr:twoCellAnchor editAs="oneCell">
    <xdr:from>
      <xdr:col>4</xdr:col>
      <xdr:colOff>119743</xdr:colOff>
      <xdr:row>3</xdr:row>
      <xdr:rowOff>70758</xdr:rowOff>
    </xdr:from>
    <xdr:to>
      <xdr:col>4</xdr:col>
      <xdr:colOff>479743</xdr:colOff>
      <xdr:row>3</xdr:row>
      <xdr:rowOff>430758</xdr:rowOff>
    </xdr:to>
    <xdr:pic>
      <xdr:nvPicPr>
        <xdr:cNvPr id="10" name="Gráfico 9" descr="Hogar">
          <a:extLst>
            <a:ext uri="{FF2B5EF4-FFF2-40B4-BE49-F238E27FC236}">
              <a16:creationId xmlns:a16="http://schemas.microsoft.com/office/drawing/2014/main" id="{4BEE8294-AF27-4B82-85B0-2153A9F36A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3643" y="2623458"/>
          <a:ext cx="360000" cy="360000"/>
        </a:xfrm>
        <a:prstGeom prst="rect">
          <a:avLst/>
        </a:prstGeom>
      </xdr:spPr>
    </xdr:pic>
    <xdr:clientData/>
  </xdr:twoCellAnchor>
  <xdr:twoCellAnchor editAs="oneCell">
    <xdr:from>
      <xdr:col>3</xdr:col>
      <xdr:colOff>73330</xdr:colOff>
      <xdr:row>3</xdr:row>
      <xdr:rowOff>67651</xdr:rowOff>
    </xdr:from>
    <xdr:to>
      <xdr:col>3</xdr:col>
      <xdr:colOff>432271</xdr:colOff>
      <xdr:row>3</xdr:row>
      <xdr:rowOff>435211</xdr:rowOff>
    </xdr:to>
    <xdr:pic>
      <xdr:nvPicPr>
        <xdr:cNvPr id="12" name="Gráfico 11" descr="Bombilla fluorescente">
          <a:extLst>
            <a:ext uri="{FF2B5EF4-FFF2-40B4-BE49-F238E27FC236}">
              <a16:creationId xmlns:a16="http://schemas.microsoft.com/office/drawing/2014/main" id="{28BFCAB0-27C4-4BB3-916B-FE5A3E6B4A1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2620351"/>
          <a:ext cx="358941" cy="367560"/>
        </a:xfrm>
        <a:prstGeom prst="rect">
          <a:avLst/>
        </a:prstGeom>
      </xdr:spPr>
    </xdr:pic>
    <xdr:clientData/>
  </xdr:twoCellAnchor>
  <xdr:oneCellAnchor>
    <xdr:from>
      <xdr:col>1</xdr:col>
      <xdr:colOff>189209</xdr:colOff>
      <xdr:row>4</xdr:row>
      <xdr:rowOff>185807</xdr:rowOff>
    </xdr:from>
    <xdr:ext cx="2668292" cy="834426"/>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FCF9FBF8-996F-443E-A0C1-0501DF24D504}"/>
                </a:ext>
              </a:extLst>
            </xdr:cNvPr>
            <xdr:cNvSpPr txBox="1"/>
          </xdr:nvSpPr>
          <xdr:spPr>
            <a:xfrm>
              <a:off x="903584" y="2503557"/>
              <a:ext cx="2668292"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Obtenci</m:t>
                  </m:r>
                  <m:r>
                    <a:rPr lang="es-MX" sz="1200" b="0" i="0">
                      <a:latin typeface="Cambria Math" panose="02040503050406030204" pitchFamily="18" charset="0"/>
                    </a:rPr>
                    <m:t>ó</m:t>
                  </m:r>
                  <m:r>
                    <m:rPr>
                      <m:sty m:val="p"/>
                    </m:rPr>
                    <a:rPr lang="es-MX" sz="1200" b="0" i="0">
                      <a:latin typeface="Cambria Math" panose="02040503050406030204" pitchFamily="18" charset="0"/>
                    </a:rPr>
                    <m:t>n</m:t>
                  </m:r>
                  <m:r>
                    <a:rPr lang="es-MX" sz="1200" b="0" i="0">
                      <a:latin typeface="Cambria Math" panose="02040503050406030204" pitchFamily="18" charset="0"/>
                    </a:rPr>
                    <m:t> </m:t>
                  </m:r>
                  <m:r>
                    <m:rPr>
                      <m:sty m:val="p"/>
                    </m:rPr>
                    <a:rPr lang="es-MX" sz="1200" b="0" i="0">
                      <a:latin typeface="Cambria Math" panose="02040503050406030204" pitchFamily="18" charset="0"/>
                    </a:rPr>
                    <m:t>PET</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80.4</m:t>
                  </m:r>
                  <m:f>
                    <m:fPr>
                      <m:ctrlPr>
                        <a:rPr lang="es-MX" sz="1200" i="1">
                          <a:latin typeface="Cambria Math" panose="02040503050406030204" pitchFamily="18" charset="0"/>
                        </a:rPr>
                      </m:ctrlPr>
                    </m:fPr>
                    <m:num>
                      <m:r>
                        <m:rPr>
                          <m:sty m:val="p"/>
                        </m:rPr>
                        <a:rPr lang="es-MX" sz="1200" b="0" i="0">
                          <a:latin typeface="Cambria Math" panose="02040503050406030204" pitchFamily="18" charset="0"/>
                        </a:rPr>
                        <m:t>MJ</m:t>
                      </m:r>
                    </m:num>
                    <m:den>
                      <m:r>
                        <m:rPr>
                          <m:sty m:val="p"/>
                        </m:rPr>
                        <a:rPr lang="es-MX" sz="1200" b="0" i="0">
                          <a:latin typeface="Cambria Math" panose="02040503050406030204" pitchFamily="18" charset="0"/>
                        </a:rPr>
                        <m:t>kg</m:t>
                      </m:r>
                    </m:den>
                  </m:f>
                </m:oMath>
              </a14:m>
              <a:r>
                <a:rPr lang="es-MX" sz="1200" i="0">
                  <a:latin typeface="+mn-lt"/>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2</m:t>
                  </m:r>
                  <m:r>
                    <a:rPr lang="es-MX" sz="1200" b="0" i="0">
                      <a:solidFill>
                        <a:schemeClr val="tx1"/>
                      </a:solidFill>
                      <a:effectLst/>
                      <a:latin typeface="Cambria Math" panose="02040503050406030204" pitchFamily="18" charset="0"/>
                      <a:ea typeface="+mn-ea"/>
                      <a:cs typeface="+mn-cs"/>
                    </a:rPr>
                    <m:t>2.3</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Obtenci</m:t>
                  </m:r>
                  <m:r>
                    <a:rPr lang="es-MX" sz="1200" b="0" i="0">
                      <a:solidFill>
                        <a:schemeClr val="tx1"/>
                      </a:solidFill>
                      <a:effectLst/>
                      <a:latin typeface="Cambria Math" panose="02040503050406030204" pitchFamily="18" charset="0"/>
                      <a:ea typeface="+mn-ea"/>
                      <a:cs typeface="+mn-cs"/>
                    </a:rPr>
                    <m:t>ó</m:t>
                  </m:r>
                  <m:r>
                    <m:rPr>
                      <m:sty m:val="p"/>
                    </m:rPr>
                    <a:rPr lang="es-MX" sz="1200" b="0" i="0">
                      <a:solidFill>
                        <a:schemeClr val="tx1"/>
                      </a:solidFill>
                      <a:effectLst/>
                      <a:latin typeface="Cambria Math" panose="02040503050406030204" pitchFamily="18" charset="0"/>
                      <a:ea typeface="+mn-ea"/>
                      <a:cs typeface="+mn-cs"/>
                    </a:rPr>
                    <m:t>n</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PET</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6.5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MJ</m:t>
                      </m:r>
                    </m:num>
                    <m:den>
                      <m:r>
                        <m:rPr>
                          <m:sty m:val="p"/>
                        </m:rPr>
                        <a:rPr lang="es-MX" sz="1200" b="0" i="0">
                          <a:solidFill>
                            <a:schemeClr val="tx1"/>
                          </a:solidFill>
                          <a:effectLst/>
                          <a:latin typeface="Cambria Math" panose="02040503050406030204" pitchFamily="18" charset="0"/>
                          <a:ea typeface="+mn-ea"/>
                          <a:cs typeface="+mn-cs"/>
                        </a:rPr>
                        <m:t>kg</m:t>
                      </m:r>
                    </m:den>
                  </m:f>
                </m:oMath>
              </a14:m>
              <a:r>
                <a:rPr lang="es-MX" sz="1200" i="0">
                  <a:solidFill>
                    <a:schemeClr val="tx1"/>
                  </a:solidFill>
                  <a:effectLst/>
                  <a:latin typeface="+mn-lt"/>
                  <a:ea typeface="+mn-ea"/>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1</m:t>
                  </m:r>
                  <m:r>
                    <a:rPr lang="es-MX" sz="1200" b="0" i="0">
                      <a:solidFill>
                        <a:schemeClr val="tx1"/>
                      </a:solidFill>
                      <a:effectLst/>
                      <a:latin typeface="Cambria Math" panose="02040503050406030204" pitchFamily="18" charset="0"/>
                      <a:ea typeface="+mn-ea"/>
                      <a:cs typeface="+mn-cs"/>
                    </a:rPr>
                    <m:t>.8</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9" name="CuadroTexto 18">
              <a:extLst>
                <a:ext uri="{FF2B5EF4-FFF2-40B4-BE49-F238E27FC236}">
                  <a16:creationId xmlns:a16="http://schemas.microsoft.com/office/drawing/2014/main" id="{FCF9FBF8-996F-443E-A0C1-0501DF24D504}"/>
                </a:ext>
              </a:extLst>
            </xdr:cNvPr>
            <xdr:cNvSpPr txBox="1"/>
          </xdr:nvSpPr>
          <xdr:spPr>
            <a:xfrm>
              <a:off x="903584" y="2503557"/>
              <a:ext cx="2668292"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Obtención PET Virgen 80.4 MJ/kg</a:t>
              </a:r>
              <a:r>
                <a:rPr lang="es-MX" sz="1200" i="0">
                  <a:latin typeface="+mn-lt"/>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2</a:t>
              </a:r>
              <a:r>
                <a:rPr lang="es-MX" sz="1200" b="0" i="0">
                  <a:solidFill>
                    <a:schemeClr val="tx1"/>
                  </a:solidFill>
                  <a:effectLst/>
                  <a:latin typeface="Cambria Math" panose="02040503050406030204" pitchFamily="18" charset="0"/>
                  <a:ea typeface="+mn-ea"/>
                  <a:cs typeface="+mn-cs"/>
                </a:rPr>
                <a:t>2.3 kwh/kg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Obtención PET Reciclado 6.5  MJ/kg</a:t>
              </a:r>
              <a:r>
                <a:rPr lang="es-MX" sz="1200" i="0">
                  <a:solidFill>
                    <a:schemeClr val="tx1"/>
                  </a:solidFill>
                  <a:effectLst/>
                  <a:latin typeface="+mn-lt"/>
                  <a:ea typeface="+mn-ea"/>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1</a:t>
              </a:r>
              <a:r>
                <a:rPr lang="es-MX" sz="1200" b="0" i="0">
                  <a:solidFill>
                    <a:schemeClr val="tx1"/>
                  </a:solidFill>
                  <a:effectLst/>
                  <a:latin typeface="Cambria Math" panose="02040503050406030204" pitchFamily="18" charset="0"/>
                  <a:ea typeface="+mn-ea"/>
                  <a:cs typeface="+mn-cs"/>
                </a:rPr>
                <a:t>.8 kwh/kg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8</xdr:col>
      <xdr:colOff>300566</xdr:colOff>
      <xdr:row>4</xdr:row>
      <xdr:rowOff>986366</xdr:rowOff>
    </xdr:from>
    <xdr:ext cx="1302216" cy="375680"/>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D8FB108C-A2E8-407B-9A8D-69610E76C20F}"/>
                </a:ext>
              </a:extLst>
            </xdr:cNvPr>
            <xdr:cNvSpPr txBox="1"/>
          </xdr:nvSpPr>
          <xdr:spPr>
            <a:xfrm>
              <a:off x="7158566" y="400579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Choice>
      <mc:Fallback xmlns="">
        <xdr:sp macro="" textlink="">
          <xdr:nvSpPr>
            <xdr:cNvPr id="20" name="CuadroTexto 19">
              <a:extLst>
                <a:ext uri="{FF2B5EF4-FFF2-40B4-BE49-F238E27FC236}">
                  <a16:creationId xmlns:a16="http://schemas.microsoft.com/office/drawing/2014/main" id="{D8FB108C-A2E8-407B-9A8D-69610E76C20F}"/>
                </a:ext>
              </a:extLst>
            </xdr:cNvPr>
            <xdr:cNvSpPr txBox="1"/>
          </xdr:nvSpPr>
          <xdr:spPr>
            <a:xfrm>
              <a:off x="7158566" y="400579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mn-lt"/>
                </a:rPr>
                <a:t>𝐷𝑜𝑛𝑑𝑒: </a:t>
              </a:r>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Fallback>
    </mc:AlternateContent>
    <xdr:clientData/>
  </xdr:oneCellAnchor>
  <xdr:oneCellAnchor>
    <xdr:from>
      <xdr:col>9</xdr:col>
      <xdr:colOff>151343</xdr:colOff>
      <xdr:row>4</xdr:row>
      <xdr:rowOff>225426</xdr:rowOff>
    </xdr:from>
    <xdr:ext cx="2063750" cy="35112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420A2088-F53D-407C-8F35-2371D30DC47F}"/>
                </a:ext>
              </a:extLst>
            </xdr:cNvPr>
            <xdr:cNvSpPr txBox="1"/>
          </xdr:nvSpPr>
          <xdr:spPr>
            <a:xfrm>
              <a:off x="9977968" y="25431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i="0">
                        <a:solidFill>
                          <a:schemeClr val="tx1"/>
                        </a:solidFill>
                        <a:effectLst/>
                        <a:latin typeface="Cambria Math" panose="02040503050406030204" pitchFamily="18" charset="0"/>
                        <a:ea typeface="+mn-ea"/>
                        <a:cs typeface="+mn-cs"/>
                      </a:rPr>
                      <m:t>2</m:t>
                    </m:r>
                    <m:r>
                      <a:rPr lang="es-MX" sz="1100" b="0" i="0">
                        <a:solidFill>
                          <a:schemeClr val="tx1"/>
                        </a:solidFill>
                        <a:effectLst/>
                        <a:latin typeface="Cambria Math" panose="02040503050406030204" pitchFamily="18" charset="0"/>
                        <a:ea typeface="+mn-ea"/>
                        <a:cs typeface="+mn-cs"/>
                      </a:rPr>
                      <m:t>2.3</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m:t>
                    </m:r>
                    <m:r>
                      <a:rPr lang="es-MX" sz="1100" i="0">
                        <a:solidFill>
                          <a:schemeClr val="tx1"/>
                        </a:solidFill>
                        <a:effectLst/>
                        <a:latin typeface="Cambria Math" panose="02040503050406030204" pitchFamily="18" charset="0"/>
                        <a:ea typeface="+mn-ea"/>
                        <a:cs typeface="+mn-cs"/>
                      </a:rPr>
                      <m:t>1</m:t>
                    </m:r>
                    <m:r>
                      <a:rPr lang="es-MX" sz="1100" b="0" i="0">
                        <a:solidFill>
                          <a:schemeClr val="tx1"/>
                        </a:solidFill>
                        <a:effectLst/>
                        <a:latin typeface="Cambria Math" panose="02040503050406030204" pitchFamily="18" charset="0"/>
                        <a:ea typeface="+mn-ea"/>
                        <a:cs typeface="+mn-cs"/>
                      </a:rPr>
                      <m:t>.8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420A2088-F53D-407C-8F35-2371D30DC47F}"/>
                </a:ext>
              </a:extLst>
            </xdr:cNvPr>
            <xdr:cNvSpPr txBox="1"/>
          </xdr:nvSpPr>
          <xdr:spPr>
            <a:xfrm>
              <a:off x="9977968" y="25431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i="0">
                  <a:solidFill>
                    <a:schemeClr val="tx1"/>
                  </a:solidFill>
                  <a:effectLst/>
                  <a:latin typeface="Cambria Math" panose="02040503050406030204" pitchFamily="18" charset="0"/>
                  <a:ea typeface="+mn-ea"/>
                  <a:cs typeface="+mn-cs"/>
                </a:rPr>
                <a:t>2</a:t>
              </a:r>
              <a:r>
                <a:rPr lang="es-MX" sz="1100" b="0" i="0">
                  <a:solidFill>
                    <a:schemeClr val="tx1"/>
                  </a:solidFill>
                  <a:effectLst/>
                  <a:latin typeface="Cambria Math" panose="02040503050406030204" pitchFamily="18" charset="0"/>
                  <a:ea typeface="+mn-ea"/>
                  <a:cs typeface="+mn-cs"/>
                </a:rPr>
                <a:t>2.3 kwh/kg </a:t>
              </a:r>
              <a:r>
                <a:rPr lang="es-MX" sz="11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1</a:t>
              </a:r>
              <a:r>
                <a:rPr lang="es-MX" sz="1100" b="0" i="0">
                  <a:solidFill>
                    <a:schemeClr val="tx1"/>
                  </a:solidFill>
                  <a:effectLst/>
                  <a:latin typeface="Cambria Math" panose="02040503050406030204" pitchFamily="18" charset="0"/>
                  <a:ea typeface="+mn-ea"/>
                  <a:cs typeface="+mn-cs"/>
                </a:rPr>
                <a:t>.8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140759</xdr:colOff>
      <xdr:row>4</xdr:row>
      <xdr:rowOff>130174</xdr:rowOff>
    </xdr:from>
    <xdr:ext cx="1459441" cy="35112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B35E4F42-8AD4-4304-B4AE-2DB96C746598}"/>
                </a:ext>
              </a:extLst>
            </xdr:cNvPr>
            <xdr:cNvSpPr txBox="1"/>
          </xdr:nvSpPr>
          <xdr:spPr>
            <a:xfrm>
              <a:off x="10818284" y="3149599"/>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i="0">
                        <a:solidFill>
                          <a:schemeClr val="tx1"/>
                        </a:solidFill>
                        <a:effectLst/>
                        <a:latin typeface="Cambria Math" panose="02040503050406030204" pitchFamily="18" charset="0"/>
                        <a:ea typeface="+mn-ea"/>
                        <a:cs typeface="+mn-cs"/>
                      </a:rPr>
                      <m:t>2</m:t>
                    </m:r>
                    <m:r>
                      <a:rPr lang="es-MX" sz="1100" b="0" i="0">
                        <a:solidFill>
                          <a:schemeClr val="tx1"/>
                        </a:solidFill>
                        <a:effectLst/>
                        <a:latin typeface="Cambria Math" panose="02040503050406030204" pitchFamily="18" charset="0"/>
                        <a:ea typeface="+mn-ea"/>
                        <a:cs typeface="+mn-cs"/>
                      </a:rPr>
                      <m:t>0.528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B35E4F42-8AD4-4304-B4AE-2DB96C746598}"/>
                </a:ext>
              </a:extLst>
            </xdr:cNvPr>
            <xdr:cNvSpPr txBox="1"/>
          </xdr:nvSpPr>
          <xdr:spPr>
            <a:xfrm>
              <a:off x="10818284" y="3149599"/>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i="0">
                  <a:solidFill>
                    <a:schemeClr val="tx1"/>
                  </a:solidFill>
                  <a:effectLst/>
                  <a:latin typeface="Cambria Math" panose="02040503050406030204" pitchFamily="18" charset="0"/>
                  <a:ea typeface="+mn-ea"/>
                  <a:cs typeface="+mn-cs"/>
                </a:rPr>
                <a:t>2</a:t>
              </a:r>
              <a:r>
                <a:rPr lang="es-MX" sz="1100" b="0" i="0">
                  <a:solidFill>
                    <a:schemeClr val="tx1"/>
                  </a:solidFill>
                  <a:effectLst/>
                  <a:latin typeface="Cambria Math" panose="02040503050406030204" pitchFamily="18" charset="0"/>
                  <a:ea typeface="+mn-ea"/>
                  <a:cs typeface="+mn-cs"/>
                </a:rPr>
                <a:t>0.528 kwh/kg </a:t>
              </a:r>
              <a:r>
                <a:rPr lang="es-MX" sz="1100" b="0" i="0">
                  <a:latin typeface="Cambria Math" panose="02040503050406030204" pitchFamily="18" charset="0"/>
                </a:rPr>
                <a:t> </a:t>
              </a:r>
              <a:endParaRPr lang="es-MX" sz="1100"/>
            </a:p>
          </xdr:txBody>
        </xdr:sp>
      </mc:Fallback>
    </mc:AlternateContent>
    <xdr:clientData/>
  </xdr:oneCellAnchor>
  <xdr:twoCellAnchor editAs="oneCell">
    <xdr:from>
      <xdr:col>12</xdr:col>
      <xdr:colOff>1267883</xdr:colOff>
      <xdr:row>4</xdr:row>
      <xdr:rowOff>790575</xdr:rowOff>
    </xdr:from>
    <xdr:to>
      <xdr:col>12</xdr:col>
      <xdr:colOff>1630484</xdr:colOff>
      <xdr:row>4</xdr:row>
      <xdr:rowOff>1151465</xdr:rowOff>
    </xdr:to>
    <xdr:pic>
      <xdr:nvPicPr>
        <xdr:cNvPr id="24" name="Gráfico 23" descr="Inalámbrico">
          <a:hlinkClick xmlns:r="http://schemas.openxmlformats.org/officeDocument/2006/relationships" r:id="rId7"/>
          <a:extLst>
            <a:ext uri="{FF2B5EF4-FFF2-40B4-BE49-F238E27FC236}">
              <a16:creationId xmlns:a16="http://schemas.microsoft.com/office/drawing/2014/main" id="{37FCF2EB-0B55-4D81-849B-E4148FD4E04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917333" y="3105150"/>
          <a:ext cx="362601" cy="360890"/>
        </a:xfrm>
        <a:prstGeom prst="rect">
          <a:avLst/>
        </a:prstGeom>
      </xdr:spPr>
    </xdr:pic>
    <xdr:clientData/>
  </xdr:twoCellAnchor>
  <xdr:oneCellAnchor>
    <xdr:from>
      <xdr:col>9</xdr:col>
      <xdr:colOff>337608</xdr:colOff>
      <xdr:row>6</xdr:row>
      <xdr:rowOff>451909</xdr:rowOff>
    </xdr:from>
    <xdr:ext cx="1821392" cy="31361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5AF5D073-5476-4AD6-98AC-E5AFC0259B6F}"/>
                </a:ext>
              </a:extLst>
            </xdr:cNvPr>
            <xdr:cNvSpPr txBox="1"/>
          </xdr:nvSpPr>
          <xdr:spPr>
            <a:xfrm>
              <a:off x="10164233" y="5690659"/>
              <a:ext cx="1821392"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15.277 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60</m:t>
                        </m:r>
                        <m:r>
                          <a:rPr lang="es-MX" sz="1050" b="0" i="1">
                            <a:latin typeface="Cambria Math" panose="02040503050406030204" pitchFamily="18" charset="0"/>
                          </a:rPr>
                          <m:t>𝑤</m:t>
                        </m:r>
                      </m:den>
                    </m:f>
                  </m:oMath>
                </m:oMathPara>
              </a14:m>
              <a:endParaRPr lang="es-MX" sz="1050"/>
            </a:p>
          </xdr:txBody>
        </xdr:sp>
      </mc:Choice>
      <mc:Fallback xmlns="">
        <xdr:sp macro="" textlink="">
          <xdr:nvSpPr>
            <xdr:cNvPr id="25" name="CuadroTexto 24">
              <a:extLst>
                <a:ext uri="{FF2B5EF4-FFF2-40B4-BE49-F238E27FC236}">
                  <a16:creationId xmlns:a16="http://schemas.microsoft.com/office/drawing/2014/main" id="{5AF5D073-5476-4AD6-98AC-E5AFC0259B6F}"/>
                </a:ext>
              </a:extLst>
            </xdr:cNvPr>
            <xdr:cNvSpPr txBox="1"/>
          </xdr:nvSpPr>
          <xdr:spPr>
            <a:xfrm>
              <a:off x="10164233" y="5690659"/>
              <a:ext cx="1821392"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NF=((15.277 𝑘𝑤ℎ∗1000))/60𝑤</a:t>
              </a:r>
              <a:endParaRPr lang="es-MX" sz="1050"/>
            </a:p>
          </xdr:txBody>
        </xdr:sp>
      </mc:Fallback>
    </mc:AlternateContent>
    <xdr:clientData/>
  </xdr:oneCellAnchor>
  <xdr:oneCellAnchor>
    <xdr:from>
      <xdr:col>8</xdr:col>
      <xdr:colOff>343958</xdr:colOff>
      <xdr:row>6</xdr:row>
      <xdr:rowOff>338667</xdr:rowOff>
    </xdr:from>
    <xdr:ext cx="1418167" cy="341953"/>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45D198AD-26FD-4FBD-A105-99039198965B}"/>
                </a:ext>
              </a:extLst>
            </xdr:cNvPr>
            <xdr:cNvSpPr txBox="1"/>
          </xdr:nvSpPr>
          <xdr:spPr>
            <a:xfrm>
              <a:off x="7741708" y="5577417"/>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oMath>
                </m:oMathPara>
              </a14:m>
              <a:endParaRPr lang="es-MX" sz="1050"/>
            </a:p>
          </xdr:txBody>
        </xdr:sp>
      </mc:Choice>
      <mc:Fallback xmlns="">
        <xdr:sp macro="" textlink="">
          <xdr:nvSpPr>
            <xdr:cNvPr id="28" name="CuadroTexto 27">
              <a:extLst>
                <a:ext uri="{FF2B5EF4-FFF2-40B4-BE49-F238E27FC236}">
                  <a16:creationId xmlns:a16="http://schemas.microsoft.com/office/drawing/2014/main" id="{45D198AD-26FD-4FBD-A105-99039198965B}"/>
                </a:ext>
              </a:extLst>
            </xdr:cNvPr>
            <xdr:cNvSpPr txBox="1"/>
          </xdr:nvSpPr>
          <xdr:spPr>
            <a:xfrm>
              <a:off x="7741708" y="5577417"/>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NF=((𝑘𝑤ℎ∗1000))/𝑃𝑓</a:t>
              </a:r>
              <a:endParaRPr lang="es-MX" sz="1050"/>
            </a:p>
          </xdr:txBody>
        </xdr:sp>
      </mc:Fallback>
    </mc:AlternateContent>
    <xdr:clientData/>
  </xdr:oneCellAnchor>
  <xdr:oneCellAnchor>
    <xdr:from>
      <xdr:col>10</xdr:col>
      <xdr:colOff>209550</xdr:colOff>
      <xdr:row>4</xdr:row>
      <xdr:rowOff>733424</xdr:rowOff>
    </xdr:from>
    <xdr:ext cx="1362075" cy="321435"/>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418E27AC-C553-47F9-A4E7-89A70613160B}"/>
                </a:ext>
              </a:extLst>
            </xdr:cNvPr>
            <xdr:cNvSpPr txBox="1"/>
          </xdr:nvSpPr>
          <xdr:spPr>
            <a:xfrm>
              <a:off x="10887075" y="3752849"/>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i="0">
                        <a:solidFill>
                          <a:schemeClr val="tx1"/>
                        </a:solidFill>
                        <a:effectLst/>
                        <a:latin typeface="Cambria Math" panose="02040503050406030204" pitchFamily="18" charset="0"/>
                        <a:ea typeface="+mn-ea"/>
                        <a:cs typeface="+mn-cs"/>
                      </a:rPr>
                      <m:t>2</m:t>
                    </m:r>
                    <m:r>
                      <a:rPr lang="es-MX" sz="1100" b="0" i="0">
                        <a:solidFill>
                          <a:schemeClr val="tx1"/>
                        </a:solidFill>
                        <a:effectLst/>
                        <a:latin typeface="Cambria Math" panose="02040503050406030204" pitchFamily="18" charset="0"/>
                        <a:ea typeface="+mn-ea"/>
                        <a:cs typeface="+mn-cs"/>
                      </a:rPr>
                      <m:t>0,528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418E27AC-C553-47F9-A4E7-89A70613160B}"/>
                </a:ext>
              </a:extLst>
            </xdr:cNvPr>
            <xdr:cNvSpPr txBox="1"/>
          </xdr:nvSpPr>
          <xdr:spPr>
            <a:xfrm>
              <a:off x="10887075" y="3752849"/>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i="0">
                  <a:solidFill>
                    <a:schemeClr val="tx1"/>
                  </a:solidFill>
                  <a:effectLst/>
                  <a:latin typeface="Cambria Math" panose="02040503050406030204" pitchFamily="18" charset="0"/>
                  <a:ea typeface="+mn-ea"/>
                  <a:cs typeface="+mn-cs"/>
                </a:rPr>
                <a:t>2</a:t>
              </a:r>
              <a:r>
                <a:rPr lang="es-MX" sz="1100" b="0" i="0">
                  <a:solidFill>
                    <a:schemeClr val="tx1"/>
                  </a:solidFill>
                  <a:effectLst/>
                  <a:latin typeface="Cambria Math" panose="02040503050406030204" pitchFamily="18" charset="0"/>
                  <a:ea typeface="+mn-ea"/>
                  <a:cs typeface="+mn-cs"/>
                </a:rPr>
                <a:t>0,528 kwh/ton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269876</xdr:colOff>
      <xdr:row>6</xdr:row>
      <xdr:rowOff>95250</xdr:rowOff>
    </xdr:from>
    <xdr:ext cx="2057400" cy="335476"/>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25519C28-4EEE-4700-A859-FA9B46A815B3}"/>
                </a:ext>
              </a:extLst>
            </xdr:cNvPr>
            <xdr:cNvSpPr txBox="1"/>
          </xdr:nvSpPr>
          <xdr:spPr>
            <a:xfrm>
              <a:off x="12623801" y="5343525"/>
              <a:ext cx="2057400" cy="3354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𝑁𝐹</m:t>
                    </m:r>
                    <m:r>
                      <a:rPr lang="es-MX" sz="1050" i="1">
                        <a:latin typeface="Cambria Math" panose="02040503050406030204" pitchFamily="18" charset="0"/>
                      </a:rPr>
                      <m:t>=</m:t>
                    </m:r>
                    <m:r>
                      <a:rPr lang="es-MX" sz="1050" b="0" i="1">
                        <a:latin typeface="Cambria Math" panose="02040503050406030204" pitchFamily="18" charset="0"/>
                      </a:rPr>
                      <m:t>254.63</m:t>
                    </m:r>
                    <m:f>
                      <m:fPr>
                        <m:ctrlPr>
                          <a:rPr lang="es-MX" sz="1050" b="0" i="1">
                            <a:latin typeface="Cambria Math" panose="02040503050406030204" pitchFamily="18" charset="0"/>
                          </a:rPr>
                        </m:ctrlPr>
                      </m:fPr>
                      <m:num>
                        <m:r>
                          <a:rPr lang="es-MX" sz="1050" b="0" i="1">
                            <a:latin typeface="Cambria Math" panose="02040503050406030204" pitchFamily="18" charset="0"/>
                          </a:rPr>
                          <m:t>𝑓𝑜𝑐𝑜𝑠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𝑃𝐸𝑇</m:t>
                        </m:r>
                      </m:den>
                    </m:f>
                  </m:oMath>
                </m:oMathPara>
              </a14:m>
              <a:endParaRPr lang="es-MX" sz="1050"/>
            </a:p>
          </xdr:txBody>
        </xdr:sp>
      </mc:Choice>
      <mc:Fallback xmlns="">
        <xdr:sp macro="" textlink="">
          <xdr:nvSpPr>
            <xdr:cNvPr id="23" name="CuadroTexto 22">
              <a:extLst>
                <a:ext uri="{FF2B5EF4-FFF2-40B4-BE49-F238E27FC236}">
                  <a16:creationId xmlns:a16="http://schemas.microsoft.com/office/drawing/2014/main" id="{25519C28-4EEE-4700-A859-FA9B46A815B3}"/>
                </a:ext>
              </a:extLst>
            </xdr:cNvPr>
            <xdr:cNvSpPr txBox="1"/>
          </xdr:nvSpPr>
          <xdr:spPr>
            <a:xfrm>
              <a:off x="12623801" y="5343525"/>
              <a:ext cx="2057400" cy="3354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𝑁𝐹</a:t>
              </a:r>
              <a:r>
                <a:rPr lang="es-MX" sz="1050" i="0">
                  <a:latin typeface="Cambria Math" panose="02040503050406030204" pitchFamily="18" charset="0"/>
                </a:rPr>
                <a:t>=</a:t>
              </a:r>
              <a:r>
                <a:rPr lang="es-MX" sz="1050" b="0" i="0">
                  <a:latin typeface="Cambria Math" panose="02040503050406030204" pitchFamily="18" charset="0"/>
                </a:rPr>
                <a:t>254.63 𝑓𝑜𝑐𝑜𝑠/(1 𝑘𝑔 𝑑𝑒 𝑃𝐸𝑇)</a:t>
              </a:r>
              <a:endParaRPr lang="es-MX" sz="1050"/>
            </a:p>
          </xdr:txBody>
        </xdr:sp>
      </mc:Fallback>
    </mc:AlternateContent>
    <xdr:clientData/>
  </xdr:oneCellAnchor>
  <xdr:oneCellAnchor>
    <xdr:from>
      <xdr:col>10</xdr:col>
      <xdr:colOff>339726</xdr:colOff>
      <xdr:row>6</xdr:row>
      <xdr:rowOff>571500</xdr:rowOff>
    </xdr:from>
    <xdr:ext cx="1809750" cy="790575"/>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5B256B48-56E7-4EA1-991B-148971AB3981}"/>
                </a:ext>
              </a:extLst>
            </xdr:cNvPr>
            <xdr:cNvSpPr txBox="1"/>
          </xdr:nvSpPr>
          <xdr:spPr>
            <a:xfrm>
              <a:off x="12693651" y="5819775"/>
              <a:ext cx="1809750" cy="79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𝑁𝐹</m:t>
                    </m:r>
                    <m:r>
                      <a:rPr lang="es-MX" sz="1050" i="1">
                        <a:latin typeface="Cambria Math" panose="02040503050406030204" pitchFamily="18" charset="0"/>
                      </a:rPr>
                      <m:t>=</m:t>
                    </m:r>
                    <m:r>
                      <a:rPr lang="es-MX" sz="1050" b="0" i="0">
                        <a:latin typeface="Cambria Math" panose="02040503050406030204" pitchFamily="18" charset="0"/>
                      </a:rPr>
                      <m:t>254,630</m:t>
                    </m:r>
                    <m:f>
                      <m:fPr>
                        <m:ctrlPr>
                          <a:rPr lang="es-MX" sz="1050" b="0" i="1">
                            <a:latin typeface="Cambria Math" panose="02040503050406030204" pitchFamily="18" charset="0"/>
                          </a:rPr>
                        </m:ctrlPr>
                      </m:fPr>
                      <m:num>
                        <m:r>
                          <a:rPr lang="es-MX" sz="1050" b="0" i="1">
                            <a:latin typeface="Cambria Math" panose="02040503050406030204" pitchFamily="18" charset="0"/>
                          </a:rPr>
                          <m:t>𝑓𝑜𝑐𝑜𝑠</m:t>
                        </m:r>
                      </m:num>
                      <m:den>
                        <m:r>
                          <a:rPr lang="es-MX" sz="1050" b="0" i="1">
                            <a:latin typeface="Cambria Math" panose="02040503050406030204" pitchFamily="18" charset="0"/>
                          </a:rPr>
                          <m:t>1 </m:t>
                        </m:r>
                        <m:r>
                          <a:rPr lang="es-MX" sz="1050" b="0" i="1">
                            <a:latin typeface="Cambria Math" panose="02040503050406030204" pitchFamily="18" charset="0"/>
                          </a:rPr>
                          <m:t>𝑡𝑜𝑛</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𝑃𝐸𝑇</m:t>
                        </m:r>
                      </m:den>
                    </m:f>
                  </m:oMath>
                </m:oMathPara>
              </a14:m>
              <a:endParaRPr lang="es-MX" sz="1050" b="0" i="1">
                <a:latin typeface="Cambria Math" panose="02040503050406030204" pitchFamily="18" charset="0"/>
              </a:endParaRPr>
            </a:p>
            <a:p>
              <a:endParaRPr lang="es-MX" sz="1050" b="0" i="1">
                <a:latin typeface="Cambria Math" panose="02040503050406030204" pitchFamily="18" charset="0"/>
              </a:endParaRPr>
            </a:p>
            <a:p>
              <a:r>
                <a:rPr lang="es-MX" sz="1050" b="0" i="1">
                  <a:latin typeface="Cambria Math" panose="02040503050406030204" pitchFamily="18" charset="0"/>
                </a:rPr>
                <a:t>1</a:t>
              </a:r>
              <a:r>
                <a:rPr lang="es-MX" sz="1050" b="0" i="1" baseline="0">
                  <a:latin typeface="Cambria Math" panose="02040503050406030204" pitchFamily="18" charset="0"/>
                </a:rPr>
                <a:t> botella- 6.11 focos</a:t>
              </a:r>
              <a:endParaRPr lang="es-MX" sz="1050" b="0" i="1">
                <a:latin typeface="Cambria Math" panose="02040503050406030204" pitchFamily="18" charset="0"/>
              </a:endParaRPr>
            </a:p>
            <a:p>
              <a:endParaRPr lang="es-MX" sz="1050" b="0" i="1">
                <a:latin typeface="Cambria Math" panose="02040503050406030204" pitchFamily="18" charset="0"/>
              </a:endParaRPr>
            </a:p>
            <a:p>
              <a:endParaRPr lang="es-MX" sz="1050" b="0" i="1">
                <a:latin typeface="Cambria Math" panose="02040503050406030204" pitchFamily="18" charset="0"/>
              </a:endParaRPr>
            </a:p>
            <a:p>
              <a:endParaRPr lang="es-MX" sz="105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 </m:t>
                    </m:r>
                  </m:oMath>
                </m:oMathPara>
              </a14:m>
              <a:endParaRPr lang="es-MX" sz="1050"/>
            </a:p>
          </xdr:txBody>
        </xdr:sp>
      </mc:Choice>
      <mc:Fallback xmlns="">
        <xdr:sp macro="" textlink="">
          <xdr:nvSpPr>
            <xdr:cNvPr id="26" name="CuadroTexto 25">
              <a:extLst>
                <a:ext uri="{FF2B5EF4-FFF2-40B4-BE49-F238E27FC236}">
                  <a16:creationId xmlns:a16="http://schemas.microsoft.com/office/drawing/2014/main" id="{5B256B48-56E7-4EA1-991B-148971AB3981}"/>
                </a:ext>
              </a:extLst>
            </xdr:cNvPr>
            <xdr:cNvSpPr txBox="1"/>
          </xdr:nvSpPr>
          <xdr:spPr>
            <a:xfrm>
              <a:off x="12693651" y="5819775"/>
              <a:ext cx="1809750" cy="79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𝑁𝐹</a:t>
              </a:r>
              <a:r>
                <a:rPr lang="es-MX" sz="1050" i="0">
                  <a:latin typeface="Cambria Math" panose="02040503050406030204" pitchFamily="18" charset="0"/>
                </a:rPr>
                <a:t>=</a:t>
              </a:r>
              <a:r>
                <a:rPr lang="es-MX" sz="1050" b="0" i="0">
                  <a:latin typeface="Cambria Math" panose="02040503050406030204" pitchFamily="18" charset="0"/>
                </a:rPr>
                <a:t>254,630 𝑓𝑜𝑐𝑜𝑠/(1 𝑡𝑜𝑛 𝑑𝑒 𝑃𝐸𝑇)</a:t>
              </a:r>
              <a:endParaRPr lang="es-MX" sz="1050" b="0" i="1">
                <a:latin typeface="Cambria Math" panose="02040503050406030204" pitchFamily="18" charset="0"/>
              </a:endParaRPr>
            </a:p>
            <a:p>
              <a:pPr/>
              <a:endParaRPr lang="es-MX" sz="1050" b="0" i="1">
                <a:latin typeface="Cambria Math" panose="02040503050406030204" pitchFamily="18" charset="0"/>
              </a:endParaRPr>
            </a:p>
            <a:p>
              <a:pPr/>
              <a:r>
                <a:rPr lang="es-MX" sz="1050" b="0" i="1">
                  <a:latin typeface="Cambria Math" panose="02040503050406030204" pitchFamily="18" charset="0"/>
                </a:rPr>
                <a:t>1</a:t>
              </a:r>
              <a:r>
                <a:rPr lang="es-MX" sz="1050" b="0" i="1" baseline="0">
                  <a:latin typeface="Cambria Math" panose="02040503050406030204" pitchFamily="18" charset="0"/>
                </a:rPr>
                <a:t> botella- 6.11 focos</a:t>
              </a:r>
              <a:endParaRPr lang="es-MX" sz="1050" b="0" i="1">
                <a:latin typeface="Cambria Math" panose="02040503050406030204" pitchFamily="18" charset="0"/>
              </a:endParaRPr>
            </a:p>
            <a:p>
              <a:pPr/>
              <a:endParaRPr lang="es-MX" sz="1050" b="0" i="1">
                <a:latin typeface="Cambria Math" panose="02040503050406030204" pitchFamily="18" charset="0"/>
              </a:endParaRPr>
            </a:p>
            <a:p>
              <a:pPr/>
              <a:endParaRPr lang="es-MX" sz="1050" b="0" i="1">
                <a:latin typeface="Cambria Math" panose="02040503050406030204" pitchFamily="18" charset="0"/>
              </a:endParaRPr>
            </a:p>
            <a:p>
              <a:pPr/>
              <a:endParaRPr lang="es-MX" sz="1050" b="0" i="1">
                <a:latin typeface="Cambria Math" panose="02040503050406030204" pitchFamily="18" charset="0"/>
              </a:endParaRPr>
            </a:p>
            <a:p>
              <a:pPr/>
              <a:r>
                <a:rPr lang="es-MX" sz="1050" b="0" i="0">
                  <a:latin typeface="Cambria Math" panose="02040503050406030204" pitchFamily="18" charset="0"/>
                </a:rPr>
                <a:t> </a:t>
              </a:r>
              <a:endParaRPr lang="es-MX" sz="1050"/>
            </a:p>
          </xdr:txBody>
        </xdr:sp>
      </mc:Fallback>
    </mc:AlternateContent>
    <xdr:clientData/>
  </xdr:oneCellAnchor>
  <xdr:twoCellAnchor editAs="oneCell">
    <xdr:from>
      <xdr:col>12</xdr:col>
      <xdr:colOff>1205440</xdr:colOff>
      <xdr:row>6</xdr:row>
      <xdr:rowOff>664970</xdr:rowOff>
    </xdr:from>
    <xdr:to>
      <xdr:col>12</xdr:col>
      <xdr:colOff>1609725</xdr:colOff>
      <xdr:row>6</xdr:row>
      <xdr:rowOff>1071032</xdr:rowOff>
    </xdr:to>
    <xdr:pic>
      <xdr:nvPicPr>
        <xdr:cNvPr id="3" name="Gráfico 2" descr="Inalámbrico">
          <a:hlinkClick xmlns:r="http://schemas.openxmlformats.org/officeDocument/2006/relationships" r:id="rId10"/>
          <a:extLst>
            <a:ext uri="{FF2B5EF4-FFF2-40B4-BE49-F238E27FC236}">
              <a16:creationId xmlns:a16="http://schemas.microsoft.com/office/drawing/2014/main" id="{C3B9B6E6-F0E2-4EFC-96EB-523AAE67A19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4890" y="5913245"/>
          <a:ext cx="404285" cy="406062"/>
        </a:xfrm>
        <a:prstGeom prst="rect">
          <a:avLst/>
        </a:prstGeom>
      </xdr:spPr>
    </xdr:pic>
    <xdr:clientData/>
  </xdr:twoCellAnchor>
  <xdr:oneCellAnchor>
    <xdr:from>
      <xdr:col>8</xdr:col>
      <xdr:colOff>143933</xdr:colOff>
      <xdr:row>9</xdr:row>
      <xdr:rowOff>214842</xdr:rowOff>
    </xdr:from>
    <xdr:ext cx="1852084" cy="125227"/>
    <xdr:sp macro="" textlink="">
      <xdr:nvSpPr>
        <xdr:cNvPr id="31" name="CuadroTexto 30">
          <a:extLst>
            <a:ext uri="{FF2B5EF4-FFF2-40B4-BE49-F238E27FC236}">
              <a16:creationId xmlns:a16="http://schemas.microsoft.com/office/drawing/2014/main" id="{45812CED-B7C4-4C80-8663-1DD499A3E7A0}"/>
            </a:ext>
          </a:extLst>
        </xdr:cNvPr>
        <xdr:cNvSpPr txBox="1"/>
      </xdr:nvSpPr>
      <xdr:spPr>
        <a:xfrm>
          <a:off x="7001933" y="603461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10</xdr:col>
      <xdr:colOff>288192</xdr:colOff>
      <xdr:row>9</xdr:row>
      <xdr:rowOff>304068</xdr:rowOff>
    </xdr:from>
    <xdr:ext cx="1852084" cy="330924"/>
    <mc:AlternateContent xmlns:mc="http://schemas.openxmlformats.org/markup-compatibility/2006" xmlns:a14="http://schemas.microsoft.com/office/drawing/2010/main">
      <mc:Choice Requires="a14">
        <xdr:sp macro="" textlink="">
          <xdr:nvSpPr>
            <xdr:cNvPr id="37" name="CuadroTexto 36">
              <a:extLst>
                <a:ext uri="{FF2B5EF4-FFF2-40B4-BE49-F238E27FC236}">
                  <a16:creationId xmlns:a16="http://schemas.microsoft.com/office/drawing/2014/main" id="{75BB73DC-C382-4B2C-A4D8-571C6687E2A7}"/>
                </a:ext>
              </a:extLst>
            </xdr:cNvPr>
            <xdr:cNvSpPr txBox="1"/>
          </xdr:nvSpPr>
          <xdr:spPr>
            <a:xfrm>
              <a:off x="12670692" y="10337068"/>
              <a:ext cx="1852084" cy="330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CI</m:t>
                    </m:r>
                    <m:r>
                      <a:rPr lang="es-MX" sz="1000" b="0" i="1">
                        <a:latin typeface="Cambria Math" panose="02040503050406030204" pitchFamily="18" charset="0"/>
                      </a:rPr>
                      <m:t>=12.3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𝑐𝑎𝑠𝑎𝑠</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𝑖𝑙𝑢𝑚𝑖𝑛𝑎𝑑𝑎𝑠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37" name="CuadroTexto 36">
              <a:extLst>
                <a:ext uri="{FF2B5EF4-FFF2-40B4-BE49-F238E27FC236}">
                  <a16:creationId xmlns:a16="http://schemas.microsoft.com/office/drawing/2014/main" id="{75BB73DC-C382-4B2C-A4D8-571C6687E2A7}"/>
                </a:ext>
              </a:extLst>
            </xdr:cNvPr>
            <xdr:cNvSpPr txBox="1"/>
          </xdr:nvSpPr>
          <xdr:spPr>
            <a:xfrm>
              <a:off x="12670692" y="10337068"/>
              <a:ext cx="1852084" cy="330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CI=12.3 </a:t>
              </a:r>
              <a:r>
                <a:rPr lang="es-MX" sz="1100" b="0" i="0">
                  <a:solidFill>
                    <a:schemeClr val="tx1"/>
                  </a:solidFill>
                  <a:effectLst/>
                  <a:latin typeface="Cambria Math" panose="02040503050406030204" pitchFamily="18" charset="0"/>
                  <a:ea typeface="+mn-ea"/>
                  <a:cs typeface="+mn-cs"/>
                </a:rPr>
                <a:t> (𝑐𝑎𝑠𝑎𝑠 𝑖𝑙𝑢𝑚𝑖𝑛𝑎𝑑𝑎𝑠)/(1 𝑘𝑔 𝑑𝑒 𝑃𝐸𝑇)</a:t>
              </a:r>
              <a:endParaRPr lang="es-MX" sz="1000" b="0"/>
            </a:p>
          </xdr:txBody>
        </xdr:sp>
      </mc:Fallback>
    </mc:AlternateContent>
    <xdr:clientData/>
  </xdr:oneCellAnchor>
  <xdr:oneCellAnchor>
    <xdr:from>
      <xdr:col>10</xdr:col>
      <xdr:colOff>372452</xdr:colOff>
      <xdr:row>9</xdr:row>
      <xdr:rowOff>812067</xdr:rowOff>
    </xdr:from>
    <xdr:ext cx="1852084" cy="301236"/>
    <mc:AlternateContent xmlns:mc="http://schemas.openxmlformats.org/markup-compatibility/2006" xmlns:a14="http://schemas.microsoft.com/office/drawing/2010/main">
      <mc:Choice Requires="a14">
        <xdr:sp macro="" textlink="">
          <xdr:nvSpPr>
            <xdr:cNvPr id="39" name="CuadroTexto 38">
              <a:extLst>
                <a:ext uri="{FF2B5EF4-FFF2-40B4-BE49-F238E27FC236}">
                  <a16:creationId xmlns:a16="http://schemas.microsoft.com/office/drawing/2014/main" id="{70EE7EE7-5D6A-43E7-AC6F-ED4A05BDA492}"/>
                </a:ext>
              </a:extLst>
            </xdr:cNvPr>
            <xdr:cNvSpPr txBox="1"/>
          </xdr:nvSpPr>
          <xdr:spPr>
            <a:xfrm>
              <a:off x="12754952" y="10845067"/>
              <a:ext cx="1852084" cy="3012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CI</m:t>
                    </m:r>
                    <m:r>
                      <a:rPr lang="es-MX" sz="1000" b="0" i="1">
                        <a:latin typeface="Cambria Math" panose="02040503050406030204" pitchFamily="18" charset="0"/>
                      </a:rPr>
                      <m:t>=12,300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𝑐𝑎𝑠𝑎𝑠</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𝑖𝑙𝑢𝑚𝑖𝑛𝑎𝑑𝑎𝑠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39" name="CuadroTexto 38">
              <a:extLst>
                <a:ext uri="{FF2B5EF4-FFF2-40B4-BE49-F238E27FC236}">
                  <a16:creationId xmlns:a16="http://schemas.microsoft.com/office/drawing/2014/main" id="{70EE7EE7-5D6A-43E7-AC6F-ED4A05BDA492}"/>
                </a:ext>
              </a:extLst>
            </xdr:cNvPr>
            <xdr:cNvSpPr txBox="1"/>
          </xdr:nvSpPr>
          <xdr:spPr>
            <a:xfrm>
              <a:off x="12754952" y="10845067"/>
              <a:ext cx="1852084" cy="3012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CI=12,300 </a:t>
              </a:r>
              <a:r>
                <a:rPr lang="es-MX" sz="1100" b="0" i="0">
                  <a:solidFill>
                    <a:schemeClr val="tx1"/>
                  </a:solidFill>
                  <a:effectLst/>
                  <a:latin typeface="Cambria Math" panose="02040503050406030204" pitchFamily="18" charset="0"/>
                  <a:ea typeface="+mn-ea"/>
                  <a:cs typeface="+mn-cs"/>
                </a:rPr>
                <a:t> (𝑐𝑎𝑠𝑎𝑠 𝑖𝑙𝑢𝑚𝑖𝑛𝑎𝑑𝑎𝑠)/(1 𝑡𝑜𝑛 𝑑𝑒 𝑃𝐸𝑇)</a:t>
              </a:r>
              <a:endParaRPr lang="es-MX" sz="1000" b="0"/>
            </a:p>
          </xdr:txBody>
        </xdr:sp>
      </mc:Fallback>
    </mc:AlternateContent>
    <xdr:clientData/>
  </xdr:oneCellAnchor>
  <xdr:oneCellAnchor>
    <xdr:from>
      <xdr:col>8</xdr:col>
      <xdr:colOff>416170</xdr:colOff>
      <xdr:row>10</xdr:row>
      <xdr:rowOff>1163516</xdr:rowOff>
    </xdr:from>
    <xdr:ext cx="1479306" cy="375680"/>
    <mc:AlternateContent xmlns:mc="http://schemas.openxmlformats.org/markup-compatibility/2006" xmlns:a14="http://schemas.microsoft.com/office/drawing/2010/main">
      <mc:Choice Requires="a14">
        <xdr:sp macro="" textlink="">
          <xdr:nvSpPr>
            <xdr:cNvPr id="41" name="CuadroTexto 40">
              <a:extLst>
                <a:ext uri="{FF2B5EF4-FFF2-40B4-BE49-F238E27FC236}">
                  <a16:creationId xmlns:a16="http://schemas.microsoft.com/office/drawing/2014/main" id="{D6420D7B-BAB5-4D08-92FF-AC4656A45124}"/>
                </a:ext>
              </a:extLst>
            </xdr:cNvPr>
            <xdr:cNvSpPr txBox="1"/>
          </xdr:nvSpPr>
          <xdr:spPr>
            <a:xfrm>
              <a:off x="7813920" y="1260939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Pr representa el</a:t>
              </a:r>
              <a:r>
                <a:rPr lang="es-MX" sz="800" b="0" baseline="0"/>
                <a:t> consumo de energía del refrigerador en un día</a:t>
              </a:r>
              <a:endParaRPr lang="es-MX" sz="800" b="0"/>
            </a:p>
          </xdr:txBody>
        </xdr:sp>
      </mc:Choice>
      <mc:Fallback xmlns="">
        <xdr:sp macro="" textlink="">
          <xdr:nvSpPr>
            <xdr:cNvPr id="41" name="CuadroTexto 40">
              <a:extLst>
                <a:ext uri="{FF2B5EF4-FFF2-40B4-BE49-F238E27FC236}">
                  <a16:creationId xmlns:a16="http://schemas.microsoft.com/office/drawing/2014/main" id="{D6420D7B-BAB5-4D08-92FF-AC4656A45124}"/>
                </a:ext>
              </a:extLst>
            </xdr:cNvPr>
            <xdr:cNvSpPr txBox="1"/>
          </xdr:nvSpPr>
          <xdr:spPr>
            <a:xfrm>
              <a:off x="7813920" y="1260939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Pr representa el</a:t>
              </a:r>
              <a:r>
                <a:rPr lang="es-MX" sz="800" b="0" baseline="0"/>
                <a:t> consumo de energía del refrigerador en un día</a:t>
              </a:r>
              <a:endParaRPr lang="es-MX" sz="800" b="0"/>
            </a:p>
          </xdr:txBody>
        </xdr:sp>
      </mc:Fallback>
    </mc:AlternateContent>
    <xdr:clientData/>
  </xdr:oneCellAnchor>
  <xdr:oneCellAnchor>
    <xdr:from>
      <xdr:col>8</xdr:col>
      <xdr:colOff>189402</xdr:colOff>
      <xdr:row>10</xdr:row>
      <xdr:rowOff>728662</xdr:rowOff>
    </xdr:from>
    <xdr:ext cx="1852084" cy="300210"/>
    <mc:AlternateContent xmlns:mc="http://schemas.openxmlformats.org/markup-compatibility/2006" xmlns:a14="http://schemas.microsoft.com/office/drawing/2010/main">
      <mc:Choice Requires="a14">
        <xdr:sp macro="" textlink="">
          <xdr:nvSpPr>
            <xdr:cNvPr id="42" name="CuadroTexto 41">
              <a:extLst>
                <a:ext uri="{FF2B5EF4-FFF2-40B4-BE49-F238E27FC236}">
                  <a16:creationId xmlns:a16="http://schemas.microsoft.com/office/drawing/2014/main" id="{3C1D566F-BF83-4858-9158-A081A1CF21F8}"/>
                </a:ext>
              </a:extLst>
            </xdr:cNvPr>
            <xdr:cNvSpPr txBox="1"/>
          </xdr:nvSpPr>
          <xdr:spPr>
            <a:xfrm>
              <a:off x="7587152" y="12174537"/>
              <a:ext cx="1852084" cy="300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𝑅𝑒</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m:oMathPara>
              </a14:m>
              <a:endParaRPr lang="es-MX" sz="1000" b="0"/>
            </a:p>
          </xdr:txBody>
        </xdr:sp>
      </mc:Choice>
      <mc:Fallback xmlns="">
        <xdr:sp macro="" textlink="">
          <xdr:nvSpPr>
            <xdr:cNvPr id="42" name="CuadroTexto 41">
              <a:extLst>
                <a:ext uri="{FF2B5EF4-FFF2-40B4-BE49-F238E27FC236}">
                  <a16:creationId xmlns:a16="http://schemas.microsoft.com/office/drawing/2014/main" id="{3C1D566F-BF83-4858-9158-A081A1CF21F8}"/>
                </a:ext>
              </a:extLst>
            </xdr:cNvPr>
            <xdr:cNvSpPr txBox="1"/>
          </xdr:nvSpPr>
          <xdr:spPr>
            <a:xfrm>
              <a:off x="7587152" y="12174537"/>
              <a:ext cx="1852084" cy="300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𝑅𝑒=</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9</xdr:col>
      <xdr:colOff>210038</xdr:colOff>
      <xdr:row>10</xdr:row>
      <xdr:rowOff>531202</xdr:rowOff>
    </xdr:from>
    <xdr:ext cx="1852084" cy="564173"/>
    <mc:AlternateContent xmlns:mc="http://schemas.openxmlformats.org/markup-compatibility/2006" xmlns:a14="http://schemas.microsoft.com/office/drawing/2010/main">
      <mc:Choice Requires="a14">
        <xdr:sp macro="" textlink="">
          <xdr:nvSpPr>
            <xdr:cNvPr id="47" name="CuadroTexto 46">
              <a:extLst>
                <a:ext uri="{FF2B5EF4-FFF2-40B4-BE49-F238E27FC236}">
                  <a16:creationId xmlns:a16="http://schemas.microsoft.com/office/drawing/2014/main" id="{35B383A0-F9F9-4A38-AA2C-D060BDAE79B8}"/>
                </a:ext>
              </a:extLst>
            </xdr:cNvPr>
            <xdr:cNvSpPr txBox="1"/>
          </xdr:nvSpPr>
          <xdr:spPr>
            <a:xfrm>
              <a:off x="10036663" y="11977077"/>
              <a:ext cx="1852084" cy="564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𝑅𝑒</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15.277</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.964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𝑑𝑖𝑎</m:t>
                        </m:r>
                      </m:den>
                    </m:f>
                  </m:oMath>
                </m:oMathPara>
              </a14:m>
              <a:endParaRPr lang="es-MX" sz="1000" b="0"/>
            </a:p>
          </xdr:txBody>
        </xdr:sp>
      </mc:Choice>
      <mc:Fallback xmlns="">
        <xdr:sp macro="" textlink="">
          <xdr:nvSpPr>
            <xdr:cNvPr id="47" name="CuadroTexto 46">
              <a:extLst>
                <a:ext uri="{FF2B5EF4-FFF2-40B4-BE49-F238E27FC236}">
                  <a16:creationId xmlns:a16="http://schemas.microsoft.com/office/drawing/2014/main" id="{35B383A0-F9F9-4A38-AA2C-D060BDAE79B8}"/>
                </a:ext>
              </a:extLst>
            </xdr:cNvPr>
            <xdr:cNvSpPr txBox="1"/>
          </xdr:nvSpPr>
          <xdr:spPr>
            <a:xfrm>
              <a:off x="10036663" y="11977077"/>
              <a:ext cx="1852084" cy="564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𝑅𝑒=</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15.277 kwh)/(.964 kwℎ/𝑑𝑖𝑎)</a:t>
              </a:r>
              <a:endParaRPr lang="es-MX" sz="1000" b="0"/>
            </a:p>
          </xdr:txBody>
        </xdr:sp>
      </mc:Fallback>
    </mc:AlternateContent>
    <xdr:clientData/>
  </xdr:oneCellAnchor>
  <xdr:oneCellAnchor>
    <xdr:from>
      <xdr:col>10</xdr:col>
      <xdr:colOff>323850</xdr:colOff>
      <xdr:row>10</xdr:row>
      <xdr:rowOff>214923</xdr:rowOff>
    </xdr:from>
    <xdr:ext cx="1484272" cy="331757"/>
    <mc:AlternateContent xmlns:mc="http://schemas.openxmlformats.org/markup-compatibility/2006" xmlns:a14="http://schemas.microsoft.com/office/drawing/2010/main">
      <mc:Choice Requires="a14">
        <xdr:sp macro="" textlink="">
          <xdr:nvSpPr>
            <xdr:cNvPr id="48" name="CuadroTexto 47">
              <a:extLst>
                <a:ext uri="{FF2B5EF4-FFF2-40B4-BE49-F238E27FC236}">
                  <a16:creationId xmlns:a16="http://schemas.microsoft.com/office/drawing/2014/main" id="{5CE45C71-71C5-4B88-A10F-158FCB13F204}"/>
                </a:ext>
              </a:extLst>
            </xdr:cNvPr>
            <xdr:cNvSpPr txBox="1"/>
          </xdr:nvSpPr>
          <xdr:spPr>
            <a:xfrm>
              <a:off x="11001375" y="10987698"/>
              <a:ext cx="1484272" cy="331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R</m:t>
                    </m:r>
                    <m:r>
                      <a:rPr lang="es-MX" sz="1000" b="0" i="1">
                        <a:latin typeface="Cambria Math" panose="02040503050406030204" pitchFamily="18" charset="0"/>
                      </a:rPr>
                      <m:t>𝑒</m:t>
                    </m:r>
                    <m:r>
                      <a:rPr lang="es-MX" sz="1000" b="0" i="1">
                        <a:latin typeface="Cambria Math" panose="02040503050406030204" pitchFamily="18" charset="0"/>
                      </a:rPr>
                      <m:t>=15.847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𝑑</m:t>
                        </m:r>
                        <m:r>
                          <a:rPr lang="es-MX" sz="1100" b="0" i="1">
                            <a:solidFill>
                              <a:schemeClr val="tx1"/>
                            </a:solidFill>
                            <a:effectLst/>
                            <a:latin typeface="Cambria Math" panose="02040503050406030204" pitchFamily="18" charset="0"/>
                            <a:ea typeface="+mn-ea"/>
                            <a:cs typeface="+mn-cs"/>
                          </a:rPr>
                          <m:t>í</m:t>
                        </m:r>
                        <m:r>
                          <a:rPr lang="es-MX" sz="1100" b="0" i="1">
                            <a:solidFill>
                              <a:schemeClr val="tx1"/>
                            </a:solidFill>
                            <a:effectLst/>
                            <a:latin typeface="Cambria Math" panose="02040503050406030204" pitchFamily="18" charset="0"/>
                            <a:ea typeface="+mn-ea"/>
                            <a:cs typeface="+mn-cs"/>
                          </a:rPr>
                          <m:t>𝑎𝑠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48" name="CuadroTexto 47">
              <a:extLst>
                <a:ext uri="{FF2B5EF4-FFF2-40B4-BE49-F238E27FC236}">
                  <a16:creationId xmlns:a16="http://schemas.microsoft.com/office/drawing/2014/main" id="{5CE45C71-71C5-4B88-A10F-158FCB13F204}"/>
                </a:ext>
              </a:extLst>
            </xdr:cNvPr>
            <xdr:cNvSpPr txBox="1"/>
          </xdr:nvSpPr>
          <xdr:spPr>
            <a:xfrm>
              <a:off x="11001375" y="10987698"/>
              <a:ext cx="1484272" cy="331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R𝑒=</a:t>
              </a:r>
              <a:r>
                <a:rPr lang="es-ES" sz="1000" b="0" i="0">
                  <a:latin typeface="Cambria Math" panose="02040503050406030204" pitchFamily="18" charset="0"/>
                </a:rPr>
                <a:t>15.847</a:t>
              </a:r>
              <a:r>
                <a:rPr lang="es-MX" sz="1000" b="0" i="0">
                  <a:latin typeface="Cambria Math" panose="02040503050406030204" pitchFamily="18" charset="0"/>
                </a:rPr>
                <a:t> </a:t>
              </a:r>
              <a:r>
                <a:rPr lang="es-MX" sz="1100" b="0" i="0">
                  <a:solidFill>
                    <a:schemeClr val="tx1"/>
                  </a:solidFill>
                  <a:effectLst/>
                  <a:latin typeface="Cambria Math" panose="02040503050406030204" pitchFamily="18" charset="0"/>
                  <a:ea typeface="+mn-ea"/>
                  <a:cs typeface="+mn-cs"/>
                </a:rPr>
                <a:t> (𝑑í𝑎𝑠 )/(1 𝑘𝑔 𝑑𝑒 𝑃𝐸𝑇)</a:t>
              </a:r>
              <a:endParaRPr lang="es-MX" sz="1000" b="0"/>
            </a:p>
          </xdr:txBody>
        </xdr:sp>
      </mc:Fallback>
    </mc:AlternateContent>
    <xdr:clientData/>
  </xdr:oneCellAnchor>
  <xdr:oneCellAnchor>
    <xdr:from>
      <xdr:col>10</xdr:col>
      <xdr:colOff>238124</xdr:colOff>
      <xdr:row>10</xdr:row>
      <xdr:rowOff>735134</xdr:rowOff>
    </xdr:from>
    <xdr:ext cx="2257426" cy="1074615"/>
    <mc:AlternateContent xmlns:mc="http://schemas.openxmlformats.org/markup-compatibility/2006" xmlns:a14="http://schemas.microsoft.com/office/drawing/2010/main">
      <mc:Choice Requires="a14">
        <xdr:sp macro="" textlink="">
          <xdr:nvSpPr>
            <xdr:cNvPr id="49" name="CuadroTexto 48">
              <a:extLst>
                <a:ext uri="{FF2B5EF4-FFF2-40B4-BE49-F238E27FC236}">
                  <a16:creationId xmlns:a16="http://schemas.microsoft.com/office/drawing/2014/main" id="{E2209B70-A6E4-4362-A90F-23673A018C2F}"/>
                </a:ext>
              </a:extLst>
            </xdr:cNvPr>
            <xdr:cNvSpPr txBox="1"/>
          </xdr:nvSpPr>
          <xdr:spPr>
            <a:xfrm>
              <a:off x="12592049" y="12193709"/>
              <a:ext cx="2257426" cy="10746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R</m:t>
                    </m:r>
                    <m:r>
                      <a:rPr lang="es-MX" sz="1000" b="0" i="1">
                        <a:latin typeface="Cambria Math" panose="02040503050406030204" pitchFamily="18" charset="0"/>
                      </a:rPr>
                      <m:t>𝑒</m:t>
                    </m:r>
                    <m:r>
                      <a:rPr lang="es-MX" sz="1000" b="0" i="1">
                        <a:latin typeface="Cambria Math" panose="02040503050406030204" pitchFamily="18" charset="0"/>
                      </a:rPr>
                      <m:t>=15,847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𝑑</m:t>
                        </m:r>
                        <m:r>
                          <a:rPr lang="es-MX" sz="1100" b="0" i="1">
                            <a:solidFill>
                              <a:schemeClr val="tx1"/>
                            </a:solidFill>
                            <a:effectLst/>
                            <a:latin typeface="Cambria Math" panose="02040503050406030204" pitchFamily="18" charset="0"/>
                            <a:ea typeface="+mn-ea"/>
                            <a:cs typeface="+mn-cs"/>
                          </a:rPr>
                          <m:t>í</m:t>
                        </m:r>
                        <m:r>
                          <a:rPr lang="es-MX" sz="1100" b="0" i="1">
                            <a:solidFill>
                              <a:schemeClr val="tx1"/>
                            </a:solidFill>
                            <a:effectLst/>
                            <a:latin typeface="Cambria Math" panose="02040503050406030204" pitchFamily="18" charset="0"/>
                            <a:ea typeface="+mn-ea"/>
                            <a:cs typeface="+mn-cs"/>
                          </a:rPr>
                          <m:t>𝑎𝑠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a:p>
              <a:endParaRPr lang="es-MX" sz="1000" b="0"/>
            </a:p>
            <a:p>
              <a:r>
                <a:rPr lang="es-MX" sz="1000" b="0"/>
                <a:t>41.66</a:t>
              </a:r>
              <a:r>
                <a:rPr lang="es-MX" sz="1000" b="0" baseline="0"/>
                <a:t> botellas - 15.8 días</a:t>
              </a:r>
            </a:p>
            <a:p>
              <a:endParaRPr lang="es-MX" sz="1000" b="0"/>
            </a:p>
            <a:p>
              <a:r>
                <a:rPr lang="es-MX" sz="1000" b="0"/>
                <a:t>2.63 botellas - 1 día</a:t>
              </a:r>
            </a:p>
            <a:p>
              <a:r>
                <a:rPr lang="es-MX" sz="1000" b="0"/>
                <a:t>962 botellas - 1 año</a:t>
              </a:r>
            </a:p>
          </xdr:txBody>
        </xdr:sp>
      </mc:Choice>
      <mc:Fallback xmlns="">
        <xdr:sp macro="" textlink="">
          <xdr:nvSpPr>
            <xdr:cNvPr id="49" name="CuadroTexto 48">
              <a:extLst>
                <a:ext uri="{FF2B5EF4-FFF2-40B4-BE49-F238E27FC236}">
                  <a16:creationId xmlns:a16="http://schemas.microsoft.com/office/drawing/2014/main" id="{E2209B70-A6E4-4362-A90F-23673A018C2F}"/>
                </a:ext>
              </a:extLst>
            </xdr:cNvPr>
            <xdr:cNvSpPr txBox="1"/>
          </xdr:nvSpPr>
          <xdr:spPr>
            <a:xfrm>
              <a:off x="12592049" y="12193709"/>
              <a:ext cx="2257426" cy="10746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R𝑒=15,847 </a:t>
              </a:r>
              <a:r>
                <a:rPr lang="es-MX" sz="1100" b="0" i="0">
                  <a:solidFill>
                    <a:schemeClr val="tx1"/>
                  </a:solidFill>
                  <a:effectLst/>
                  <a:latin typeface="Cambria Math" panose="02040503050406030204" pitchFamily="18" charset="0"/>
                  <a:ea typeface="+mn-ea"/>
                  <a:cs typeface="+mn-cs"/>
                </a:rPr>
                <a:t> (𝑑í𝑎𝑠 )/(1 𝑡𝑜𝑛 𝑑𝑒 𝑃𝐸𝑇)</a:t>
              </a:r>
              <a:endParaRPr lang="es-MX" sz="1000" b="0"/>
            </a:p>
            <a:p>
              <a:pPr/>
              <a:endParaRPr lang="es-MX" sz="1000" b="0"/>
            </a:p>
            <a:p>
              <a:pPr/>
              <a:r>
                <a:rPr lang="es-MX" sz="1000" b="0"/>
                <a:t>41.66</a:t>
              </a:r>
              <a:r>
                <a:rPr lang="es-MX" sz="1000" b="0" baseline="0"/>
                <a:t> botellas - 15.8 días</a:t>
              </a:r>
            </a:p>
            <a:p>
              <a:pPr/>
              <a:endParaRPr lang="es-MX" sz="1000" b="0"/>
            </a:p>
            <a:p>
              <a:pPr/>
              <a:r>
                <a:rPr lang="es-MX" sz="1000" b="0"/>
                <a:t>2.63 botellas - 1 día</a:t>
              </a:r>
            </a:p>
            <a:p>
              <a:pPr/>
              <a:r>
                <a:rPr lang="es-MX" sz="1000" b="0"/>
                <a:t>962 botellas - 1 año</a:t>
              </a:r>
            </a:p>
          </xdr:txBody>
        </xdr:sp>
      </mc:Fallback>
    </mc:AlternateContent>
    <xdr:clientData/>
  </xdr:oneCellAnchor>
  <xdr:oneCellAnchor>
    <xdr:from>
      <xdr:col>10</xdr:col>
      <xdr:colOff>384175</xdr:colOff>
      <xdr:row>16</xdr:row>
      <xdr:rowOff>731838</xdr:rowOff>
    </xdr:from>
    <xdr:ext cx="1852084" cy="302519"/>
    <mc:AlternateContent xmlns:mc="http://schemas.openxmlformats.org/markup-compatibility/2006" xmlns:a14="http://schemas.microsoft.com/office/drawing/2010/main">
      <mc:Choice Requires="a14">
        <xdr:sp macro="" textlink="">
          <xdr:nvSpPr>
            <xdr:cNvPr id="55" name="CuadroTexto 54">
              <a:extLst>
                <a:ext uri="{FF2B5EF4-FFF2-40B4-BE49-F238E27FC236}">
                  <a16:creationId xmlns:a16="http://schemas.microsoft.com/office/drawing/2014/main" id="{108252DD-4B6D-4002-8CF0-7AF676FCD1D1}"/>
                </a:ext>
              </a:extLst>
            </xdr:cNvPr>
            <xdr:cNvSpPr txBox="1"/>
          </xdr:nvSpPr>
          <xdr:spPr>
            <a:xfrm>
              <a:off x="12766675" y="18622963"/>
              <a:ext cx="1852084" cy="302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𝑇𝑜𝑛</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40,000</m:t>
                    </m:r>
                    <m:f>
                      <m:fPr>
                        <m:ctrlPr>
                          <a:rPr lang="es-MX" sz="1050" i="1">
                            <a:solidFill>
                              <a:schemeClr val="tx1"/>
                            </a:solidFill>
                            <a:effectLst/>
                            <a:latin typeface="Cambria Math" panose="02040503050406030204" pitchFamily="18" charset="0"/>
                            <a:ea typeface="+mn-ea"/>
                            <a:cs typeface="+mn-cs"/>
                          </a:rPr>
                        </m:ctrlPr>
                      </m:fPr>
                      <m:num>
                        <m:r>
                          <a:rPr lang="es-MX" sz="1050" b="0" i="1">
                            <a:solidFill>
                              <a:schemeClr val="tx1"/>
                            </a:solidFill>
                            <a:effectLst/>
                            <a:latin typeface="Cambria Math" panose="02040503050406030204" pitchFamily="18" charset="0"/>
                            <a:ea typeface="+mn-ea"/>
                            <a:cs typeface="+mn-cs"/>
                          </a:rPr>
                          <m:t>𝐿</m:t>
                        </m:r>
                      </m:num>
                      <m:den>
                        <m:r>
                          <m:rPr>
                            <m:sty m:val="p"/>
                          </m:rPr>
                          <a:rPr lang="es-MX" sz="1050" b="0" i="0">
                            <a:solidFill>
                              <a:schemeClr val="tx1"/>
                            </a:solidFill>
                            <a:effectLst/>
                            <a:latin typeface="Cambria Math" panose="02040503050406030204" pitchFamily="18" charset="0"/>
                            <a:ea typeface="+mn-ea"/>
                            <a:cs typeface="+mn-cs"/>
                          </a:rPr>
                          <m:t>H</m:t>
                        </m:r>
                        <m:r>
                          <a:rPr lang="es-MX" sz="1050" b="0" i="0">
                            <a:solidFill>
                              <a:schemeClr val="tx1"/>
                            </a:solidFill>
                            <a:effectLst/>
                            <a:latin typeface="Cambria Math" panose="02040503050406030204" pitchFamily="18" charset="0"/>
                            <a:ea typeface="+mn-ea"/>
                            <a:cs typeface="+mn-cs"/>
                          </a:rPr>
                          <m:t>2</m:t>
                        </m:r>
                        <m:r>
                          <m:rPr>
                            <m:sty m:val="p"/>
                          </m:rPr>
                          <a:rPr lang="es-MX" sz="1050" b="0" i="0">
                            <a:solidFill>
                              <a:schemeClr val="tx1"/>
                            </a:solidFill>
                            <a:effectLst/>
                            <a:latin typeface="Cambria Math" panose="02040503050406030204" pitchFamily="18" charset="0"/>
                            <a:ea typeface="+mn-ea"/>
                            <a:cs typeface="+mn-cs"/>
                          </a:rPr>
                          <m:t>O</m:t>
                        </m:r>
                      </m:den>
                    </m:f>
                  </m:oMath>
                </m:oMathPara>
              </a14:m>
              <a:endParaRPr lang="es-MX" sz="1050" b="0"/>
            </a:p>
          </xdr:txBody>
        </xdr:sp>
      </mc:Choice>
      <mc:Fallback xmlns="">
        <xdr:sp macro="" textlink="">
          <xdr:nvSpPr>
            <xdr:cNvPr id="55" name="CuadroTexto 54">
              <a:extLst>
                <a:ext uri="{FF2B5EF4-FFF2-40B4-BE49-F238E27FC236}">
                  <a16:creationId xmlns:a16="http://schemas.microsoft.com/office/drawing/2014/main" id="{108252DD-4B6D-4002-8CF0-7AF676FCD1D1}"/>
                </a:ext>
              </a:extLst>
            </xdr:cNvPr>
            <xdr:cNvSpPr txBox="1"/>
          </xdr:nvSpPr>
          <xdr:spPr>
            <a:xfrm>
              <a:off x="12766675" y="18622963"/>
              <a:ext cx="1852084" cy="302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𝑇𝑜𝑛 𝑃𝐸𝑇=40,000</a:t>
              </a:r>
              <a:r>
                <a:rPr lang="es-MX" sz="1050" b="0" i="0">
                  <a:solidFill>
                    <a:schemeClr val="tx1"/>
                  </a:solidFill>
                  <a:effectLst/>
                  <a:latin typeface="Cambria Math" panose="02040503050406030204" pitchFamily="18" charset="0"/>
                  <a:ea typeface="+mn-ea"/>
                  <a:cs typeface="+mn-cs"/>
                </a:rPr>
                <a:t> 𝐿/H2O</a:t>
              </a:r>
              <a:endParaRPr lang="es-MX" sz="1050" b="0"/>
            </a:p>
          </xdr:txBody>
        </xdr:sp>
      </mc:Fallback>
    </mc:AlternateContent>
    <xdr:clientData/>
  </xdr:oneCellAnchor>
  <xdr:oneCellAnchor>
    <xdr:from>
      <xdr:col>10</xdr:col>
      <xdr:colOff>392113</xdr:colOff>
      <xdr:row>16</xdr:row>
      <xdr:rowOff>228600</xdr:rowOff>
    </xdr:from>
    <xdr:ext cx="1785937" cy="302519"/>
    <mc:AlternateContent xmlns:mc="http://schemas.openxmlformats.org/markup-compatibility/2006" xmlns:a14="http://schemas.microsoft.com/office/drawing/2010/main">
      <mc:Choice Requires="a14">
        <xdr:sp macro="" textlink="">
          <xdr:nvSpPr>
            <xdr:cNvPr id="56" name="CuadroTexto 55">
              <a:extLst>
                <a:ext uri="{FF2B5EF4-FFF2-40B4-BE49-F238E27FC236}">
                  <a16:creationId xmlns:a16="http://schemas.microsoft.com/office/drawing/2014/main" id="{A6803D39-DD3A-4F02-A121-C1872941B0B5}"/>
                </a:ext>
              </a:extLst>
            </xdr:cNvPr>
            <xdr:cNvSpPr txBox="1"/>
          </xdr:nvSpPr>
          <xdr:spPr>
            <a:xfrm>
              <a:off x="12774613" y="18119725"/>
              <a:ext cx="1785937" cy="302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40</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L</m:t>
                        </m:r>
                      </m:num>
                      <m:den>
                        <m:r>
                          <m:rPr>
                            <m:sty m:val="p"/>
                          </m:rPr>
                          <a:rPr lang="es-MX" sz="1050" b="0" i="0">
                            <a:solidFill>
                              <a:schemeClr val="tx1"/>
                            </a:solidFill>
                            <a:effectLst/>
                            <a:latin typeface="Cambria Math" panose="02040503050406030204" pitchFamily="18" charset="0"/>
                            <a:ea typeface="+mn-ea"/>
                            <a:cs typeface="+mn-cs"/>
                          </a:rPr>
                          <m:t>H</m:t>
                        </m:r>
                        <m:r>
                          <a:rPr lang="es-MX" sz="1050" b="0" i="0">
                            <a:solidFill>
                              <a:schemeClr val="tx1"/>
                            </a:solidFill>
                            <a:effectLst/>
                            <a:latin typeface="Cambria Math" panose="02040503050406030204" pitchFamily="18" charset="0"/>
                            <a:ea typeface="+mn-ea"/>
                            <a:cs typeface="+mn-cs"/>
                          </a:rPr>
                          <m:t>2</m:t>
                        </m:r>
                        <m:r>
                          <m:rPr>
                            <m:sty m:val="p"/>
                          </m:rPr>
                          <a:rPr lang="es-MX" sz="1050" b="0" i="0">
                            <a:solidFill>
                              <a:schemeClr val="tx1"/>
                            </a:solidFill>
                            <a:effectLst/>
                            <a:latin typeface="Cambria Math" panose="02040503050406030204" pitchFamily="18" charset="0"/>
                            <a:ea typeface="+mn-ea"/>
                            <a:cs typeface="+mn-cs"/>
                          </a:rPr>
                          <m:t>O</m:t>
                        </m:r>
                      </m:den>
                    </m:f>
                  </m:oMath>
                </m:oMathPara>
              </a14:m>
              <a:endParaRPr lang="es-MX" sz="1050" b="0"/>
            </a:p>
          </xdr:txBody>
        </xdr:sp>
      </mc:Choice>
      <mc:Fallback xmlns="">
        <xdr:sp macro="" textlink="">
          <xdr:nvSpPr>
            <xdr:cNvPr id="56" name="CuadroTexto 55">
              <a:extLst>
                <a:ext uri="{FF2B5EF4-FFF2-40B4-BE49-F238E27FC236}">
                  <a16:creationId xmlns:a16="http://schemas.microsoft.com/office/drawing/2014/main" id="{A6803D39-DD3A-4F02-A121-C1872941B0B5}"/>
                </a:ext>
              </a:extLst>
            </xdr:cNvPr>
            <xdr:cNvSpPr txBox="1"/>
          </xdr:nvSpPr>
          <xdr:spPr>
            <a:xfrm>
              <a:off x="12774613" y="18119725"/>
              <a:ext cx="1785937" cy="302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𝑃𝐸𝑇=40</a:t>
              </a:r>
              <a:r>
                <a:rPr lang="es-MX" sz="1050" b="0" i="0">
                  <a:solidFill>
                    <a:schemeClr val="tx1"/>
                  </a:solidFill>
                  <a:effectLst/>
                  <a:latin typeface="Cambria Math" panose="02040503050406030204" pitchFamily="18" charset="0"/>
                  <a:ea typeface="+mn-ea"/>
                  <a:cs typeface="+mn-cs"/>
                </a:rPr>
                <a:t> L/H2O</a:t>
              </a:r>
              <a:endParaRPr lang="es-MX" sz="1050" b="0"/>
            </a:p>
          </xdr:txBody>
        </xdr:sp>
      </mc:Fallback>
    </mc:AlternateContent>
    <xdr:clientData/>
  </xdr:oneCellAnchor>
  <xdr:oneCellAnchor>
    <xdr:from>
      <xdr:col>9</xdr:col>
      <xdr:colOff>492126</xdr:colOff>
      <xdr:row>18</xdr:row>
      <xdr:rowOff>293688</xdr:rowOff>
    </xdr:from>
    <xdr:ext cx="1349375" cy="351443"/>
    <mc:AlternateContent xmlns:mc="http://schemas.openxmlformats.org/markup-compatibility/2006" xmlns:a14="http://schemas.microsoft.com/office/drawing/2010/main">
      <mc:Choice Requires="a14">
        <xdr:sp macro="" textlink="">
          <xdr:nvSpPr>
            <xdr:cNvPr id="61" name="CuadroTexto 60">
              <a:extLst>
                <a:ext uri="{FF2B5EF4-FFF2-40B4-BE49-F238E27FC236}">
                  <a16:creationId xmlns:a16="http://schemas.microsoft.com/office/drawing/2014/main" id="{3D1C582C-D549-4AC1-97A5-0764A460D729}"/>
                </a:ext>
              </a:extLst>
            </xdr:cNvPr>
            <xdr:cNvSpPr txBox="1"/>
          </xdr:nvSpPr>
          <xdr:spPr>
            <a:xfrm>
              <a:off x="10318751" y="21010563"/>
              <a:ext cx="1349375"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𝑑𝑢𝑐h𝑎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200 </m:t>
                        </m:r>
                        <m:r>
                          <m:rPr>
                            <m:sty m:val="p"/>
                          </m:rPr>
                          <a:rPr lang="es-MX" sz="1100" b="0" i="0">
                            <a:solidFill>
                              <a:schemeClr val="tx1"/>
                            </a:solidFill>
                            <a:effectLst/>
                            <a:latin typeface="Cambria Math" panose="02040503050406030204" pitchFamily="18" charset="0"/>
                            <a:ea typeface="+mn-ea"/>
                            <a:cs typeface="+mn-cs"/>
                          </a:rPr>
                          <m:t>L</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61" name="CuadroTexto 60">
              <a:extLst>
                <a:ext uri="{FF2B5EF4-FFF2-40B4-BE49-F238E27FC236}">
                  <a16:creationId xmlns:a16="http://schemas.microsoft.com/office/drawing/2014/main" id="{3D1C582C-D549-4AC1-97A5-0764A460D729}"/>
                </a:ext>
              </a:extLst>
            </xdr:cNvPr>
            <xdr:cNvSpPr txBox="1"/>
          </xdr:nvSpPr>
          <xdr:spPr>
            <a:xfrm>
              <a:off x="10318751" y="21010563"/>
              <a:ext cx="1349375"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𝑑𝑢𝑐ℎ𝑎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200 L)/(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266700</xdr:colOff>
      <xdr:row>18</xdr:row>
      <xdr:rowOff>214313</xdr:rowOff>
    </xdr:from>
    <xdr:ext cx="1852084" cy="344453"/>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53973351-F4EF-4F61-8396-A1CF69B6C2FC}"/>
                </a:ext>
              </a:extLst>
            </xdr:cNvPr>
            <xdr:cNvSpPr txBox="1"/>
          </xdr:nvSpPr>
          <xdr:spPr>
            <a:xfrm>
              <a:off x="10934700" y="20159663"/>
              <a:ext cx="185208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1 </m:t>
                    </m:r>
                    <m:r>
                      <a:rPr lang="es-MX" sz="1100" b="0" i="1">
                        <a:latin typeface="Cambria Math" panose="02040503050406030204" pitchFamily="18" charset="0"/>
                      </a:rPr>
                      <m:t>𝑘𝑔</m:t>
                    </m:r>
                    <m:r>
                      <a:rPr lang="es-MX" sz="1100" b="0" i="1">
                        <a:latin typeface="Cambria Math" panose="02040503050406030204" pitchFamily="18" charset="0"/>
                      </a:rPr>
                      <m:t> </m:t>
                    </m:r>
                    <m:r>
                      <a:rPr lang="es-MX" sz="1100" b="0" i="1">
                        <a:latin typeface="Cambria Math" panose="02040503050406030204" pitchFamily="18" charset="0"/>
                      </a:rPr>
                      <m:t>𝑃𝐸𝑇</m:t>
                    </m:r>
                    <m:r>
                      <a:rPr lang="es-MX" sz="1100" b="0" i="1">
                        <a:latin typeface="Cambria Math" panose="02040503050406030204" pitchFamily="18" charset="0"/>
                      </a:rPr>
                      <m:t>=</m:t>
                    </m:r>
                    <m:r>
                      <a:rPr lang="es-MX" sz="1100" b="0" i="0">
                        <a:latin typeface="Cambria Math" panose="02040503050406030204" pitchFamily="18" charset="0"/>
                      </a:rPr>
                      <m:t> </m:t>
                    </m:r>
                  </m:oMath>
                </m:oMathPara>
              </a14:m>
              <a:endParaRPr lang="es-MX" sz="11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 </m:t>
                    </m:r>
                  </m:oMath>
                </m:oMathPara>
              </a14:m>
              <a:endParaRPr lang="es-MX" sz="1100" b="0"/>
            </a:p>
          </xdr:txBody>
        </xdr:sp>
      </mc:Choice>
      <mc:Fallback xmlns="">
        <xdr:sp macro="" textlink="">
          <xdr:nvSpPr>
            <xdr:cNvPr id="64" name="CuadroTexto 63">
              <a:extLst>
                <a:ext uri="{FF2B5EF4-FFF2-40B4-BE49-F238E27FC236}">
                  <a16:creationId xmlns:a16="http://schemas.microsoft.com/office/drawing/2014/main" id="{53973351-F4EF-4F61-8396-A1CF69B6C2FC}"/>
                </a:ext>
              </a:extLst>
            </xdr:cNvPr>
            <xdr:cNvSpPr txBox="1"/>
          </xdr:nvSpPr>
          <xdr:spPr>
            <a:xfrm>
              <a:off x="10934700" y="20159663"/>
              <a:ext cx="185208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0" i="0">
                  <a:latin typeface="Cambria Math" panose="02040503050406030204" pitchFamily="18" charset="0"/>
                </a:rPr>
                <a:t>1 𝑘𝑔 𝑃𝐸𝑇= </a:t>
              </a:r>
              <a:endParaRPr lang="es-MX" sz="11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𝑃𝐸𝑇= </a:t>
              </a:r>
              <a:endParaRPr lang="es-MX" sz="1100" b="0"/>
            </a:p>
          </xdr:txBody>
        </xdr:sp>
      </mc:Fallback>
    </mc:AlternateContent>
    <xdr:clientData/>
  </xdr:oneCellAnchor>
  <xdr:twoCellAnchor editAs="oneCell">
    <xdr:from>
      <xdr:col>12</xdr:col>
      <xdr:colOff>1196975</xdr:colOff>
      <xdr:row>18</xdr:row>
      <xdr:rowOff>388938</xdr:rowOff>
    </xdr:from>
    <xdr:to>
      <xdr:col>12</xdr:col>
      <xdr:colOff>1573213</xdr:colOff>
      <xdr:row>18</xdr:row>
      <xdr:rowOff>769142</xdr:rowOff>
    </xdr:to>
    <xdr:pic>
      <xdr:nvPicPr>
        <xdr:cNvPr id="71" name="Gráfico 70" descr="Inalámbrico">
          <a:hlinkClick xmlns:r="http://schemas.openxmlformats.org/officeDocument/2006/relationships" r:id="rId11"/>
          <a:extLst>
            <a:ext uri="{FF2B5EF4-FFF2-40B4-BE49-F238E27FC236}">
              <a16:creationId xmlns:a16="http://schemas.microsoft.com/office/drawing/2014/main" id="{E90E213E-0C0D-4C4A-95EE-A6C2DC93945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6425" y="20334288"/>
          <a:ext cx="376238" cy="380204"/>
        </a:xfrm>
        <a:prstGeom prst="rect">
          <a:avLst/>
        </a:prstGeom>
      </xdr:spPr>
    </xdr:pic>
    <xdr:clientData/>
  </xdr:twoCellAnchor>
  <xdr:oneCellAnchor>
    <xdr:from>
      <xdr:col>9</xdr:col>
      <xdr:colOff>317500</xdr:colOff>
      <xdr:row>20</xdr:row>
      <xdr:rowOff>422275</xdr:rowOff>
    </xdr:from>
    <xdr:ext cx="1730375" cy="351506"/>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3F1A4EC-B635-4F40-B3FF-589DDE16692E}"/>
                </a:ext>
              </a:extLst>
            </xdr:cNvPr>
            <xdr:cNvSpPr txBox="1"/>
          </xdr:nvSpPr>
          <xdr:spPr>
            <a:xfrm>
              <a:off x="10144125" y="2396490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𝑚𝑎𝑛𝑧𝑎𝑛𝑎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70 </m:t>
                        </m:r>
                        <m:r>
                          <m:rPr>
                            <m:sty m:val="p"/>
                          </m:rPr>
                          <a:rPr lang="es-MX" sz="1100" b="0" i="0">
                            <a:solidFill>
                              <a:schemeClr val="tx1"/>
                            </a:solidFill>
                            <a:effectLst/>
                            <a:latin typeface="Cambria Math" panose="02040503050406030204" pitchFamily="18" charset="0"/>
                            <a:ea typeface="+mn-ea"/>
                            <a:cs typeface="+mn-cs"/>
                          </a:rPr>
                          <m:t>L</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72" name="CuadroTexto 71">
              <a:extLst>
                <a:ext uri="{FF2B5EF4-FFF2-40B4-BE49-F238E27FC236}">
                  <a16:creationId xmlns:a16="http://schemas.microsoft.com/office/drawing/2014/main" id="{03F1A4EC-B635-4F40-B3FF-589DDE16692E}"/>
                </a:ext>
              </a:extLst>
            </xdr:cNvPr>
            <xdr:cNvSpPr txBox="1"/>
          </xdr:nvSpPr>
          <xdr:spPr>
            <a:xfrm>
              <a:off x="10144125" y="2396490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𝑚𝑎𝑛𝑧𝑎𝑛𝑎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70 L)/(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149224</xdr:colOff>
      <xdr:row>20</xdr:row>
      <xdr:rowOff>347663</xdr:rowOff>
    </xdr:from>
    <xdr:ext cx="2130425" cy="322268"/>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668CF2AE-3367-45CB-9747-B03859D5F9CB}"/>
                </a:ext>
              </a:extLst>
            </xdr:cNvPr>
            <xdr:cNvSpPr txBox="1"/>
          </xdr:nvSpPr>
          <xdr:spPr>
            <a:xfrm>
              <a:off x="12531724" y="23890288"/>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𝑘𝑔</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 </m:t>
                    </m:r>
                  </m:oMath>
                </m:oMathPara>
              </a14:m>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a:p>
          </xdr:txBody>
        </xdr:sp>
      </mc:Choice>
      <mc:Fallback xmlns="">
        <xdr:sp macro="" textlink="">
          <xdr:nvSpPr>
            <xdr:cNvPr id="73" name="CuadroTexto 72">
              <a:extLst>
                <a:ext uri="{FF2B5EF4-FFF2-40B4-BE49-F238E27FC236}">
                  <a16:creationId xmlns:a16="http://schemas.microsoft.com/office/drawing/2014/main" id="{668CF2AE-3367-45CB-9747-B03859D5F9CB}"/>
                </a:ext>
              </a:extLst>
            </xdr:cNvPr>
            <xdr:cNvSpPr txBox="1"/>
          </xdr:nvSpPr>
          <xdr:spPr>
            <a:xfrm>
              <a:off x="12531724" y="23890288"/>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solidFill>
                    <a:schemeClr val="tx1"/>
                  </a:solidFill>
                  <a:effectLst/>
                  <a:latin typeface="Cambria Math" panose="02040503050406030204" pitchFamily="18" charset="0"/>
                  <a:ea typeface="+mn-ea"/>
                  <a:cs typeface="+mn-cs"/>
                </a:rPr>
                <a:t>1 𝑘𝑔 𝑃𝐸𝑇= </a:t>
              </a:r>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a:t>
              </a:r>
              <a:endParaRPr lang="es-MX" sz="1050" b="0"/>
            </a:p>
          </xdr:txBody>
        </xdr:sp>
      </mc:Fallback>
    </mc:AlternateContent>
    <xdr:clientData/>
  </xdr:oneCellAnchor>
  <xdr:twoCellAnchor editAs="oneCell">
    <xdr:from>
      <xdr:col>12</xdr:col>
      <xdr:colOff>1143000</xdr:colOff>
      <xdr:row>20</xdr:row>
      <xdr:rowOff>388938</xdr:rowOff>
    </xdr:from>
    <xdr:to>
      <xdr:col>12</xdr:col>
      <xdr:colOff>1519237</xdr:colOff>
      <xdr:row>20</xdr:row>
      <xdr:rowOff>772318</xdr:rowOff>
    </xdr:to>
    <xdr:pic>
      <xdr:nvPicPr>
        <xdr:cNvPr id="77" name="Gráfico 76" descr="Inalámbrico">
          <a:hlinkClick xmlns:r="http://schemas.openxmlformats.org/officeDocument/2006/relationships" r:id="rId12"/>
          <a:extLst>
            <a:ext uri="{FF2B5EF4-FFF2-40B4-BE49-F238E27FC236}">
              <a16:creationId xmlns:a16="http://schemas.microsoft.com/office/drawing/2014/main" id="{917A7B3E-B1F5-483A-99E2-AD5DF7F23C8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92450" y="23153688"/>
          <a:ext cx="376237" cy="383380"/>
        </a:xfrm>
        <a:prstGeom prst="rect">
          <a:avLst/>
        </a:prstGeom>
      </xdr:spPr>
    </xdr:pic>
    <xdr:clientData/>
  </xdr:twoCellAnchor>
  <xdr:twoCellAnchor editAs="oneCell">
    <xdr:from>
      <xdr:col>12</xdr:col>
      <xdr:colOff>1169988</xdr:colOff>
      <xdr:row>10</xdr:row>
      <xdr:rowOff>1119747</xdr:rowOff>
    </xdr:from>
    <xdr:to>
      <xdr:col>12</xdr:col>
      <xdr:colOff>1533525</xdr:colOff>
      <xdr:row>10</xdr:row>
      <xdr:rowOff>1479549</xdr:rowOff>
    </xdr:to>
    <xdr:pic>
      <xdr:nvPicPr>
        <xdr:cNvPr id="79" name="Gráfico 78" descr="Inalámbrico">
          <a:hlinkClick xmlns:r="http://schemas.openxmlformats.org/officeDocument/2006/relationships" r:id="rId13"/>
          <a:extLst>
            <a:ext uri="{FF2B5EF4-FFF2-40B4-BE49-F238E27FC236}">
              <a16:creationId xmlns:a16="http://schemas.microsoft.com/office/drawing/2014/main" id="{F38FBEBA-E9C9-4FDB-8A27-77D1563C6D9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19438" y="12121122"/>
          <a:ext cx="363537" cy="359802"/>
        </a:xfrm>
        <a:prstGeom prst="rect">
          <a:avLst/>
        </a:prstGeom>
      </xdr:spPr>
    </xdr:pic>
    <xdr:clientData/>
  </xdr:twoCellAnchor>
  <xdr:twoCellAnchor editAs="oneCell">
    <xdr:from>
      <xdr:col>12</xdr:col>
      <xdr:colOff>1247775</xdr:colOff>
      <xdr:row>19</xdr:row>
      <xdr:rowOff>665105</xdr:rowOff>
    </xdr:from>
    <xdr:to>
      <xdr:col>12</xdr:col>
      <xdr:colOff>1581150</xdr:colOff>
      <xdr:row>19</xdr:row>
      <xdr:rowOff>1002506</xdr:rowOff>
    </xdr:to>
    <xdr:pic>
      <xdr:nvPicPr>
        <xdr:cNvPr id="83" name="Gráfico 82" descr="Inalámbrico">
          <a:hlinkClick xmlns:r="http://schemas.openxmlformats.org/officeDocument/2006/relationships" r:id="rId14"/>
          <a:extLst>
            <a:ext uri="{FF2B5EF4-FFF2-40B4-BE49-F238E27FC236}">
              <a16:creationId xmlns:a16="http://schemas.microsoft.com/office/drawing/2014/main" id="{249B5098-0D16-490F-BC22-15BD2C051E7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043525" y="22794855"/>
          <a:ext cx="333375" cy="337401"/>
        </a:xfrm>
        <a:prstGeom prst="rect">
          <a:avLst/>
        </a:prstGeom>
      </xdr:spPr>
    </xdr:pic>
    <xdr:clientData/>
  </xdr:twoCellAnchor>
  <xdr:oneCellAnchor>
    <xdr:from>
      <xdr:col>9</xdr:col>
      <xdr:colOff>436563</xdr:colOff>
      <xdr:row>19</xdr:row>
      <xdr:rowOff>412750</xdr:rowOff>
    </xdr:from>
    <xdr:ext cx="1349375" cy="352276"/>
    <mc:AlternateContent xmlns:mc="http://schemas.openxmlformats.org/markup-compatibility/2006" xmlns:a14="http://schemas.microsoft.com/office/drawing/2010/main">
      <mc:Choice Requires="a14">
        <xdr:sp macro="" textlink="">
          <xdr:nvSpPr>
            <xdr:cNvPr id="84" name="CuadroTexto 83">
              <a:extLst>
                <a:ext uri="{FF2B5EF4-FFF2-40B4-BE49-F238E27FC236}">
                  <a16:creationId xmlns:a16="http://schemas.microsoft.com/office/drawing/2014/main" id="{705127CA-9806-4AEE-B84E-CA4D4E210702}"/>
                </a:ext>
              </a:extLst>
            </xdr:cNvPr>
            <xdr:cNvSpPr txBox="1"/>
          </xdr:nvSpPr>
          <xdr:spPr>
            <a:xfrm>
              <a:off x="10263188" y="22542500"/>
              <a:ext cx="1349375" cy="352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𝑑</m:t>
                        </m:r>
                        <m:r>
                          <a:rPr lang="es-MX" sz="1100" b="0" i="1">
                            <a:solidFill>
                              <a:schemeClr val="tx1"/>
                            </a:solidFill>
                            <a:effectLst/>
                            <a:latin typeface="Cambria Math" panose="02040503050406030204" pitchFamily="18" charset="0"/>
                            <a:ea typeface="+mn-ea"/>
                            <a:cs typeface="+mn-cs"/>
                          </a:rPr>
                          <m:t>í</m:t>
                        </m:r>
                        <m:r>
                          <a:rPr lang="es-MX" sz="1100" b="0" i="1">
                            <a:solidFill>
                              <a:schemeClr val="tx1"/>
                            </a:solidFill>
                            <a:effectLst/>
                            <a:latin typeface="Cambria Math" panose="02040503050406030204" pitchFamily="18" charset="0"/>
                            <a:ea typeface="+mn-ea"/>
                            <a:cs typeface="+mn-cs"/>
                          </a:rPr>
                          <m:t>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2.5 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84" name="CuadroTexto 83">
              <a:extLst>
                <a:ext uri="{FF2B5EF4-FFF2-40B4-BE49-F238E27FC236}">
                  <a16:creationId xmlns:a16="http://schemas.microsoft.com/office/drawing/2014/main" id="{705127CA-9806-4AEE-B84E-CA4D4E210702}"/>
                </a:ext>
              </a:extLst>
            </xdr:cNvPr>
            <xdr:cNvSpPr txBox="1"/>
          </xdr:nvSpPr>
          <xdr:spPr>
            <a:xfrm>
              <a:off x="10263188" y="22542500"/>
              <a:ext cx="1349375" cy="352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𝑑í𝑎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2.5 𝐿)/(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453266</xdr:colOff>
      <xdr:row>19</xdr:row>
      <xdr:rowOff>394528</xdr:rowOff>
    </xdr:from>
    <xdr:ext cx="1566999" cy="577851"/>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3085BB90-3A9B-4C8C-B042-28E61709EC1A}"/>
                </a:ext>
              </a:extLst>
            </xdr:cNvPr>
            <xdr:cNvSpPr txBox="1"/>
          </xdr:nvSpPr>
          <xdr:spPr>
            <a:xfrm>
              <a:off x="12835766" y="22524278"/>
              <a:ext cx="1566999" cy="577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m:t>
                  </m:r>
                </m:oMath>
              </a14:m>
              <a:r>
                <a:rPr lang="es-MX" sz="1050" b="0"/>
                <a:t> </a:t>
              </a:r>
              <a:endParaRPr lang="es-MX" sz="1050" b="0" i="1">
                <a:solidFill>
                  <a:schemeClr val="tx1"/>
                </a:solidFill>
                <a:effectLst/>
                <a:latin typeface="Cambria Math" panose="02040503050406030204" pitchFamily="18" charset="0"/>
                <a:ea typeface="+mn-ea"/>
                <a:cs typeface="+mn-cs"/>
              </a:endParaRPr>
            </a:p>
            <a:p>
              <a:pPr/>
              <a14:m>
                <m:oMathPara xmlns:m="http://schemas.openxmlformats.org/officeDocument/2006/math">
                  <m:oMathParaPr>
                    <m:jc m:val="left"/>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a:p>
          </xdr:txBody>
        </xdr:sp>
      </mc:Choice>
      <mc:Fallback xmlns="">
        <xdr:sp macro="" textlink="">
          <xdr:nvSpPr>
            <xdr:cNvPr id="85" name="CuadroTexto 84">
              <a:extLst>
                <a:ext uri="{FF2B5EF4-FFF2-40B4-BE49-F238E27FC236}">
                  <a16:creationId xmlns:a16="http://schemas.microsoft.com/office/drawing/2014/main" id="{3085BB90-3A9B-4C8C-B042-28E61709EC1A}"/>
                </a:ext>
              </a:extLst>
            </xdr:cNvPr>
            <xdr:cNvSpPr txBox="1"/>
          </xdr:nvSpPr>
          <xdr:spPr>
            <a:xfrm>
              <a:off x="12835766" y="22524278"/>
              <a:ext cx="1566999" cy="577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 </a:t>
              </a:r>
              <a:r>
                <a:rPr lang="es-MX" sz="1050" b="0"/>
                <a:t> </a:t>
              </a:r>
              <a:endParaRPr lang="es-MX" sz="1050" b="0" i="1">
                <a:solidFill>
                  <a:schemeClr val="tx1"/>
                </a:solidFill>
                <a:effectLst/>
                <a:latin typeface="Cambria Math" panose="02040503050406030204" pitchFamily="18" charset="0"/>
                <a:ea typeface="+mn-ea"/>
                <a:cs typeface="+mn-cs"/>
              </a:endParaRPr>
            </a:p>
            <a:p>
              <a:pPr/>
              <a:r>
                <a:rPr lang="es-MX" sz="1050" b="0" i="0">
                  <a:solidFill>
                    <a:schemeClr val="tx1"/>
                  </a:solidFill>
                  <a:effectLst/>
                  <a:latin typeface="Cambria Math" panose="02040503050406030204" pitchFamily="18" charset="0"/>
                  <a:ea typeface="+mn-ea"/>
                  <a:cs typeface="+mn-cs"/>
                </a:rPr>
                <a:t>1 𝑡𝑜𝑛 𝑃𝐸𝑇=</a:t>
              </a:r>
              <a:endParaRPr lang="es-MX" sz="1050" b="0"/>
            </a:p>
          </xdr:txBody>
        </xdr:sp>
      </mc:Fallback>
    </mc:AlternateContent>
    <xdr:clientData/>
  </xdr:oneCellAnchor>
  <xdr:oneCellAnchor>
    <xdr:from>
      <xdr:col>9</xdr:col>
      <xdr:colOff>266699</xdr:colOff>
      <xdr:row>24</xdr:row>
      <xdr:rowOff>488950</xdr:rowOff>
    </xdr:from>
    <xdr:ext cx="2039938" cy="351506"/>
    <mc:AlternateContent xmlns:mc="http://schemas.openxmlformats.org/markup-compatibility/2006" xmlns:a14="http://schemas.microsoft.com/office/drawing/2010/main">
      <mc:Choice Requires="a14">
        <xdr:sp macro="" textlink="">
          <xdr:nvSpPr>
            <xdr:cNvPr id="90" name="CuadroTexto 89">
              <a:extLst>
                <a:ext uri="{FF2B5EF4-FFF2-40B4-BE49-F238E27FC236}">
                  <a16:creationId xmlns:a16="http://schemas.microsoft.com/office/drawing/2014/main" id="{E6F79E09-3C0F-42B2-81D3-A36960295C81}"/>
                </a:ext>
              </a:extLst>
            </xdr:cNvPr>
            <xdr:cNvSpPr txBox="1"/>
          </xdr:nvSpPr>
          <xdr:spPr>
            <a:xfrm>
              <a:off x="10093324" y="29683075"/>
              <a:ext cx="2039938"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𝐴</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𝑜𝑙𝑖𝑚𝑝𝑖𝑐𝑎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(0)</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3,750,000 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90" name="CuadroTexto 89">
              <a:extLst>
                <a:ext uri="{FF2B5EF4-FFF2-40B4-BE49-F238E27FC236}">
                  <a16:creationId xmlns:a16="http://schemas.microsoft.com/office/drawing/2014/main" id="{E6F79E09-3C0F-42B2-81D3-A36960295C81}"/>
                </a:ext>
              </a:extLst>
            </xdr:cNvPr>
            <xdr:cNvSpPr txBox="1"/>
          </xdr:nvSpPr>
          <xdr:spPr>
            <a:xfrm>
              <a:off x="10093324" y="29683075"/>
              <a:ext cx="2039938"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𝐴 𝑜𝑙𝑖𝑚𝑝𝑖𝑐𝑎 )/(?(0))</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3,750,000 𝐿)/(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207066</xdr:colOff>
      <xdr:row>24</xdr:row>
      <xdr:rowOff>393492</xdr:rowOff>
    </xdr:from>
    <xdr:ext cx="1718640" cy="644535"/>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372C4859-0661-4BEB-A1C8-31538505C2C3}"/>
                </a:ext>
              </a:extLst>
            </xdr:cNvPr>
            <xdr:cNvSpPr txBox="1"/>
          </xdr:nvSpPr>
          <xdr:spPr>
            <a:xfrm>
              <a:off x="10875066" y="16966992"/>
              <a:ext cx="1718640" cy="6445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=0 </m:t>
                    </m:r>
                    <m:r>
                      <a:rPr lang="es-MX" sz="1050" b="0" i="1">
                        <a:latin typeface="Cambria Math" panose="02040503050406030204" pitchFamily="18" charset="0"/>
                      </a:rPr>
                      <m:t>𝐴</m:t>
                    </m:r>
                    <m:r>
                      <a:rPr lang="es-MX" sz="1050" b="0" i="1">
                        <a:latin typeface="Cambria Math" panose="02040503050406030204" pitchFamily="18" charset="0"/>
                      </a:rPr>
                      <m:t> </m:t>
                    </m:r>
                    <m:r>
                      <a:rPr lang="es-MX" sz="1050" b="0" i="1">
                        <a:latin typeface="Cambria Math" panose="02040503050406030204" pitchFamily="18" charset="0"/>
                      </a:rPr>
                      <m:t>𝑜𝑙𝑖𝑚𝑝𝑖𝑐𝑎𝑠</m:t>
                    </m:r>
                  </m:oMath>
                </m:oMathPara>
              </a14:m>
              <a:endParaRPr lang="es-MX" sz="1050" b="0" i="1">
                <a:latin typeface="Cambria Math" panose="02040503050406030204" pitchFamily="18" charset="0"/>
              </a:endParaRPr>
            </a:p>
            <a:p>
              <a:endParaRPr lang="es-MX" sz="105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A</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olimpicas</m:t>
                    </m:r>
                  </m:oMath>
                </m:oMathPara>
              </a14:m>
              <a:endParaRPr lang="es-MX" sz="1050" b="0">
                <a:solidFill>
                  <a:schemeClr val="tx1"/>
                </a:solidFill>
                <a:effectLst/>
                <a:ea typeface="+mn-ea"/>
                <a:cs typeface="+mn-cs"/>
              </a:endParaRPr>
            </a:p>
            <a:p>
              <a:endParaRPr lang="es-MX" sz="1050" b="0"/>
            </a:p>
          </xdr:txBody>
        </xdr:sp>
      </mc:Choice>
      <mc:Fallback xmlns="">
        <xdr:sp macro="" textlink="">
          <xdr:nvSpPr>
            <xdr:cNvPr id="91" name="CuadroTexto 90">
              <a:extLst>
                <a:ext uri="{FF2B5EF4-FFF2-40B4-BE49-F238E27FC236}">
                  <a16:creationId xmlns:a16="http://schemas.microsoft.com/office/drawing/2014/main" id="{372C4859-0661-4BEB-A1C8-31538505C2C3}"/>
                </a:ext>
              </a:extLst>
            </xdr:cNvPr>
            <xdr:cNvSpPr txBox="1"/>
          </xdr:nvSpPr>
          <xdr:spPr>
            <a:xfrm>
              <a:off x="10875066" y="16966992"/>
              <a:ext cx="1718640" cy="6445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𝑃𝐸𝑇=0 𝐴 𝑜𝑙𝑖𝑚𝑝𝑖𝑐𝑎𝑠</a:t>
              </a:r>
              <a:endParaRPr lang="es-MX" sz="1050" b="0" i="1">
                <a:latin typeface="Cambria Math" panose="02040503050406030204" pitchFamily="18" charset="0"/>
              </a:endParaRPr>
            </a:p>
            <a:p>
              <a:endParaRPr lang="es-MX" sz="1050" b="0" i="1">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 A olimpicas</a:t>
              </a:r>
              <a:endParaRPr lang="es-MX" sz="1050" b="0">
                <a:solidFill>
                  <a:schemeClr val="tx1"/>
                </a:solidFill>
                <a:effectLst/>
                <a:ea typeface="+mn-ea"/>
                <a:cs typeface="+mn-cs"/>
              </a:endParaRPr>
            </a:p>
            <a:p>
              <a:endParaRPr lang="es-MX" sz="1050" b="0"/>
            </a:p>
          </xdr:txBody>
        </xdr:sp>
      </mc:Fallback>
    </mc:AlternateContent>
    <xdr:clientData/>
  </xdr:oneCellAnchor>
  <xdr:oneCellAnchor>
    <xdr:from>
      <xdr:col>10</xdr:col>
      <xdr:colOff>274567</xdr:colOff>
      <xdr:row>31</xdr:row>
      <xdr:rowOff>170347</xdr:rowOff>
    </xdr:from>
    <xdr:ext cx="2062233" cy="1259136"/>
    <mc:AlternateContent xmlns:mc="http://schemas.openxmlformats.org/markup-compatibility/2006" xmlns:a14="http://schemas.microsoft.com/office/drawing/2010/main">
      <mc:Choice Requires="a14">
        <xdr:sp macro="" textlink="">
          <xdr:nvSpPr>
            <xdr:cNvPr id="118" name="CuadroTexto 117">
              <a:extLst>
                <a:ext uri="{FF2B5EF4-FFF2-40B4-BE49-F238E27FC236}">
                  <a16:creationId xmlns:a16="http://schemas.microsoft.com/office/drawing/2014/main" id="{F03EDD47-43E0-41F3-A6DD-5455313027FF}"/>
                </a:ext>
              </a:extLst>
            </xdr:cNvPr>
            <xdr:cNvSpPr txBox="1"/>
          </xdr:nvSpPr>
          <xdr:spPr>
            <a:xfrm>
              <a:off x="12657067" y="34523847"/>
              <a:ext cx="2062233" cy="12591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r>
                <a:rPr lang="es-MX" sz="800" b="0" i="1">
                  <a:latin typeface="Cambria Math" panose="02040503050406030204" pitchFamily="18" charset="0"/>
                </a:rPr>
                <a:t>1 tonco2 = 26 árboles</a:t>
              </a:r>
            </a:p>
            <a:p>
              <a:pPr algn="ct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1 </m:t>
                    </m:r>
                    <m:r>
                      <a:rPr lang="es-MX" sz="800" b="0" i="1">
                        <a:latin typeface="Cambria Math" panose="02040503050406030204" pitchFamily="18" charset="0"/>
                      </a:rPr>
                      <m:t>𝑘𝑔</m:t>
                    </m:r>
                    <m:r>
                      <a:rPr lang="es-MX" sz="800" b="0" i="1">
                        <a:latin typeface="Cambria Math" panose="02040503050406030204" pitchFamily="18" charset="0"/>
                      </a:rPr>
                      <m:t> </m:t>
                    </m:r>
                    <m:r>
                      <a:rPr lang="es-MX" sz="800" b="0" i="1">
                        <a:latin typeface="Cambria Math" panose="02040503050406030204" pitchFamily="18" charset="0"/>
                      </a:rPr>
                      <m:t>𝑃𝐸𝑇</m:t>
                    </m:r>
                    <m:r>
                      <a:rPr lang="es-MX" sz="800" b="0" i="1">
                        <a:latin typeface="Cambria Math" panose="02040503050406030204" pitchFamily="18" charset="0"/>
                      </a:rPr>
                      <m:t>=</m:t>
                    </m:r>
                    <m:r>
                      <a:rPr lang="es-MX" sz="800" b="0" i="0">
                        <a:latin typeface="Cambria Math" panose="02040503050406030204" pitchFamily="18" charset="0"/>
                      </a:rPr>
                      <m:t> .086 á</m:t>
                    </m:r>
                    <m:r>
                      <m:rPr>
                        <m:sty m:val="p"/>
                      </m:rPr>
                      <a:rPr lang="es-MX" sz="800" b="0" i="0">
                        <a:latin typeface="Cambria Math" panose="02040503050406030204" pitchFamily="18" charset="0"/>
                      </a:rPr>
                      <m:t>rboles</m:t>
                    </m:r>
                  </m:oMath>
                </m:oMathPara>
              </a14:m>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800" b="0" i="1">
                        <a:solidFill>
                          <a:schemeClr val="tx1"/>
                        </a:solidFill>
                        <a:effectLst/>
                        <a:latin typeface="Cambria Math" panose="02040503050406030204" pitchFamily="18" charset="0"/>
                        <a:ea typeface="+mn-ea"/>
                        <a:cs typeface="+mn-cs"/>
                      </a:rPr>
                      <m:t>1 </m:t>
                    </m:r>
                    <m:r>
                      <a:rPr lang="es-MX" sz="800" b="0" i="1">
                        <a:solidFill>
                          <a:schemeClr val="tx1"/>
                        </a:solidFill>
                        <a:effectLst/>
                        <a:latin typeface="Cambria Math" panose="02040503050406030204" pitchFamily="18" charset="0"/>
                        <a:ea typeface="+mn-ea"/>
                        <a:cs typeface="+mn-cs"/>
                      </a:rPr>
                      <m:t>𝑡𝑜𝑛</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𝑃𝐸𝑇</m:t>
                    </m:r>
                    <m:r>
                      <a:rPr lang="es-MX" sz="800" b="0" i="1">
                        <a:solidFill>
                          <a:schemeClr val="tx1"/>
                        </a:solidFill>
                        <a:effectLst/>
                        <a:latin typeface="Cambria Math" panose="02040503050406030204" pitchFamily="18" charset="0"/>
                        <a:ea typeface="+mn-ea"/>
                        <a:cs typeface="+mn-cs"/>
                      </a:rPr>
                      <m:t>=</m:t>
                    </m:r>
                    <m:r>
                      <a:rPr lang="es-MX" sz="800" b="0" i="0">
                        <a:solidFill>
                          <a:schemeClr val="tx1"/>
                        </a:solidFill>
                        <a:effectLst/>
                        <a:latin typeface="Cambria Math" panose="02040503050406030204" pitchFamily="18" charset="0"/>
                        <a:ea typeface="+mn-ea"/>
                        <a:cs typeface="+mn-cs"/>
                      </a:rPr>
                      <m:t>86 á</m:t>
                    </m:r>
                    <m:r>
                      <m:rPr>
                        <m:sty m:val="p"/>
                      </m:rPr>
                      <a:rPr lang="es-MX" sz="800" b="0" i="0">
                        <a:solidFill>
                          <a:schemeClr val="tx1"/>
                        </a:solidFill>
                        <a:effectLst/>
                        <a:latin typeface="Cambria Math" panose="02040503050406030204" pitchFamily="18" charset="0"/>
                        <a:ea typeface="+mn-ea"/>
                        <a:cs typeface="+mn-cs"/>
                      </a:rPr>
                      <m:t>rboles</m:t>
                    </m:r>
                  </m:oMath>
                </m:oMathPara>
              </a14:m>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1">
                  <a:solidFill>
                    <a:schemeClr val="tx1"/>
                  </a:solidFill>
                  <a:effectLst/>
                  <a:latin typeface="+mn-lt"/>
                  <a:ea typeface="+mn-ea"/>
                  <a:cs typeface="+mn-cs"/>
                </a:rPr>
                <a:t> 3,188,000 ton de PET</a:t>
              </a:r>
              <a14:m>
                <m:oMath xmlns:m="http://schemas.openxmlformats.org/officeDocument/2006/math">
                  <m:r>
                    <a:rPr lang="es-MX" sz="800" b="0" i="1">
                      <a:solidFill>
                        <a:schemeClr val="tx1"/>
                      </a:solidFill>
                      <a:effectLst/>
                      <a:latin typeface="Cambria Math" panose="02040503050406030204" pitchFamily="18" charset="0"/>
                      <a:ea typeface="+mn-ea"/>
                      <a:cs typeface="+mn-cs"/>
                    </a:rPr>
                    <m:t>=</m:t>
                  </m:r>
                  <m:r>
                    <a:rPr lang="es-MX" sz="800" b="0" i="0">
                      <a:solidFill>
                        <a:schemeClr val="tx1"/>
                      </a:solidFill>
                      <a:effectLst/>
                      <a:latin typeface="Cambria Math" panose="02040503050406030204" pitchFamily="18" charset="0"/>
                      <a:ea typeface="+mn-ea"/>
                      <a:cs typeface="+mn-cs"/>
                    </a:rPr>
                    <m:t>274,000,000 á</m:t>
                  </m:r>
                  <m:r>
                    <m:rPr>
                      <m:sty m:val="p"/>
                    </m:rPr>
                    <a:rPr lang="es-MX" sz="800" b="0" i="0">
                      <a:solidFill>
                        <a:schemeClr val="tx1"/>
                      </a:solidFill>
                      <a:effectLst/>
                      <a:latin typeface="Cambria Math" panose="02040503050406030204" pitchFamily="18" charset="0"/>
                      <a:ea typeface="+mn-ea"/>
                      <a:cs typeface="+mn-cs"/>
                    </a:rPr>
                    <m:t>rboles</m:t>
                  </m:r>
                </m:oMath>
              </a14:m>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algn="ctr"/>
              <a:endParaRPr lang="es-MX" sz="800" b="0"/>
            </a:p>
          </xdr:txBody>
        </xdr:sp>
      </mc:Choice>
      <mc:Fallback xmlns="">
        <xdr:sp macro="" textlink="">
          <xdr:nvSpPr>
            <xdr:cNvPr id="118" name="CuadroTexto 117">
              <a:extLst>
                <a:ext uri="{FF2B5EF4-FFF2-40B4-BE49-F238E27FC236}">
                  <a16:creationId xmlns:a16="http://schemas.microsoft.com/office/drawing/2014/main" id="{F03EDD47-43E0-41F3-A6DD-5455313027FF}"/>
                </a:ext>
              </a:extLst>
            </xdr:cNvPr>
            <xdr:cNvSpPr txBox="1"/>
          </xdr:nvSpPr>
          <xdr:spPr>
            <a:xfrm>
              <a:off x="12657067" y="34523847"/>
              <a:ext cx="2062233" cy="12591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r>
                <a:rPr lang="es-MX" sz="800" b="0" i="1">
                  <a:latin typeface="Cambria Math" panose="02040503050406030204" pitchFamily="18" charset="0"/>
                </a:rPr>
                <a:t>1 tonco2 = 26 árboles</a:t>
              </a:r>
            </a:p>
            <a:p>
              <a:pPr algn="ctr"/>
              <a:r>
                <a:rPr lang="es-MX" sz="800" b="0" i="0">
                  <a:latin typeface="Cambria Math" panose="02040503050406030204" pitchFamily="18" charset="0"/>
                </a:rPr>
                <a:t>1 𝑘𝑔 𝑃𝐸𝑇= .086 árboles</a:t>
              </a:r>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0">
                  <a:solidFill>
                    <a:schemeClr val="tx1"/>
                  </a:solidFill>
                  <a:effectLst/>
                  <a:latin typeface="Cambria Math" panose="02040503050406030204" pitchFamily="18" charset="0"/>
                  <a:ea typeface="+mn-ea"/>
                  <a:cs typeface="+mn-cs"/>
                </a:rPr>
                <a:t>1 𝑡𝑜𝑛 𝑃𝐸𝑇=86 árboles</a:t>
              </a: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1">
                  <a:solidFill>
                    <a:schemeClr val="tx1"/>
                  </a:solidFill>
                  <a:effectLst/>
                  <a:latin typeface="+mn-lt"/>
                  <a:ea typeface="+mn-ea"/>
                  <a:cs typeface="+mn-cs"/>
                </a:rPr>
                <a:t> 3,188,000 ton de PET</a:t>
              </a:r>
              <a:r>
                <a:rPr lang="es-MX" sz="800" b="0" i="0">
                  <a:solidFill>
                    <a:schemeClr val="tx1"/>
                  </a:solidFill>
                  <a:effectLst/>
                  <a:latin typeface="Cambria Math" panose="02040503050406030204" pitchFamily="18" charset="0"/>
                  <a:ea typeface="+mn-ea"/>
                  <a:cs typeface="+mn-cs"/>
                </a:rPr>
                <a:t>=274,000,000 árboles</a:t>
              </a: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algn="ctr"/>
              <a:endParaRPr lang="es-MX" sz="800" b="0"/>
            </a:p>
          </xdr:txBody>
        </xdr:sp>
      </mc:Fallback>
    </mc:AlternateContent>
    <xdr:clientData/>
  </xdr:oneCellAnchor>
  <xdr:oneCellAnchor>
    <xdr:from>
      <xdr:col>9</xdr:col>
      <xdr:colOff>195792</xdr:colOff>
      <xdr:row>32</xdr:row>
      <xdr:rowOff>200025</xdr:rowOff>
    </xdr:from>
    <xdr:ext cx="2180166" cy="1271058"/>
    <mc:AlternateContent xmlns:mc="http://schemas.openxmlformats.org/markup-compatibility/2006" xmlns:a14="http://schemas.microsoft.com/office/drawing/2010/main">
      <mc:Choice Requires="a14">
        <xdr:sp macro="" textlink="">
          <xdr:nvSpPr>
            <xdr:cNvPr id="123" name="CuadroTexto 122">
              <a:extLst>
                <a:ext uri="{FF2B5EF4-FFF2-40B4-BE49-F238E27FC236}">
                  <a16:creationId xmlns:a16="http://schemas.microsoft.com/office/drawing/2014/main" id="{2D90C9C8-474F-40CE-96AB-9EF0A53F12F4}"/>
                </a:ext>
              </a:extLst>
            </xdr:cNvPr>
            <xdr:cNvSpPr txBox="1"/>
          </xdr:nvSpPr>
          <xdr:spPr>
            <a:xfrm>
              <a:off x="10022417" y="36458525"/>
              <a:ext cx="2180166" cy="127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274,000,000 á</m:t>
                        </m:r>
                        <m:r>
                          <a:rPr lang="es-MX" sz="900" b="0" i="1">
                            <a:solidFill>
                              <a:schemeClr val="tx1"/>
                            </a:solidFill>
                            <a:effectLst/>
                            <a:latin typeface="Cambria Math" panose="02040503050406030204" pitchFamily="18" charset="0"/>
                            <a:ea typeface="+mn-ea"/>
                            <a:cs typeface="+mn-cs"/>
                          </a:rPr>
                          <m:t>𝑟𝑏𝑜𝑙𝑒𝑠</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?(377,410)</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726 </m:t>
                        </m:r>
                        <m:r>
                          <a:rPr lang="es-MX" sz="900" b="0" i="1">
                            <a:solidFill>
                              <a:schemeClr val="tx1"/>
                            </a:solidFill>
                            <a:effectLst/>
                            <a:latin typeface="Cambria Math" panose="02040503050406030204" pitchFamily="18" charset="0"/>
                            <a:ea typeface="+mn-ea"/>
                            <a:cs typeface="+mn-cs"/>
                          </a:rPr>
                          <m:t>𝐵</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𝐶h𝑎𝑝𝑢</m:t>
                        </m:r>
                      </m:num>
                      <m:den>
                        <m:r>
                          <a:rPr lang="es-MX" sz="900" b="0" i="0">
                            <a:solidFill>
                              <a:schemeClr val="tx1"/>
                            </a:solidFill>
                            <a:effectLst/>
                            <a:latin typeface="Cambria Math" panose="02040503050406030204" pitchFamily="18" charset="0"/>
                            <a:ea typeface="+mn-ea"/>
                            <a:cs typeface="+mn-cs"/>
                          </a:rPr>
                          <m:t>1</m:t>
                        </m:r>
                      </m:den>
                    </m:f>
                    <m:r>
                      <a:rPr lang="es-MX" sz="900" b="0" i="1">
                        <a:latin typeface="Cambria Math" panose="02040503050406030204" pitchFamily="18" charset="0"/>
                      </a:rPr>
                      <m:t> </m:t>
                    </m:r>
                  </m:oMath>
                </m:oMathPara>
              </a14:m>
              <a:endParaRPr lang="es-MX" sz="900" b="0"/>
            </a:p>
            <a:p>
              <a:endParaRPr lang="es-MX" sz="900"/>
            </a:p>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377,410 á</m:t>
                        </m:r>
                        <m:r>
                          <a:rPr lang="es-MX" sz="900" b="0" i="1">
                            <a:solidFill>
                              <a:schemeClr val="tx1"/>
                            </a:solidFill>
                            <a:effectLst/>
                            <a:latin typeface="Cambria Math" panose="02040503050406030204" pitchFamily="18" charset="0"/>
                            <a:ea typeface="+mn-ea"/>
                            <a:cs typeface="+mn-cs"/>
                          </a:rPr>
                          <m:t>𝑟𝑏𝑜𝑙𝑒𝑠</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?(.086)</m:t>
                        </m:r>
                      </m:den>
                    </m:f>
                    <m:r>
                      <a:rPr lang="es-MX" sz="900" b="0" i="1">
                        <a:solidFill>
                          <a:schemeClr val="tx1"/>
                        </a:solidFill>
                        <a:effectLst/>
                        <a:latin typeface="Cambria Math" panose="02040503050406030204" pitchFamily="18" charset="0"/>
                        <a:ea typeface="+mn-ea"/>
                        <a:cs typeface="+mn-cs"/>
                      </a:rPr>
                      <m:t> </m:t>
                    </m:r>
                    <m:r>
                      <a:rPr lang="es-MX" sz="900" b="0" i="0">
                        <a:solidFill>
                          <a:schemeClr val="tx1"/>
                        </a:solidFill>
                        <a:effectLst/>
                        <a:latin typeface="Cambria Math" panose="02040503050406030204" pitchFamily="18" charset="0"/>
                        <a:ea typeface="+mn-ea"/>
                        <a:cs typeface="+mn-cs"/>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 1 </m:t>
                        </m:r>
                        <m:r>
                          <a:rPr lang="es-MX" sz="900" b="0" i="1">
                            <a:solidFill>
                              <a:schemeClr val="tx1"/>
                            </a:solidFill>
                            <a:effectLst/>
                            <a:latin typeface="Cambria Math" panose="02040503050406030204" pitchFamily="18" charset="0"/>
                            <a:ea typeface="+mn-ea"/>
                            <a:cs typeface="+mn-cs"/>
                          </a:rPr>
                          <m:t>𝐵</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𝐶h𝑎𝑝𝑢</m:t>
                        </m:r>
                      </m:num>
                      <m:den>
                        <m:r>
                          <a:rPr lang="es-MX" sz="900" b="0" i="0">
                            <a:solidFill>
                              <a:schemeClr val="tx1"/>
                            </a:solidFill>
                            <a:effectLst/>
                            <a:latin typeface="Cambria Math" panose="02040503050406030204" pitchFamily="18" charset="0"/>
                            <a:ea typeface="+mn-ea"/>
                            <a:cs typeface="+mn-cs"/>
                          </a:rPr>
                          <m:t>?()</m:t>
                        </m:r>
                      </m:den>
                    </m:f>
                    <m:r>
                      <a:rPr lang="es-MX" sz="900" b="0" i="1">
                        <a:solidFill>
                          <a:schemeClr val="tx1"/>
                        </a:solidFill>
                        <a:effectLst/>
                        <a:latin typeface="Cambria Math" panose="02040503050406030204" pitchFamily="18" charset="0"/>
                        <a:ea typeface="+mn-ea"/>
                        <a:cs typeface="+mn-cs"/>
                      </a:rPr>
                      <m:t> </m:t>
                    </m:r>
                  </m:oMath>
                </m:oMathPara>
              </a14:m>
              <a:endParaRPr lang="es-MX" sz="900"/>
            </a:p>
          </xdr:txBody>
        </xdr:sp>
      </mc:Choice>
      <mc:Fallback xmlns="">
        <xdr:sp macro="" textlink="">
          <xdr:nvSpPr>
            <xdr:cNvPr id="123" name="CuadroTexto 122">
              <a:extLst>
                <a:ext uri="{FF2B5EF4-FFF2-40B4-BE49-F238E27FC236}">
                  <a16:creationId xmlns:a16="http://schemas.microsoft.com/office/drawing/2014/main" id="{2D90C9C8-474F-40CE-96AB-9EF0A53F12F4}"/>
                </a:ext>
              </a:extLst>
            </xdr:cNvPr>
            <xdr:cNvSpPr txBox="1"/>
          </xdr:nvSpPr>
          <xdr:spPr>
            <a:xfrm>
              <a:off x="10022417" y="36458525"/>
              <a:ext cx="2180166" cy="127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274,000,000 á𝑟𝑏𝑜𝑙𝑒𝑠 )/(?(377,410))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726 𝐵. 𝐶ℎ𝑎𝑝𝑢)/1 </a:t>
              </a:r>
              <a:r>
                <a:rPr lang="es-MX" sz="900" b="0" i="0">
                  <a:latin typeface="Cambria Math" panose="02040503050406030204" pitchFamily="18" charset="0"/>
                </a:rPr>
                <a:t> </a:t>
              </a:r>
              <a:endParaRPr lang="es-MX" sz="900" b="0"/>
            </a:p>
            <a:p>
              <a:endParaRPr lang="es-MX" sz="900"/>
            </a:p>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377,410 á𝑟𝑏𝑜𝑙𝑒𝑠 )/(?(.086))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 1 𝐵. 𝐶ℎ𝑎𝑝𝑢)/(?())  </a:t>
              </a:r>
              <a:endParaRPr lang="es-MX" sz="900"/>
            </a:p>
          </xdr:txBody>
        </xdr:sp>
      </mc:Fallback>
    </mc:AlternateContent>
    <xdr:clientData/>
  </xdr:oneCellAnchor>
  <xdr:oneCellAnchor>
    <xdr:from>
      <xdr:col>10</xdr:col>
      <xdr:colOff>366713</xdr:colOff>
      <xdr:row>32</xdr:row>
      <xdr:rowOff>349802</xdr:rowOff>
    </xdr:from>
    <xdr:ext cx="1762126" cy="536576"/>
    <mc:AlternateContent xmlns:mc="http://schemas.openxmlformats.org/markup-compatibility/2006" xmlns:a14="http://schemas.microsoft.com/office/drawing/2010/main">
      <mc:Choice Requires="a14">
        <xdr:sp macro="" textlink="">
          <xdr:nvSpPr>
            <xdr:cNvPr id="124" name="CuadroTexto 123">
              <a:extLst>
                <a:ext uri="{FF2B5EF4-FFF2-40B4-BE49-F238E27FC236}">
                  <a16:creationId xmlns:a16="http://schemas.microsoft.com/office/drawing/2014/main" id="{7F266A54-E9A0-4608-9B62-F3F9DE9DF367}"/>
                </a:ext>
              </a:extLst>
            </xdr:cNvPr>
            <xdr:cNvSpPr txBox="1"/>
          </xdr:nvSpPr>
          <xdr:spPr>
            <a:xfrm>
              <a:off x="12749213" y="36608302"/>
              <a:ext cx="1762126" cy="5365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r>
                      <a:rPr lang="es-MX" sz="1000" b="0" i="0">
                        <a:latin typeface="Cambria Math" panose="02040503050406030204" pitchFamily="18" charset="0"/>
                      </a:rPr>
                      <m:t>0 </m:t>
                    </m:r>
                    <m:r>
                      <m:rPr>
                        <m:sty m:val="p"/>
                      </m:rPr>
                      <a:rPr lang="es-MX" sz="1000" b="0" i="0">
                        <a:latin typeface="Cambria Math" panose="02040503050406030204" pitchFamily="18" charset="0"/>
                      </a:rPr>
                      <m:t>B</m:t>
                    </m:r>
                    <m:r>
                      <a:rPr lang="es-MX" sz="1000" b="0" i="0">
                        <a:latin typeface="Cambria Math" panose="02040503050406030204" pitchFamily="18" charset="0"/>
                      </a:rPr>
                      <m:t>. </m:t>
                    </m:r>
                    <m:r>
                      <m:rPr>
                        <m:sty m:val="p"/>
                      </m:rPr>
                      <a:rPr lang="es-MX" sz="1000" b="0" i="0">
                        <a:latin typeface="Cambria Math" panose="02040503050406030204" pitchFamily="18" charset="0"/>
                      </a:rPr>
                      <m:t>Chapu</m:t>
                    </m:r>
                  </m:oMath>
                </m:oMathPara>
              </a14:m>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=.000227 </m:t>
                    </m:r>
                    <m:r>
                      <m:rPr>
                        <m:sty m:val="p"/>
                      </m:rPr>
                      <a:rPr lang="es-MX" sz="1000" b="0" i="0">
                        <a:solidFill>
                          <a:schemeClr val="tx1"/>
                        </a:solidFill>
                        <a:effectLst/>
                        <a:latin typeface="Cambria Math" panose="02040503050406030204" pitchFamily="18" charset="0"/>
                        <a:ea typeface="+mn-ea"/>
                        <a:cs typeface="+mn-cs"/>
                      </a:rPr>
                      <m:t>B</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Chap</m:t>
                    </m:r>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1">
                  <a:solidFill>
                    <a:schemeClr val="tx1"/>
                  </a:solidFill>
                  <a:effectLst/>
                  <a:latin typeface="+mn-lt"/>
                  <a:ea typeface="+mn-ea"/>
                  <a:cs typeface="+mn-cs"/>
                </a:rPr>
                <a:t>3,188,000 ton de PET</a:t>
              </a:r>
              <a14:m>
                <m:oMath xmlns:m="http://schemas.openxmlformats.org/officeDocument/2006/math">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726</m:t>
                  </m:r>
                </m:oMath>
              </a14:m>
              <a:r>
                <a:rPr lang="es-MX" sz="1000" b="0">
                  <a:solidFill>
                    <a:schemeClr val="tx1"/>
                  </a:solidFill>
                  <a:effectLst/>
                  <a:latin typeface="+mn-lt"/>
                  <a:ea typeface="+mn-ea"/>
                  <a:cs typeface="+mn-cs"/>
                </a:rPr>
                <a:t> 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124" name="CuadroTexto 123">
              <a:extLst>
                <a:ext uri="{FF2B5EF4-FFF2-40B4-BE49-F238E27FC236}">
                  <a16:creationId xmlns:a16="http://schemas.microsoft.com/office/drawing/2014/main" id="{7F266A54-E9A0-4608-9B62-F3F9DE9DF367}"/>
                </a:ext>
              </a:extLst>
            </xdr:cNvPr>
            <xdr:cNvSpPr txBox="1"/>
          </xdr:nvSpPr>
          <xdr:spPr>
            <a:xfrm>
              <a:off x="12749213" y="36608302"/>
              <a:ext cx="1762126" cy="5365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𝑃𝐸𝑇=0 B. Chapu</a:t>
              </a: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𝑃𝐸𝑇=.000227 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1">
                  <a:solidFill>
                    <a:schemeClr val="tx1"/>
                  </a:solidFill>
                  <a:effectLst/>
                  <a:latin typeface="+mn-lt"/>
                  <a:ea typeface="+mn-ea"/>
                  <a:cs typeface="+mn-cs"/>
                </a:rPr>
                <a:t>3,188,000 ton de PET</a:t>
              </a:r>
              <a:r>
                <a:rPr lang="es-MX" sz="1000" b="0" i="0">
                  <a:solidFill>
                    <a:schemeClr val="tx1"/>
                  </a:solidFill>
                  <a:effectLst/>
                  <a:latin typeface="Cambria Math" panose="02040503050406030204" pitchFamily="18" charset="0"/>
                  <a:ea typeface="+mn-ea"/>
                  <a:cs typeface="+mn-cs"/>
                </a:rPr>
                <a:t>=726</a:t>
              </a:r>
              <a:r>
                <a:rPr lang="es-MX" sz="1000" b="0">
                  <a:solidFill>
                    <a:schemeClr val="tx1"/>
                  </a:solidFill>
                  <a:effectLst/>
                  <a:latin typeface="+mn-lt"/>
                  <a:ea typeface="+mn-ea"/>
                  <a:cs typeface="+mn-cs"/>
                </a:rPr>
                <a:t> 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10</xdr:col>
      <xdr:colOff>104569</xdr:colOff>
      <xdr:row>41</xdr:row>
      <xdr:rowOff>356842</xdr:rowOff>
    </xdr:from>
    <xdr:ext cx="1852084" cy="641779"/>
    <mc:AlternateContent xmlns:mc="http://schemas.openxmlformats.org/markup-compatibility/2006" xmlns:a14="http://schemas.microsoft.com/office/drawing/2010/main">
      <mc:Choice Requires="a14">
        <xdr:sp macro="" textlink="">
          <xdr:nvSpPr>
            <xdr:cNvPr id="126" name="CuadroTexto 125">
              <a:extLst>
                <a:ext uri="{FF2B5EF4-FFF2-40B4-BE49-F238E27FC236}">
                  <a16:creationId xmlns:a16="http://schemas.microsoft.com/office/drawing/2014/main" id="{7E8CE344-4292-4054-9AE8-EB8E34931BEB}"/>
                </a:ext>
              </a:extLst>
            </xdr:cNvPr>
            <xdr:cNvSpPr txBox="1"/>
          </xdr:nvSpPr>
          <xdr:spPr>
            <a:xfrm>
              <a:off x="10772569" y="28757907"/>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=.03</m:t>
                    </m:r>
                    <m:r>
                      <a:rPr lang="es-MX" sz="1000" b="0" i="0">
                        <a:latin typeface="Cambria Math" panose="02040503050406030204" pitchFamily="18" charset="0"/>
                      </a:rPr>
                      <m:t>0 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30 </m:t>
                    </m:r>
                    <m:r>
                      <m:rPr>
                        <m:sty m:val="p"/>
                      </m:rPr>
                      <a:rPr lang="es-MX" sz="1100" b="0" i="0">
                        <a:solidFill>
                          <a:schemeClr val="tx1"/>
                        </a:solidFill>
                        <a:effectLst/>
                        <a:latin typeface="Cambria Math" panose="02040503050406030204" pitchFamily="18" charset="0"/>
                        <a:ea typeface="+mn-ea"/>
                        <a:cs typeface="+mn-cs"/>
                      </a:rPr>
                      <m:t>m</m:t>
                    </m:r>
                    <m:r>
                      <a:rPr lang="es-MX" sz="11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126" name="CuadroTexto 125">
              <a:extLst>
                <a:ext uri="{FF2B5EF4-FFF2-40B4-BE49-F238E27FC236}">
                  <a16:creationId xmlns:a16="http://schemas.microsoft.com/office/drawing/2014/main" id="{7E8CE344-4292-4054-9AE8-EB8E34931BEB}"/>
                </a:ext>
              </a:extLst>
            </xdr:cNvPr>
            <xdr:cNvSpPr txBox="1"/>
          </xdr:nvSpPr>
          <xdr:spPr>
            <a:xfrm>
              <a:off x="10772569" y="28757907"/>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𝑃𝐸𝑇=.030 m3</a:t>
              </a:r>
              <a:endParaRPr lang="es-MX" sz="1000" b="0"/>
            </a:p>
            <a:p>
              <a:pP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𝑇𝑜𝑛 𝑃𝐸𝑇=30 m3</a:t>
              </a:r>
              <a:endParaRPr lang="es-MX" sz="1000">
                <a:effectLst/>
              </a:endParaRPr>
            </a:p>
            <a:p>
              <a:pPr/>
              <a:endParaRPr lang="es-MX" sz="1000" b="0"/>
            </a:p>
          </xdr:txBody>
        </xdr:sp>
      </mc:Fallback>
    </mc:AlternateContent>
    <xdr:clientData/>
  </xdr:oneCellAnchor>
  <xdr:oneCellAnchor>
    <xdr:from>
      <xdr:col>9</xdr:col>
      <xdr:colOff>111126</xdr:colOff>
      <xdr:row>41</xdr:row>
      <xdr:rowOff>198438</xdr:rowOff>
    </xdr:from>
    <xdr:ext cx="1897062" cy="351506"/>
    <mc:AlternateContent xmlns:mc="http://schemas.openxmlformats.org/markup-compatibility/2006" xmlns:a14="http://schemas.microsoft.com/office/drawing/2010/main">
      <mc:Choice Requires="a14">
        <xdr:sp macro="" textlink="">
          <xdr:nvSpPr>
            <xdr:cNvPr id="128" name="CuadroTexto 127">
              <a:extLst>
                <a:ext uri="{FF2B5EF4-FFF2-40B4-BE49-F238E27FC236}">
                  <a16:creationId xmlns:a16="http://schemas.microsoft.com/office/drawing/2014/main" id="{88D8A4AF-F068-4289-AA0A-389892C540D7}"/>
                </a:ext>
              </a:extLst>
            </xdr:cNvPr>
            <xdr:cNvSpPr txBox="1"/>
          </xdr:nvSpPr>
          <xdr:spPr>
            <a:xfrm>
              <a:off x="8874126" y="20859751"/>
              <a:ext cx="1897062"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30 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.03</m:t>
                        </m:r>
                        <m:r>
                          <a:rPr lang="es-MX" sz="1100" b="0" i="1">
                            <a:solidFill>
                              <a:schemeClr val="tx1"/>
                            </a:solidFill>
                            <a:effectLst/>
                            <a:latin typeface="Cambria Math" panose="02040503050406030204" pitchFamily="18" charset="0"/>
                            <a:ea typeface="+mn-ea"/>
                            <a:cs typeface="+mn-cs"/>
                          </a:rPr>
                          <m:t>0)</m:t>
                        </m:r>
                      </m:den>
                    </m:f>
                    <m:r>
                      <a:rPr lang="es-MX" sz="1600" b="0" i="1">
                        <a:latin typeface="Cambria Math" panose="02040503050406030204" pitchFamily="18" charset="0"/>
                      </a:rPr>
                      <m:t> </m:t>
                    </m:r>
                  </m:oMath>
                </m:oMathPara>
              </a14:m>
              <a:endParaRPr lang="es-MX" sz="1600"/>
            </a:p>
          </xdr:txBody>
        </xdr:sp>
      </mc:Choice>
      <mc:Fallback xmlns="">
        <xdr:sp macro="" textlink="">
          <xdr:nvSpPr>
            <xdr:cNvPr id="128" name="CuadroTexto 127">
              <a:extLst>
                <a:ext uri="{FF2B5EF4-FFF2-40B4-BE49-F238E27FC236}">
                  <a16:creationId xmlns:a16="http://schemas.microsoft.com/office/drawing/2014/main" id="{88D8A4AF-F068-4289-AA0A-389892C540D7}"/>
                </a:ext>
              </a:extLst>
            </xdr:cNvPr>
            <xdr:cNvSpPr txBox="1"/>
          </xdr:nvSpPr>
          <xdr:spPr>
            <a:xfrm>
              <a:off x="8874126" y="20859751"/>
              <a:ext cx="1897062"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𝑃𝐸𝑇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30 𝑚3)/(?( .030))</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71438</xdr:colOff>
      <xdr:row>42</xdr:row>
      <xdr:rowOff>174625</xdr:rowOff>
    </xdr:from>
    <xdr:ext cx="1852084" cy="641779"/>
    <mc:AlternateContent xmlns:mc="http://schemas.openxmlformats.org/markup-compatibility/2006" xmlns:a14="http://schemas.microsoft.com/office/drawing/2010/main">
      <mc:Choice Requires="a14">
        <xdr:sp macro="" textlink="">
          <xdr:nvSpPr>
            <xdr:cNvPr id="134" name="CuadroTexto 133">
              <a:extLst>
                <a:ext uri="{FF2B5EF4-FFF2-40B4-BE49-F238E27FC236}">
                  <a16:creationId xmlns:a16="http://schemas.microsoft.com/office/drawing/2014/main" id="{AE4D000F-A19C-4467-8336-5285E1126151}"/>
                </a:ext>
              </a:extLst>
            </xdr:cNvPr>
            <xdr:cNvSpPr txBox="1"/>
          </xdr:nvSpPr>
          <xdr:spPr>
            <a:xfrm>
              <a:off x="10739438" y="2998373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=.0</m:t>
                    </m:r>
                    <m:r>
                      <a:rPr lang="es-MX" sz="1000" b="0" i="0">
                        <a:latin typeface="Cambria Math" panose="02040503050406030204" pitchFamily="18" charset="0"/>
                      </a:rPr>
                      <m:t>40 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40. 322 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134" name="CuadroTexto 133">
              <a:extLst>
                <a:ext uri="{FF2B5EF4-FFF2-40B4-BE49-F238E27FC236}">
                  <a16:creationId xmlns:a16="http://schemas.microsoft.com/office/drawing/2014/main" id="{AE4D000F-A19C-4467-8336-5285E1126151}"/>
                </a:ext>
              </a:extLst>
            </xdr:cNvPr>
            <xdr:cNvSpPr txBox="1"/>
          </xdr:nvSpPr>
          <xdr:spPr>
            <a:xfrm>
              <a:off x="10739438" y="2998373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𝑃𝐸𝑇=.040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𝑃𝐸𝑇=40. 322 m3</a:t>
              </a:r>
              <a:endParaRPr lang="es-MX" sz="1000">
                <a:effectLst/>
              </a:endParaRPr>
            </a:p>
            <a:p>
              <a:endParaRPr lang="es-MX" sz="1000" b="0"/>
            </a:p>
          </xdr:txBody>
        </xdr:sp>
      </mc:Fallback>
    </mc:AlternateContent>
    <xdr:clientData/>
  </xdr:oneCellAnchor>
  <xdr:oneCellAnchor>
    <xdr:from>
      <xdr:col>9</xdr:col>
      <xdr:colOff>111126</xdr:colOff>
      <xdr:row>42</xdr:row>
      <xdr:rowOff>198438</xdr:rowOff>
    </xdr:from>
    <xdr:ext cx="1897062" cy="351506"/>
    <mc:AlternateContent xmlns:mc="http://schemas.openxmlformats.org/markup-compatibility/2006" xmlns:a14="http://schemas.microsoft.com/office/drawing/2010/main">
      <mc:Choice Requires="a14">
        <xdr:sp macro="" textlink="">
          <xdr:nvSpPr>
            <xdr:cNvPr id="135" name="CuadroTexto 134">
              <a:extLst>
                <a:ext uri="{FF2B5EF4-FFF2-40B4-BE49-F238E27FC236}">
                  <a16:creationId xmlns:a16="http://schemas.microsoft.com/office/drawing/2014/main" id="{87C92BC8-8C38-4BDB-B77F-3C981EE3B985}"/>
                </a:ext>
              </a:extLst>
            </xdr:cNvPr>
            <xdr:cNvSpPr txBox="1"/>
          </xdr:nvSpPr>
          <xdr:spPr>
            <a:xfrm>
              <a:off x="8874126" y="20859751"/>
              <a:ext cx="1897062"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24.8 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.040)</m:t>
                        </m:r>
                      </m:den>
                    </m:f>
                    <m:r>
                      <a:rPr lang="es-MX" sz="1600" b="0" i="1">
                        <a:latin typeface="Cambria Math" panose="02040503050406030204" pitchFamily="18" charset="0"/>
                      </a:rPr>
                      <m:t> </m:t>
                    </m:r>
                  </m:oMath>
                </m:oMathPara>
              </a14:m>
              <a:endParaRPr lang="es-MX" sz="1600"/>
            </a:p>
          </xdr:txBody>
        </xdr:sp>
      </mc:Choice>
      <mc:Fallback xmlns="">
        <xdr:sp macro="" textlink="">
          <xdr:nvSpPr>
            <xdr:cNvPr id="135" name="CuadroTexto 134">
              <a:extLst>
                <a:ext uri="{FF2B5EF4-FFF2-40B4-BE49-F238E27FC236}">
                  <a16:creationId xmlns:a16="http://schemas.microsoft.com/office/drawing/2014/main" id="{87C92BC8-8C38-4BDB-B77F-3C981EE3B985}"/>
                </a:ext>
              </a:extLst>
            </xdr:cNvPr>
            <xdr:cNvSpPr txBox="1"/>
          </xdr:nvSpPr>
          <xdr:spPr>
            <a:xfrm>
              <a:off x="8874126" y="20859751"/>
              <a:ext cx="1897062"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24.8 𝑘𝑔 𝑃𝐸𝑇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.040))</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44</xdr:row>
      <xdr:rowOff>214842</xdr:rowOff>
    </xdr:from>
    <xdr:ext cx="1852084" cy="125227"/>
    <xdr:sp macro="" textlink="">
      <xdr:nvSpPr>
        <xdr:cNvPr id="76" name="CuadroTexto 75">
          <a:extLst>
            <a:ext uri="{FF2B5EF4-FFF2-40B4-BE49-F238E27FC236}">
              <a16:creationId xmlns:a16="http://schemas.microsoft.com/office/drawing/2014/main" id="{6D7C7234-B1C3-41E5-B060-A2D945769A28}"/>
            </a:ext>
          </a:extLst>
        </xdr:cNvPr>
        <xdr:cNvSpPr txBox="1"/>
      </xdr:nvSpPr>
      <xdr:spPr>
        <a:xfrm>
          <a:off x="7001933" y="603461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94517</xdr:colOff>
      <xdr:row>44</xdr:row>
      <xdr:rowOff>646968</xdr:rowOff>
    </xdr:from>
    <xdr:ext cx="1868525" cy="375680"/>
    <mc:AlternateContent xmlns:mc="http://schemas.openxmlformats.org/markup-compatibility/2006" xmlns:a14="http://schemas.microsoft.com/office/drawing/2010/main">
      <mc:Choice Requires="a14">
        <xdr:sp macro="" textlink="">
          <xdr:nvSpPr>
            <xdr:cNvPr id="78" name="CuadroTexto 77">
              <a:extLst>
                <a:ext uri="{FF2B5EF4-FFF2-40B4-BE49-F238E27FC236}">
                  <a16:creationId xmlns:a16="http://schemas.microsoft.com/office/drawing/2014/main" id="{FB337BA7-4F48-425D-909C-CFACBBD7998E}"/>
                </a:ext>
              </a:extLst>
            </xdr:cNvPr>
            <xdr:cNvSpPr txBox="1"/>
          </xdr:nvSpPr>
          <xdr:spPr>
            <a:xfrm>
              <a:off x="6952517" y="434237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78" name="CuadroTexto 77">
              <a:extLst>
                <a:ext uri="{FF2B5EF4-FFF2-40B4-BE49-F238E27FC236}">
                  <a16:creationId xmlns:a16="http://schemas.microsoft.com/office/drawing/2014/main" id="{FB337BA7-4F48-425D-909C-CFACBBD7998E}"/>
                </a:ext>
              </a:extLst>
            </xdr:cNvPr>
            <xdr:cNvSpPr txBox="1"/>
          </xdr:nvSpPr>
          <xdr:spPr>
            <a:xfrm>
              <a:off x="6952517" y="434237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309685</xdr:colOff>
      <xdr:row>44</xdr:row>
      <xdr:rowOff>267432</xdr:rowOff>
    </xdr:from>
    <xdr:ext cx="1852084" cy="292196"/>
    <mc:AlternateContent xmlns:mc="http://schemas.openxmlformats.org/markup-compatibility/2006" xmlns:a14="http://schemas.microsoft.com/office/drawing/2010/main">
      <mc:Choice Requires="a14">
        <xdr:sp macro="" textlink="">
          <xdr:nvSpPr>
            <xdr:cNvPr id="80" name="CuadroTexto 79">
              <a:extLst>
                <a:ext uri="{FF2B5EF4-FFF2-40B4-BE49-F238E27FC236}">
                  <a16:creationId xmlns:a16="http://schemas.microsoft.com/office/drawing/2014/main" id="{87CBD15A-EB03-42B1-AEC0-2B5E68DF8488}"/>
                </a:ext>
              </a:extLst>
            </xdr:cNvPr>
            <xdr:cNvSpPr txBox="1"/>
          </xdr:nvSpPr>
          <xdr:spPr>
            <a:xfrm>
              <a:off x="7707435" y="48130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80" name="CuadroTexto 79">
              <a:extLst>
                <a:ext uri="{FF2B5EF4-FFF2-40B4-BE49-F238E27FC236}">
                  <a16:creationId xmlns:a16="http://schemas.microsoft.com/office/drawing/2014/main" id="{87CBD15A-EB03-42B1-AEC0-2B5E68DF8488}"/>
                </a:ext>
              </a:extLst>
            </xdr:cNvPr>
            <xdr:cNvSpPr txBox="1"/>
          </xdr:nvSpPr>
          <xdr:spPr>
            <a:xfrm>
              <a:off x="7707435" y="48130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307975</xdr:colOff>
      <xdr:row>44</xdr:row>
      <xdr:rowOff>361950</xdr:rowOff>
    </xdr:from>
    <xdr:ext cx="1852084" cy="289246"/>
    <mc:AlternateContent xmlns:mc="http://schemas.openxmlformats.org/markup-compatibility/2006" xmlns:a14="http://schemas.microsoft.com/office/drawing/2010/main">
      <mc:Choice Requires="a14">
        <xdr:sp macro="" textlink="">
          <xdr:nvSpPr>
            <xdr:cNvPr id="81" name="CuadroTexto 80">
              <a:extLst>
                <a:ext uri="{FF2B5EF4-FFF2-40B4-BE49-F238E27FC236}">
                  <a16:creationId xmlns:a16="http://schemas.microsoft.com/office/drawing/2014/main" id="{00559336-2E5F-463F-B45B-C6F190F9C564}"/>
                </a:ext>
              </a:extLst>
            </xdr:cNvPr>
            <xdr:cNvSpPr txBox="1"/>
          </xdr:nvSpPr>
          <xdr:spPr>
            <a:xfrm>
              <a:off x="10134600" y="482250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.040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81" name="CuadroTexto 80">
              <a:extLst>
                <a:ext uri="{FF2B5EF4-FFF2-40B4-BE49-F238E27FC236}">
                  <a16:creationId xmlns:a16="http://schemas.microsoft.com/office/drawing/2014/main" id="{00559336-2E5F-463F-B45B-C6F190F9C564}"/>
                </a:ext>
              </a:extLst>
            </xdr:cNvPr>
            <xdr:cNvSpPr txBox="1"/>
          </xdr:nvSpPr>
          <xdr:spPr>
            <a:xfrm>
              <a:off x="10134600" y="482250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C𝑏=(.040 𝑚3)/(10 𝑚3)</a:t>
              </a:r>
              <a:endParaRPr lang="es-MX" sz="1000" b="0"/>
            </a:p>
          </xdr:txBody>
        </xdr:sp>
      </mc:Fallback>
    </mc:AlternateContent>
    <xdr:clientData/>
  </xdr:oneCellAnchor>
  <xdr:oneCellAnchor>
    <xdr:from>
      <xdr:col>10</xdr:col>
      <xdr:colOff>346075</xdr:colOff>
      <xdr:row>44</xdr:row>
      <xdr:rowOff>333375</xdr:rowOff>
    </xdr:from>
    <xdr:ext cx="1852084" cy="641779"/>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FFF855D-4915-4A9B-AC81-6B2B3CF6EE52}"/>
                </a:ext>
              </a:extLst>
            </xdr:cNvPr>
            <xdr:cNvSpPr txBox="1"/>
          </xdr:nvSpPr>
          <xdr:spPr>
            <a:xfrm>
              <a:off x="12728575" y="48196500"/>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r>
                      <a:rPr lang="es-MX" sz="1000" b="0" i="0">
                        <a:latin typeface="Cambria Math" panose="02040503050406030204" pitchFamily="18" charset="0"/>
                      </a:rPr>
                      <m:t>004 </m:t>
                    </m:r>
                    <m:r>
                      <m:rPr>
                        <m:sty m:val="p"/>
                      </m:rPr>
                      <a:rPr lang="es-MX" sz="1000" b="0" i="0">
                        <a:latin typeface="Cambria Math" panose="02040503050406030204" pitchFamily="18" charset="0"/>
                      </a:rPr>
                      <m:t>camiones</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4.032</m:t>
                  </m:r>
                </m:oMath>
              </a14:m>
              <a:r>
                <a:rPr lang="es-MX" sz="1100" b="0">
                  <a:solidFill>
                    <a:schemeClr val="tx1"/>
                  </a:solidFill>
                  <a:effectLst/>
                  <a:latin typeface="+mn-lt"/>
                  <a:ea typeface="+mn-ea"/>
                  <a:cs typeface="+mn-cs"/>
                </a:rPr>
                <a:t> camiones</a:t>
              </a:r>
              <a:endParaRPr lang="es-MX" sz="1000">
                <a:effectLst/>
              </a:endParaRPr>
            </a:p>
            <a:p>
              <a:endParaRPr lang="es-MX" sz="1000" b="0"/>
            </a:p>
          </xdr:txBody>
        </xdr:sp>
      </mc:Choice>
      <mc:Fallback xmlns="">
        <xdr:sp macro="" textlink="">
          <xdr:nvSpPr>
            <xdr:cNvPr id="86" name="CuadroTexto 85">
              <a:extLst>
                <a:ext uri="{FF2B5EF4-FFF2-40B4-BE49-F238E27FC236}">
                  <a16:creationId xmlns:a16="http://schemas.microsoft.com/office/drawing/2014/main" id="{0FFF855D-4915-4A9B-AC81-6B2B3CF6EE52}"/>
                </a:ext>
              </a:extLst>
            </xdr:cNvPr>
            <xdr:cNvSpPr txBox="1"/>
          </xdr:nvSpPr>
          <xdr:spPr>
            <a:xfrm>
              <a:off x="12728575" y="48196500"/>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𝑃𝐸𝑇=.004 camiones</a:t>
              </a:r>
              <a:endParaRPr lang="es-MX" sz="1000" b="0"/>
            </a:p>
            <a:p>
              <a:pP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𝑇𝑜𝑛 𝑃𝐸𝑇=4.032</a:t>
              </a:r>
              <a:r>
                <a:rPr lang="es-MX" sz="1100" b="0">
                  <a:solidFill>
                    <a:schemeClr val="tx1"/>
                  </a:solidFill>
                  <a:effectLst/>
                  <a:latin typeface="+mn-lt"/>
                  <a:ea typeface="+mn-ea"/>
                  <a:cs typeface="+mn-cs"/>
                </a:rPr>
                <a:t> camiones</a:t>
              </a:r>
              <a:endParaRPr lang="es-MX" sz="1000">
                <a:effectLst/>
              </a:endParaRPr>
            </a:p>
            <a:p>
              <a:pPr/>
              <a:endParaRPr lang="es-MX" sz="1000" b="0"/>
            </a:p>
          </xdr:txBody>
        </xdr:sp>
      </mc:Fallback>
    </mc:AlternateContent>
    <xdr:clientData/>
  </xdr:oneCellAnchor>
  <xdr:oneCellAnchor>
    <xdr:from>
      <xdr:col>10</xdr:col>
      <xdr:colOff>349250</xdr:colOff>
      <xdr:row>44</xdr:row>
      <xdr:rowOff>685800</xdr:rowOff>
    </xdr:from>
    <xdr:ext cx="1852084" cy="156518"/>
    <xdr:sp macro="" textlink="">
      <xdr:nvSpPr>
        <xdr:cNvPr id="87" name="CuadroTexto 86">
          <a:extLst>
            <a:ext uri="{FF2B5EF4-FFF2-40B4-BE49-F238E27FC236}">
              <a16:creationId xmlns:a16="http://schemas.microsoft.com/office/drawing/2014/main" id="{3A25E7E7-6785-4601-8956-510B71F55D7D}"/>
            </a:ext>
          </a:extLst>
        </xdr:cNvPr>
        <xdr:cNvSpPr txBox="1"/>
      </xdr:nvSpPr>
      <xdr:spPr>
        <a:xfrm>
          <a:off x="12731750" y="4854892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000" b="0"/>
        </a:p>
      </xdr:txBody>
    </xdr:sp>
    <xdr:clientData/>
  </xdr:oneCellAnchor>
  <xdr:oneCellAnchor>
    <xdr:from>
      <xdr:col>9</xdr:col>
      <xdr:colOff>353391</xdr:colOff>
      <xdr:row>45</xdr:row>
      <xdr:rowOff>355621</xdr:rowOff>
    </xdr:from>
    <xdr:ext cx="1710840" cy="787010"/>
    <mc:AlternateContent xmlns:mc="http://schemas.openxmlformats.org/markup-compatibility/2006" xmlns:a14="http://schemas.microsoft.com/office/drawing/2010/main">
      <mc:Choice Requires="a14">
        <xdr:sp macro="" textlink="">
          <xdr:nvSpPr>
            <xdr:cNvPr id="93" name="CuadroTexto 92">
              <a:extLst>
                <a:ext uri="{FF2B5EF4-FFF2-40B4-BE49-F238E27FC236}">
                  <a16:creationId xmlns:a16="http://schemas.microsoft.com/office/drawing/2014/main" id="{4040919C-7ADB-4913-8E0D-7648154944A2}"/>
                </a:ext>
              </a:extLst>
            </xdr:cNvPr>
            <xdr:cNvSpPr txBox="1"/>
          </xdr:nvSpPr>
          <xdr:spPr>
            <a:xfrm>
              <a:off x="10180016" y="49631621"/>
              <a:ext cx="1710840" cy="787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b">
              <a:spAutoFit/>
            </a:bodyPr>
            <a:lstStyle/>
            <a:p>
              <a:pPr algn="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3,188,000 </m:t>
                        </m:r>
                        <m:r>
                          <a:rPr lang="es-MX" sz="1000" b="0" i="1">
                            <a:solidFill>
                              <a:schemeClr val="tx1"/>
                            </a:solidFill>
                            <a:effectLst/>
                            <a:latin typeface="Cambria Math" panose="02040503050406030204" pitchFamily="18" charset="0"/>
                            <a:ea typeface="+mn-ea"/>
                            <a:cs typeface="+mn-cs"/>
                          </a:rPr>
                          <m:t>𝑡𝑃𝐸𝑇</m:t>
                        </m:r>
                        <m:r>
                          <a:rPr lang="es-MX" sz="1000" b="0" i="1">
                            <a:solidFill>
                              <a:schemeClr val="tx1"/>
                            </a:solidFill>
                            <a:effectLst/>
                            <a:latin typeface="Cambria Math" panose="02040503050406030204" pitchFamily="18" charset="0"/>
                            <a:ea typeface="+mn-ea"/>
                            <a:cs typeface="+mn-cs"/>
                          </a:rPr>
                          <m:t> </m:t>
                        </m:r>
                      </m:num>
                      <m:den>
                        <m:d>
                          <m:dPr>
                            <m:ctrlPr>
                              <a:rPr lang="es-MX" sz="1000" b="0" i="1">
                                <a:solidFill>
                                  <a:schemeClr val="tx1"/>
                                </a:solidFill>
                                <a:effectLst/>
                                <a:latin typeface="Cambria Math" panose="02040503050406030204" pitchFamily="18" charset="0"/>
                                <a:ea typeface="+mn-ea"/>
                                <a:cs typeface="+mn-cs"/>
                              </a:rPr>
                            </m:ctrlPr>
                          </m:dPr>
                          <m:e>
                            <m:r>
                              <a:rPr lang="es-MX" sz="1000" b="0" i="1">
                                <a:solidFill>
                                  <a:schemeClr val="tx1"/>
                                </a:solidFill>
                                <a:effectLst/>
                                <a:latin typeface="Cambria Math" panose="02040503050406030204" pitchFamily="18" charset="0"/>
                                <a:ea typeface="+mn-ea"/>
                                <a:cs typeface="+mn-cs"/>
                              </a:rPr>
                              <m:t> 22,771.4</m:t>
                            </m:r>
                          </m:e>
                        </m:d>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0">
                            <a:solidFill>
                              <a:schemeClr val="tx1"/>
                            </a:solidFill>
                            <a:effectLst/>
                            <a:latin typeface="Cambria Math" panose="02040503050406030204" pitchFamily="18" charset="0"/>
                            <a:ea typeface="+mn-ea"/>
                            <a:cs typeface="+mn-cs"/>
                          </a:rPr>
                          <m:t>140 </m:t>
                        </m:r>
                        <m:r>
                          <m:rPr>
                            <m:sty m:val="p"/>
                          </m:rPr>
                          <a:rPr lang="es-MX" sz="1000" b="0" i="0">
                            <a:solidFill>
                              <a:schemeClr val="tx1"/>
                            </a:solidFill>
                            <a:effectLst/>
                            <a:latin typeface="Cambria Math" panose="02040503050406030204" pitchFamily="18" charset="0"/>
                            <a:ea typeface="+mn-ea"/>
                            <a:cs typeface="+mn-cs"/>
                          </a:rPr>
                          <m:t>Ea</m:t>
                        </m:r>
                        <m:r>
                          <a:rPr lang="es-MX" sz="1000" b="0" i="0">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1 </m:t>
                        </m:r>
                      </m:den>
                    </m:f>
                    <m:r>
                      <a:rPr lang="es-MX" sz="1000" b="0" i="1">
                        <a:latin typeface="Cambria Math" panose="02040503050406030204" pitchFamily="18" charset="0"/>
                      </a:rPr>
                      <m:t> </m:t>
                    </m:r>
                  </m:oMath>
                </m:oMathPara>
              </a14:m>
              <a:endParaRPr lang="es-MX" sz="1000"/>
            </a:p>
            <a:p>
              <a:pPr algn="r"/>
              <a:endParaRPr lang="es-MX" sz="1000"/>
            </a:p>
            <a:p>
              <a:pPr algn="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𝐸𝑎</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 .00)</m:t>
                        </m:r>
                      </m:den>
                    </m:f>
                    <m:r>
                      <a:rPr lang="es-MX" sz="1000" b="0" i="1">
                        <a:solidFill>
                          <a:schemeClr val="tx1"/>
                        </a:solidFill>
                        <a:effectLst/>
                        <a:latin typeface="Cambria Math" panose="02040503050406030204" pitchFamily="18" charset="0"/>
                        <a:ea typeface="+mn-ea"/>
                        <a:cs typeface="+mn-cs"/>
                      </a:rPr>
                      <m:t> </m:t>
                    </m:r>
                    <m:r>
                      <a:rPr lang="es-MX" sz="1000" b="0" i="0">
                        <a:solidFill>
                          <a:schemeClr val="tx1"/>
                        </a:solidFill>
                        <a:effectLst/>
                        <a:latin typeface="Cambria Math" panose="02040503050406030204" pitchFamily="18" charset="0"/>
                        <a:ea typeface="+mn-ea"/>
                        <a:cs typeface="+mn-cs"/>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22,771,400 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1 </m:t>
                        </m:r>
                        <m:r>
                          <m:rPr>
                            <m:sty m:val="p"/>
                          </m:rPr>
                          <a:rPr lang="es-MX" sz="1000" b="0" i="0">
                            <a:solidFill>
                              <a:schemeClr val="tx1"/>
                            </a:solidFill>
                            <a:effectLst/>
                            <a:latin typeface="Cambria Math" panose="02040503050406030204" pitchFamily="18" charset="0"/>
                            <a:ea typeface="+mn-ea"/>
                            <a:cs typeface="+mn-cs"/>
                          </a:rPr>
                          <m:t>kg</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pet</m:t>
                        </m:r>
                        <m:r>
                          <a:rPr lang="es-MX" sz="1000" b="0" i="0">
                            <a:solidFill>
                              <a:schemeClr val="tx1"/>
                            </a:solidFill>
                            <a:effectLst/>
                            <a:latin typeface="Cambria Math" panose="02040503050406030204" pitchFamily="18" charset="0"/>
                            <a:ea typeface="+mn-ea"/>
                            <a:cs typeface="+mn-cs"/>
                          </a:rPr>
                          <m:t> </m:t>
                        </m:r>
                      </m:den>
                    </m:f>
                    <m:r>
                      <a:rPr lang="es-MX" sz="1000" b="0" i="1">
                        <a:solidFill>
                          <a:schemeClr val="tx1"/>
                        </a:solidFill>
                        <a:effectLst/>
                        <a:latin typeface="Cambria Math" panose="02040503050406030204" pitchFamily="18" charset="0"/>
                        <a:ea typeface="+mn-ea"/>
                        <a:cs typeface="+mn-cs"/>
                      </a:rPr>
                      <m:t> </m:t>
                    </m:r>
                  </m:oMath>
                </m:oMathPara>
              </a14:m>
              <a:endParaRPr lang="es-MX" sz="1000"/>
            </a:p>
          </xdr:txBody>
        </xdr:sp>
      </mc:Choice>
      <mc:Fallback xmlns="">
        <xdr:sp macro="" textlink="">
          <xdr:nvSpPr>
            <xdr:cNvPr id="93" name="CuadroTexto 92">
              <a:extLst>
                <a:ext uri="{FF2B5EF4-FFF2-40B4-BE49-F238E27FC236}">
                  <a16:creationId xmlns:a16="http://schemas.microsoft.com/office/drawing/2014/main" id="{4040919C-7ADB-4913-8E0D-7648154944A2}"/>
                </a:ext>
              </a:extLst>
            </xdr:cNvPr>
            <xdr:cNvSpPr txBox="1"/>
          </xdr:nvSpPr>
          <xdr:spPr>
            <a:xfrm>
              <a:off x="10180016" y="49631621"/>
              <a:ext cx="1710840" cy="787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b">
              <a:spAutoFit/>
            </a:bodyPr>
            <a:lstStyle/>
            <a:p>
              <a:pPr algn="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3,188,000 𝑡𝑃𝐸𝑇 )/(( 22,771.4)?)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140 Ea )/(1 ) </a:t>
              </a:r>
              <a:r>
                <a:rPr lang="es-MX" sz="1000" b="0" i="0">
                  <a:latin typeface="Cambria Math" panose="02040503050406030204" pitchFamily="18" charset="0"/>
                </a:rPr>
                <a:t> </a:t>
              </a:r>
              <a:endParaRPr lang="es-MX" sz="1000"/>
            </a:p>
            <a:p>
              <a:pPr algn="r"/>
              <a:endParaRPr lang="es-MX" sz="1000"/>
            </a:p>
            <a:p>
              <a:pPr algn="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𝐸𝑎 )/(?( .00))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22,771,400 𝑘𝑔 𝑝𝑒𝑡 )/(1 kg pet )  </a:t>
              </a:r>
              <a:endParaRPr lang="es-MX" sz="1000"/>
            </a:p>
          </xdr:txBody>
        </xdr:sp>
      </mc:Fallback>
    </mc:AlternateContent>
    <xdr:clientData/>
  </xdr:oneCellAnchor>
  <xdr:oneCellAnchor>
    <xdr:from>
      <xdr:col>10</xdr:col>
      <xdr:colOff>125896</xdr:colOff>
      <xdr:row>45</xdr:row>
      <xdr:rowOff>116371</xdr:rowOff>
    </xdr:from>
    <xdr:ext cx="1852084" cy="1227387"/>
    <mc:AlternateContent xmlns:mc="http://schemas.openxmlformats.org/markup-compatibility/2006" xmlns:a14="http://schemas.microsoft.com/office/drawing/2010/main">
      <mc:Choice Requires="a14">
        <xdr:sp macro="" textlink="">
          <xdr:nvSpPr>
            <xdr:cNvPr id="97" name="CuadroTexto 96">
              <a:extLst>
                <a:ext uri="{FF2B5EF4-FFF2-40B4-BE49-F238E27FC236}">
                  <a16:creationId xmlns:a16="http://schemas.microsoft.com/office/drawing/2014/main" id="{D5BCD924-DA12-4438-985E-F111A757807D}"/>
                </a:ext>
              </a:extLst>
            </xdr:cNvPr>
            <xdr:cNvSpPr txBox="1"/>
          </xdr:nvSpPr>
          <xdr:spPr>
            <a:xfrm>
              <a:off x="10803421" y="45626821"/>
              <a:ext cx="1852084" cy="1227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𝐸𝐴</m:t>
                    </m:r>
                    <m:r>
                      <a:rPr lang="es-MX" sz="1000" b="0" i="1">
                        <a:latin typeface="Cambria Math" panose="02040503050406030204" pitchFamily="18" charset="0"/>
                      </a:rPr>
                      <m:t>=22,771.4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𝑃𝐸𝑇</m:t>
                    </m:r>
                  </m:oMath>
                </m:oMathPara>
              </a14:m>
              <a:endParaRPr lang="es-MX" sz="1000" b="0" i="1">
                <a:latin typeface="Cambria Math" panose="02040503050406030204" pitchFamily="18" charset="0"/>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r>
                      <a:rPr lang="es-MX" sz="1000" b="0" i="0">
                        <a:latin typeface="Cambria Math" panose="02040503050406030204" pitchFamily="18" charset="0"/>
                      </a:rPr>
                      <m:t> 00 </m:t>
                    </m:r>
                    <m:r>
                      <m:rPr>
                        <m:sty m:val="p"/>
                      </m:rPr>
                      <a:rPr lang="es-MX" sz="1000" b="0" i="0">
                        <a:latin typeface="Cambria Math" panose="02040503050406030204" pitchFamily="18" charset="0"/>
                      </a:rPr>
                      <m:t>Estadios</m:t>
                    </m:r>
                    <m:r>
                      <a:rPr lang="es-MX" sz="1000" b="0" i="0">
                        <a:latin typeface="Cambria Math" panose="02040503050406030204" pitchFamily="18" charset="0"/>
                      </a:rPr>
                      <m:t> </m:t>
                    </m:r>
                    <m:r>
                      <m:rPr>
                        <m:sty m:val="p"/>
                      </m:rPr>
                      <a:rPr lang="es-MX" sz="1000" b="0" i="0">
                        <a:latin typeface="Cambria Math" panose="02040503050406030204" pitchFamily="18" charset="0"/>
                      </a:rPr>
                      <m:t>Azteca</m:t>
                    </m:r>
                  </m:oMath>
                </m:oMathPara>
              </a14:m>
              <a:endParaRPr lang="es-MX" sz="1000" b="0" i="0">
                <a:latin typeface="Cambria Math" panose="02040503050406030204" pitchFamily="18" charset="0"/>
              </a:endParaRPr>
            </a:p>
            <a:p>
              <a:endParaRPr lang="es-MX" sz="1000" b="0" i="0">
                <a:latin typeface="Cambria Math" panose="02040503050406030204" pitchFamily="18" charset="0"/>
              </a:endParaRPr>
            </a:p>
            <a:p>
              <a14:m>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.00</m:t>
                  </m:r>
                </m:oMath>
              </a14:m>
              <a:r>
                <a:rPr lang="es-MX" sz="1000" b="0">
                  <a:solidFill>
                    <a:schemeClr val="tx1"/>
                  </a:solidFill>
                  <a:effectLst/>
                  <a:latin typeface="+mn-lt"/>
                  <a:ea typeface="+mn-ea"/>
                  <a:cs typeface="+mn-cs"/>
                </a:rPr>
                <a:t> </a:t>
              </a: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Estadios</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Azteca</m:t>
                  </m:r>
                </m:oMath>
              </a14:m>
              <a:endParaRPr lang="es-MX" sz="1000">
                <a:effectLst/>
              </a:endParaRPr>
            </a:p>
            <a:p>
              <a:pPr eaLnBrk="1" fontAlgn="auto" latinLnBrk="0" hangingPunct="1"/>
              <a:endParaRPr lang="es-MX" sz="1000" b="0" i="1">
                <a:solidFill>
                  <a:schemeClr val="tx1"/>
                </a:solidFill>
                <a:effectLst/>
                <a:latin typeface="+mn-lt"/>
                <a:ea typeface="+mn-ea"/>
                <a:cs typeface="+mn-cs"/>
              </a:endParaRPr>
            </a:p>
            <a:p>
              <a:pPr eaLnBrk="1" fontAlgn="auto" latinLnBrk="0" hangingPunct="1"/>
              <a14:m>
                <m:oMath xmlns:m="http://schemas.openxmlformats.org/officeDocument/2006/math">
                  <m:r>
                    <a:rPr lang="es-MX" sz="1000" b="0" i="1">
                      <a:solidFill>
                        <a:schemeClr val="tx1"/>
                      </a:solidFill>
                      <a:effectLst/>
                      <a:latin typeface="Cambria Math" panose="02040503050406030204" pitchFamily="18" charset="0"/>
                      <a:ea typeface="+mn-ea"/>
                      <a:cs typeface="+mn-cs"/>
                    </a:rPr>
                    <m:t>3,188,000 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m:t>
                  </m:r>
                </m:oMath>
              </a14:m>
              <a:r>
                <a:rPr lang="es-MX" sz="1000" b="0">
                  <a:solidFill>
                    <a:schemeClr val="tx1"/>
                  </a:solidFill>
                  <a:effectLst/>
                  <a:latin typeface="+mn-lt"/>
                  <a:ea typeface="+mn-ea"/>
                  <a:cs typeface="+mn-cs"/>
                </a:rPr>
                <a:t>140 EA</a:t>
              </a:r>
              <a:endParaRPr lang="es-MX" sz="1000">
                <a:effectLst/>
              </a:endParaRPr>
            </a:p>
            <a:p>
              <a:pPr/>
              <a14:m>
                <m:oMathPara xmlns:m="http://schemas.openxmlformats.org/officeDocument/2006/math">
                  <m:oMathParaPr>
                    <m:jc m:val="centerGroup"/>
                  </m:oMathParaPr>
                  <m:oMath xmlns:m="http://schemas.openxmlformats.org/officeDocument/2006/math">
                    <m:r>
                      <a:rPr lang="es-MX" sz="1000" b="0" i="0">
                        <a:latin typeface="Cambria Math" panose="02040503050406030204" pitchFamily="18" charset="0"/>
                      </a:rPr>
                      <m:t> </m:t>
                    </m:r>
                  </m:oMath>
                </m:oMathPara>
              </a14:m>
              <a:endParaRPr lang="es-MX" sz="1000" b="0"/>
            </a:p>
          </xdr:txBody>
        </xdr:sp>
      </mc:Choice>
      <mc:Fallback xmlns="">
        <xdr:sp macro="" textlink="">
          <xdr:nvSpPr>
            <xdr:cNvPr id="97" name="CuadroTexto 96">
              <a:extLst>
                <a:ext uri="{FF2B5EF4-FFF2-40B4-BE49-F238E27FC236}">
                  <a16:creationId xmlns:a16="http://schemas.microsoft.com/office/drawing/2014/main" id="{D5BCD924-DA12-4438-985E-F111A757807D}"/>
                </a:ext>
              </a:extLst>
            </xdr:cNvPr>
            <xdr:cNvSpPr txBox="1"/>
          </xdr:nvSpPr>
          <xdr:spPr>
            <a:xfrm>
              <a:off x="10803421" y="45626821"/>
              <a:ext cx="1852084" cy="1227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𝐸𝐴=22,771.4 𝑇𝑜𝑛 𝑃𝐸𝑇</a:t>
              </a:r>
              <a:endParaRPr lang="es-MX" sz="1000" b="0" i="1">
                <a:latin typeface="Cambria Math" panose="02040503050406030204" pitchFamily="18" charset="0"/>
              </a:endParaRPr>
            </a:p>
            <a:p>
              <a:endParaRPr lang="es-MX" sz="1000" b="0" i="1">
                <a:latin typeface="Cambria Math" panose="02040503050406030204" pitchFamily="18" charset="0"/>
              </a:endParaRPr>
            </a:p>
            <a:p>
              <a:pPr/>
              <a:r>
                <a:rPr lang="es-MX" sz="1000" b="0" i="0">
                  <a:latin typeface="Cambria Math" panose="02040503050406030204" pitchFamily="18" charset="0"/>
                </a:rPr>
                <a:t>1 𝑘𝑔 𝑃𝐸𝑇=. 00 Estadios Azteca</a:t>
              </a:r>
            </a:p>
            <a:p>
              <a:endParaRPr lang="es-MX" sz="1000" b="0" i="0">
                <a:latin typeface="Cambria Math" panose="02040503050406030204" pitchFamily="18" charset="0"/>
              </a:endParaRPr>
            </a:p>
            <a:p>
              <a:r>
                <a:rPr lang="es-MX" sz="1000" b="0" i="0">
                  <a:solidFill>
                    <a:schemeClr val="tx1"/>
                  </a:solidFill>
                  <a:effectLst/>
                  <a:latin typeface="Cambria Math" panose="02040503050406030204" pitchFamily="18" charset="0"/>
                  <a:ea typeface="+mn-ea"/>
                  <a:cs typeface="+mn-cs"/>
                </a:rPr>
                <a:t>1 𝑇𝑜𝑛 𝑃𝐸𝑇=.00</a:t>
              </a:r>
              <a:r>
                <a:rPr lang="es-MX" sz="1000" b="0">
                  <a:solidFill>
                    <a:schemeClr val="tx1"/>
                  </a:solidFill>
                  <a:effectLst/>
                  <a:latin typeface="+mn-lt"/>
                  <a:ea typeface="+mn-ea"/>
                  <a:cs typeface="+mn-cs"/>
                </a:rPr>
                <a:t> </a:t>
              </a:r>
              <a:r>
                <a:rPr lang="es-MX" sz="1000" b="0" i="0">
                  <a:solidFill>
                    <a:schemeClr val="tx1"/>
                  </a:solidFill>
                  <a:effectLst/>
                  <a:latin typeface="Cambria Math" panose="02040503050406030204" pitchFamily="18" charset="0"/>
                  <a:ea typeface="+mn-ea"/>
                  <a:cs typeface="+mn-cs"/>
                </a:rPr>
                <a:t>Estadios Azteca</a:t>
              </a:r>
              <a:endParaRPr lang="es-MX" sz="1000">
                <a:effectLst/>
              </a:endParaRPr>
            </a:p>
            <a:p>
              <a:pPr eaLnBrk="1" fontAlgn="auto" latinLnBrk="0" hangingPunct="1"/>
              <a:endParaRPr lang="es-MX" sz="1000" b="0" i="1">
                <a:solidFill>
                  <a:schemeClr val="tx1"/>
                </a:solidFill>
                <a:effectLst/>
                <a:latin typeface="+mn-lt"/>
                <a:ea typeface="+mn-ea"/>
                <a:cs typeface="+mn-cs"/>
              </a:endParaRPr>
            </a:p>
            <a:p>
              <a:pPr eaLnBrk="1" fontAlgn="auto" latinLnBrk="0" hangingPunct="1"/>
              <a:r>
                <a:rPr lang="es-MX" sz="1000" b="0" i="0">
                  <a:solidFill>
                    <a:schemeClr val="tx1"/>
                  </a:solidFill>
                  <a:effectLst/>
                  <a:latin typeface="Cambria Math" panose="02040503050406030204" pitchFamily="18" charset="0"/>
                  <a:ea typeface="+mn-ea"/>
                  <a:cs typeface="+mn-cs"/>
                </a:rPr>
                <a:t>3,188,000 𝑇𝑜𝑛 𝑃𝐸𝑇=</a:t>
              </a:r>
              <a:r>
                <a:rPr lang="es-MX" sz="1000" b="0">
                  <a:solidFill>
                    <a:schemeClr val="tx1"/>
                  </a:solidFill>
                  <a:effectLst/>
                  <a:latin typeface="+mn-lt"/>
                  <a:ea typeface="+mn-ea"/>
                  <a:cs typeface="+mn-cs"/>
                </a:rPr>
                <a:t>140 EA</a:t>
              </a:r>
              <a:endParaRPr lang="es-MX" sz="1000">
                <a:effectLst/>
              </a:endParaRPr>
            </a:p>
            <a:p>
              <a:pPr/>
              <a:r>
                <a:rPr lang="es-MX" sz="1000" b="0" i="0">
                  <a:latin typeface="Cambria Math" panose="02040503050406030204" pitchFamily="18" charset="0"/>
                </a:rPr>
                <a:t> </a:t>
              </a:r>
              <a:endParaRPr lang="es-MX" sz="1000" b="0"/>
            </a:p>
          </xdr:txBody>
        </xdr:sp>
      </mc:Fallback>
    </mc:AlternateContent>
    <xdr:clientData/>
  </xdr:oneCellAnchor>
  <xdr:oneCellAnchor>
    <xdr:from>
      <xdr:col>8</xdr:col>
      <xdr:colOff>406400</xdr:colOff>
      <xdr:row>26</xdr:row>
      <xdr:rowOff>317500</xdr:rowOff>
    </xdr:from>
    <xdr:ext cx="1852084" cy="335156"/>
    <mc:AlternateContent xmlns:mc="http://schemas.openxmlformats.org/markup-compatibility/2006" xmlns:a14="http://schemas.microsoft.com/office/drawing/2010/main">
      <mc:Choice Requires="a14">
        <xdr:sp macro="" textlink="">
          <xdr:nvSpPr>
            <xdr:cNvPr id="104" name="CuadroTexto 103">
              <a:extLst>
                <a:ext uri="{FF2B5EF4-FFF2-40B4-BE49-F238E27FC236}">
                  <a16:creationId xmlns:a16="http://schemas.microsoft.com/office/drawing/2014/main" id="{3538BF96-4A95-4D10-B309-29E29E34BFA4}"/>
                </a:ext>
              </a:extLst>
            </xdr:cNvPr>
            <xdr:cNvSpPr txBox="1"/>
          </xdr:nvSpPr>
          <xdr:spPr>
            <a:xfrm>
              <a:off x="7804150" y="32337375"/>
              <a:ext cx="1852084" cy="335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𝐷𝑤𝑐</m:t>
                    </m:r>
                    <m:r>
                      <a:rPr lang="es-MX" sz="1050" b="0" i="1">
                        <a:latin typeface="Cambria Math" panose="02040503050406030204" pitchFamily="18" charset="0"/>
                      </a:rPr>
                      <m:t>=</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lap</m:t>
                        </m:r>
                      </m:num>
                      <m:den>
                        <m:r>
                          <m:rPr>
                            <m:sty m:val="p"/>
                          </m:rPr>
                          <a:rPr lang="es-MX" sz="1050" b="0" i="0">
                            <a:solidFill>
                              <a:schemeClr val="tx1"/>
                            </a:solidFill>
                            <a:effectLst/>
                            <a:latin typeface="Cambria Math" panose="02040503050406030204" pitchFamily="18" charset="0"/>
                            <a:ea typeface="+mn-ea"/>
                            <a:cs typeface="+mn-cs"/>
                          </a:rPr>
                          <m:t>gwc</m:t>
                        </m:r>
                      </m:den>
                    </m:f>
                  </m:oMath>
                </m:oMathPara>
              </a14:m>
              <a:endParaRPr lang="es-MX" sz="1050" b="0"/>
            </a:p>
          </xdr:txBody>
        </xdr:sp>
      </mc:Choice>
      <mc:Fallback xmlns="">
        <xdr:sp macro="" textlink="">
          <xdr:nvSpPr>
            <xdr:cNvPr id="104" name="CuadroTexto 103">
              <a:extLst>
                <a:ext uri="{FF2B5EF4-FFF2-40B4-BE49-F238E27FC236}">
                  <a16:creationId xmlns:a16="http://schemas.microsoft.com/office/drawing/2014/main" id="{3538BF96-4A95-4D10-B309-29E29E34BFA4}"/>
                </a:ext>
              </a:extLst>
            </xdr:cNvPr>
            <xdr:cNvSpPr txBox="1"/>
          </xdr:nvSpPr>
          <xdr:spPr>
            <a:xfrm>
              <a:off x="7804150" y="32337375"/>
              <a:ext cx="1852084" cy="335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𝐷𝑤𝑐=</a:t>
              </a:r>
              <a:r>
                <a:rPr lang="es-MX" sz="1050" b="0" i="0">
                  <a:solidFill>
                    <a:schemeClr val="tx1"/>
                  </a:solidFill>
                  <a:effectLst/>
                  <a:latin typeface="Cambria Math" panose="02040503050406030204" pitchFamily="18" charset="0"/>
                  <a:ea typeface="+mn-ea"/>
                  <a:cs typeface="+mn-cs"/>
                </a:rPr>
                <a:t>lap/gwc</a:t>
              </a:r>
              <a:endParaRPr lang="es-MX" sz="1050" b="0"/>
            </a:p>
          </xdr:txBody>
        </xdr:sp>
      </mc:Fallback>
    </mc:AlternateContent>
    <xdr:clientData/>
  </xdr:oneCellAnchor>
  <xdr:oneCellAnchor>
    <xdr:from>
      <xdr:col>8</xdr:col>
      <xdr:colOff>336550</xdr:colOff>
      <xdr:row>26</xdr:row>
      <xdr:rowOff>898525</xdr:rowOff>
    </xdr:from>
    <xdr:ext cx="1920077" cy="375680"/>
    <mc:AlternateContent xmlns:mc="http://schemas.openxmlformats.org/markup-compatibility/2006" xmlns:a14="http://schemas.microsoft.com/office/drawing/2010/main">
      <mc:Choice Requires="a14">
        <xdr:sp macro="" textlink="">
          <xdr:nvSpPr>
            <xdr:cNvPr id="105" name="CuadroTexto 104">
              <a:extLst>
                <a:ext uri="{FF2B5EF4-FFF2-40B4-BE49-F238E27FC236}">
                  <a16:creationId xmlns:a16="http://schemas.microsoft.com/office/drawing/2014/main" id="{46BDFEC1-584D-4429-87E4-36A8EF7DFAA7}"/>
                </a:ext>
              </a:extLst>
            </xdr:cNvPr>
            <xdr:cNvSpPr txBox="1"/>
          </xdr:nvSpPr>
          <xdr:spPr>
            <a:xfrm>
              <a:off x="7734300" y="32918400"/>
              <a:ext cx="1920077"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lap representa  litros de agua ahorrados PET</a:t>
              </a:r>
            </a:p>
            <a:p>
              <a:r>
                <a:rPr lang="es-MX" sz="800" b="0"/>
                <a:t>gwc representa</a:t>
              </a:r>
              <a:r>
                <a:rPr lang="es-MX" sz="800" b="0" baseline="0"/>
                <a:t> gasto promedio de descarga</a:t>
              </a:r>
              <a:endParaRPr lang="es-MX" sz="800" b="0"/>
            </a:p>
          </xdr:txBody>
        </xdr:sp>
      </mc:Choice>
      <mc:Fallback xmlns="">
        <xdr:sp macro="" textlink="">
          <xdr:nvSpPr>
            <xdr:cNvPr id="105" name="CuadroTexto 104">
              <a:extLst>
                <a:ext uri="{FF2B5EF4-FFF2-40B4-BE49-F238E27FC236}">
                  <a16:creationId xmlns:a16="http://schemas.microsoft.com/office/drawing/2014/main" id="{46BDFEC1-584D-4429-87E4-36A8EF7DFAA7}"/>
                </a:ext>
              </a:extLst>
            </xdr:cNvPr>
            <xdr:cNvSpPr txBox="1"/>
          </xdr:nvSpPr>
          <xdr:spPr>
            <a:xfrm>
              <a:off x="7734300" y="32918400"/>
              <a:ext cx="1920077"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lap representa  litros de agua ahorrados PET</a:t>
              </a:r>
            </a:p>
            <a:p>
              <a:r>
                <a:rPr lang="es-MX" sz="800" b="0"/>
                <a:t>gwc representa</a:t>
              </a:r>
              <a:r>
                <a:rPr lang="es-MX" sz="800" b="0" baseline="0"/>
                <a:t> gasto promedio de descarga</a:t>
              </a:r>
              <a:endParaRPr lang="es-MX" sz="800" b="0"/>
            </a:p>
          </xdr:txBody>
        </xdr:sp>
      </mc:Fallback>
    </mc:AlternateContent>
    <xdr:clientData/>
  </xdr:oneCellAnchor>
  <xdr:oneCellAnchor>
    <xdr:from>
      <xdr:col>9</xdr:col>
      <xdr:colOff>311150</xdr:colOff>
      <xdr:row>26</xdr:row>
      <xdr:rowOff>365125</xdr:rowOff>
    </xdr:from>
    <xdr:ext cx="1852084" cy="523875"/>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1CCC4438-CD8A-427E-A3FC-B3BE18C6115B}"/>
                </a:ext>
              </a:extLst>
            </xdr:cNvPr>
            <xdr:cNvSpPr txBox="1"/>
          </xdr:nvSpPr>
          <xdr:spPr>
            <a:xfrm>
              <a:off x="10137775" y="32385000"/>
              <a:ext cx="185208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𝐷𝑤𝑐</m:t>
                    </m:r>
                    <m:r>
                      <a:rPr lang="es-MX" sz="1050" b="0" i="1">
                        <a:latin typeface="Cambria Math" panose="02040503050406030204" pitchFamily="18" charset="0"/>
                      </a:rPr>
                      <m:t>=</m:t>
                    </m:r>
                    <m:f>
                      <m:fPr>
                        <m:ctrlPr>
                          <a:rPr lang="es-MX" sz="1050" i="1">
                            <a:solidFill>
                              <a:schemeClr val="tx1"/>
                            </a:solidFill>
                            <a:effectLst/>
                            <a:latin typeface="Cambria Math" panose="02040503050406030204" pitchFamily="18" charset="0"/>
                            <a:ea typeface="+mn-ea"/>
                            <a:cs typeface="+mn-cs"/>
                          </a:rPr>
                        </m:ctrlPr>
                      </m:fPr>
                      <m:num>
                        <m:r>
                          <a:rPr lang="es-MX" sz="1050" b="0" i="0">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𝐿</m:t>
                        </m:r>
                      </m:num>
                      <m:den>
                        <m:r>
                          <a:rPr lang="es-MX" sz="1050" b="0" i="0">
                            <a:solidFill>
                              <a:schemeClr val="tx1"/>
                            </a:solidFill>
                            <a:effectLst/>
                            <a:latin typeface="Cambria Math" panose="02040503050406030204" pitchFamily="18" charset="0"/>
                            <a:ea typeface="+mn-ea"/>
                            <a:cs typeface="+mn-cs"/>
                          </a:rPr>
                          <m:t>3.9</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𝐿</m:t>
                        </m:r>
                      </m:den>
                    </m:f>
                  </m:oMath>
                </m:oMathPara>
              </a14:m>
              <a:endParaRPr lang="es-MX" sz="1050" b="0"/>
            </a:p>
          </xdr:txBody>
        </xdr:sp>
      </mc:Choice>
      <mc:Fallback xmlns="">
        <xdr:sp macro="" textlink="">
          <xdr:nvSpPr>
            <xdr:cNvPr id="106" name="CuadroTexto 105">
              <a:extLst>
                <a:ext uri="{FF2B5EF4-FFF2-40B4-BE49-F238E27FC236}">
                  <a16:creationId xmlns:a16="http://schemas.microsoft.com/office/drawing/2014/main" id="{1CCC4438-CD8A-427E-A3FC-B3BE18C6115B}"/>
                </a:ext>
              </a:extLst>
            </xdr:cNvPr>
            <xdr:cNvSpPr txBox="1"/>
          </xdr:nvSpPr>
          <xdr:spPr>
            <a:xfrm>
              <a:off x="10137775" y="32385000"/>
              <a:ext cx="185208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𝐷𝑤𝑐=</a:t>
              </a:r>
              <a:r>
                <a:rPr lang="es-MX" sz="1050" i="0">
                  <a:solidFill>
                    <a:schemeClr val="tx1"/>
                  </a:solidFill>
                  <a:effectLst/>
                  <a:latin typeface="Cambria Math" panose="02040503050406030204" pitchFamily="18" charset="0"/>
                  <a:ea typeface="+mn-ea"/>
                  <a:cs typeface="+mn-cs"/>
                </a:rPr>
                <a:t>(</a:t>
              </a:r>
              <a:r>
                <a:rPr lang="es-MX" sz="1050" b="0" i="0">
                  <a:solidFill>
                    <a:schemeClr val="tx1"/>
                  </a:solidFill>
                  <a:effectLst/>
                  <a:latin typeface="Cambria Math" panose="02040503050406030204" pitchFamily="18" charset="0"/>
                  <a:ea typeface="+mn-ea"/>
                  <a:cs typeface="+mn-cs"/>
                </a:rPr>
                <a:t> 𝐿)/(3.9 𝐿)</a:t>
              </a:r>
              <a:endParaRPr lang="es-MX" sz="1050" b="0"/>
            </a:p>
          </xdr:txBody>
        </xdr:sp>
      </mc:Fallback>
    </mc:AlternateContent>
    <xdr:clientData/>
  </xdr:oneCellAnchor>
  <xdr:oneCellAnchor>
    <xdr:from>
      <xdr:col>10</xdr:col>
      <xdr:colOff>266700</xdr:colOff>
      <xdr:row>26</xdr:row>
      <xdr:rowOff>314325</xdr:rowOff>
    </xdr:from>
    <xdr:ext cx="1547812" cy="485261"/>
    <mc:AlternateContent xmlns:mc="http://schemas.openxmlformats.org/markup-compatibility/2006" xmlns:a14="http://schemas.microsoft.com/office/drawing/2010/main">
      <mc:Choice Requires="a14">
        <xdr:sp macro="" textlink="">
          <xdr:nvSpPr>
            <xdr:cNvPr id="107" name="CuadroTexto 106">
              <a:extLst>
                <a:ext uri="{FF2B5EF4-FFF2-40B4-BE49-F238E27FC236}">
                  <a16:creationId xmlns:a16="http://schemas.microsoft.com/office/drawing/2014/main" id="{C273EC2D-45AC-438D-AFF8-E80BC753CC24}"/>
                </a:ext>
              </a:extLst>
            </xdr:cNvPr>
            <xdr:cNvSpPr txBox="1"/>
          </xdr:nvSpPr>
          <xdr:spPr>
            <a:xfrm>
              <a:off x="10944225" y="23860125"/>
              <a:ext cx="1547812"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r>
                      <a:rPr lang="es-MX" sz="1000" b="0" i="0">
                        <a:latin typeface="Cambria Math" panose="02040503050406030204" pitchFamily="18" charset="0"/>
                      </a:rPr>
                      <m:t> </m:t>
                    </m:r>
                    <m:r>
                      <m:rPr>
                        <m:sty m:val="p"/>
                      </m:rPr>
                      <a:rPr lang="es-MX" sz="1000" b="0" i="0">
                        <a:latin typeface="Cambria Math" panose="02040503050406030204" pitchFamily="18" charset="0"/>
                      </a:rPr>
                      <m:t>wc</m:t>
                    </m:r>
                    <m:r>
                      <a:rPr lang="es-MX" sz="1000" b="0" i="0">
                        <a:latin typeface="Cambria Math" panose="02040503050406030204" pitchFamily="18" charset="0"/>
                      </a:rPr>
                      <m:t> </m:t>
                    </m:r>
                  </m:oMath>
                </m:oMathPara>
              </a14:m>
              <a:endParaRPr lang="es-MX" sz="1000" b="0"/>
            </a:p>
            <a:p>
              <a:endParaRPr lang="es-MX" sz="1000" b="0"/>
            </a:p>
            <a:p>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wc</m:t>
                    </m:r>
                  </m:oMath>
                </m:oMathPara>
              </a14:m>
              <a:endParaRPr lang="es-MX" sz="1000" b="0"/>
            </a:p>
          </xdr:txBody>
        </xdr:sp>
      </mc:Choice>
      <mc:Fallback xmlns="">
        <xdr:sp macro="" textlink="">
          <xdr:nvSpPr>
            <xdr:cNvPr id="107" name="CuadroTexto 106">
              <a:extLst>
                <a:ext uri="{FF2B5EF4-FFF2-40B4-BE49-F238E27FC236}">
                  <a16:creationId xmlns:a16="http://schemas.microsoft.com/office/drawing/2014/main" id="{C273EC2D-45AC-438D-AFF8-E80BC753CC24}"/>
                </a:ext>
              </a:extLst>
            </xdr:cNvPr>
            <xdr:cNvSpPr txBox="1"/>
          </xdr:nvSpPr>
          <xdr:spPr>
            <a:xfrm>
              <a:off x="10944225" y="23860125"/>
              <a:ext cx="1547812"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 wc </a:t>
              </a:r>
              <a:endParaRPr lang="es-MX" sz="1000" b="0"/>
            </a:p>
            <a:p>
              <a:endParaRPr lang="es-MX" sz="1000" b="0"/>
            </a:p>
            <a:p>
              <a:pPr/>
              <a:r>
                <a:rPr lang="es-MX" sz="1100" b="0" i="0">
                  <a:solidFill>
                    <a:schemeClr val="tx1"/>
                  </a:solidFill>
                  <a:effectLst/>
                  <a:latin typeface="Cambria Math" panose="02040503050406030204" pitchFamily="18" charset="0"/>
                  <a:ea typeface="+mn-ea"/>
                  <a:cs typeface="+mn-cs"/>
                </a:rPr>
                <a:t>1 𝑡𝑜𝑛 𝑃𝐸𝑇= wc</a:t>
              </a:r>
              <a:endParaRPr lang="es-MX" sz="1000" b="0"/>
            </a:p>
          </xdr:txBody>
        </xdr:sp>
      </mc:Fallback>
    </mc:AlternateContent>
    <xdr:clientData/>
  </xdr:oneCellAnchor>
  <xdr:oneCellAnchor>
    <xdr:from>
      <xdr:col>9</xdr:col>
      <xdr:colOff>260351</xdr:colOff>
      <xdr:row>52</xdr:row>
      <xdr:rowOff>484188</xdr:rowOff>
    </xdr:from>
    <xdr:ext cx="1897062" cy="351443"/>
    <mc:AlternateContent xmlns:mc="http://schemas.openxmlformats.org/markup-compatibility/2006" xmlns:a14="http://schemas.microsoft.com/office/drawing/2010/main">
      <mc:Choice Requires="a14">
        <xdr:sp macro="" textlink="">
          <xdr:nvSpPr>
            <xdr:cNvPr id="108" name="CuadroTexto 107">
              <a:extLst>
                <a:ext uri="{FF2B5EF4-FFF2-40B4-BE49-F238E27FC236}">
                  <a16:creationId xmlns:a16="http://schemas.microsoft.com/office/drawing/2014/main" id="{EFA6F5D5-0AD9-4A01-BC3B-38A308556216}"/>
                </a:ext>
              </a:extLst>
            </xdr:cNvPr>
            <xdr:cNvSpPr txBox="1"/>
          </xdr:nvSpPr>
          <xdr:spPr>
            <a:xfrm>
              <a:off x="10086976" y="555228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4.44 </m:t>
                        </m:r>
                        <m:r>
                          <a:rPr lang="es-MX" sz="1100" b="0" i="1">
                            <a:solidFill>
                              <a:schemeClr val="tx1"/>
                            </a:solidFill>
                            <a:effectLst/>
                            <a:latin typeface="Cambria Math" panose="02040503050406030204" pitchFamily="18" charset="0"/>
                            <a:ea typeface="+mn-ea"/>
                            <a:cs typeface="+mn-cs"/>
                          </a:rPr>
                          <m:t>𝐵𝑃</m:t>
                        </m:r>
                      </m:num>
                      <m:den>
                        <m:r>
                          <a:rPr lang="es-MX" sz="1100" b="0" i="0">
                            <a:solidFill>
                              <a:schemeClr val="tx1"/>
                            </a:solidFill>
                            <a:effectLst/>
                            <a:latin typeface="Cambria Math" panose="02040503050406030204" pitchFamily="18" charset="0"/>
                            <a:ea typeface="+mn-ea"/>
                            <a:cs typeface="+mn-cs"/>
                          </a:rPr>
                          <m:t>?( .00444)</m:t>
                        </m:r>
                      </m:den>
                    </m:f>
                    <m:r>
                      <a:rPr lang="es-MX" sz="1600" b="0" i="1">
                        <a:latin typeface="Cambria Math" panose="02040503050406030204" pitchFamily="18" charset="0"/>
                      </a:rPr>
                      <m:t> </m:t>
                    </m:r>
                  </m:oMath>
                </m:oMathPara>
              </a14:m>
              <a:endParaRPr lang="es-MX" sz="1600"/>
            </a:p>
          </xdr:txBody>
        </xdr:sp>
      </mc:Choice>
      <mc:Fallback xmlns="">
        <xdr:sp macro="" textlink="">
          <xdr:nvSpPr>
            <xdr:cNvPr id="108" name="CuadroTexto 107">
              <a:extLst>
                <a:ext uri="{FF2B5EF4-FFF2-40B4-BE49-F238E27FC236}">
                  <a16:creationId xmlns:a16="http://schemas.microsoft.com/office/drawing/2014/main" id="{EFA6F5D5-0AD9-4A01-BC3B-38A308556216}"/>
                </a:ext>
              </a:extLst>
            </xdr:cNvPr>
            <xdr:cNvSpPr txBox="1"/>
          </xdr:nvSpPr>
          <xdr:spPr>
            <a:xfrm>
              <a:off x="10086976" y="555228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𝑃𝐸𝑇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4.44 𝐵𝑃)/(?( .00444))</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206375</xdr:colOff>
      <xdr:row>52</xdr:row>
      <xdr:rowOff>477308</xdr:rowOff>
    </xdr:from>
    <xdr:ext cx="2261659" cy="628650"/>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EB2A17B1-1936-444D-B189-3C368416E627}"/>
                </a:ext>
              </a:extLst>
            </xdr:cNvPr>
            <xdr:cNvSpPr txBox="1"/>
          </xdr:nvSpPr>
          <xdr:spPr>
            <a:xfrm>
              <a:off x="12588875" y="55515933"/>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.0044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4.44 </m:t>
                    </m:r>
                    <m:r>
                      <m:rPr>
                        <m:sty m:val="p"/>
                      </m:rPr>
                      <a:rPr lang="es-MX" sz="1050" b="0" i="0">
                        <a:solidFill>
                          <a:schemeClr val="tx1"/>
                        </a:solidFill>
                        <a:effectLst/>
                        <a:latin typeface="Cambria Math" panose="02040503050406030204" pitchFamily="18" charset="0"/>
                        <a:ea typeface="+mn-ea"/>
                        <a:cs typeface="+mn-cs"/>
                      </a:rPr>
                      <m:t>BP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09" name="CuadroTexto 108">
              <a:extLst>
                <a:ext uri="{FF2B5EF4-FFF2-40B4-BE49-F238E27FC236}">
                  <a16:creationId xmlns:a16="http://schemas.microsoft.com/office/drawing/2014/main" id="{EB2A17B1-1936-444D-B189-3C368416E627}"/>
                </a:ext>
              </a:extLst>
            </xdr:cNvPr>
            <xdr:cNvSpPr txBox="1"/>
          </xdr:nvSpPr>
          <xdr:spPr>
            <a:xfrm>
              <a:off x="12588875" y="55515933"/>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𝑃𝐸𝑇= .0044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𝑃𝐸𝑇=4.44 BP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twoCellAnchor editAs="oneCell">
    <xdr:from>
      <xdr:col>6</xdr:col>
      <xdr:colOff>226219</xdr:colOff>
      <xdr:row>3</xdr:row>
      <xdr:rowOff>195263</xdr:rowOff>
    </xdr:from>
    <xdr:to>
      <xdr:col>6</xdr:col>
      <xdr:colOff>385762</xdr:colOff>
      <xdr:row>3</xdr:row>
      <xdr:rowOff>339916</xdr:rowOff>
    </xdr:to>
    <xdr:pic>
      <xdr:nvPicPr>
        <xdr:cNvPr id="7" name="Imagen 6">
          <a:extLst>
            <a:ext uri="{FF2B5EF4-FFF2-40B4-BE49-F238E27FC236}">
              <a16:creationId xmlns:a16="http://schemas.microsoft.com/office/drawing/2014/main" id="{BC24EFF1-0848-4C74-ADD6-9C5BDEA308D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929313" y="1993107"/>
          <a:ext cx="159543" cy="144653"/>
        </a:xfrm>
        <a:prstGeom prst="rect">
          <a:avLst/>
        </a:prstGeom>
      </xdr:spPr>
    </xdr:pic>
    <xdr:clientData/>
  </xdr:twoCellAnchor>
  <xdr:twoCellAnchor editAs="oneCell">
    <xdr:from>
      <xdr:col>4</xdr:col>
      <xdr:colOff>400050</xdr:colOff>
      <xdr:row>3</xdr:row>
      <xdr:rowOff>77007</xdr:rowOff>
    </xdr:from>
    <xdr:to>
      <xdr:col>5</xdr:col>
      <xdr:colOff>19050</xdr:colOff>
      <xdr:row>3</xdr:row>
      <xdr:rowOff>281835</xdr:rowOff>
    </xdr:to>
    <xdr:pic>
      <xdr:nvPicPr>
        <xdr:cNvPr id="92" name="Gráfico 91" descr="Bombilla fluorescente">
          <a:extLst>
            <a:ext uri="{FF2B5EF4-FFF2-40B4-BE49-F238E27FC236}">
              <a16:creationId xmlns:a16="http://schemas.microsoft.com/office/drawing/2014/main" id="{5EAC62C3-0C20-436A-A03B-9A2786897D7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3950" y="2629707"/>
          <a:ext cx="200025" cy="204828"/>
        </a:xfrm>
        <a:prstGeom prst="rect">
          <a:avLst/>
        </a:prstGeom>
      </xdr:spPr>
    </xdr:pic>
    <xdr:clientData/>
  </xdr:twoCellAnchor>
  <xdr:twoCellAnchor editAs="oneCell">
    <xdr:from>
      <xdr:col>3</xdr:col>
      <xdr:colOff>114301</xdr:colOff>
      <xdr:row>15</xdr:row>
      <xdr:rowOff>104775</xdr:rowOff>
    </xdr:from>
    <xdr:to>
      <xdr:col>3</xdr:col>
      <xdr:colOff>466725</xdr:colOff>
      <xdr:row>15</xdr:row>
      <xdr:rowOff>457199</xdr:rowOff>
    </xdr:to>
    <xdr:pic>
      <xdr:nvPicPr>
        <xdr:cNvPr id="16" name="Imagen 15">
          <a:extLst>
            <a:ext uri="{FF2B5EF4-FFF2-40B4-BE49-F238E27FC236}">
              <a16:creationId xmlns:a16="http://schemas.microsoft.com/office/drawing/2014/main" id="{4FD2FDA9-D898-463C-BBBD-A60D166F25D3}"/>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67176" y="10610850"/>
          <a:ext cx="352424" cy="352424"/>
        </a:xfrm>
        <a:prstGeom prst="rect">
          <a:avLst/>
        </a:prstGeom>
      </xdr:spPr>
    </xdr:pic>
    <xdr:clientData/>
  </xdr:twoCellAnchor>
  <xdr:twoCellAnchor editAs="oneCell">
    <xdr:from>
      <xdr:col>4</xdr:col>
      <xdr:colOff>114300</xdr:colOff>
      <xdr:row>15</xdr:row>
      <xdr:rowOff>76200</xdr:rowOff>
    </xdr:from>
    <xdr:to>
      <xdr:col>4</xdr:col>
      <xdr:colOff>495300</xdr:colOff>
      <xdr:row>15</xdr:row>
      <xdr:rowOff>457200</xdr:rowOff>
    </xdr:to>
    <xdr:pic>
      <xdr:nvPicPr>
        <xdr:cNvPr id="18" name="Gráfico 17" descr="Botella de agua">
          <a:extLst>
            <a:ext uri="{FF2B5EF4-FFF2-40B4-BE49-F238E27FC236}">
              <a16:creationId xmlns:a16="http://schemas.microsoft.com/office/drawing/2014/main" id="{FCD2C0C3-C9E3-4B26-B5A0-5C9F9BF0E00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48200" y="10582275"/>
          <a:ext cx="381000" cy="381000"/>
        </a:xfrm>
        <a:prstGeom prst="rect">
          <a:avLst/>
        </a:prstGeom>
      </xdr:spPr>
    </xdr:pic>
    <xdr:clientData/>
  </xdr:twoCellAnchor>
  <xdr:twoCellAnchor editAs="oneCell">
    <xdr:from>
      <xdr:col>5</xdr:col>
      <xdr:colOff>85725</xdr:colOff>
      <xdr:row>15</xdr:row>
      <xdr:rowOff>95250</xdr:rowOff>
    </xdr:from>
    <xdr:to>
      <xdr:col>5</xdr:col>
      <xdr:colOff>447675</xdr:colOff>
      <xdr:row>15</xdr:row>
      <xdr:rowOff>457200</xdr:rowOff>
    </xdr:to>
    <xdr:pic>
      <xdr:nvPicPr>
        <xdr:cNvPr id="32" name="Gráfico 31" descr="Manzana">
          <a:extLst>
            <a:ext uri="{FF2B5EF4-FFF2-40B4-BE49-F238E27FC236}">
              <a16:creationId xmlns:a16="http://schemas.microsoft.com/office/drawing/2014/main" id="{F525ED83-1E67-41C9-829A-45578EAC1C9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0650" y="10601325"/>
          <a:ext cx="361950" cy="361950"/>
        </a:xfrm>
        <a:prstGeom prst="rect">
          <a:avLst/>
        </a:prstGeom>
      </xdr:spPr>
    </xdr:pic>
    <xdr:clientData/>
  </xdr:twoCellAnchor>
  <xdr:twoCellAnchor editAs="oneCell">
    <xdr:from>
      <xdr:col>6</xdr:col>
      <xdr:colOff>95250</xdr:colOff>
      <xdr:row>15</xdr:row>
      <xdr:rowOff>104775</xdr:rowOff>
    </xdr:from>
    <xdr:to>
      <xdr:col>6</xdr:col>
      <xdr:colOff>438150</xdr:colOff>
      <xdr:row>15</xdr:row>
      <xdr:rowOff>447675</xdr:rowOff>
    </xdr:to>
    <xdr:pic>
      <xdr:nvPicPr>
        <xdr:cNvPr id="38" name="Gráfico 37" descr="Buceo">
          <a:extLst>
            <a:ext uri="{FF2B5EF4-FFF2-40B4-BE49-F238E27FC236}">
              <a16:creationId xmlns:a16="http://schemas.microsoft.com/office/drawing/2014/main" id="{B569EA90-442F-4B26-88A9-394CE80189D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1200" y="10610850"/>
          <a:ext cx="342900" cy="342900"/>
        </a:xfrm>
        <a:prstGeom prst="rect">
          <a:avLst/>
        </a:prstGeom>
      </xdr:spPr>
    </xdr:pic>
    <xdr:clientData/>
  </xdr:twoCellAnchor>
  <xdr:twoCellAnchor editAs="oneCell">
    <xdr:from>
      <xdr:col>7</xdr:col>
      <xdr:colOff>114300</xdr:colOff>
      <xdr:row>15</xdr:row>
      <xdr:rowOff>114299</xdr:rowOff>
    </xdr:from>
    <xdr:to>
      <xdr:col>7</xdr:col>
      <xdr:colOff>395499</xdr:colOff>
      <xdr:row>15</xdr:row>
      <xdr:rowOff>395498</xdr:rowOff>
    </xdr:to>
    <xdr:pic>
      <xdr:nvPicPr>
        <xdr:cNvPr id="44" name="Imagen 43">
          <a:extLst>
            <a:ext uri="{FF2B5EF4-FFF2-40B4-BE49-F238E27FC236}">
              <a16:creationId xmlns:a16="http://schemas.microsoft.com/office/drawing/2014/main" id="{4D930BCB-8324-483D-978C-F10F26F5286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1275" y="10620374"/>
          <a:ext cx="281199" cy="281199"/>
        </a:xfrm>
        <a:prstGeom prst="rect">
          <a:avLst/>
        </a:prstGeom>
      </xdr:spPr>
    </xdr:pic>
    <xdr:clientData/>
  </xdr:twoCellAnchor>
  <xdr:twoCellAnchor editAs="oneCell">
    <xdr:from>
      <xdr:col>2</xdr:col>
      <xdr:colOff>114301</xdr:colOff>
      <xdr:row>15</xdr:row>
      <xdr:rowOff>95250</xdr:rowOff>
    </xdr:from>
    <xdr:to>
      <xdr:col>2</xdr:col>
      <xdr:colOff>429909</xdr:colOff>
      <xdr:row>15</xdr:row>
      <xdr:rowOff>410858</xdr:rowOff>
    </xdr:to>
    <xdr:pic>
      <xdr:nvPicPr>
        <xdr:cNvPr id="46" name="Imagen 45">
          <a:extLst>
            <a:ext uri="{FF2B5EF4-FFF2-40B4-BE49-F238E27FC236}">
              <a16:creationId xmlns:a16="http://schemas.microsoft.com/office/drawing/2014/main" id="{D32608EE-61D1-4249-8F01-E388F8DE558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86151" y="10601325"/>
          <a:ext cx="315608" cy="315608"/>
        </a:xfrm>
        <a:prstGeom prst="rect">
          <a:avLst/>
        </a:prstGeom>
      </xdr:spPr>
    </xdr:pic>
    <xdr:clientData/>
  </xdr:twoCellAnchor>
  <xdr:twoCellAnchor editAs="oneCell">
    <xdr:from>
      <xdr:col>2</xdr:col>
      <xdr:colOff>152400</xdr:colOff>
      <xdr:row>29</xdr:row>
      <xdr:rowOff>76200</xdr:rowOff>
    </xdr:from>
    <xdr:to>
      <xdr:col>2</xdr:col>
      <xdr:colOff>476250</xdr:colOff>
      <xdr:row>29</xdr:row>
      <xdr:rowOff>400050</xdr:rowOff>
    </xdr:to>
    <xdr:pic>
      <xdr:nvPicPr>
        <xdr:cNvPr id="58" name="Gráfico 57" descr="Árbol de hojas podridas">
          <a:extLst>
            <a:ext uri="{FF2B5EF4-FFF2-40B4-BE49-F238E27FC236}">
              <a16:creationId xmlns:a16="http://schemas.microsoft.com/office/drawing/2014/main" id="{830187F8-C3C6-4139-8CE2-543DA02201D9}"/>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4250" y="19831050"/>
          <a:ext cx="323850" cy="323850"/>
        </a:xfrm>
        <a:prstGeom prst="rect">
          <a:avLst/>
        </a:prstGeom>
      </xdr:spPr>
    </xdr:pic>
    <xdr:clientData/>
  </xdr:twoCellAnchor>
  <xdr:twoCellAnchor editAs="oneCell">
    <xdr:from>
      <xdr:col>2</xdr:col>
      <xdr:colOff>523874</xdr:colOff>
      <xdr:row>29</xdr:row>
      <xdr:rowOff>95250</xdr:rowOff>
    </xdr:from>
    <xdr:to>
      <xdr:col>4</xdr:col>
      <xdr:colOff>57150</xdr:colOff>
      <xdr:row>29</xdr:row>
      <xdr:rowOff>381000</xdr:rowOff>
    </xdr:to>
    <xdr:pic>
      <xdr:nvPicPr>
        <xdr:cNvPr id="65" name="Imagen 64">
          <a:extLst>
            <a:ext uri="{FF2B5EF4-FFF2-40B4-BE49-F238E27FC236}">
              <a16:creationId xmlns:a16="http://schemas.microsoft.com/office/drawing/2014/main" id="{78DFC8C7-36FF-4A84-A6A7-8D5D3387CAE6}"/>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895724" y="19850100"/>
          <a:ext cx="695326" cy="285750"/>
        </a:xfrm>
        <a:prstGeom prst="rect">
          <a:avLst/>
        </a:prstGeom>
      </xdr:spPr>
    </xdr:pic>
    <xdr:clientData/>
  </xdr:twoCellAnchor>
  <xdr:twoCellAnchor editAs="oneCell">
    <xdr:from>
      <xdr:col>2</xdr:col>
      <xdr:colOff>561975</xdr:colOff>
      <xdr:row>40</xdr:row>
      <xdr:rowOff>28575</xdr:rowOff>
    </xdr:from>
    <xdr:to>
      <xdr:col>4</xdr:col>
      <xdr:colOff>57150</xdr:colOff>
      <xdr:row>40</xdr:row>
      <xdr:rowOff>490799</xdr:rowOff>
    </xdr:to>
    <xdr:pic>
      <xdr:nvPicPr>
        <xdr:cNvPr id="70" name="Imagen 69">
          <a:extLst>
            <a:ext uri="{FF2B5EF4-FFF2-40B4-BE49-F238E27FC236}">
              <a16:creationId xmlns:a16="http://schemas.microsoft.com/office/drawing/2014/main" id="{EC5805DC-08A2-4E93-898A-A9E01E9D142B}"/>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3825" y="27936825"/>
          <a:ext cx="657225" cy="462224"/>
        </a:xfrm>
        <a:prstGeom prst="rect">
          <a:avLst/>
        </a:prstGeom>
      </xdr:spPr>
    </xdr:pic>
    <xdr:clientData/>
  </xdr:twoCellAnchor>
  <xdr:twoCellAnchor editAs="oneCell">
    <xdr:from>
      <xdr:col>2</xdr:col>
      <xdr:colOff>142876</xdr:colOff>
      <xdr:row>40</xdr:row>
      <xdr:rowOff>85725</xdr:rowOff>
    </xdr:from>
    <xdr:to>
      <xdr:col>2</xdr:col>
      <xdr:colOff>476252</xdr:colOff>
      <xdr:row>40</xdr:row>
      <xdr:rowOff>419101</xdr:rowOff>
    </xdr:to>
    <xdr:pic>
      <xdr:nvPicPr>
        <xdr:cNvPr id="82" name="Imagen 81">
          <a:extLst>
            <a:ext uri="{FF2B5EF4-FFF2-40B4-BE49-F238E27FC236}">
              <a16:creationId xmlns:a16="http://schemas.microsoft.com/office/drawing/2014/main" id="{018164C2-239B-4985-8793-8819F82FE696}"/>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4726" y="27993975"/>
          <a:ext cx="333376" cy="333376"/>
        </a:xfrm>
        <a:prstGeom prst="rect">
          <a:avLst/>
        </a:prstGeom>
      </xdr:spPr>
    </xdr:pic>
    <xdr:clientData/>
  </xdr:twoCellAnchor>
  <xdr:twoCellAnchor editAs="oneCell">
    <xdr:from>
      <xdr:col>4</xdr:col>
      <xdr:colOff>66675</xdr:colOff>
      <xdr:row>40</xdr:row>
      <xdr:rowOff>128910</xdr:rowOff>
    </xdr:from>
    <xdr:to>
      <xdr:col>4</xdr:col>
      <xdr:colOff>571500</xdr:colOff>
      <xdr:row>40</xdr:row>
      <xdr:rowOff>411270</xdr:rowOff>
    </xdr:to>
    <xdr:pic>
      <xdr:nvPicPr>
        <xdr:cNvPr id="89" name="Imagen 88">
          <a:extLst>
            <a:ext uri="{FF2B5EF4-FFF2-40B4-BE49-F238E27FC236}">
              <a16:creationId xmlns:a16="http://schemas.microsoft.com/office/drawing/2014/main" id="{F9568C7E-CA98-45A0-957F-12A5ECC2EBA2}"/>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0575" y="28037160"/>
          <a:ext cx="504825" cy="282360"/>
        </a:xfrm>
        <a:prstGeom prst="rect">
          <a:avLst/>
        </a:prstGeom>
      </xdr:spPr>
    </xdr:pic>
    <xdr:clientData/>
  </xdr:twoCellAnchor>
  <xdr:twoCellAnchor editAs="oneCell">
    <xdr:from>
      <xdr:col>2</xdr:col>
      <xdr:colOff>85725</xdr:colOff>
      <xdr:row>51</xdr:row>
      <xdr:rowOff>63500</xdr:rowOff>
    </xdr:from>
    <xdr:to>
      <xdr:col>2</xdr:col>
      <xdr:colOff>517407</xdr:colOff>
      <xdr:row>51</xdr:row>
      <xdr:rowOff>493183</xdr:rowOff>
    </xdr:to>
    <xdr:pic>
      <xdr:nvPicPr>
        <xdr:cNvPr id="103" name="Gráfico 102" descr="Barril de petróleo">
          <a:extLst>
            <a:ext uri="{FF2B5EF4-FFF2-40B4-BE49-F238E27FC236}">
              <a16:creationId xmlns:a16="http://schemas.microsoft.com/office/drawing/2014/main" id="{96F52019-ECD3-4538-88CA-3B31801C317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61808" y="33083500"/>
          <a:ext cx="431682" cy="429683"/>
        </a:xfrm>
        <a:prstGeom prst="rect">
          <a:avLst/>
        </a:prstGeom>
      </xdr:spPr>
    </xdr:pic>
    <xdr:clientData/>
  </xdr:twoCellAnchor>
  <xdr:twoCellAnchor editAs="oneCell">
    <xdr:from>
      <xdr:col>3</xdr:col>
      <xdr:colOff>104775</xdr:colOff>
      <xdr:row>51</xdr:row>
      <xdr:rowOff>133350</xdr:rowOff>
    </xdr:from>
    <xdr:to>
      <xdr:col>3</xdr:col>
      <xdr:colOff>437093</xdr:colOff>
      <xdr:row>51</xdr:row>
      <xdr:rowOff>448854</xdr:rowOff>
    </xdr:to>
    <xdr:pic>
      <xdr:nvPicPr>
        <xdr:cNvPr id="127" name="Imagen 126">
          <a:extLst>
            <a:ext uri="{FF2B5EF4-FFF2-40B4-BE49-F238E27FC236}">
              <a16:creationId xmlns:a16="http://schemas.microsoft.com/office/drawing/2014/main" id="{8129CC72-78AF-4B04-8DA5-F7E6011C0FFD}"/>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62942" y="33153350"/>
          <a:ext cx="332318" cy="315504"/>
        </a:xfrm>
        <a:prstGeom prst="rect">
          <a:avLst/>
        </a:prstGeom>
      </xdr:spPr>
    </xdr:pic>
    <xdr:clientData/>
  </xdr:twoCellAnchor>
  <xdr:twoCellAnchor editAs="oneCell">
    <xdr:from>
      <xdr:col>4</xdr:col>
      <xdr:colOff>216958</xdr:colOff>
      <xdr:row>51</xdr:row>
      <xdr:rowOff>151302</xdr:rowOff>
    </xdr:from>
    <xdr:to>
      <xdr:col>4</xdr:col>
      <xdr:colOff>476249</xdr:colOff>
      <xdr:row>51</xdr:row>
      <xdr:rowOff>423330</xdr:rowOff>
    </xdr:to>
    <xdr:pic>
      <xdr:nvPicPr>
        <xdr:cNvPr id="111" name="Imagen 110">
          <a:extLst>
            <a:ext uri="{FF2B5EF4-FFF2-40B4-BE49-F238E27FC236}">
              <a16:creationId xmlns:a16="http://schemas.microsoft.com/office/drawing/2014/main" id="{60008DDE-7DD6-4020-84AC-FBE799AF4B1C}"/>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7208" y="33171302"/>
          <a:ext cx="259291" cy="272028"/>
        </a:xfrm>
        <a:prstGeom prst="rect">
          <a:avLst/>
        </a:prstGeom>
      </xdr:spPr>
    </xdr:pic>
    <xdr:clientData/>
  </xdr:twoCellAnchor>
  <xdr:twoCellAnchor editAs="oneCell">
    <xdr:from>
      <xdr:col>6</xdr:col>
      <xdr:colOff>76200</xdr:colOff>
      <xdr:row>51</xdr:row>
      <xdr:rowOff>69850</xdr:rowOff>
    </xdr:from>
    <xdr:to>
      <xdr:col>6</xdr:col>
      <xdr:colOff>533400</xdr:colOff>
      <xdr:row>52</xdr:row>
      <xdr:rowOff>6349</xdr:rowOff>
    </xdr:to>
    <xdr:pic>
      <xdr:nvPicPr>
        <xdr:cNvPr id="121" name="Gráfico 120" descr="Convertible">
          <a:extLst>
            <a:ext uri="{FF2B5EF4-FFF2-40B4-BE49-F238E27FC236}">
              <a16:creationId xmlns:a16="http://schemas.microsoft.com/office/drawing/2014/main" id="{AECFAA51-70CF-4FC2-BF90-ABB87CB9B6F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80617" y="33089850"/>
          <a:ext cx="457200" cy="455083"/>
        </a:xfrm>
        <a:prstGeom prst="rect">
          <a:avLst/>
        </a:prstGeom>
      </xdr:spPr>
    </xdr:pic>
    <xdr:clientData/>
  </xdr:twoCellAnchor>
  <xdr:oneCellAnchor>
    <xdr:from>
      <xdr:col>9</xdr:col>
      <xdr:colOff>418041</xdr:colOff>
      <xdr:row>54</xdr:row>
      <xdr:rowOff>381000</xdr:rowOff>
    </xdr:from>
    <xdr:ext cx="1693333" cy="361353"/>
    <mc:AlternateContent xmlns:mc="http://schemas.openxmlformats.org/markup-compatibility/2006" xmlns:a14="http://schemas.microsoft.com/office/drawing/2010/main">
      <mc:Choice Requires="a14">
        <xdr:sp macro="" textlink="">
          <xdr:nvSpPr>
            <xdr:cNvPr id="136" name="CuadroTexto 135">
              <a:extLst>
                <a:ext uri="{FF2B5EF4-FFF2-40B4-BE49-F238E27FC236}">
                  <a16:creationId xmlns:a16="http://schemas.microsoft.com/office/drawing/2014/main" id="{E24A4A4F-C5CF-4C5E-A8FC-969DF7203891}"/>
                </a:ext>
              </a:extLst>
            </xdr:cNvPr>
            <xdr:cNvSpPr txBox="1"/>
          </xdr:nvSpPr>
          <xdr:spPr>
            <a:xfrm>
              <a:off x="10244666" y="58245375"/>
              <a:ext cx="1693333" cy="361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𝑃𝐸𝑇</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PET</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755 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𝑎h𝑜𝑟𝑟𝑎𝑑𝑜</m:t>
                        </m:r>
                      </m:num>
                      <m:den>
                        <m:r>
                          <a:rPr lang="es-MX" sz="800" b="0" i="0">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755)</m:t>
                        </m:r>
                      </m:den>
                    </m:f>
                    <m:r>
                      <a:rPr lang="es-MX" sz="800" b="0" i="1">
                        <a:latin typeface="Cambria Math" panose="02040503050406030204" pitchFamily="18" charset="0"/>
                      </a:rPr>
                      <m:t> </m:t>
                    </m:r>
                  </m:oMath>
                </m:oMathPara>
              </a14:m>
              <a:endParaRPr lang="es-MX" sz="800"/>
            </a:p>
          </xdr:txBody>
        </xdr:sp>
      </mc:Choice>
      <mc:Fallback xmlns="">
        <xdr:sp macro="" textlink="">
          <xdr:nvSpPr>
            <xdr:cNvPr id="136" name="CuadroTexto 135">
              <a:extLst>
                <a:ext uri="{FF2B5EF4-FFF2-40B4-BE49-F238E27FC236}">
                  <a16:creationId xmlns:a16="http://schemas.microsoft.com/office/drawing/2014/main" id="{E24A4A4F-C5CF-4C5E-A8FC-969DF7203891}"/>
                </a:ext>
              </a:extLst>
            </xdr:cNvPr>
            <xdr:cNvSpPr txBox="1"/>
          </xdr:nvSpPr>
          <xdr:spPr>
            <a:xfrm>
              <a:off x="10244666" y="58245375"/>
              <a:ext cx="1693333" cy="361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𝑃𝐸𝑇 )/(1 kg PET)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755 𝑘𝑔 𝑎ℎ𝑜𝑟𝑟𝑎𝑑𝑜)/(?( .755)) </a:t>
              </a:r>
              <a:r>
                <a:rPr lang="es-MX" sz="800" b="0" i="0">
                  <a:latin typeface="Cambria Math" panose="02040503050406030204" pitchFamily="18" charset="0"/>
                </a:rPr>
                <a:t> </a:t>
              </a:r>
              <a:endParaRPr lang="es-MX" sz="800"/>
            </a:p>
          </xdr:txBody>
        </xdr:sp>
      </mc:Fallback>
    </mc:AlternateContent>
    <xdr:clientData/>
  </xdr:oneCellAnchor>
  <xdr:oneCellAnchor>
    <xdr:from>
      <xdr:col>10</xdr:col>
      <xdr:colOff>254000</xdr:colOff>
      <xdr:row>54</xdr:row>
      <xdr:rowOff>470958</xdr:rowOff>
    </xdr:from>
    <xdr:ext cx="2010833" cy="628650"/>
    <mc:AlternateContent xmlns:mc="http://schemas.openxmlformats.org/markup-compatibility/2006" xmlns:a14="http://schemas.microsoft.com/office/drawing/2010/main">
      <mc:Choice Requires="a14">
        <xdr:sp macro="" textlink="">
          <xdr:nvSpPr>
            <xdr:cNvPr id="137" name="CuadroTexto 136">
              <a:extLst>
                <a:ext uri="{FF2B5EF4-FFF2-40B4-BE49-F238E27FC236}">
                  <a16:creationId xmlns:a16="http://schemas.microsoft.com/office/drawing/2014/main" id="{F1B00A41-62B6-48BB-BDCF-77B26BA8D0F8}"/>
                </a:ext>
              </a:extLst>
            </xdr:cNvPr>
            <xdr:cNvSpPr txBox="1"/>
          </xdr:nvSpPr>
          <xdr:spPr>
            <a:xfrm>
              <a:off x="12636500" y="58335333"/>
              <a:ext cx="2010833"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 755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Ahorrado</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755</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Ahorrado</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37" name="CuadroTexto 136">
              <a:extLst>
                <a:ext uri="{FF2B5EF4-FFF2-40B4-BE49-F238E27FC236}">
                  <a16:creationId xmlns:a16="http://schemas.microsoft.com/office/drawing/2014/main" id="{F1B00A41-62B6-48BB-BDCF-77B26BA8D0F8}"/>
                </a:ext>
              </a:extLst>
            </xdr:cNvPr>
            <xdr:cNvSpPr txBox="1"/>
          </xdr:nvSpPr>
          <xdr:spPr>
            <a:xfrm>
              <a:off x="12636500" y="58335333"/>
              <a:ext cx="2010833"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 . 755 kg Mat Ahorrado</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𝑃𝐸𝑇=755</a:t>
              </a:r>
              <a:r>
                <a:rPr lang="es-MX" sz="1100" b="0" i="0">
                  <a:solidFill>
                    <a:schemeClr val="tx1"/>
                  </a:solidFill>
                  <a:effectLst/>
                  <a:latin typeface="Cambria Math" panose="02040503050406030204" pitchFamily="18" charset="0"/>
                  <a:ea typeface="+mn-ea"/>
                  <a:cs typeface="+mn-cs"/>
                </a:rPr>
                <a:t> kg "Mat Ahorrado</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476249</xdr:colOff>
      <xdr:row>56</xdr:row>
      <xdr:rowOff>545041</xdr:rowOff>
    </xdr:from>
    <xdr:ext cx="1688043" cy="319511"/>
    <mc:AlternateContent xmlns:mc="http://schemas.openxmlformats.org/markup-compatibility/2006" xmlns:a14="http://schemas.microsoft.com/office/drawing/2010/main">
      <mc:Choice Requires="a14">
        <xdr:sp macro="" textlink="">
          <xdr:nvSpPr>
            <xdr:cNvPr id="138" name="CuadroTexto 137">
              <a:extLst>
                <a:ext uri="{FF2B5EF4-FFF2-40B4-BE49-F238E27FC236}">
                  <a16:creationId xmlns:a16="http://schemas.microsoft.com/office/drawing/2014/main" id="{9267BB31-04B8-4F55-8458-85A0FCDDD930}"/>
                </a:ext>
              </a:extLst>
            </xdr:cNvPr>
            <xdr:cNvSpPr txBox="1"/>
          </xdr:nvSpPr>
          <xdr:spPr>
            <a:xfrm>
              <a:off x="7873999" y="61235166"/>
              <a:ext cx="168804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barriles</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38" name="CuadroTexto 137">
              <a:extLst>
                <a:ext uri="{FF2B5EF4-FFF2-40B4-BE49-F238E27FC236}">
                  <a16:creationId xmlns:a16="http://schemas.microsoft.com/office/drawing/2014/main" id="{9267BB31-04B8-4F55-8458-85A0FCDDD930}"/>
                </a:ext>
              </a:extLst>
            </xdr:cNvPr>
            <xdr:cNvSpPr txBox="1"/>
          </xdr:nvSpPr>
          <xdr:spPr>
            <a:xfrm>
              <a:off x="7873999" y="61235166"/>
              <a:ext cx="168804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)/(n barriles)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 </a:t>
              </a:r>
              <a:r>
                <a:rPr lang="es-MX" sz="1000" b="0" i="0">
                  <a:latin typeface="Cambria Math" panose="02040503050406030204" pitchFamily="18" charset="0"/>
                </a:rPr>
                <a:t> </a:t>
              </a:r>
              <a:endParaRPr lang="es-MX" sz="1000"/>
            </a:p>
          </xdr:txBody>
        </xdr:sp>
      </mc:Fallback>
    </mc:AlternateContent>
    <xdr:clientData/>
  </xdr:oneCellAnchor>
  <xdr:oneCellAnchor>
    <xdr:from>
      <xdr:col>8</xdr:col>
      <xdr:colOff>143933</xdr:colOff>
      <xdr:row>56</xdr:row>
      <xdr:rowOff>214842</xdr:rowOff>
    </xdr:from>
    <xdr:ext cx="1852084" cy="125227"/>
    <xdr:sp macro="" textlink="">
      <xdr:nvSpPr>
        <xdr:cNvPr id="139" name="CuadroTexto 138">
          <a:extLst>
            <a:ext uri="{FF2B5EF4-FFF2-40B4-BE49-F238E27FC236}">
              <a16:creationId xmlns:a16="http://schemas.microsoft.com/office/drawing/2014/main" id="{888E1B08-AFEA-4E71-B234-851FB72028BD}"/>
            </a:ext>
          </a:extLst>
        </xdr:cNvPr>
        <xdr:cNvSpPr txBox="1"/>
      </xdr:nvSpPr>
      <xdr:spPr>
        <a:xfrm>
          <a:off x="7012516" y="30716009"/>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9</xdr:col>
      <xdr:colOff>232833</xdr:colOff>
      <xdr:row>56</xdr:row>
      <xdr:rowOff>709083</xdr:rowOff>
    </xdr:from>
    <xdr:ext cx="1587499" cy="316497"/>
    <mc:AlternateContent xmlns:mc="http://schemas.openxmlformats.org/markup-compatibility/2006" xmlns:a14="http://schemas.microsoft.com/office/drawing/2010/main">
      <mc:Choice Requires="a14">
        <xdr:sp macro="" textlink="">
          <xdr:nvSpPr>
            <xdr:cNvPr id="143" name="CuadroTexto 142">
              <a:extLst>
                <a:ext uri="{FF2B5EF4-FFF2-40B4-BE49-F238E27FC236}">
                  <a16:creationId xmlns:a16="http://schemas.microsoft.com/office/drawing/2014/main" id="{F5D4F3B1-A8B4-49F0-B106-903B000E1053}"/>
                </a:ext>
              </a:extLst>
            </xdr:cNvPr>
            <xdr:cNvSpPr txBox="1"/>
          </xdr:nvSpPr>
          <xdr:spPr>
            <a:xfrm>
              <a:off x="9017000" y="38227000"/>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4.44 </m:t>
                        </m:r>
                        <m:r>
                          <m:rPr>
                            <m:sty m:val="p"/>
                          </m:rPr>
                          <a:rPr lang="es-MX" sz="1000" b="0" i="0">
                            <a:solidFill>
                              <a:schemeClr val="tx1"/>
                            </a:solidFill>
                            <a:effectLst/>
                            <a:latin typeface="Cambria Math" panose="02040503050406030204" pitchFamily="18" charset="0"/>
                            <a:ea typeface="+mn-ea"/>
                            <a:cs typeface="+mn-cs"/>
                          </a:rPr>
                          <m:t>BP</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?( 29</m:t>
                        </m:r>
                        <m:r>
                          <a:rPr lang="es-MX" sz="1000" b="0" i="1">
                            <a:solidFill>
                              <a:schemeClr val="tx1"/>
                            </a:solidFill>
                            <a:effectLst/>
                            <a:latin typeface="Cambria Math" panose="02040503050406030204" pitchFamily="18" charset="0"/>
                            <a:ea typeface="+mn-ea"/>
                            <a:cs typeface="+mn-cs"/>
                          </a:rPr>
                          <m:t>3)</m:t>
                        </m:r>
                      </m:den>
                    </m:f>
                    <m:r>
                      <a:rPr lang="es-MX" sz="1000" b="0" i="1">
                        <a:latin typeface="Cambria Math" panose="02040503050406030204" pitchFamily="18" charset="0"/>
                      </a:rPr>
                      <m:t> </m:t>
                    </m:r>
                  </m:oMath>
                </m:oMathPara>
              </a14:m>
              <a:endParaRPr lang="es-MX" sz="1000"/>
            </a:p>
          </xdr:txBody>
        </xdr:sp>
      </mc:Choice>
      <mc:Fallback xmlns="">
        <xdr:sp macro="" textlink="">
          <xdr:nvSpPr>
            <xdr:cNvPr id="143" name="CuadroTexto 142">
              <a:extLst>
                <a:ext uri="{FF2B5EF4-FFF2-40B4-BE49-F238E27FC236}">
                  <a16:creationId xmlns:a16="http://schemas.microsoft.com/office/drawing/2014/main" id="{F5D4F3B1-A8B4-49F0-B106-903B000E1053}"/>
                </a:ext>
              </a:extLst>
            </xdr:cNvPr>
            <xdr:cNvSpPr txBox="1"/>
          </xdr:nvSpPr>
          <xdr:spPr>
            <a:xfrm>
              <a:off x="9017000" y="38227000"/>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)/(4.44 BP)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𝑔𝑎𝑠𝑜𝑙𝑖𝑛𝑎)/(?( 293))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259291</xdr:colOff>
      <xdr:row>56</xdr:row>
      <xdr:rowOff>449791</xdr:rowOff>
    </xdr:from>
    <xdr:ext cx="2053167" cy="628650"/>
    <mc:AlternateContent xmlns:mc="http://schemas.openxmlformats.org/markup-compatibility/2006" xmlns:a14="http://schemas.microsoft.com/office/drawing/2010/main">
      <mc:Choice Requires="a14">
        <xdr:sp macro="" textlink="">
          <xdr:nvSpPr>
            <xdr:cNvPr id="144" name="CuadroTexto 143">
              <a:extLst>
                <a:ext uri="{FF2B5EF4-FFF2-40B4-BE49-F238E27FC236}">
                  <a16:creationId xmlns:a16="http://schemas.microsoft.com/office/drawing/2014/main" id="{97CE9A1D-69E2-429E-BBE0-34ED0E632EF6}"/>
                </a:ext>
              </a:extLst>
            </xdr:cNvPr>
            <xdr:cNvSpPr txBox="1"/>
          </xdr:nvSpPr>
          <xdr:spPr>
            <a:xfrm>
              <a:off x="12641791" y="61139916"/>
              <a:ext cx="205316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.293 </m:t>
                    </m:r>
                    <m:r>
                      <m:rPr>
                        <m:sty m:val="p"/>
                      </m:rPr>
                      <a:rPr lang="es-MX" sz="1050" b="0" i="0">
                        <a:latin typeface="Cambria Math" panose="02040503050406030204" pitchFamily="18" charset="0"/>
                      </a:rPr>
                      <m:t>Litros</m:t>
                    </m:r>
                    <m:r>
                      <a:rPr lang="es-MX" sz="1050" b="0" i="0">
                        <a:latin typeface="Cambria Math" panose="02040503050406030204" pitchFamily="18" charset="0"/>
                      </a:rPr>
                      <m:t> </m:t>
                    </m:r>
                    <m:r>
                      <m:rPr>
                        <m:sty m:val="p"/>
                      </m:rPr>
                      <a:rPr lang="es-MX" sz="1050" b="0" i="0">
                        <a:latin typeface="Cambria Math" panose="02040503050406030204" pitchFamily="18" charset="0"/>
                      </a:rPr>
                      <m:t>de</m:t>
                    </m:r>
                    <m:r>
                      <a:rPr lang="es-MX" sz="1050" b="0" i="0">
                        <a:latin typeface="Cambria Math" panose="02040503050406030204" pitchFamily="18" charset="0"/>
                      </a:rPr>
                      <m:t> </m:t>
                    </m:r>
                    <m:r>
                      <m:rPr>
                        <m:sty m:val="p"/>
                      </m:rPr>
                      <a:rPr lang="es-MX" sz="1050" b="0" i="0">
                        <a:latin typeface="Cambria Math" panose="02040503050406030204" pitchFamily="18" charset="0"/>
                      </a:rPr>
                      <m:t>gasolina</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a14:m>
              <a:r>
                <a:rPr lang="es-MX" sz="1050">
                  <a:effectLst/>
                </a:rPr>
                <a:t> 293 Litros de gasolina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Choice>
      <mc:Fallback xmlns="">
        <xdr:sp macro="" textlink="">
          <xdr:nvSpPr>
            <xdr:cNvPr id="144" name="CuadroTexto 143">
              <a:extLst>
                <a:ext uri="{FF2B5EF4-FFF2-40B4-BE49-F238E27FC236}">
                  <a16:creationId xmlns:a16="http://schemas.microsoft.com/office/drawing/2014/main" id="{97CE9A1D-69E2-429E-BBE0-34ED0E632EF6}"/>
                </a:ext>
              </a:extLst>
            </xdr:cNvPr>
            <xdr:cNvSpPr txBox="1"/>
          </xdr:nvSpPr>
          <xdr:spPr>
            <a:xfrm>
              <a:off x="12641791" y="61139916"/>
              <a:ext cx="205316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𝑃𝐸𝑇= .293 Litros de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𝑃𝐸𝑇=</a:t>
              </a:r>
              <a:r>
                <a:rPr lang="es-MX" sz="1050">
                  <a:effectLst/>
                </a:rPr>
                <a:t> 293 Litros de gasolina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Fallback>
    </mc:AlternateContent>
    <xdr:clientData/>
  </xdr:oneCellAnchor>
  <xdr:twoCellAnchor editAs="oneCell">
    <xdr:from>
      <xdr:col>5</xdr:col>
      <xdr:colOff>105834</xdr:colOff>
      <xdr:row>51</xdr:row>
      <xdr:rowOff>74083</xdr:rowOff>
    </xdr:from>
    <xdr:to>
      <xdr:col>5</xdr:col>
      <xdr:colOff>520519</xdr:colOff>
      <xdr:row>51</xdr:row>
      <xdr:rowOff>488768</xdr:rowOff>
    </xdr:to>
    <xdr:pic>
      <xdr:nvPicPr>
        <xdr:cNvPr id="147" name="Imagen 146">
          <a:extLst>
            <a:ext uri="{FF2B5EF4-FFF2-40B4-BE49-F238E27FC236}">
              <a16:creationId xmlns:a16="http://schemas.microsoft.com/office/drawing/2014/main" id="{2D8CFEFC-63D5-4B1D-BD6E-1840E593F47F}"/>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8167" y="33094083"/>
          <a:ext cx="414685" cy="414685"/>
        </a:xfrm>
        <a:prstGeom prst="rect">
          <a:avLst/>
        </a:prstGeom>
      </xdr:spPr>
    </xdr:pic>
    <xdr:clientData/>
  </xdr:twoCellAnchor>
  <xdr:oneCellAnchor>
    <xdr:from>
      <xdr:col>9</xdr:col>
      <xdr:colOff>439209</xdr:colOff>
      <xdr:row>57</xdr:row>
      <xdr:rowOff>513292</xdr:rowOff>
    </xdr:from>
    <xdr:ext cx="1862666" cy="319511"/>
    <mc:AlternateContent xmlns:mc="http://schemas.openxmlformats.org/markup-compatibility/2006" xmlns:a14="http://schemas.microsoft.com/office/drawing/2010/main">
      <mc:Choice Requires="a14">
        <xdr:sp macro="" textlink="">
          <xdr:nvSpPr>
            <xdr:cNvPr id="151" name="CuadroTexto 150">
              <a:extLst>
                <a:ext uri="{FF2B5EF4-FFF2-40B4-BE49-F238E27FC236}">
                  <a16:creationId xmlns:a16="http://schemas.microsoft.com/office/drawing/2014/main" id="{E3D15689-0215-492A-BA28-F0F2A91AFDF3}"/>
                </a:ext>
              </a:extLst>
            </xdr:cNvPr>
            <xdr:cNvSpPr txBox="1"/>
          </xdr:nvSpPr>
          <xdr:spPr>
            <a:xfrm>
              <a:off x="10265834" y="626162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.7059</m:t>
                        </m:r>
                        <m:r>
                          <m:rPr>
                            <m:sty m:val="p"/>
                          </m:rPr>
                          <a:rPr lang="es-MX" sz="1000" b="0" i="0">
                            <a:solidFill>
                              <a:schemeClr val="tx1"/>
                            </a:solidFill>
                            <a:effectLst/>
                            <a:latin typeface="Cambria Math" panose="02040503050406030204" pitchFamily="18" charset="0"/>
                            <a:ea typeface="+mn-ea"/>
                            <a:cs typeface="+mn-cs"/>
                          </a:rPr>
                          <m:t>L</m:t>
                        </m:r>
                        <m:r>
                          <a:rPr lang="es-MX" sz="1000" b="0" i="0">
                            <a:solidFill>
                              <a:schemeClr val="tx1"/>
                            </a:solidFill>
                            <a:effectLst/>
                            <a:latin typeface="Cambria Math" panose="02040503050406030204" pitchFamily="18" charset="0"/>
                            <a:ea typeface="+mn-ea"/>
                            <a:cs typeface="+mn-cs"/>
                          </a:rPr>
                          <m:t>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?(.000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51" name="CuadroTexto 150">
              <a:extLst>
                <a:ext uri="{FF2B5EF4-FFF2-40B4-BE49-F238E27FC236}">
                  <a16:creationId xmlns:a16="http://schemas.microsoft.com/office/drawing/2014/main" id="{E3D15689-0215-492A-BA28-F0F2A91AFDF3}"/>
                </a:ext>
              </a:extLst>
            </xdr:cNvPr>
            <xdr:cNvSpPr txBox="1"/>
          </xdr:nvSpPr>
          <xdr:spPr>
            <a:xfrm>
              <a:off x="10265834" y="626162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)/(.7059L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𝑝𝑖𝑝𝑎)/(?(.000 ))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229152</xdr:colOff>
      <xdr:row>57</xdr:row>
      <xdr:rowOff>254000</xdr:rowOff>
    </xdr:from>
    <xdr:ext cx="2014009" cy="792076"/>
    <mc:AlternateContent xmlns:mc="http://schemas.openxmlformats.org/markup-compatibility/2006" xmlns:a14="http://schemas.microsoft.com/office/drawing/2010/main">
      <mc:Choice Requires="a14">
        <xdr:sp macro="" textlink="">
          <xdr:nvSpPr>
            <xdr:cNvPr id="153" name="CuadroTexto 152">
              <a:extLst>
                <a:ext uri="{FF2B5EF4-FFF2-40B4-BE49-F238E27FC236}">
                  <a16:creationId xmlns:a16="http://schemas.microsoft.com/office/drawing/2014/main" id="{E960B705-34D0-4609-8C9A-3872E8E651A0}"/>
                </a:ext>
              </a:extLst>
            </xdr:cNvPr>
            <xdr:cNvSpPr txBox="1"/>
          </xdr:nvSpPr>
          <xdr:spPr>
            <a:xfrm>
              <a:off x="12611652" y="62357000"/>
              <a:ext cx="2014009"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0 </m:t>
                    </m:r>
                    <m:r>
                      <m:rPr>
                        <m:sty m:val="p"/>
                      </m:rPr>
                      <a:rPr lang="es-MX" sz="1100" b="0" i="0">
                        <a:solidFill>
                          <a:schemeClr val="tx1"/>
                        </a:solidFill>
                        <a:effectLst/>
                        <a:latin typeface="Cambria Math" panose="02040503050406030204" pitchFamily="18" charset="0"/>
                        <a:ea typeface="+mn-ea"/>
                        <a:cs typeface="+mn-cs"/>
                      </a:rPr>
                      <m:t>Pipas</m:t>
                    </m:r>
                    <m:r>
                      <a:rPr lang="es-MX" sz="1100" b="0" i="0">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r>
                      <a:rPr lang="es-MX" sz="1000" b="0" i="0">
                        <a:latin typeface="Cambria Math" panose="02040503050406030204" pitchFamily="18" charset="0"/>
                      </a:rPr>
                      <m:t>. 0353 </m:t>
                    </m:r>
                    <m:r>
                      <m:rPr>
                        <m:sty m:val="p"/>
                      </m:rPr>
                      <a:rPr lang="es-MX" sz="1000" b="0" i="0">
                        <a:latin typeface="Cambria Math" panose="02040503050406030204" pitchFamily="18" charset="0"/>
                      </a:rPr>
                      <m:t>Pipas</m:t>
                    </m:r>
                  </m:oMath>
                </m:oMathPara>
              </a14:m>
              <a:endParaRPr lang="es-MX" sz="1000" b="0"/>
            </a:p>
            <a:p>
              <a:endParaRPr lang="es-MX" sz="1000" b="0"/>
            </a:p>
            <a:p>
              <a:endParaRPr lang="es-MX" sz="1000" b="0"/>
            </a:p>
          </xdr:txBody>
        </xdr:sp>
      </mc:Choice>
      <mc:Fallback xmlns="">
        <xdr:sp macro="" textlink="">
          <xdr:nvSpPr>
            <xdr:cNvPr id="153" name="CuadroTexto 152">
              <a:extLst>
                <a:ext uri="{FF2B5EF4-FFF2-40B4-BE49-F238E27FC236}">
                  <a16:creationId xmlns:a16="http://schemas.microsoft.com/office/drawing/2014/main" id="{E960B705-34D0-4609-8C9A-3872E8E651A0}"/>
                </a:ext>
              </a:extLst>
            </xdr:cNvPr>
            <xdr:cNvSpPr txBox="1"/>
          </xdr:nvSpPr>
          <xdr:spPr>
            <a:xfrm>
              <a:off x="12611652" y="62357000"/>
              <a:ext cx="2014009"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𝑘𝑔 𝑃𝐸𝑇=0 Pipas </a:t>
              </a:r>
              <a:endParaRPr lang="es-MX" sz="1000">
                <a:effectLst/>
              </a:endParaRPr>
            </a:p>
            <a:p>
              <a:endParaRPr lang="es-MX" sz="1000" b="0" i="1">
                <a:latin typeface="Cambria Math" panose="02040503050406030204" pitchFamily="18" charset="0"/>
              </a:endParaRPr>
            </a:p>
            <a:p>
              <a:pPr/>
              <a:r>
                <a:rPr lang="es-MX" sz="1000" b="0" i="0">
                  <a:latin typeface="Cambria Math" panose="02040503050406030204" pitchFamily="18" charset="0"/>
                </a:rPr>
                <a:t>1 𝑇𝑜𝑛 𝑃𝐸𝑇=. 0353 Pipas</a:t>
              </a:r>
              <a:endParaRPr lang="es-MX" sz="1000" b="0"/>
            </a:p>
            <a:p>
              <a:endParaRPr lang="es-MX" sz="1000" b="0"/>
            </a:p>
            <a:p>
              <a:endParaRPr lang="es-MX" sz="1000" b="0"/>
            </a:p>
          </xdr:txBody>
        </xdr:sp>
      </mc:Fallback>
    </mc:AlternateContent>
    <xdr:clientData/>
  </xdr:oneCellAnchor>
  <xdr:twoCellAnchor editAs="oneCell">
    <xdr:from>
      <xdr:col>12</xdr:col>
      <xdr:colOff>1131358</xdr:colOff>
      <xdr:row>57</xdr:row>
      <xdr:rowOff>255602</xdr:rowOff>
    </xdr:from>
    <xdr:to>
      <xdr:col>12</xdr:col>
      <xdr:colOff>1543050</xdr:colOff>
      <xdr:row>57</xdr:row>
      <xdr:rowOff>665692</xdr:rowOff>
    </xdr:to>
    <xdr:pic>
      <xdr:nvPicPr>
        <xdr:cNvPr id="155" name="Gráfico 154" descr="Inalámbrico">
          <a:hlinkClick xmlns:r="http://schemas.openxmlformats.org/officeDocument/2006/relationships" r:id="rId41"/>
          <a:extLst>
            <a:ext uri="{FF2B5EF4-FFF2-40B4-BE49-F238E27FC236}">
              <a16:creationId xmlns:a16="http://schemas.microsoft.com/office/drawing/2014/main" id="{A01E4129-EF9B-4F74-BE93-16B5D0D9E74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80808" y="61939502"/>
          <a:ext cx="411692" cy="410090"/>
        </a:xfrm>
        <a:prstGeom prst="rect">
          <a:avLst/>
        </a:prstGeom>
      </xdr:spPr>
    </xdr:pic>
    <xdr:clientData/>
  </xdr:twoCellAnchor>
  <xdr:oneCellAnchor>
    <xdr:from>
      <xdr:col>9</xdr:col>
      <xdr:colOff>201083</xdr:colOff>
      <xdr:row>58</xdr:row>
      <xdr:rowOff>545041</xdr:rowOff>
    </xdr:from>
    <xdr:ext cx="1795992" cy="319511"/>
    <mc:AlternateContent xmlns:mc="http://schemas.openxmlformats.org/markup-compatibility/2006" xmlns:a14="http://schemas.microsoft.com/office/drawing/2010/main">
      <mc:Choice Requires="a14">
        <xdr:sp macro="" textlink="">
          <xdr:nvSpPr>
            <xdr:cNvPr id="165" name="CuadroTexto 164">
              <a:extLst>
                <a:ext uri="{FF2B5EF4-FFF2-40B4-BE49-F238E27FC236}">
                  <a16:creationId xmlns:a16="http://schemas.microsoft.com/office/drawing/2014/main" id="{EFF07757-4C83-49EE-9565-1466804FF527}"/>
                </a:ext>
              </a:extLst>
            </xdr:cNvPr>
            <xdr:cNvSpPr txBox="1"/>
          </xdr:nvSpPr>
          <xdr:spPr>
            <a:xfrm>
              <a:off x="10027708" y="64060916"/>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.293</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5.887)</m:t>
                        </m:r>
                      </m:den>
                    </m:f>
                    <m:r>
                      <a:rPr lang="es-MX" sz="1000" b="0" i="1">
                        <a:latin typeface="Cambria Math" panose="02040503050406030204" pitchFamily="18" charset="0"/>
                      </a:rPr>
                      <m:t> </m:t>
                    </m:r>
                  </m:oMath>
                </m:oMathPara>
              </a14:m>
              <a:endParaRPr lang="es-MX" sz="1000"/>
            </a:p>
          </xdr:txBody>
        </xdr:sp>
      </mc:Choice>
      <mc:Fallback xmlns="">
        <xdr:sp macro="" textlink="">
          <xdr:nvSpPr>
            <xdr:cNvPr id="165" name="CuadroTexto 164">
              <a:extLst>
                <a:ext uri="{FF2B5EF4-FFF2-40B4-BE49-F238E27FC236}">
                  <a16:creationId xmlns:a16="http://schemas.microsoft.com/office/drawing/2014/main" id="{EFF07757-4C83-49EE-9565-1466804FF527}"/>
                </a:ext>
              </a:extLst>
            </xdr:cNvPr>
            <xdr:cNvSpPr txBox="1"/>
          </xdr:nvSpPr>
          <xdr:spPr>
            <a:xfrm>
              <a:off x="10027708" y="64060916"/>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)/.293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𝑘𝑚)/(?( 5.887))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373592</xdr:colOff>
      <xdr:row>58</xdr:row>
      <xdr:rowOff>1146175</xdr:rowOff>
    </xdr:from>
    <xdr:ext cx="1418167" cy="319511"/>
    <mc:AlternateContent xmlns:mc="http://schemas.openxmlformats.org/markup-compatibility/2006" xmlns:a14="http://schemas.microsoft.com/office/drawing/2010/main">
      <mc:Choice Requires="a14">
        <xdr:sp macro="" textlink="">
          <xdr:nvSpPr>
            <xdr:cNvPr id="167" name="CuadroTexto 166">
              <a:extLst>
                <a:ext uri="{FF2B5EF4-FFF2-40B4-BE49-F238E27FC236}">
                  <a16:creationId xmlns:a16="http://schemas.microsoft.com/office/drawing/2014/main" id="{B02C658F-AAB7-40FA-A51D-6944533FB179}"/>
                </a:ext>
              </a:extLst>
            </xdr:cNvPr>
            <xdr:cNvSpPr txBox="1"/>
          </xdr:nvSpPr>
          <xdr:spPr>
            <a:xfrm>
              <a:off x="10200217" y="64662050"/>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110 </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5.886 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?(3. 210</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67" name="CuadroTexto 166">
              <a:extLst>
                <a:ext uri="{FF2B5EF4-FFF2-40B4-BE49-F238E27FC236}">
                  <a16:creationId xmlns:a16="http://schemas.microsoft.com/office/drawing/2014/main" id="{B02C658F-AAB7-40FA-A51D-6944533FB179}"/>
                </a:ext>
              </a:extLst>
            </xdr:cNvPr>
            <xdr:cNvSpPr txBox="1"/>
          </xdr:nvSpPr>
          <xdr:spPr>
            <a:xfrm>
              <a:off x="10200217" y="64662050"/>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 𝑘𝑚 )/(5.886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𝑚𝑖𝑛)/(?(3. 210))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271255</xdr:colOff>
      <xdr:row>58</xdr:row>
      <xdr:rowOff>416200</xdr:rowOff>
    </xdr:from>
    <xdr:ext cx="2053167" cy="994833"/>
    <mc:AlternateContent xmlns:mc="http://schemas.openxmlformats.org/markup-compatibility/2006" xmlns:a14="http://schemas.microsoft.com/office/drawing/2010/main">
      <mc:Choice Requires="a14">
        <xdr:sp macro="" textlink="">
          <xdr:nvSpPr>
            <xdr:cNvPr id="168" name="CuadroTexto 167">
              <a:extLst>
                <a:ext uri="{FF2B5EF4-FFF2-40B4-BE49-F238E27FC236}">
                  <a16:creationId xmlns:a16="http://schemas.microsoft.com/office/drawing/2014/main" id="{0EF2AD40-7838-4165-A58B-6BFD65743927}"/>
                </a:ext>
              </a:extLst>
            </xdr:cNvPr>
            <xdr:cNvSpPr txBox="1"/>
          </xdr:nvSpPr>
          <xdr:spPr>
            <a:xfrm>
              <a:off x="12653755" y="63932075"/>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5.887 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3.211 </m:t>
                    </m:r>
                    <m:r>
                      <m:rPr>
                        <m:sty m:val="p"/>
                      </m:rPr>
                      <a:rPr lang="es-MX" sz="1050" b="0" i="0">
                        <a:latin typeface="Cambria Math" panose="02040503050406030204" pitchFamily="18" charset="0"/>
                      </a:rPr>
                      <m:t>minutos</m:t>
                    </m:r>
                    <m:r>
                      <a:rPr lang="es-MX" sz="1050" b="0" i="0">
                        <a:latin typeface="Cambria Math" panose="02040503050406030204" pitchFamily="18" charset="0"/>
                      </a:rPr>
                      <m:t>  </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a14:m>
              <a:r>
                <a:rPr lang="es-MX" sz="1050">
                  <a:effectLst/>
                </a:rPr>
                <a:t> 5,887 km en coche o 3,211 minutos</a:t>
              </a:r>
              <a:endParaRPr lang="es-MX" sz="1100" b="0"/>
            </a:p>
          </xdr:txBody>
        </xdr:sp>
      </mc:Choice>
      <mc:Fallback xmlns="">
        <xdr:sp macro="" textlink="">
          <xdr:nvSpPr>
            <xdr:cNvPr id="168" name="CuadroTexto 167">
              <a:extLst>
                <a:ext uri="{FF2B5EF4-FFF2-40B4-BE49-F238E27FC236}">
                  <a16:creationId xmlns:a16="http://schemas.microsoft.com/office/drawing/2014/main" id="{0EF2AD40-7838-4165-A58B-6BFD65743927}"/>
                </a:ext>
              </a:extLst>
            </xdr:cNvPr>
            <xdr:cNvSpPr txBox="1"/>
          </xdr:nvSpPr>
          <xdr:spPr>
            <a:xfrm>
              <a:off x="12653755" y="63932075"/>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𝑃𝐸𝑇=5.887 km en coche o 3.211 minutos  </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𝑃𝐸𝑇=</a:t>
              </a:r>
              <a:r>
                <a:rPr lang="es-MX" sz="1050">
                  <a:effectLst/>
                </a:rPr>
                <a:t> 5,887 km en coche o 3,211 minutos</a:t>
              </a:r>
              <a:endParaRPr lang="es-MX" sz="1100" b="0"/>
            </a:p>
          </xdr:txBody>
        </xdr:sp>
      </mc:Fallback>
    </mc:AlternateContent>
    <xdr:clientData/>
  </xdr:oneCellAnchor>
  <xdr:oneCellAnchor>
    <xdr:from>
      <xdr:col>10</xdr:col>
      <xdr:colOff>337608</xdr:colOff>
      <xdr:row>59</xdr:row>
      <xdr:rowOff>307976</xdr:rowOff>
    </xdr:from>
    <xdr:ext cx="1852083" cy="829732"/>
    <mc:AlternateContent xmlns:mc="http://schemas.openxmlformats.org/markup-compatibility/2006" xmlns:a14="http://schemas.microsoft.com/office/drawing/2010/main">
      <mc:Choice Requires="a14">
        <xdr:sp macro="" textlink="">
          <xdr:nvSpPr>
            <xdr:cNvPr id="141" name="CuadroTexto 140">
              <a:extLst>
                <a:ext uri="{FF2B5EF4-FFF2-40B4-BE49-F238E27FC236}">
                  <a16:creationId xmlns:a16="http://schemas.microsoft.com/office/drawing/2014/main" id="{D052359C-4EAA-4F87-BB2D-8846FB554A6A}"/>
                </a:ext>
              </a:extLst>
            </xdr:cNvPr>
            <xdr:cNvSpPr txBox="1"/>
          </xdr:nvSpPr>
          <xdr:spPr>
            <a:xfrm>
              <a:off x="12720108" y="68268851"/>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oMath>
              </a14:m>
              <a:r>
                <a:rPr lang="es-MX" sz="1050" b="0" i="0">
                  <a:latin typeface="Cambria Math" panose="02040503050406030204" pitchFamily="18" charset="0"/>
                </a:rPr>
                <a:t>.007 tanques con gasolina</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a14:m>
              <a:r>
                <a:rPr lang="es-MX" sz="1050">
                  <a:effectLst/>
                </a:rPr>
                <a:t> 7.918</a:t>
              </a:r>
              <a:r>
                <a:rPr lang="es-MX" sz="1050" baseline="0">
                  <a:effectLst/>
                </a:rPr>
                <a:t> tanques con gasolina</a:t>
              </a:r>
              <a:endParaRPr lang="es-MX" sz="1100" b="0"/>
            </a:p>
          </xdr:txBody>
        </xdr:sp>
      </mc:Choice>
      <mc:Fallback xmlns="">
        <xdr:sp macro="" textlink="">
          <xdr:nvSpPr>
            <xdr:cNvPr id="141" name="CuadroTexto 140">
              <a:extLst>
                <a:ext uri="{FF2B5EF4-FFF2-40B4-BE49-F238E27FC236}">
                  <a16:creationId xmlns:a16="http://schemas.microsoft.com/office/drawing/2014/main" id="{D052359C-4EAA-4F87-BB2D-8846FB554A6A}"/>
                </a:ext>
              </a:extLst>
            </xdr:cNvPr>
            <xdr:cNvSpPr txBox="1"/>
          </xdr:nvSpPr>
          <xdr:spPr>
            <a:xfrm>
              <a:off x="12720108" y="68268851"/>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𝑃𝐸𝑇=.007 tanques con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𝑃𝐸𝑇=</a:t>
              </a:r>
              <a:r>
                <a:rPr lang="es-MX" sz="1050">
                  <a:effectLst/>
                </a:rPr>
                <a:t> 7.918</a:t>
              </a:r>
              <a:r>
                <a:rPr lang="es-MX" sz="1050" baseline="0">
                  <a:effectLst/>
                </a:rPr>
                <a:t> tanques con gasolina</a:t>
              </a:r>
              <a:endParaRPr lang="es-MX" sz="1100" b="0"/>
            </a:p>
          </xdr:txBody>
        </xdr:sp>
      </mc:Fallback>
    </mc:AlternateContent>
    <xdr:clientData/>
  </xdr:oneCellAnchor>
  <xdr:oneCellAnchor>
    <xdr:from>
      <xdr:col>9</xdr:col>
      <xdr:colOff>317500</xdr:colOff>
      <xdr:row>64</xdr:row>
      <xdr:rowOff>600605</xdr:rowOff>
    </xdr:from>
    <xdr:ext cx="2021415" cy="351443"/>
    <mc:AlternateContent xmlns:mc="http://schemas.openxmlformats.org/markup-compatibility/2006" xmlns:a14="http://schemas.microsoft.com/office/drawing/2010/main">
      <mc:Choice Requires="a14">
        <xdr:sp macro="" textlink="">
          <xdr:nvSpPr>
            <xdr:cNvPr id="145" name="CuadroTexto 144">
              <a:extLst>
                <a:ext uri="{FF2B5EF4-FFF2-40B4-BE49-F238E27FC236}">
                  <a16:creationId xmlns:a16="http://schemas.microsoft.com/office/drawing/2014/main" id="{C49496A2-C990-4B6D-BC2D-B309598AA657}"/>
                </a:ext>
              </a:extLst>
            </xdr:cNvPr>
            <xdr:cNvSpPr txBox="1"/>
          </xdr:nvSpPr>
          <xdr:spPr>
            <a:xfrm>
              <a:off x="10144125" y="73514480"/>
              <a:ext cx="2021415"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3320 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𝐶𝑂</m:t>
                        </m:r>
                        <m:r>
                          <a:rPr lang="es-MX" sz="1100" b="0" i="1">
                            <a:solidFill>
                              <a:schemeClr val="tx1"/>
                            </a:solidFill>
                            <a:effectLst/>
                            <a:latin typeface="Cambria Math" panose="02040503050406030204" pitchFamily="18" charset="0"/>
                            <a:ea typeface="+mn-ea"/>
                            <a:cs typeface="+mn-cs"/>
                          </a:rPr>
                          <m:t>2</m:t>
                        </m:r>
                      </m:num>
                      <m:den>
                        <m:r>
                          <a:rPr lang="es-MX" sz="1100" b="0" i="0">
                            <a:solidFill>
                              <a:schemeClr val="tx1"/>
                            </a:solidFill>
                            <a:effectLst/>
                            <a:latin typeface="Cambria Math" panose="02040503050406030204" pitchFamily="18" charset="0"/>
                            <a:ea typeface="+mn-ea"/>
                            <a:cs typeface="+mn-cs"/>
                          </a:rPr>
                          <m:t>?( 3.32)</m:t>
                        </m:r>
                      </m:den>
                    </m:f>
                    <m:r>
                      <a:rPr lang="es-MX" sz="1600" b="0" i="1">
                        <a:latin typeface="Cambria Math" panose="02040503050406030204" pitchFamily="18" charset="0"/>
                      </a:rPr>
                      <m:t> </m:t>
                    </m:r>
                  </m:oMath>
                </m:oMathPara>
              </a14:m>
              <a:endParaRPr lang="es-MX" sz="1600"/>
            </a:p>
          </xdr:txBody>
        </xdr:sp>
      </mc:Choice>
      <mc:Fallback xmlns="">
        <xdr:sp macro="" textlink="">
          <xdr:nvSpPr>
            <xdr:cNvPr id="145" name="CuadroTexto 144">
              <a:extLst>
                <a:ext uri="{FF2B5EF4-FFF2-40B4-BE49-F238E27FC236}">
                  <a16:creationId xmlns:a16="http://schemas.microsoft.com/office/drawing/2014/main" id="{C49496A2-C990-4B6D-BC2D-B309598AA657}"/>
                </a:ext>
              </a:extLst>
            </xdr:cNvPr>
            <xdr:cNvSpPr txBox="1"/>
          </xdr:nvSpPr>
          <xdr:spPr>
            <a:xfrm>
              <a:off x="10144125" y="73514480"/>
              <a:ext cx="2021415"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𝑃𝐸𝑇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3320 𝑘𝑔 𝐶𝑂2)/(?( 3.32))</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232833</xdr:colOff>
      <xdr:row>64</xdr:row>
      <xdr:rowOff>429683</xdr:rowOff>
    </xdr:from>
    <xdr:ext cx="1610784" cy="628650"/>
    <mc:AlternateContent xmlns:mc="http://schemas.openxmlformats.org/markup-compatibility/2006" xmlns:a14="http://schemas.microsoft.com/office/drawing/2010/main">
      <mc:Choice Requires="a14">
        <xdr:sp macro="" textlink="">
          <xdr:nvSpPr>
            <xdr:cNvPr id="146" name="CuadroTexto 145">
              <a:extLst>
                <a:ext uri="{FF2B5EF4-FFF2-40B4-BE49-F238E27FC236}">
                  <a16:creationId xmlns:a16="http://schemas.microsoft.com/office/drawing/2014/main" id="{E37D3EB8-EE64-49FE-9DA9-559812924E80}"/>
                </a:ext>
              </a:extLst>
            </xdr:cNvPr>
            <xdr:cNvSpPr txBox="1"/>
          </xdr:nvSpPr>
          <xdr:spPr>
            <a:xfrm>
              <a:off x="10922000" y="44414016"/>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3.32</m:t>
                  </m:r>
                </m:oMath>
              </a14:m>
              <a:r>
                <a:rPr lang="es-MX" sz="1050" b="0" i="0">
                  <a:latin typeface="Cambria Math" panose="02040503050406030204" pitchFamily="18" charset="0"/>
                </a:rPr>
                <a:t>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3,320 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46" name="CuadroTexto 145">
              <a:extLst>
                <a:ext uri="{FF2B5EF4-FFF2-40B4-BE49-F238E27FC236}">
                  <a16:creationId xmlns:a16="http://schemas.microsoft.com/office/drawing/2014/main" id="{E37D3EB8-EE64-49FE-9DA9-559812924E80}"/>
                </a:ext>
              </a:extLst>
            </xdr:cNvPr>
            <xdr:cNvSpPr txBox="1"/>
          </xdr:nvSpPr>
          <xdr:spPr>
            <a:xfrm>
              <a:off x="10922000" y="44414016"/>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𝑃𝐸𝑇=3.32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𝑃𝐸𝑇=3,320 </a:t>
              </a:r>
              <a:r>
                <a:rPr lang="es-MX" sz="1100" b="0" i="0">
                  <a:solidFill>
                    <a:schemeClr val="tx1"/>
                  </a:solidFill>
                  <a:effectLst/>
                  <a:latin typeface="Cambria Math" panose="02040503050406030204" pitchFamily="18" charset="0"/>
                  <a:ea typeface="+mn-ea"/>
                  <a:cs typeface="+mn-cs"/>
                </a:rPr>
                <a:t>"kg CO2</a:t>
              </a:r>
              <a:r>
                <a:rPr lang="es-MX" sz="1100" b="0" i="0">
                  <a:solidFill>
                    <a:schemeClr val="tx1"/>
                  </a:solidFill>
                  <a:effectLst/>
                  <a:latin typeface="+mn-lt"/>
                  <a:ea typeface="+mn-ea"/>
                  <a:cs typeface="+mn-cs"/>
                </a:rPr>
                <a:t>"</a:t>
              </a:r>
              <a:endParaRPr lang="es-MX" sz="1050">
                <a:effectLst/>
              </a:endParaRPr>
            </a:p>
            <a:p>
              <a:pP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174137</xdr:colOff>
      <xdr:row>65</xdr:row>
      <xdr:rowOff>373690</xdr:rowOff>
    </xdr:from>
    <xdr:ext cx="1590255" cy="172227"/>
    <mc:AlternateContent xmlns:mc="http://schemas.openxmlformats.org/markup-compatibility/2006" xmlns:a14="http://schemas.microsoft.com/office/drawing/2010/main">
      <mc:Choice Requires="a14">
        <xdr:sp macro="" textlink="">
          <xdr:nvSpPr>
            <xdr:cNvPr id="173" name="CuadroTexto 172">
              <a:extLst>
                <a:ext uri="{FF2B5EF4-FFF2-40B4-BE49-F238E27FC236}">
                  <a16:creationId xmlns:a16="http://schemas.microsoft.com/office/drawing/2014/main" id="{D2A6D410-213F-474E-ABDB-FD454B41910D}"/>
                </a:ext>
              </a:extLst>
            </xdr:cNvPr>
            <xdr:cNvSpPr txBox="1"/>
          </xdr:nvSpPr>
          <xdr:spPr>
            <a:xfrm>
              <a:off x="7042720" y="45755023"/>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a:t>
              </a:r>
              <a:r>
                <a:rPr lang="es-MX" sz="1100" baseline="0"/>
                <a:t> A </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𝑃𝑣</m:t>
                  </m:r>
                  <m:r>
                    <a:rPr lang="es-MX" sz="1100" b="0" i="1">
                      <a:latin typeface="Cambria Math" panose="02040503050406030204" pitchFamily="18" charset="0"/>
                    </a:rPr>
                    <m:t> −</m:t>
                  </m:r>
                  <m:r>
                    <a:rPr lang="es-MX" sz="1100" b="0" i="1">
                      <a:latin typeface="Cambria Math" panose="02040503050406030204" pitchFamily="18" charset="0"/>
                    </a:rPr>
                    <m:t>𝑃𝑟</m:t>
                  </m:r>
                  <m:r>
                    <a:rPr lang="es-MX" sz="1100" b="0" i="1">
                      <a:latin typeface="Cambria Math" panose="02040503050406030204" pitchFamily="18" charset="0"/>
                    </a:rPr>
                    <m:t> </m:t>
                  </m:r>
                </m:oMath>
              </a14:m>
              <a:endParaRPr lang="es-MX" sz="1100"/>
            </a:p>
          </xdr:txBody>
        </xdr:sp>
      </mc:Choice>
      <mc:Fallback xmlns="">
        <xdr:sp macro="" textlink="">
          <xdr:nvSpPr>
            <xdr:cNvPr id="173" name="CuadroTexto 172">
              <a:extLst>
                <a:ext uri="{FF2B5EF4-FFF2-40B4-BE49-F238E27FC236}">
                  <a16:creationId xmlns:a16="http://schemas.microsoft.com/office/drawing/2014/main" id="{D2A6D410-213F-474E-ABDB-FD454B41910D}"/>
                </a:ext>
              </a:extLst>
            </xdr:cNvPr>
            <xdr:cNvSpPr txBox="1"/>
          </xdr:nvSpPr>
          <xdr:spPr>
            <a:xfrm>
              <a:off x="7042720" y="45755023"/>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a:t>
              </a:r>
              <a:r>
                <a:rPr lang="es-MX" sz="1100" baseline="0"/>
                <a:t> A </a:t>
              </a:r>
              <a:r>
                <a:rPr lang="es-MX" sz="1100" i="0">
                  <a:latin typeface="Cambria Math" panose="02040503050406030204" pitchFamily="18" charset="0"/>
                </a:rPr>
                <a:t>=</a:t>
              </a:r>
              <a:r>
                <a:rPr lang="es-MX" sz="1100" b="0" i="0">
                  <a:latin typeface="Cambria Math" panose="02040503050406030204" pitchFamily="18" charset="0"/>
                </a:rPr>
                <a:t>𝑃𝑣 −𝑃𝑟 </a:t>
              </a:r>
              <a:endParaRPr lang="es-MX" sz="1100"/>
            </a:p>
          </xdr:txBody>
        </xdr:sp>
      </mc:Fallback>
    </mc:AlternateContent>
    <xdr:clientData/>
  </xdr:oneCellAnchor>
  <xdr:oneCellAnchor>
    <xdr:from>
      <xdr:col>8</xdr:col>
      <xdr:colOff>152400</xdr:colOff>
      <xdr:row>65</xdr:row>
      <xdr:rowOff>986366</xdr:rowOff>
    </xdr:from>
    <xdr:ext cx="1622239" cy="375680"/>
    <mc:AlternateContent xmlns:mc="http://schemas.openxmlformats.org/markup-compatibility/2006" xmlns:a14="http://schemas.microsoft.com/office/drawing/2010/main">
      <mc:Choice Requires="a14">
        <xdr:sp macro="" textlink="">
          <xdr:nvSpPr>
            <xdr:cNvPr id="174" name="CuadroTexto 173">
              <a:extLst>
                <a:ext uri="{FF2B5EF4-FFF2-40B4-BE49-F238E27FC236}">
                  <a16:creationId xmlns:a16="http://schemas.microsoft.com/office/drawing/2014/main" id="{8656EB22-E23C-4DEF-B210-3235DC3272DC}"/>
                </a:ext>
              </a:extLst>
            </xdr:cNvPr>
            <xdr:cNvSpPr txBox="1"/>
          </xdr:nvSpPr>
          <xdr:spPr>
            <a:xfrm>
              <a:off x="7020983" y="46367699"/>
              <a:ext cx="1622239"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Pv representa</a:t>
              </a:r>
              <a:r>
                <a:rPr lang="es-MX" sz="800" b="0" baseline="0"/>
                <a:t> emisión de PET virgen</a:t>
              </a:r>
            </a:p>
            <a:p>
              <a:r>
                <a:rPr lang="es-MX" sz="800" b="0" baseline="0"/>
                <a:t>Er representa emisión de PET reciclado</a:t>
              </a:r>
              <a:endParaRPr lang="es-MX" sz="800" b="0"/>
            </a:p>
          </xdr:txBody>
        </xdr:sp>
      </mc:Choice>
      <mc:Fallback xmlns="">
        <xdr:sp macro="" textlink="">
          <xdr:nvSpPr>
            <xdr:cNvPr id="174" name="CuadroTexto 173">
              <a:extLst>
                <a:ext uri="{FF2B5EF4-FFF2-40B4-BE49-F238E27FC236}">
                  <a16:creationId xmlns:a16="http://schemas.microsoft.com/office/drawing/2014/main" id="{8656EB22-E23C-4DEF-B210-3235DC3272DC}"/>
                </a:ext>
              </a:extLst>
            </xdr:cNvPr>
            <xdr:cNvSpPr txBox="1"/>
          </xdr:nvSpPr>
          <xdr:spPr>
            <a:xfrm>
              <a:off x="7020983" y="46367699"/>
              <a:ext cx="1622239"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Pv representa</a:t>
              </a:r>
              <a:r>
                <a:rPr lang="es-MX" sz="800" b="0" baseline="0"/>
                <a:t> emisión de PET virgen</a:t>
              </a:r>
            </a:p>
            <a:p>
              <a:r>
                <a:rPr lang="es-MX" sz="800" b="0" baseline="0"/>
                <a:t>Er representa emisión de PET reciclado</a:t>
              </a:r>
              <a:endParaRPr lang="es-MX" sz="800" b="0"/>
            </a:p>
          </xdr:txBody>
        </xdr:sp>
      </mc:Fallback>
    </mc:AlternateContent>
    <xdr:clientData/>
  </xdr:oneCellAnchor>
  <xdr:oneCellAnchor>
    <xdr:from>
      <xdr:col>9</xdr:col>
      <xdr:colOff>354542</xdr:colOff>
      <xdr:row>65</xdr:row>
      <xdr:rowOff>478365</xdr:rowOff>
    </xdr:from>
    <xdr:ext cx="1655233" cy="196336"/>
    <mc:AlternateContent xmlns:mc="http://schemas.openxmlformats.org/markup-compatibility/2006" xmlns:a14="http://schemas.microsoft.com/office/drawing/2010/main">
      <mc:Choice Requires="a14">
        <xdr:sp macro="" textlink="">
          <xdr:nvSpPr>
            <xdr:cNvPr id="176" name="CuadroTexto 175">
              <a:extLst>
                <a:ext uri="{FF2B5EF4-FFF2-40B4-BE49-F238E27FC236}">
                  <a16:creationId xmlns:a16="http://schemas.microsoft.com/office/drawing/2014/main" id="{941F8562-EECD-4E56-BC20-1C6A1AB51373}"/>
                </a:ext>
              </a:extLst>
            </xdr:cNvPr>
            <xdr:cNvSpPr txBox="1"/>
          </xdr:nvSpPr>
          <xdr:spPr>
            <a:xfrm>
              <a:off x="10181167" y="7478924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14:m>
                <m:oMath xmlns:m="http://schemas.openxmlformats.org/officeDocument/2006/math">
                  <m:r>
                    <a:rPr lang="es-MX" sz="800" i="1">
                      <a:latin typeface="Cambria Math" panose="02040503050406030204" pitchFamily="18" charset="0"/>
                    </a:rPr>
                    <m:t>=</m:t>
                  </m:r>
                  <m:r>
                    <a:rPr lang="es-MX" sz="800" b="0" i="0">
                      <a:latin typeface="Cambria Math" panose="02040503050406030204" pitchFamily="18" charset="0"/>
                    </a:rPr>
                    <m:t>2</m:t>
                  </m:r>
                  <m:r>
                    <a:rPr lang="es-MX" sz="800" b="0" i="0">
                      <a:solidFill>
                        <a:schemeClr val="tx1"/>
                      </a:solidFill>
                      <a:effectLst/>
                      <a:latin typeface="Cambria Math" panose="02040503050406030204" pitchFamily="18" charset="0"/>
                      <a:ea typeface="+mn-ea"/>
                      <a:cs typeface="+mn-cs"/>
                    </a:rPr>
                    <m:t>.538</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m:t>
                      </m:r>
                      <m:r>
                        <a:rPr lang="es-MX" sz="800" b="0" i="1">
                          <a:solidFill>
                            <a:schemeClr val="tx1"/>
                          </a:solidFill>
                          <a:effectLst/>
                          <a:latin typeface="Cambria Math" panose="02040503050406030204" pitchFamily="18" charset="0"/>
                          <a:ea typeface="+mn-ea"/>
                          <a:cs typeface="+mn-cs"/>
                        </a:rPr>
                        <m:t>𝑔𝐶𝑂</m:t>
                      </m:r>
                      <m:r>
                        <a:rPr lang="es-MX" sz="800" b="0" i="1">
                          <a:solidFill>
                            <a:schemeClr val="tx1"/>
                          </a:solidFill>
                          <a:effectLst/>
                          <a:latin typeface="Cambria Math" panose="02040503050406030204" pitchFamily="18" charset="0"/>
                          <a:ea typeface="+mn-ea"/>
                          <a:cs typeface="+mn-cs"/>
                        </a:rPr>
                        <m:t>2</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.183</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oMath>
              </a14:m>
              <a:endParaRPr lang="es-MX" sz="800"/>
            </a:p>
          </xdr:txBody>
        </xdr:sp>
      </mc:Choice>
      <mc:Fallback xmlns="">
        <xdr:sp macro="" textlink="">
          <xdr:nvSpPr>
            <xdr:cNvPr id="176" name="CuadroTexto 175">
              <a:extLst>
                <a:ext uri="{FF2B5EF4-FFF2-40B4-BE49-F238E27FC236}">
                  <a16:creationId xmlns:a16="http://schemas.microsoft.com/office/drawing/2014/main" id="{941F8562-EECD-4E56-BC20-1C6A1AB51373}"/>
                </a:ext>
              </a:extLst>
            </xdr:cNvPr>
            <xdr:cNvSpPr txBox="1"/>
          </xdr:nvSpPr>
          <xdr:spPr>
            <a:xfrm>
              <a:off x="10181167" y="7478924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r>
                <a:rPr lang="es-MX" sz="800" i="0">
                  <a:latin typeface="Cambria Math" panose="02040503050406030204" pitchFamily="18" charset="0"/>
                </a:rPr>
                <a:t>=</a:t>
              </a:r>
              <a:r>
                <a:rPr lang="es-MX" sz="800" b="0" i="0">
                  <a:latin typeface="Cambria Math" panose="02040503050406030204" pitchFamily="18" charset="0"/>
                </a:rPr>
                <a:t>2</a:t>
              </a:r>
              <a:r>
                <a:rPr lang="es-MX" sz="800" b="0" i="0">
                  <a:solidFill>
                    <a:schemeClr val="tx1"/>
                  </a:solidFill>
                  <a:effectLst/>
                  <a:latin typeface="Cambria Math" panose="02040503050406030204" pitchFamily="18" charset="0"/>
                  <a:ea typeface="+mn-ea"/>
                  <a:cs typeface="+mn-cs"/>
                </a:rPr>
                <a:t>.538 k𝑔𝐶𝑂2/kg </a:t>
              </a:r>
              <a:r>
                <a:rPr lang="es-MX" sz="800" b="0" i="0">
                  <a:latin typeface="Cambria Math" panose="02040503050406030204" pitchFamily="18" charset="0"/>
                </a:rPr>
                <a:t> −.183</a:t>
              </a:r>
              <a:r>
                <a:rPr lang="es-MX" sz="800" b="0" i="0">
                  <a:solidFill>
                    <a:schemeClr val="tx1"/>
                  </a:solidFill>
                  <a:effectLst/>
                  <a:latin typeface="Cambria Math" panose="02040503050406030204" pitchFamily="18" charset="0"/>
                  <a:ea typeface="+mn-ea"/>
                  <a:cs typeface="+mn-cs"/>
                </a:rPr>
                <a:t> kgCO2/kg </a:t>
              </a:r>
              <a:r>
                <a:rPr lang="es-MX" sz="800" b="0" i="0">
                  <a:latin typeface="Cambria Math" panose="02040503050406030204" pitchFamily="18" charset="0"/>
                </a:rPr>
                <a:t> </a:t>
              </a:r>
              <a:endParaRPr lang="es-MX" sz="800"/>
            </a:p>
          </xdr:txBody>
        </xdr:sp>
      </mc:Fallback>
    </mc:AlternateContent>
    <xdr:clientData/>
  </xdr:oneCellAnchor>
  <xdr:oneCellAnchor>
    <xdr:from>
      <xdr:col>12</xdr:col>
      <xdr:colOff>1209675</xdr:colOff>
      <xdr:row>65</xdr:row>
      <xdr:rowOff>844551</xdr:rowOff>
    </xdr:from>
    <xdr:ext cx="371475" cy="371475"/>
    <xdr:pic>
      <xdr:nvPicPr>
        <xdr:cNvPr id="180" name="Gráfico 179" descr="Inalámbrico">
          <a:hlinkClick xmlns:r="http://schemas.openxmlformats.org/officeDocument/2006/relationships" r:id="rId42"/>
          <a:extLst>
            <a:ext uri="{FF2B5EF4-FFF2-40B4-BE49-F238E27FC236}">
              <a16:creationId xmlns:a16="http://schemas.microsoft.com/office/drawing/2014/main" id="{7E69AE93-2D82-491C-8CCE-8C7A16D912A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9125" y="74082276"/>
          <a:ext cx="371475" cy="371475"/>
        </a:xfrm>
        <a:prstGeom prst="rect">
          <a:avLst/>
        </a:prstGeom>
      </xdr:spPr>
    </xdr:pic>
    <xdr:clientData/>
  </xdr:oneCellAnchor>
  <xdr:oneCellAnchor>
    <xdr:from>
      <xdr:col>1</xdr:col>
      <xdr:colOff>52916</xdr:colOff>
      <xdr:row>65</xdr:row>
      <xdr:rowOff>402165</xdr:rowOff>
    </xdr:from>
    <xdr:ext cx="2518834" cy="656169"/>
    <mc:AlternateContent xmlns:mc="http://schemas.openxmlformats.org/markup-compatibility/2006" xmlns:a14="http://schemas.microsoft.com/office/drawing/2010/main">
      <mc:Choice Requires="a14">
        <xdr:sp macro="" textlink="">
          <xdr:nvSpPr>
            <xdr:cNvPr id="142" name="CuadroTexto 141">
              <a:extLst>
                <a:ext uri="{FF2B5EF4-FFF2-40B4-BE49-F238E27FC236}">
                  <a16:creationId xmlns:a16="http://schemas.microsoft.com/office/drawing/2014/main" id="{8C6084F1-002A-4668-81F8-E0B1480CA30F}"/>
                </a:ext>
              </a:extLst>
            </xdr:cNvPr>
            <xdr:cNvSpPr txBox="1"/>
          </xdr:nvSpPr>
          <xdr:spPr>
            <a:xfrm>
              <a:off x="772583" y="45783498"/>
              <a:ext cx="2518834" cy="6561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000" b="0" i="0">
                      <a:latin typeface="Cambria Math" panose="02040503050406030204" pitchFamily="18" charset="0"/>
                    </a:rPr>
                    <m:t>Emisi</m:t>
                  </m:r>
                  <m:r>
                    <a:rPr lang="es-MX" sz="1000" b="0" i="0">
                      <a:latin typeface="Cambria Math" panose="02040503050406030204" pitchFamily="18" charset="0"/>
                    </a:rPr>
                    <m:t>ó</m:t>
                  </m:r>
                  <m:r>
                    <m:rPr>
                      <m:sty m:val="p"/>
                    </m:rPr>
                    <a:rPr lang="es-MX" sz="1000" b="0" i="0">
                      <a:latin typeface="Cambria Math" panose="02040503050406030204" pitchFamily="18" charset="0"/>
                    </a:rPr>
                    <m:t>n</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CO</m:t>
                  </m:r>
                  <m:r>
                    <a:rPr lang="es-MX" sz="1000" b="0" i="0">
                      <a:latin typeface="Cambria Math" panose="02040503050406030204" pitchFamily="18" charset="0"/>
                    </a:rPr>
                    <m:t>2 </m:t>
                  </m:r>
                  <m:r>
                    <m:rPr>
                      <m:sty m:val="p"/>
                    </m:rPr>
                    <a:rPr lang="es-MX" sz="1000" b="0" i="0">
                      <a:latin typeface="Cambria Math" panose="02040503050406030204" pitchFamily="18" charset="0"/>
                    </a:rPr>
                    <m:t>con</m:t>
                  </m:r>
                  <m:r>
                    <a:rPr lang="es-MX" sz="1000" b="0" i="0">
                      <a:latin typeface="Cambria Math" panose="02040503050406030204" pitchFamily="18" charset="0"/>
                    </a:rPr>
                    <m:t> </m:t>
                  </m:r>
                  <m:r>
                    <m:rPr>
                      <m:sty m:val="p"/>
                    </m:rPr>
                    <a:rPr lang="es-MX" sz="1000" b="0" i="0">
                      <a:latin typeface="Cambria Math" panose="02040503050406030204" pitchFamily="18" charset="0"/>
                    </a:rPr>
                    <m:t>PET</m:t>
                  </m:r>
                  <m:r>
                    <a:rPr lang="es-MX" sz="1000" b="0" i="0">
                      <a:latin typeface="Cambria Math" panose="02040503050406030204" pitchFamily="18" charset="0"/>
                    </a:rPr>
                    <m:t> </m:t>
                  </m:r>
                  <m:r>
                    <m:rPr>
                      <m:sty m:val="p"/>
                    </m:rPr>
                    <a:rPr lang="es-MX" sz="1000" b="0" i="0">
                      <a:latin typeface="Cambria Math" panose="02040503050406030204" pitchFamily="18" charset="0"/>
                    </a:rPr>
                    <m:t>Virgen</m:t>
                  </m:r>
                  <m:r>
                    <a:rPr lang="es-MX" sz="1000" b="0" i="0">
                      <a:latin typeface="Cambria Math" panose="02040503050406030204" pitchFamily="18" charset="0"/>
                    </a:rPr>
                    <m:t> 2.</m:t>
                  </m:r>
                  <m:r>
                    <a:rPr lang="es-MX" sz="1000" b="0" i="1">
                      <a:latin typeface="Cambria Math" panose="02040503050406030204" pitchFamily="18" charset="0"/>
                    </a:rPr>
                    <m:t>538</m:t>
                  </m:r>
                  <m:f>
                    <m:fPr>
                      <m:ctrlPr>
                        <a:rPr lang="es-MX" sz="1000" i="1">
                          <a:latin typeface="Cambria Math" panose="02040503050406030204" pitchFamily="18" charset="0"/>
                        </a:rPr>
                      </m:ctrlPr>
                    </m:fPr>
                    <m:num>
                      <m:r>
                        <m:rPr>
                          <m:sty m:val="p"/>
                        </m:rPr>
                        <a:rPr lang="es-MX" sz="1000" b="0" i="0">
                          <a:latin typeface="Cambria Math" panose="02040503050406030204" pitchFamily="18" charset="0"/>
                        </a:rPr>
                        <m:t>kg</m:t>
                      </m:r>
                      <m:r>
                        <a:rPr lang="es-MX" sz="1000" b="0" i="1">
                          <a:latin typeface="Cambria Math" panose="02040503050406030204" pitchFamily="18" charset="0"/>
                        </a:rPr>
                        <m:t>𝐶𝑂</m:t>
                      </m:r>
                      <m:r>
                        <a:rPr lang="es-MX" sz="1000" b="0" i="1">
                          <a:latin typeface="Cambria Math" panose="02040503050406030204" pitchFamily="18" charset="0"/>
                        </a:rPr>
                        <m:t>2</m:t>
                      </m:r>
                    </m:num>
                    <m:den>
                      <m:r>
                        <m:rPr>
                          <m:sty m:val="p"/>
                        </m:rPr>
                        <a:rPr lang="es-MX" sz="1000" b="0" i="0">
                          <a:latin typeface="Cambria Math" panose="02040503050406030204" pitchFamily="18" charset="0"/>
                        </a:rPr>
                        <m:t>kg</m:t>
                      </m:r>
                    </m:den>
                  </m:f>
                </m:oMath>
              </a14:m>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Emisi</m:t>
                  </m:r>
                  <m:r>
                    <a:rPr lang="es-MX" sz="1000" b="0" i="0">
                      <a:solidFill>
                        <a:schemeClr val="tx1"/>
                      </a:solidFill>
                      <a:effectLst/>
                      <a:latin typeface="Cambria Math" panose="02040503050406030204" pitchFamily="18" charset="0"/>
                      <a:ea typeface="+mn-ea"/>
                      <a:cs typeface="+mn-cs"/>
                    </a:rPr>
                    <m:t>ó</m:t>
                  </m:r>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de</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CO</m:t>
                  </m:r>
                  <m:r>
                    <a:rPr lang="es-MX" sz="1000" b="0" i="0">
                      <a:solidFill>
                        <a:schemeClr val="tx1"/>
                      </a:solidFill>
                      <a:effectLst/>
                      <a:latin typeface="Cambria Math" panose="02040503050406030204" pitchFamily="18" charset="0"/>
                      <a:ea typeface="+mn-ea"/>
                      <a:cs typeface="+mn-cs"/>
                    </a:rPr>
                    <m:t>2 </m:t>
                  </m:r>
                  <m:r>
                    <m:rPr>
                      <m:sty m:val="p"/>
                    </m:rPr>
                    <a:rPr lang="es-MX" sz="1000" b="0" i="0">
                      <a:solidFill>
                        <a:schemeClr val="tx1"/>
                      </a:solidFill>
                      <a:effectLst/>
                      <a:latin typeface="Cambria Math" panose="02040503050406030204" pitchFamily="18" charset="0"/>
                      <a:ea typeface="+mn-ea"/>
                      <a:cs typeface="+mn-cs"/>
                    </a:rPr>
                    <m:t>con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PET</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Reciclado</m:t>
                  </m:r>
                  <m:r>
                    <a:rPr lang="es-MX" sz="1000" b="0" i="0">
                      <a:solidFill>
                        <a:schemeClr val="tx1"/>
                      </a:solidFill>
                      <a:effectLst/>
                      <a:latin typeface="Cambria Math" panose="02040503050406030204" pitchFamily="18" charset="0"/>
                      <a:ea typeface="+mn-ea"/>
                      <a:cs typeface="+mn-cs"/>
                    </a:rPr>
                    <m:t> . 183</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𝑘𝑔𝐶𝑂</m:t>
                      </m:r>
                      <m:r>
                        <a:rPr lang="es-MX" sz="1000" b="0" i="1">
                          <a:solidFill>
                            <a:schemeClr val="tx1"/>
                          </a:solidFill>
                          <a:effectLst/>
                          <a:latin typeface="Cambria Math" panose="02040503050406030204" pitchFamily="18" charset="0"/>
                          <a:ea typeface="+mn-ea"/>
                          <a:cs typeface="+mn-cs"/>
                        </a:rPr>
                        <m:t>2</m:t>
                      </m:r>
                    </m:num>
                    <m:den>
                      <m:r>
                        <m:rPr>
                          <m:sty m:val="p"/>
                        </m:rPr>
                        <a:rPr lang="es-MX" sz="1000" b="0" i="0">
                          <a:solidFill>
                            <a:schemeClr val="tx1"/>
                          </a:solidFill>
                          <a:effectLst/>
                          <a:latin typeface="Cambria Math" panose="02040503050406030204" pitchFamily="18" charset="0"/>
                          <a:ea typeface="+mn-ea"/>
                          <a:cs typeface="+mn-cs"/>
                        </a:rPr>
                        <m:t>kg</m:t>
                      </m:r>
                    </m:den>
                  </m:f>
                </m:oMath>
              </a14:m>
              <a:r>
                <a:rPr lang="es-MX" sz="1000" i="0">
                  <a:solidFill>
                    <a:schemeClr val="tx1"/>
                  </a:solidFill>
                  <a:effectLst/>
                  <a:latin typeface="+mn-lt"/>
                  <a:ea typeface="+mn-ea"/>
                  <a:cs typeface="Arial" panose="020B0604020202020204" pitchFamily="34" charset="0"/>
                </a:rPr>
                <a:t> </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142" name="CuadroTexto 141">
              <a:extLst>
                <a:ext uri="{FF2B5EF4-FFF2-40B4-BE49-F238E27FC236}">
                  <a16:creationId xmlns:a16="http://schemas.microsoft.com/office/drawing/2014/main" id="{8C6084F1-002A-4668-81F8-E0B1480CA30F}"/>
                </a:ext>
              </a:extLst>
            </xdr:cNvPr>
            <xdr:cNvSpPr txBox="1"/>
          </xdr:nvSpPr>
          <xdr:spPr>
            <a:xfrm>
              <a:off x="772583" y="45783498"/>
              <a:ext cx="2518834" cy="6561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Emisión de CO2 con PET Virgen 2.538 kg𝐶𝑂2/kg</a:t>
              </a:r>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mn-lt"/>
                  <a:ea typeface="+mn-ea"/>
                  <a:cs typeface="+mn-cs"/>
                </a:rPr>
                <a:t>Emisión de CO2 con PET </a:t>
              </a:r>
              <a:r>
                <a:rPr lang="es-MX" sz="1000" b="0" i="0">
                  <a:solidFill>
                    <a:schemeClr val="tx1"/>
                  </a:solidFill>
                  <a:effectLst/>
                  <a:latin typeface="Cambria Math" panose="02040503050406030204" pitchFamily="18" charset="0"/>
                  <a:ea typeface="+mn-ea"/>
                  <a:cs typeface="+mn-cs"/>
                </a:rPr>
                <a:t> Reciclado . 183 𝑘𝑔𝐶𝑂2/kg</a:t>
              </a:r>
              <a:r>
                <a:rPr lang="es-MX" sz="1000" i="0">
                  <a:solidFill>
                    <a:schemeClr val="tx1"/>
                  </a:solidFill>
                  <a:effectLst/>
                  <a:latin typeface="+mn-lt"/>
                  <a:ea typeface="+mn-ea"/>
                  <a:cs typeface="Arial" panose="020B0604020202020204" pitchFamily="34" charset="0"/>
                </a:rPr>
                <a:t> </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9</xdr:col>
      <xdr:colOff>359833</xdr:colOff>
      <xdr:row>68</xdr:row>
      <xdr:rowOff>349250</xdr:rowOff>
    </xdr:from>
    <xdr:ext cx="1589614" cy="287515"/>
    <mc:AlternateContent xmlns:mc="http://schemas.openxmlformats.org/markup-compatibility/2006" xmlns:a14="http://schemas.microsoft.com/office/drawing/2010/main">
      <mc:Choice Requires="a14">
        <xdr:sp macro="" textlink="">
          <xdr:nvSpPr>
            <xdr:cNvPr id="156" name="CuadroTexto 155">
              <a:extLst>
                <a:ext uri="{FF2B5EF4-FFF2-40B4-BE49-F238E27FC236}">
                  <a16:creationId xmlns:a16="http://schemas.microsoft.com/office/drawing/2014/main" id="{B287EC74-9481-4E5D-87B5-349147A193EE}"/>
                </a:ext>
              </a:extLst>
            </xdr:cNvPr>
            <xdr:cNvSpPr txBox="1"/>
          </xdr:nvSpPr>
          <xdr:spPr>
            <a:xfrm>
              <a:off x="10186458" y="774858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?(.779)</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2.4 </m:t>
                        </m:r>
                        <m:r>
                          <a:rPr lang="es-MX" sz="900" b="0" i="1">
                            <a:solidFill>
                              <a:schemeClr val="tx1"/>
                            </a:solidFill>
                            <a:effectLst/>
                            <a:latin typeface="Cambria Math" panose="02040503050406030204" pitchFamily="18" charset="0"/>
                            <a:ea typeface="+mn-ea"/>
                            <a:cs typeface="+mn-cs"/>
                          </a:rPr>
                          <m:t>𝑘𝑔𝐶𝑂</m:t>
                        </m:r>
                        <m:r>
                          <a:rPr lang="es-MX" sz="900" b="0" i="1">
                            <a:solidFill>
                              <a:schemeClr val="tx1"/>
                            </a:solidFill>
                            <a:effectLst/>
                            <a:latin typeface="Cambria Math" panose="02040503050406030204" pitchFamily="18" charset="0"/>
                            <a:ea typeface="+mn-ea"/>
                            <a:cs typeface="+mn-cs"/>
                          </a:rPr>
                          <m:t>2</m:t>
                        </m:r>
                      </m:num>
                      <m:den>
                        <m:r>
                          <a:rPr lang="es-MX" sz="900" b="0" i="0">
                            <a:solidFill>
                              <a:schemeClr val="tx1"/>
                            </a:solidFill>
                            <a:effectLst/>
                            <a:latin typeface="Cambria Math" panose="02040503050406030204" pitchFamily="18" charset="0"/>
                            <a:ea typeface="+mn-ea"/>
                            <a:cs typeface="+mn-cs"/>
                          </a:rPr>
                          <m:t>1.87</m:t>
                        </m:r>
                      </m:den>
                    </m:f>
                    <m:r>
                      <a:rPr lang="es-MX" sz="900" b="0" i="1">
                        <a:latin typeface="Cambria Math" panose="02040503050406030204" pitchFamily="18" charset="0"/>
                      </a:rPr>
                      <m:t> </m:t>
                    </m:r>
                  </m:oMath>
                </m:oMathPara>
              </a14:m>
              <a:endParaRPr lang="es-MX" sz="900"/>
            </a:p>
          </xdr:txBody>
        </xdr:sp>
      </mc:Choice>
      <mc:Fallback xmlns="">
        <xdr:sp macro="" textlink="">
          <xdr:nvSpPr>
            <xdr:cNvPr id="156" name="CuadroTexto 155">
              <a:extLst>
                <a:ext uri="{FF2B5EF4-FFF2-40B4-BE49-F238E27FC236}">
                  <a16:creationId xmlns:a16="http://schemas.microsoft.com/office/drawing/2014/main" id="{B287EC74-9481-4E5D-87B5-349147A193EE}"/>
                </a:ext>
              </a:extLst>
            </xdr:cNvPr>
            <xdr:cNvSpPr txBox="1"/>
          </xdr:nvSpPr>
          <xdr:spPr>
            <a:xfrm>
              <a:off x="10186458" y="774858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)/(?(.779))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2.4 𝑘𝑔𝐶𝑂2)/1.87 </a:t>
              </a:r>
              <a:r>
                <a:rPr lang="es-MX" sz="900" b="0" i="0">
                  <a:latin typeface="Cambria Math" panose="02040503050406030204" pitchFamily="18" charset="0"/>
                </a:rPr>
                <a:t> </a:t>
              </a:r>
              <a:endParaRPr lang="es-MX" sz="900"/>
            </a:p>
          </xdr:txBody>
        </xdr:sp>
      </mc:Fallback>
    </mc:AlternateContent>
    <xdr:clientData/>
  </xdr:oneCellAnchor>
  <xdr:oneCellAnchor>
    <xdr:from>
      <xdr:col>10</xdr:col>
      <xdr:colOff>140803</xdr:colOff>
      <xdr:row>68</xdr:row>
      <xdr:rowOff>405848</xdr:rowOff>
    </xdr:from>
    <xdr:ext cx="1797327" cy="628650"/>
    <mc:AlternateContent xmlns:mc="http://schemas.openxmlformats.org/markup-compatibility/2006" xmlns:a14="http://schemas.microsoft.com/office/drawing/2010/main">
      <mc:Choice Requires="a14">
        <xdr:sp macro="" textlink="">
          <xdr:nvSpPr>
            <xdr:cNvPr id="159" name="CuadroTexto 158">
              <a:extLst>
                <a:ext uri="{FF2B5EF4-FFF2-40B4-BE49-F238E27FC236}">
                  <a16:creationId xmlns:a16="http://schemas.microsoft.com/office/drawing/2014/main" id="{7EA1C799-0D0F-4D65-BF36-67E5A76F33D1}"/>
                </a:ext>
              </a:extLst>
            </xdr:cNvPr>
            <xdr:cNvSpPr txBox="1"/>
          </xdr:nvSpPr>
          <xdr:spPr>
            <a:xfrm>
              <a:off x="10808803" y="47202587"/>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.779</m:t>
                  </m:r>
                </m:oMath>
              </a14:m>
              <a:r>
                <a:rPr lang="es-MX" sz="1050" b="0" i="0">
                  <a:latin typeface="Cambria Math" panose="02040503050406030204" pitchFamily="18" charset="0"/>
                </a:rPr>
                <a:t>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779 </m:t>
                    </m:r>
                    <m:r>
                      <m:rPr>
                        <m:sty m:val="p"/>
                      </m:rPr>
                      <a:rPr lang="es-MX" sz="1050" b="0" i="0">
                        <a:solidFill>
                          <a:schemeClr val="tx1"/>
                        </a:solidFill>
                        <a:effectLst/>
                        <a:latin typeface="Cambria Math" panose="02040503050406030204" pitchFamily="18" charset="0"/>
                        <a:ea typeface="+mn-ea"/>
                        <a:cs typeface="+mn-cs"/>
                      </a:rPr>
                      <m:t>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gasolina</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59" name="CuadroTexto 158">
              <a:extLst>
                <a:ext uri="{FF2B5EF4-FFF2-40B4-BE49-F238E27FC236}">
                  <a16:creationId xmlns:a16="http://schemas.microsoft.com/office/drawing/2014/main" id="{7EA1C799-0D0F-4D65-BF36-67E5A76F33D1}"/>
                </a:ext>
              </a:extLst>
            </xdr:cNvPr>
            <xdr:cNvSpPr txBox="1"/>
          </xdr:nvSpPr>
          <xdr:spPr>
            <a:xfrm>
              <a:off x="10808803" y="47202587"/>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𝑃𝐸𝑇=.779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𝑃𝐸𝑇=779 L gasolina</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211667</xdr:colOff>
      <xdr:row>69</xdr:row>
      <xdr:rowOff>243416</xdr:rowOff>
    </xdr:from>
    <xdr:ext cx="1947333" cy="319511"/>
    <mc:AlternateContent xmlns:mc="http://schemas.openxmlformats.org/markup-compatibility/2006" xmlns:a14="http://schemas.microsoft.com/office/drawing/2010/main">
      <mc:Choice Requires="a14">
        <xdr:sp macro="" textlink="">
          <xdr:nvSpPr>
            <xdr:cNvPr id="170" name="CuadroTexto 169">
              <a:extLst>
                <a:ext uri="{FF2B5EF4-FFF2-40B4-BE49-F238E27FC236}">
                  <a16:creationId xmlns:a16="http://schemas.microsoft.com/office/drawing/2014/main" id="{68DE95DC-85FF-4742-AB4C-9C6D37FA2DCB}"/>
                </a:ext>
              </a:extLst>
            </xdr:cNvPr>
            <xdr:cNvSpPr txBox="1"/>
          </xdr:nvSpPr>
          <xdr:spPr>
            <a:xfrm>
              <a:off x="7609417" y="7879291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L</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70" name="CuadroTexto 169">
              <a:extLst>
                <a:ext uri="{FF2B5EF4-FFF2-40B4-BE49-F238E27FC236}">
                  <a16:creationId xmlns:a16="http://schemas.microsoft.com/office/drawing/2014/main" id="{68DE95DC-85FF-4742-AB4C-9C6D37FA2DCB}"/>
                </a:ext>
              </a:extLst>
            </xdr:cNvPr>
            <xdr:cNvSpPr txBox="1"/>
          </xdr:nvSpPr>
          <xdr:spPr>
            <a:xfrm>
              <a:off x="7609417" y="7879291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)/(n  L)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423333</xdr:colOff>
      <xdr:row>69</xdr:row>
      <xdr:rowOff>164041</xdr:rowOff>
    </xdr:from>
    <xdr:ext cx="1418167" cy="287515"/>
    <mc:AlternateContent xmlns:mc="http://schemas.openxmlformats.org/markup-compatibility/2006" xmlns:a14="http://schemas.microsoft.com/office/drawing/2010/main">
      <mc:Choice Requires="a14">
        <xdr:sp macro="" textlink="">
          <xdr:nvSpPr>
            <xdr:cNvPr id="171" name="CuadroTexto 170">
              <a:extLst>
                <a:ext uri="{FF2B5EF4-FFF2-40B4-BE49-F238E27FC236}">
                  <a16:creationId xmlns:a16="http://schemas.microsoft.com/office/drawing/2014/main" id="{3A5A6E66-065A-4A8A-A107-4862A01E2FD1}"/>
                </a:ext>
              </a:extLst>
            </xdr:cNvPr>
            <xdr:cNvSpPr txBox="1"/>
          </xdr:nvSpPr>
          <xdr:spPr>
            <a:xfrm>
              <a:off x="10249958" y="787135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0">
                            <a:solidFill>
                              <a:schemeClr val="tx1"/>
                            </a:solidFill>
                            <a:effectLst/>
                            <a:latin typeface="Cambria Math" panose="02040503050406030204" pitchFamily="18" charset="0"/>
                            <a:ea typeface="+mn-ea"/>
                            <a:cs typeface="+mn-cs"/>
                          </a:rPr>
                          <m:t>.779</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20.09 </m:t>
                        </m:r>
                        <m:r>
                          <a:rPr lang="es-MX" sz="900" b="0" i="1">
                            <a:solidFill>
                              <a:schemeClr val="tx1"/>
                            </a:solidFill>
                            <a:effectLst/>
                            <a:latin typeface="Cambria Math" panose="02040503050406030204" pitchFamily="18" charset="0"/>
                            <a:ea typeface="+mn-ea"/>
                            <a:cs typeface="+mn-cs"/>
                          </a:rPr>
                          <m:t>𝑘𝑚</m:t>
                        </m:r>
                      </m:num>
                      <m:den>
                        <m:r>
                          <a:rPr lang="es-MX" sz="900" b="0" i="0">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15.65)</m:t>
                        </m:r>
                      </m:den>
                    </m:f>
                    <m:r>
                      <a:rPr lang="es-MX" sz="900" b="0" i="1">
                        <a:latin typeface="Cambria Math" panose="02040503050406030204" pitchFamily="18" charset="0"/>
                      </a:rPr>
                      <m:t> </m:t>
                    </m:r>
                  </m:oMath>
                </m:oMathPara>
              </a14:m>
              <a:endParaRPr lang="es-MX" sz="900"/>
            </a:p>
          </xdr:txBody>
        </xdr:sp>
      </mc:Choice>
      <mc:Fallback xmlns="">
        <xdr:sp macro="" textlink="">
          <xdr:nvSpPr>
            <xdr:cNvPr id="171" name="CuadroTexto 170">
              <a:extLst>
                <a:ext uri="{FF2B5EF4-FFF2-40B4-BE49-F238E27FC236}">
                  <a16:creationId xmlns:a16="http://schemas.microsoft.com/office/drawing/2014/main" id="{3A5A6E66-065A-4A8A-A107-4862A01E2FD1}"/>
                </a:ext>
              </a:extLst>
            </xdr:cNvPr>
            <xdr:cNvSpPr txBox="1"/>
          </xdr:nvSpPr>
          <xdr:spPr>
            <a:xfrm>
              <a:off x="10249958" y="787135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)/.779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20.09 𝑘𝑚)/(?( 15.65)) </a:t>
              </a:r>
              <a:r>
                <a:rPr lang="es-MX" sz="900" b="0" i="0">
                  <a:latin typeface="Cambria Math" panose="02040503050406030204" pitchFamily="18" charset="0"/>
                </a:rPr>
                <a:t> </a:t>
              </a:r>
              <a:endParaRPr lang="es-MX" sz="900"/>
            </a:p>
          </xdr:txBody>
        </xdr:sp>
      </mc:Fallback>
    </mc:AlternateContent>
    <xdr:clientData/>
  </xdr:oneCellAnchor>
  <xdr:oneCellAnchor>
    <xdr:from>
      <xdr:col>8</xdr:col>
      <xdr:colOff>545042</xdr:colOff>
      <xdr:row>69</xdr:row>
      <xdr:rowOff>857250</xdr:rowOff>
    </xdr:from>
    <xdr:ext cx="1418167" cy="329770"/>
    <mc:AlternateContent xmlns:mc="http://schemas.openxmlformats.org/markup-compatibility/2006" xmlns:a14="http://schemas.microsoft.com/office/drawing/2010/main">
      <mc:Choice Requires="a14">
        <xdr:sp macro="" textlink="">
          <xdr:nvSpPr>
            <xdr:cNvPr id="172" name="CuadroTexto 171">
              <a:extLst>
                <a:ext uri="{FF2B5EF4-FFF2-40B4-BE49-F238E27FC236}">
                  <a16:creationId xmlns:a16="http://schemas.microsoft.com/office/drawing/2014/main" id="{E560C379-EF46-4B9B-BCB6-41DEF3888FF9}"/>
                </a:ext>
              </a:extLst>
            </xdr:cNvPr>
            <xdr:cNvSpPr txBox="1"/>
          </xdr:nvSpPr>
          <xdr:spPr>
            <a:xfrm>
              <a:off x="7942792" y="794067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𝑘𝑚</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72" name="CuadroTexto 171">
              <a:extLst>
                <a:ext uri="{FF2B5EF4-FFF2-40B4-BE49-F238E27FC236}">
                  <a16:creationId xmlns:a16="http://schemas.microsoft.com/office/drawing/2014/main" id="{E560C379-EF46-4B9B-BCB6-41DEF3888FF9}"/>
                </a:ext>
              </a:extLst>
            </xdr:cNvPr>
            <xdr:cNvSpPr txBox="1"/>
          </xdr:nvSpPr>
          <xdr:spPr>
            <a:xfrm>
              <a:off x="7942792" y="794067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)/(n  𝑘𝑚)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544352</xdr:colOff>
      <xdr:row>69</xdr:row>
      <xdr:rowOff>769592</xdr:rowOff>
    </xdr:from>
    <xdr:ext cx="1418167" cy="319511"/>
    <mc:AlternateContent xmlns:mc="http://schemas.openxmlformats.org/markup-compatibility/2006" xmlns:a14="http://schemas.microsoft.com/office/drawing/2010/main">
      <mc:Choice Requires="a14">
        <xdr:sp macro="" textlink="">
          <xdr:nvSpPr>
            <xdr:cNvPr id="175" name="CuadroTexto 174">
              <a:extLst>
                <a:ext uri="{FF2B5EF4-FFF2-40B4-BE49-F238E27FC236}">
                  <a16:creationId xmlns:a16="http://schemas.microsoft.com/office/drawing/2014/main" id="{736B8DD4-6AFB-4530-A4F9-CBF65AE2BEE2}"/>
                </a:ext>
              </a:extLst>
            </xdr:cNvPr>
            <xdr:cNvSpPr txBox="1"/>
          </xdr:nvSpPr>
          <xdr:spPr>
            <a:xfrm>
              <a:off x="10370977" y="7931909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15.65 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?(8.5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75" name="CuadroTexto 174">
              <a:extLst>
                <a:ext uri="{FF2B5EF4-FFF2-40B4-BE49-F238E27FC236}">
                  <a16:creationId xmlns:a16="http://schemas.microsoft.com/office/drawing/2014/main" id="{736B8DD4-6AFB-4530-A4F9-CBF65AE2BEE2}"/>
                </a:ext>
              </a:extLst>
            </xdr:cNvPr>
            <xdr:cNvSpPr txBox="1"/>
          </xdr:nvSpPr>
          <xdr:spPr>
            <a:xfrm>
              <a:off x="10370977" y="7931909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)/(15.65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𝑚𝑖𝑛)/(?(8.5 ))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254000</xdr:colOff>
      <xdr:row>69</xdr:row>
      <xdr:rowOff>285749</xdr:rowOff>
    </xdr:from>
    <xdr:ext cx="2053167" cy="1381126"/>
    <mc:AlternateContent xmlns:mc="http://schemas.openxmlformats.org/markup-compatibility/2006" xmlns:a14="http://schemas.microsoft.com/office/drawing/2010/main">
      <mc:Choice Requires="a14">
        <xdr:sp macro="" textlink="">
          <xdr:nvSpPr>
            <xdr:cNvPr id="178" name="CuadroTexto 177">
              <a:extLst>
                <a:ext uri="{FF2B5EF4-FFF2-40B4-BE49-F238E27FC236}">
                  <a16:creationId xmlns:a16="http://schemas.microsoft.com/office/drawing/2014/main" id="{DBB2CA40-5689-4650-8022-FBDC43FA97FD}"/>
                </a:ext>
              </a:extLst>
            </xdr:cNvPr>
            <xdr:cNvSpPr txBox="1"/>
          </xdr:nvSpPr>
          <xdr:spPr>
            <a:xfrm>
              <a:off x="12607925" y="78695549"/>
              <a:ext cx="2053167" cy="1381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15.65 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8.5</m:t>
                  </m:r>
                </m:oMath>
              </a14:m>
              <a:r>
                <a:rPr lang="es-MX" sz="1050" b="0" i="0">
                  <a:latin typeface="Cambria Math" panose="02040503050406030204" pitchFamily="18" charset="0"/>
                </a:rPr>
                <a:t> minutos manejando </a:t>
              </a: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a14:m>
              <a:r>
                <a:rPr lang="es-MX" sz="1050">
                  <a:effectLst/>
                </a:rPr>
                <a:t> 15,650 km en coche o 142</a:t>
              </a:r>
              <a:r>
                <a:rPr lang="es-MX" sz="1050" baseline="0">
                  <a:effectLst/>
                </a:rPr>
                <a:t> </a:t>
              </a:r>
              <a:r>
                <a:rPr lang="es-MX" sz="1050">
                  <a:effectLst/>
                </a:rPr>
                <a:t>horas manejando </a:t>
              </a:r>
            </a:p>
            <a:p>
              <a:pPr algn="l"/>
              <a:endParaRPr lang="es-MX" sz="1050" b="0">
                <a:effectLst/>
              </a:endParaRPr>
            </a:p>
            <a:p>
              <a:pPr algn="l"/>
              <a:endParaRPr lang="es-MX" sz="1050" b="0">
                <a:effectLst/>
              </a:endParaRPr>
            </a:p>
            <a:p>
              <a:pPr algn="l"/>
              <a:r>
                <a:rPr lang="es-MX" sz="1050" b="0">
                  <a:effectLst/>
                </a:rPr>
                <a:t>1 min - 4.9 Botellas (.024)</a:t>
              </a:r>
              <a:endParaRPr lang="es-MX" sz="1100" b="0"/>
            </a:p>
          </xdr:txBody>
        </xdr:sp>
      </mc:Choice>
      <mc:Fallback xmlns="">
        <xdr:sp macro="" textlink="">
          <xdr:nvSpPr>
            <xdr:cNvPr id="178" name="CuadroTexto 177">
              <a:extLst>
                <a:ext uri="{FF2B5EF4-FFF2-40B4-BE49-F238E27FC236}">
                  <a16:creationId xmlns:a16="http://schemas.microsoft.com/office/drawing/2014/main" id="{DBB2CA40-5689-4650-8022-FBDC43FA97FD}"/>
                </a:ext>
              </a:extLst>
            </xdr:cNvPr>
            <xdr:cNvSpPr txBox="1"/>
          </xdr:nvSpPr>
          <xdr:spPr>
            <a:xfrm>
              <a:off x="12607925" y="78695549"/>
              <a:ext cx="2053167" cy="1381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𝑃𝐸𝑇=15.65 km en coche  o 8.5 minutos manejando </a:t>
              </a:r>
            </a:p>
            <a:p>
              <a:pPr algn="l"/>
              <a:r>
                <a:rPr lang="es-MX" sz="1050" b="0" i="0">
                  <a:solidFill>
                    <a:schemeClr val="tx1"/>
                  </a:solidFill>
                  <a:effectLst/>
                  <a:latin typeface="Cambria Math" panose="02040503050406030204" pitchFamily="18" charset="0"/>
                  <a:ea typeface="+mn-ea"/>
                  <a:cs typeface="+mn-cs"/>
                </a:rPr>
                <a:t>1 𝑡𝑜𝑛 𝑃𝐸𝑇=</a:t>
              </a:r>
              <a:r>
                <a:rPr lang="es-MX" sz="1050">
                  <a:effectLst/>
                </a:rPr>
                <a:t> 15,650 km en coche o 142</a:t>
              </a:r>
              <a:r>
                <a:rPr lang="es-MX" sz="1050" baseline="0">
                  <a:effectLst/>
                </a:rPr>
                <a:t> </a:t>
              </a:r>
              <a:r>
                <a:rPr lang="es-MX" sz="1050">
                  <a:effectLst/>
                </a:rPr>
                <a:t>horas manejando </a:t>
              </a:r>
            </a:p>
            <a:p>
              <a:pPr algn="l"/>
              <a:endParaRPr lang="es-MX" sz="1050" b="0">
                <a:effectLst/>
              </a:endParaRPr>
            </a:p>
            <a:p>
              <a:pPr algn="l"/>
              <a:endParaRPr lang="es-MX" sz="1050" b="0">
                <a:effectLst/>
              </a:endParaRPr>
            </a:p>
            <a:p>
              <a:pPr algn="l"/>
              <a:r>
                <a:rPr lang="es-MX" sz="1050" b="0">
                  <a:effectLst/>
                </a:rPr>
                <a:t>1 min - 4.9 Botellas (.024)</a:t>
              </a:r>
              <a:endParaRPr lang="es-MX" sz="1100" b="0"/>
            </a:p>
          </xdr:txBody>
        </xdr:sp>
      </mc:Fallback>
    </mc:AlternateContent>
    <xdr:clientData/>
  </xdr:oneCellAnchor>
  <xdr:oneCellAnchor>
    <xdr:from>
      <xdr:col>8</xdr:col>
      <xdr:colOff>198782</xdr:colOff>
      <xdr:row>81</xdr:row>
      <xdr:rowOff>505239</xdr:rowOff>
    </xdr:from>
    <xdr:ext cx="1606827" cy="325730"/>
    <mc:AlternateContent xmlns:mc="http://schemas.openxmlformats.org/markup-compatibility/2006" xmlns:a14="http://schemas.microsoft.com/office/drawing/2010/main">
      <mc:Choice Requires="a14">
        <xdr:sp macro="" textlink="">
          <xdr:nvSpPr>
            <xdr:cNvPr id="182" name="CuadroTexto 181">
              <a:extLst>
                <a:ext uri="{FF2B5EF4-FFF2-40B4-BE49-F238E27FC236}">
                  <a16:creationId xmlns:a16="http://schemas.microsoft.com/office/drawing/2014/main" id="{97B41AD1-30E0-4654-8822-7A526B1F1B1A}"/>
                </a:ext>
              </a:extLst>
            </xdr:cNvPr>
            <xdr:cNvSpPr txBox="1"/>
          </xdr:nvSpPr>
          <xdr:spPr>
            <a:xfrm>
              <a:off x="7048499" y="51343891"/>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𝐵</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82" name="CuadroTexto 181">
              <a:extLst>
                <a:ext uri="{FF2B5EF4-FFF2-40B4-BE49-F238E27FC236}">
                  <a16:creationId xmlns:a16="http://schemas.microsoft.com/office/drawing/2014/main" id="{97B41AD1-30E0-4654-8822-7A526B1F1B1A}"/>
                </a:ext>
              </a:extLst>
            </xdr:cNvPr>
            <xdr:cNvSpPr txBox="1"/>
          </xdr:nvSpPr>
          <xdr:spPr>
            <a:xfrm>
              <a:off x="7048499" y="51343891"/>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)/(n  𝐵)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149086</xdr:colOff>
      <xdr:row>81</xdr:row>
      <xdr:rowOff>521804</xdr:rowOff>
    </xdr:from>
    <xdr:ext cx="1606827" cy="325730"/>
    <mc:AlternateContent xmlns:mc="http://schemas.openxmlformats.org/markup-compatibility/2006" xmlns:a14="http://schemas.microsoft.com/office/drawing/2010/main">
      <mc:Choice Requires="a14">
        <xdr:sp macro="" textlink="">
          <xdr:nvSpPr>
            <xdr:cNvPr id="184" name="CuadroTexto 183">
              <a:extLst>
                <a:ext uri="{FF2B5EF4-FFF2-40B4-BE49-F238E27FC236}">
                  <a16:creationId xmlns:a16="http://schemas.microsoft.com/office/drawing/2014/main" id="{67B1FAC4-C5AA-4018-9DD7-4DDA3D79E885}"/>
                </a:ext>
              </a:extLst>
            </xdr:cNvPr>
            <xdr:cNvSpPr txBox="1"/>
          </xdr:nvSpPr>
          <xdr:spPr>
            <a:xfrm>
              <a:off x="8912086" y="51360456"/>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𝐵𝑝</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 0044 </m:t>
                        </m:r>
                        <m:r>
                          <a:rPr lang="es-MX" sz="1000" b="0" i="1">
                            <a:solidFill>
                              <a:schemeClr val="tx1"/>
                            </a:solidFill>
                            <a:effectLst/>
                            <a:latin typeface="Cambria Math" panose="02040503050406030204" pitchFamily="18" charset="0"/>
                            <a:ea typeface="+mn-ea"/>
                            <a:cs typeface="+mn-cs"/>
                          </a:rPr>
                          <m:t>𝐵𝑝</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84" name="CuadroTexto 183">
              <a:extLst>
                <a:ext uri="{FF2B5EF4-FFF2-40B4-BE49-F238E27FC236}">
                  <a16:creationId xmlns:a16="http://schemas.microsoft.com/office/drawing/2014/main" id="{67B1FAC4-C5AA-4018-9DD7-4DDA3D79E885}"/>
                </a:ext>
              </a:extLst>
            </xdr:cNvPr>
            <xdr:cNvSpPr txBox="1"/>
          </xdr:nvSpPr>
          <xdr:spPr>
            <a:xfrm>
              <a:off x="8912086" y="51360456"/>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𝐵𝑝 )/(. 0044 𝐵𝑝)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198783</xdr:colOff>
      <xdr:row>81</xdr:row>
      <xdr:rowOff>405848</xdr:rowOff>
    </xdr:from>
    <xdr:ext cx="1610784" cy="628650"/>
    <mc:AlternateContent xmlns:mc="http://schemas.openxmlformats.org/markup-compatibility/2006" xmlns:a14="http://schemas.microsoft.com/office/drawing/2010/main">
      <mc:Choice Requires="a14">
        <xdr:sp macro="" textlink="">
          <xdr:nvSpPr>
            <xdr:cNvPr id="185" name="CuadroTexto 184">
              <a:extLst>
                <a:ext uri="{FF2B5EF4-FFF2-40B4-BE49-F238E27FC236}">
                  <a16:creationId xmlns:a16="http://schemas.microsoft.com/office/drawing/2014/main" id="{1D7F20CE-1A42-4D71-9D23-544C912DF1CF}"/>
                </a:ext>
              </a:extLst>
            </xdr:cNvPr>
            <xdr:cNvSpPr txBox="1"/>
          </xdr:nvSpPr>
          <xdr:spPr>
            <a:xfrm>
              <a:off x="10866783" y="51244500"/>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oMath>
              </a14:m>
              <a:r>
                <a:rPr lang="es-MX" sz="1050" b="0" i="0">
                  <a:latin typeface="Cambria Math" panose="02040503050406030204" pitchFamily="18" charset="0"/>
                </a:rPr>
                <a:t>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Dolares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85" name="CuadroTexto 184">
              <a:extLst>
                <a:ext uri="{FF2B5EF4-FFF2-40B4-BE49-F238E27FC236}">
                  <a16:creationId xmlns:a16="http://schemas.microsoft.com/office/drawing/2014/main" id="{1D7F20CE-1A42-4D71-9D23-544C912DF1CF}"/>
                </a:ext>
              </a:extLst>
            </xdr:cNvPr>
            <xdr:cNvSpPr txBox="1"/>
          </xdr:nvSpPr>
          <xdr:spPr>
            <a:xfrm>
              <a:off x="10866783" y="51244500"/>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 Dolares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140803</xdr:colOff>
      <xdr:row>82</xdr:row>
      <xdr:rowOff>364435</xdr:rowOff>
    </xdr:from>
    <xdr:ext cx="1606827" cy="325730"/>
    <mc:AlternateContent xmlns:mc="http://schemas.openxmlformats.org/markup-compatibility/2006" xmlns:a14="http://schemas.microsoft.com/office/drawing/2010/main">
      <mc:Choice Requires="a14">
        <xdr:sp macro="" textlink="">
          <xdr:nvSpPr>
            <xdr:cNvPr id="186" name="CuadroTexto 185">
              <a:extLst>
                <a:ext uri="{FF2B5EF4-FFF2-40B4-BE49-F238E27FC236}">
                  <a16:creationId xmlns:a16="http://schemas.microsoft.com/office/drawing/2014/main" id="{47256D75-0E03-4FC0-BBC3-6C240DD4710A}"/>
                </a:ext>
              </a:extLst>
            </xdr:cNvPr>
            <xdr:cNvSpPr txBox="1"/>
          </xdr:nvSpPr>
          <xdr:spPr>
            <a:xfrm>
              <a:off x="6990520" y="52611131"/>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𝑡𝑃𝐸𝑇𝑉</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86" name="CuadroTexto 185">
              <a:extLst>
                <a:ext uri="{FF2B5EF4-FFF2-40B4-BE49-F238E27FC236}">
                  <a16:creationId xmlns:a16="http://schemas.microsoft.com/office/drawing/2014/main" id="{47256D75-0E03-4FC0-BBC3-6C240DD4710A}"/>
                </a:ext>
              </a:extLst>
            </xdr:cNvPr>
            <xdr:cNvSpPr txBox="1"/>
          </xdr:nvSpPr>
          <xdr:spPr>
            <a:xfrm>
              <a:off x="6990520" y="52611131"/>
              <a:ext cx="160682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𝑡𝑃𝐸𝑇𝑉 )/(n  )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198783</xdr:colOff>
      <xdr:row>82</xdr:row>
      <xdr:rowOff>405848</xdr:rowOff>
    </xdr:from>
    <xdr:ext cx="1610784" cy="628650"/>
    <mc:AlternateContent xmlns:mc="http://schemas.openxmlformats.org/markup-compatibility/2006" xmlns:a14="http://schemas.microsoft.com/office/drawing/2010/main">
      <mc:Choice Requires="a14">
        <xdr:sp macro="" textlink="">
          <xdr:nvSpPr>
            <xdr:cNvPr id="188" name="CuadroTexto 187">
              <a:extLst>
                <a:ext uri="{FF2B5EF4-FFF2-40B4-BE49-F238E27FC236}">
                  <a16:creationId xmlns:a16="http://schemas.microsoft.com/office/drawing/2014/main" id="{7CFE49B9-FB73-4103-A83E-CBB95303E01E}"/>
                </a:ext>
              </a:extLst>
            </xdr:cNvPr>
            <xdr:cNvSpPr txBox="1"/>
          </xdr:nvSpPr>
          <xdr:spPr>
            <a:xfrm>
              <a:off x="10866783" y="51244500"/>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oMath>
              </a14:m>
              <a:r>
                <a:rPr lang="es-MX" sz="1050" b="0" i="0">
                  <a:latin typeface="Cambria Math" panose="02040503050406030204" pitchFamily="18" charset="0"/>
                </a:rPr>
                <a:t>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Dolares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88" name="CuadroTexto 187">
              <a:extLst>
                <a:ext uri="{FF2B5EF4-FFF2-40B4-BE49-F238E27FC236}">
                  <a16:creationId xmlns:a16="http://schemas.microsoft.com/office/drawing/2014/main" id="{7CFE49B9-FB73-4103-A83E-CBB95303E01E}"/>
                </a:ext>
              </a:extLst>
            </xdr:cNvPr>
            <xdr:cNvSpPr txBox="1"/>
          </xdr:nvSpPr>
          <xdr:spPr>
            <a:xfrm>
              <a:off x="10866783" y="51244500"/>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 Dolares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9</xdr:col>
      <xdr:colOff>187050</xdr:colOff>
      <xdr:row>83</xdr:row>
      <xdr:rowOff>287131</xdr:rowOff>
    </xdr:from>
    <xdr:ext cx="1896717" cy="655244"/>
    <mc:AlternateContent xmlns:mc="http://schemas.openxmlformats.org/markup-compatibility/2006" xmlns:a14="http://schemas.microsoft.com/office/drawing/2010/main">
      <mc:Choice Requires="a14">
        <xdr:sp macro="" textlink="">
          <xdr:nvSpPr>
            <xdr:cNvPr id="189" name="CuadroTexto 188">
              <a:extLst>
                <a:ext uri="{FF2B5EF4-FFF2-40B4-BE49-F238E27FC236}">
                  <a16:creationId xmlns:a16="http://schemas.microsoft.com/office/drawing/2014/main" id="{547A4274-1754-4F4D-98AE-7E76E6786E0C}"/>
                </a:ext>
              </a:extLst>
            </xdr:cNvPr>
            <xdr:cNvSpPr txBox="1"/>
          </xdr:nvSpPr>
          <xdr:spPr>
            <a:xfrm>
              <a:off x="10013675" y="94394131"/>
              <a:ext cx="1896717" cy="655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𝑅𝑆</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𝑅𝑆</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$414</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.360)</m:t>
                        </m:r>
                      </m:den>
                    </m:f>
                    <m:r>
                      <a:rPr lang="es-MX" sz="1000" b="0" i="1">
                        <a:latin typeface="Cambria Math" panose="02040503050406030204" pitchFamily="18" charset="0"/>
                      </a:rPr>
                      <m:t> </m:t>
                    </m:r>
                  </m:oMath>
                </m:oMathPara>
              </a14:m>
              <a:endParaRPr lang="es-MX" sz="1000" b="0"/>
            </a:p>
            <a:p>
              <a:endParaRPr lang="es-MX" sz="1000"/>
            </a:p>
            <a:p>
              <a:pPr/>
              <a14:m>
                <m:oMathPara xmlns:m="http://schemas.openxmlformats.org/officeDocument/2006/math">
                  <m:oMathParaPr>
                    <m:jc m:val="centerGroup"/>
                  </m:oMathParaPr>
                  <m:oMath xmlns:m="http://schemas.openxmlformats.org/officeDocument/2006/math">
                    <m:sSup>
                      <m:sSupPr>
                        <m:ctrlPr>
                          <a:rPr lang="es-MX" sz="1000" i="1">
                            <a:latin typeface="Cambria Math" panose="02040503050406030204" pitchFamily="18" charset="0"/>
                          </a:rPr>
                        </m:ctrlPr>
                      </m:sSupPr>
                      <m:e>
                        <m:d>
                          <m:dPr>
                            <m:ctrlPr>
                              <a:rPr lang="es-MX" sz="1000" i="1">
                                <a:latin typeface="Cambria Math" panose="02040503050406030204" pitchFamily="18" charset="0"/>
                              </a:rPr>
                            </m:ctrlPr>
                          </m:dPr>
                          <m:e>
                            <m:r>
                              <a:rPr lang="es-MX" sz="1000" b="0" i="1">
                                <a:latin typeface="Cambria Math" panose="02040503050406030204" pitchFamily="18" charset="0"/>
                              </a:rPr>
                              <m:t>.360∗19.07</m:t>
                            </m:r>
                          </m:e>
                        </m:d>
                        <m:r>
                          <a:rPr lang="es-MX" sz="1000" b="0" i="1">
                            <a:latin typeface="Cambria Math" panose="02040503050406030204" pitchFamily="18" charset="0"/>
                          </a:rPr>
                          <m:t>=.022 </m:t>
                        </m:r>
                        <m:r>
                          <a:rPr lang="es-MX" sz="1000" b="0" i="1">
                            <a:latin typeface="Cambria Math" panose="02040503050406030204" pitchFamily="18" charset="0"/>
                          </a:rPr>
                          <m:t>𝑑𝑜𝑙𝑎𝑟𝑒𝑠</m:t>
                        </m:r>
                      </m:e>
                      <m:sup/>
                    </m:sSup>
                  </m:oMath>
                </m:oMathPara>
              </a14:m>
              <a:endParaRPr lang="es-MX" sz="1000"/>
            </a:p>
          </xdr:txBody>
        </xdr:sp>
      </mc:Choice>
      <mc:Fallback xmlns="">
        <xdr:sp macro="" textlink="">
          <xdr:nvSpPr>
            <xdr:cNvPr id="189" name="CuadroTexto 188">
              <a:extLst>
                <a:ext uri="{FF2B5EF4-FFF2-40B4-BE49-F238E27FC236}">
                  <a16:creationId xmlns:a16="http://schemas.microsoft.com/office/drawing/2014/main" id="{547A4274-1754-4F4D-98AE-7E76E6786E0C}"/>
                </a:ext>
              </a:extLst>
            </xdr:cNvPr>
            <xdr:cNvSpPr txBox="1"/>
          </xdr:nvSpPr>
          <xdr:spPr>
            <a:xfrm>
              <a:off x="10013675" y="94394131"/>
              <a:ext cx="1896717" cy="655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𝑅𝑆 )/(1  𝑘𝑔 𝑅𝑆)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$414/(?( .360)) </a:t>
              </a:r>
              <a:r>
                <a:rPr lang="es-MX" sz="1000" b="0" i="0">
                  <a:latin typeface="Cambria Math" panose="02040503050406030204" pitchFamily="18" charset="0"/>
                </a:rPr>
                <a:t> </a:t>
              </a:r>
              <a:endParaRPr lang="es-MX" sz="1000" b="0"/>
            </a:p>
            <a:p>
              <a:endParaRPr lang="es-MX" sz="1000"/>
            </a:p>
            <a:p>
              <a:pPr/>
              <a:r>
                <a:rPr lang="es-MX" sz="1000" i="0">
                  <a:latin typeface="Cambria Math" panose="02040503050406030204" pitchFamily="18" charset="0"/>
                </a:rPr>
                <a:t>〖(</a:t>
              </a:r>
              <a:r>
                <a:rPr lang="es-MX" sz="1000" b="0" i="0">
                  <a:latin typeface="Cambria Math" panose="02040503050406030204" pitchFamily="18" charset="0"/>
                </a:rPr>
                <a:t>.360∗19.07)=.022 𝑑𝑜𝑙𝑎𝑟𝑒𝑠〗^</a:t>
              </a:r>
              <a:endParaRPr lang="es-MX" sz="1000"/>
            </a:p>
          </xdr:txBody>
        </xdr:sp>
      </mc:Fallback>
    </mc:AlternateContent>
    <xdr:clientData/>
  </xdr:oneCellAnchor>
  <xdr:oneCellAnchor>
    <xdr:from>
      <xdr:col>10</xdr:col>
      <xdr:colOff>215348</xdr:colOff>
      <xdr:row>83</xdr:row>
      <xdr:rowOff>347870</xdr:rowOff>
    </xdr:from>
    <xdr:ext cx="1610784" cy="628650"/>
    <mc:AlternateContent xmlns:mc="http://schemas.openxmlformats.org/markup-compatibility/2006" xmlns:a14="http://schemas.microsoft.com/office/drawing/2010/main">
      <mc:Choice Requires="a14">
        <xdr:sp macro="" textlink="">
          <xdr:nvSpPr>
            <xdr:cNvPr id="191" name="CuadroTexto 190">
              <a:extLst>
                <a:ext uri="{FF2B5EF4-FFF2-40B4-BE49-F238E27FC236}">
                  <a16:creationId xmlns:a16="http://schemas.microsoft.com/office/drawing/2014/main" id="{73761526-8A45-4929-AD51-9AF404BCE950}"/>
                </a:ext>
              </a:extLst>
            </xdr:cNvPr>
            <xdr:cNvSpPr txBox="1"/>
          </xdr:nvSpPr>
          <xdr:spPr>
            <a:xfrm>
              <a:off x="10883348" y="54002609"/>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.022</m:t>
                  </m:r>
                </m:oMath>
              </a14:m>
              <a:r>
                <a:rPr lang="es-MX" sz="1050" b="0" i="0">
                  <a:latin typeface="Cambria Math" panose="02040503050406030204" pitchFamily="18" charset="0"/>
                </a:rPr>
                <a:t>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21.7 </m:t>
                    </m:r>
                    <m:r>
                      <m:rPr>
                        <m:sty m:val="p"/>
                      </m:rPr>
                      <a:rPr lang="es-MX" sz="1050" b="0" i="0">
                        <a:solidFill>
                          <a:schemeClr val="tx1"/>
                        </a:solidFill>
                        <a:effectLst/>
                        <a:latin typeface="Cambria Math" panose="02040503050406030204" pitchFamily="18" charset="0"/>
                        <a:ea typeface="+mn-ea"/>
                        <a:cs typeface="+mn-cs"/>
                      </a:rPr>
                      <m:t>Dolares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91" name="CuadroTexto 190">
              <a:extLst>
                <a:ext uri="{FF2B5EF4-FFF2-40B4-BE49-F238E27FC236}">
                  <a16:creationId xmlns:a16="http://schemas.microsoft.com/office/drawing/2014/main" id="{73761526-8A45-4929-AD51-9AF404BCE950}"/>
                </a:ext>
              </a:extLst>
            </xdr:cNvPr>
            <xdr:cNvSpPr txBox="1"/>
          </xdr:nvSpPr>
          <xdr:spPr>
            <a:xfrm>
              <a:off x="10883348" y="54002609"/>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𝑃𝐸𝑇=.022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𝑃𝐸𝑇=21.7 Dolares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twoCellAnchor editAs="oneCell">
    <xdr:from>
      <xdr:col>12</xdr:col>
      <xdr:colOff>2526195</xdr:colOff>
      <xdr:row>83</xdr:row>
      <xdr:rowOff>1113181</xdr:rowOff>
    </xdr:from>
    <xdr:to>
      <xdr:col>13</xdr:col>
      <xdr:colOff>74543</xdr:colOff>
      <xdr:row>84</xdr:row>
      <xdr:rowOff>69572</xdr:rowOff>
    </xdr:to>
    <xdr:pic>
      <xdr:nvPicPr>
        <xdr:cNvPr id="6" name="Gráfico 5" descr="Inalámbrico">
          <a:hlinkClick xmlns:r="http://schemas.openxmlformats.org/officeDocument/2006/relationships" r:id="rId43"/>
          <a:extLst>
            <a:ext uri="{FF2B5EF4-FFF2-40B4-BE49-F238E27FC236}">
              <a16:creationId xmlns:a16="http://schemas.microsoft.com/office/drawing/2014/main" id="{AC358148-4A20-447C-800E-A09BD7C4BF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69847" y="54767920"/>
          <a:ext cx="364435" cy="364435"/>
        </a:xfrm>
        <a:prstGeom prst="rect">
          <a:avLst/>
        </a:prstGeom>
      </xdr:spPr>
    </xdr:pic>
    <xdr:clientData/>
  </xdr:twoCellAnchor>
  <xdr:twoCellAnchor editAs="oneCell">
    <xdr:from>
      <xdr:col>11</xdr:col>
      <xdr:colOff>1880152</xdr:colOff>
      <xdr:row>83</xdr:row>
      <xdr:rowOff>1101586</xdr:rowOff>
    </xdr:from>
    <xdr:to>
      <xdr:col>12</xdr:col>
      <xdr:colOff>323022</xdr:colOff>
      <xdr:row>84</xdr:row>
      <xdr:rowOff>57977</xdr:rowOff>
    </xdr:to>
    <xdr:pic>
      <xdr:nvPicPr>
        <xdr:cNvPr id="192" name="Gráfico 191" descr="Inalámbrico">
          <a:hlinkClick xmlns:r="http://schemas.openxmlformats.org/officeDocument/2006/relationships" r:id="rId44"/>
          <a:extLst>
            <a:ext uri="{FF2B5EF4-FFF2-40B4-BE49-F238E27FC236}">
              <a16:creationId xmlns:a16="http://schemas.microsoft.com/office/drawing/2014/main" id="{027BF78B-5904-4DE9-827B-0D4DE1682D9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5400000">
          <a:off x="14602239" y="54756325"/>
          <a:ext cx="364435" cy="364435"/>
        </a:xfrm>
        <a:prstGeom prst="rect">
          <a:avLst/>
        </a:prstGeom>
      </xdr:spPr>
    </xdr:pic>
    <xdr:clientData/>
  </xdr:twoCellAnchor>
  <xdr:twoCellAnchor editAs="oneCell">
    <xdr:from>
      <xdr:col>12</xdr:col>
      <xdr:colOff>2512943</xdr:colOff>
      <xdr:row>82</xdr:row>
      <xdr:rowOff>1378225</xdr:rowOff>
    </xdr:from>
    <xdr:to>
      <xdr:col>13</xdr:col>
      <xdr:colOff>61291</xdr:colOff>
      <xdr:row>83</xdr:row>
      <xdr:rowOff>334617</xdr:rowOff>
    </xdr:to>
    <xdr:pic>
      <xdr:nvPicPr>
        <xdr:cNvPr id="193" name="Gráfico 192" descr="Inalámbrico">
          <a:hlinkClick xmlns:r="http://schemas.openxmlformats.org/officeDocument/2006/relationships" r:id="rId45"/>
          <a:extLst>
            <a:ext uri="{FF2B5EF4-FFF2-40B4-BE49-F238E27FC236}">
              <a16:creationId xmlns:a16="http://schemas.microsoft.com/office/drawing/2014/main" id="{1F1C9B7A-019A-4A98-A32E-3EE47CBDBD7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6200000">
          <a:off x="17156595" y="53624921"/>
          <a:ext cx="364435" cy="364435"/>
        </a:xfrm>
        <a:prstGeom prst="rect">
          <a:avLst/>
        </a:prstGeom>
      </xdr:spPr>
    </xdr:pic>
    <xdr:clientData/>
  </xdr:twoCellAnchor>
  <xdr:oneCellAnchor>
    <xdr:from>
      <xdr:col>9</xdr:col>
      <xdr:colOff>413441</xdr:colOff>
      <xdr:row>84</xdr:row>
      <xdr:rowOff>163582</xdr:rowOff>
    </xdr:from>
    <xdr:ext cx="1896717" cy="1176130"/>
    <mc:AlternateContent xmlns:mc="http://schemas.openxmlformats.org/markup-compatibility/2006" xmlns:a14="http://schemas.microsoft.com/office/drawing/2010/main">
      <mc:Choice Requires="a14">
        <xdr:sp macro="" textlink="">
          <xdr:nvSpPr>
            <xdr:cNvPr id="190" name="CuadroTexto 189">
              <a:extLst>
                <a:ext uri="{FF2B5EF4-FFF2-40B4-BE49-F238E27FC236}">
                  <a16:creationId xmlns:a16="http://schemas.microsoft.com/office/drawing/2014/main" id="{3BD84893-B909-4055-B121-FB7DA7E944BD}"/>
                </a:ext>
              </a:extLst>
            </xdr:cNvPr>
            <xdr:cNvSpPr txBox="1"/>
          </xdr:nvSpPr>
          <xdr:spPr>
            <a:xfrm>
              <a:off x="10240066" y="95683457"/>
              <a:ext cx="1896717" cy="1176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𝑙</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𝐴𝑔𝑢𝑎</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40 </m:t>
                        </m:r>
                        <m:r>
                          <a:rPr lang="es-MX" sz="1000" b="0" i="1">
                            <a:solidFill>
                              <a:schemeClr val="tx1"/>
                            </a:solidFill>
                            <a:effectLst/>
                            <a:latin typeface="Cambria Math" panose="02040503050406030204" pitchFamily="18" charset="0"/>
                            <a:ea typeface="+mn-ea"/>
                            <a:cs typeface="+mn-cs"/>
                          </a:rPr>
                          <m:t>𝑙</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𝐴</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m:t>
                        </m:r>
                        <m:r>
                          <a:rPr lang="es-MX" sz="1000" b="0" i="1">
                            <a:solidFill>
                              <a:schemeClr val="tx1"/>
                            </a:solidFill>
                            <a:effectLst/>
                            <a:latin typeface="Cambria Math" panose="02040503050406030204" pitchFamily="18" charset="0"/>
                            <a:ea typeface="+mn-ea"/>
                            <a:cs typeface="+mn-cs"/>
                          </a:rPr>
                          <m:t>𝑚</m:t>
                        </m:r>
                        <m:r>
                          <a:rPr lang="es-MX" sz="1000" b="0" i="1">
                            <a:solidFill>
                              <a:schemeClr val="tx1"/>
                            </a:solidFill>
                            <a:effectLst/>
                            <a:latin typeface="Cambria Math" panose="02040503050406030204" pitchFamily="18" charset="0"/>
                            <a:ea typeface="+mn-ea"/>
                            <a:cs typeface="+mn-cs"/>
                          </a:rPr>
                          <m:t>3</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.04)</m:t>
                        </m:r>
                      </m:den>
                    </m:f>
                    <m:r>
                      <a:rPr lang="es-MX" sz="1000" b="0" i="1">
                        <a:latin typeface="Cambria Math" panose="02040503050406030204" pitchFamily="18" charset="0"/>
                      </a:rPr>
                      <m:t> </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den>
                    </m:f>
                    <m:r>
                      <a:rPr lang="es-MX" sz="1100" b="0" i="1">
                        <a:solidFill>
                          <a:schemeClr val="tx1"/>
                        </a:solidFill>
                        <a:effectLst/>
                        <a:latin typeface="Cambria Math" panose="02040503050406030204" pitchFamily="18" charset="0"/>
                        <a:ea typeface="+mn-ea"/>
                        <a:cs typeface="+mn-cs"/>
                      </a:rPr>
                      <m:t> </m:t>
                    </m:r>
                    <m:r>
                      <a:rPr lang="es-MX" sz="1100" b="0" i="0">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$47.50 (</m:t>
                        </m:r>
                        <m:r>
                          <a:rPr lang="es-MX" sz="1100" b="0" i="1">
                            <a:solidFill>
                              <a:schemeClr val="tx1"/>
                            </a:solidFill>
                            <a:effectLst/>
                            <a:latin typeface="Cambria Math" panose="02040503050406030204" pitchFamily="18" charset="0"/>
                            <a:ea typeface="+mn-ea"/>
                            <a:cs typeface="+mn-cs"/>
                          </a:rPr>
                          <m:t>𝑀𝑁</m:t>
                        </m:r>
                        <m:r>
                          <a:rPr lang="es-MX" sz="1100" b="0" i="1">
                            <a:solidFill>
                              <a:schemeClr val="tx1"/>
                            </a:solidFill>
                            <a:effectLst/>
                            <a:latin typeface="Cambria Math" panose="02040503050406030204" pitchFamily="18" charset="0"/>
                            <a:ea typeface="+mn-ea"/>
                            <a:cs typeface="+mn-cs"/>
                          </a:rPr>
                          <m:t>)</m:t>
                        </m:r>
                      </m:num>
                      <m:den>
                        <m:r>
                          <a:rPr lang="es-MX" sz="1100" b="0" i="0">
                            <a:solidFill>
                              <a:schemeClr val="tx1"/>
                            </a:solidFill>
                            <a:effectLst/>
                            <a:latin typeface="Cambria Math" panose="02040503050406030204" pitchFamily="18" charset="0"/>
                            <a:ea typeface="+mn-ea"/>
                            <a:cs typeface="+mn-cs"/>
                          </a:rPr>
                          <m:t>2.4</m:t>
                        </m:r>
                        <m:r>
                          <a:rPr lang="es-MX" sz="1100" b="0" i="1">
                            <a:solidFill>
                              <a:schemeClr val="tx1"/>
                            </a:solidFill>
                            <a:effectLst/>
                            <a:latin typeface="Cambria Math" panose="02040503050406030204" pitchFamily="18" charset="0"/>
                            <a:ea typeface="+mn-ea"/>
                            <a:cs typeface="+mn-cs"/>
                          </a:rPr>
                          <m:t>9 (</m:t>
                        </m:r>
                        <m:r>
                          <a:rPr lang="es-MX" sz="1100" b="0" i="1">
                            <a:solidFill>
                              <a:schemeClr val="tx1"/>
                            </a:solidFill>
                            <a:effectLst/>
                            <a:latin typeface="Cambria Math" panose="02040503050406030204" pitchFamily="18" charset="0"/>
                            <a:ea typeface="+mn-ea"/>
                            <a:cs typeface="+mn-cs"/>
                          </a:rPr>
                          <m:t>𝐷𝑜𝑙𝑎𝑟𝑒𝑠</m:t>
                        </m:r>
                        <m:r>
                          <a:rPr lang="es-MX" sz="1100" b="0" i="1">
                            <a:solidFill>
                              <a:schemeClr val="tx1"/>
                            </a:solidFill>
                            <a:effectLst/>
                            <a:latin typeface="Cambria Math" panose="02040503050406030204" pitchFamily="18" charset="0"/>
                            <a:ea typeface="+mn-ea"/>
                            <a:cs typeface="+mn-cs"/>
                          </a:rPr>
                          <m:t>)</m:t>
                        </m:r>
                      </m:den>
                    </m:f>
                    <m:r>
                      <a:rPr lang="es-MX" sz="1100" b="0" i="1">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000" b="0"/>
            </a:p>
            <a:p>
              <a:pPr/>
              <a14:m>
                <m:oMathPara xmlns:m="http://schemas.openxmlformats.org/officeDocument/2006/math">
                  <m:oMathParaPr>
                    <m:jc m:val="centerGroup"/>
                  </m:oMathParaPr>
                  <m:oMath xmlns:m="http://schemas.openxmlformats.org/officeDocument/2006/math">
                    <m:sSup>
                      <m:sSupPr>
                        <m:ctrlPr>
                          <a:rPr lang="es-MX" sz="1000" i="1">
                            <a:latin typeface="Cambria Math" panose="02040503050406030204" pitchFamily="18" charset="0"/>
                          </a:rPr>
                        </m:ctrlPr>
                      </m:sSupPr>
                      <m:e>
                        <m:d>
                          <m:dPr>
                            <m:ctrlPr>
                              <a:rPr lang="es-MX" sz="1000" i="1">
                                <a:latin typeface="Cambria Math" panose="02040503050406030204" pitchFamily="18" charset="0"/>
                              </a:rPr>
                            </m:ctrlPr>
                          </m:dPr>
                          <m:e>
                            <m:r>
                              <a:rPr lang="es-MX" sz="1000" b="0" i="1">
                                <a:latin typeface="Cambria Math" panose="02040503050406030204" pitchFamily="18" charset="0"/>
                              </a:rPr>
                              <m:t>.04∗2.49</m:t>
                            </m:r>
                          </m:e>
                        </m:d>
                        <m:r>
                          <a:rPr lang="es-MX" sz="1000" b="0" i="1">
                            <a:latin typeface="Cambria Math" panose="02040503050406030204" pitchFamily="18" charset="0"/>
                          </a:rPr>
                          <m:t>=.099 </m:t>
                        </m:r>
                        <m:r>
                          <a:rPr lang="es-MX" sz="1000" b="0" i="1">
                            <a:latin typeface="Cambria Math" panose="02040503050406030204" pitchFamily="18" charset="0"/>
                          </a:rPr>
                          <m:t>𝑑𝑜𝑙𝑎𝑟𝑒𝑠</m:t>
                        </m:r>
                      </m:e>
                      <m:sup/>
                    </m:sSup>
                  </m:oMath>
                </m:oMathPara>
              </a14:m>
              <a:endParaRPr lang="es-MX" sz="1000"/>
            </a:p>
          </xdr:txBody>
        </xdr:sp>
      </mc:Choice>
      <mc:Fallback xmlns="">
        <xdr:sp macro="" textlink="">
          <xdr:nvSpPr>
            <xdr:cNvPr id="190" name="CuadroTexto 189">
              <a:extLst>
                <a:ext uri="{FF2B5EF4-FFF2-40B4-BE49-F238E27FC236}">
                  <a16:creationId xmlns:a16="http://schemas.microsoft.com/office/drawing/2014/main" id="{3BD84893-B909-4055-B121-FB7DA7E944BD}"/>
                </a:ext>
              </a:extLst>
            </xdr:cNvPr>
            <xdr:cNvSpPr txBox="1"/>
          </xdr:nvSpPr>
          <xdr:spPr>
            <a:xfrm>
              <a:off x="10240066" y="95683457"/>
              <a:ext cx="1896717" cy="1176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𝑙 𝐴𝑔𝑢𝑎 )/(40 𝑙 𝐴)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1𝑚3/(?( .04)) </a:t>
              </a:r>
              <a:r>
                <a:rPr lang="es-MX" sz="1000" b="0" i="0">
                  <a:latin typeface="Cambria Math" panose="02040503050406030204" pitchFamily="18" charset="0"/>
                </a:rPr>
                <a:t> </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1𝑚3 )/(1 𝑚3)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$47.50 (𝑀𝑁))/(2.49 (𝐷𝑜𝑙𝑎𝑟𝑒𝑠))  </a:t>
              </a:r>
              <a:endParaRPr lang="es-MX" sz="1000">
                <a:effectLst/>
              </a:endParaRPr>
            </a:p>
            <a:p>
              <a:endParaRPr lang="es-MX" sz="1000" b="0"/>
            </a:p>
            <a:p>
              <a:pPr/>
              <a:r>
                <a:rPr lang="es-MX" sz="1000" i="0">
                  <a:latin typeface="Cambria Math" panose="02040503050406030204" pitchFamily="18" charset="0"/>
                </a:rPr>
                <a:t>〖(</a:t>
              </a:r>
              <a:r>
                <a:rPr lang="es-MX" sz="1000" b="0" i="0">
                  <a:latin typeface="Cambria Math" panose="02040503050406030204" pitchFamily="18" charset="0"/>
                </a:rPr>
                <a:t>.04∗2.49)=.099 𝑑𝑜𝑙𝑎𝑟𝑒𝑠〗^</a:t>
              </a:r>
              <a:endParaRPr lang="es-MX" sz="1000"/>
            </a:p>
          </xdr:txBody>
        </xdr:sp>
      </mc:Fallback>
    </mc:AlternateContent>
    <xdr:clientData/>
  </xdr:oneCellAnchor>
  <xdr:oneCellAnchor>
    <xdr:from>
      <xdr:col>10</xdr:col>
      <xdr:colOff>240196</xdr:colOff>
      <xdr:row>84</xdr:row>
      <xdr:rowOff>331304</xdr:rowOff>
    </xdr:from>
    <xdr:ext cx="1610784" cy="628650"/>
    <mc:AlternateContent xmlns:mc="http://schemas.openxmlformats.org/markup-compatibility/2006" xmlns:a14="http://schemas.microsoft.com/office/drawing/2010/main">
      <mc:Choice Requires="a14">
        <xdr:sp macro="" textlink="">
          <xdr:nvSpPr>
            <xdr:cNvPr id="194" name="CuadroTexto 193">
              <a:extLst>
                <a:ext uri="{FF2B5EF4-FFF2-40B4-BE49-F238E27FC236}">
                  <a16:creationId xmlns:a16="http://schemas.microsoft.com/office/drawing/2014/main" id="{A4D9747A-9CD4-45FD-ADF0-46B85275B5EA}"/>
                </a:ext>
              </a:extLst>
            </xdr:cNvPr>
            <xdr:cNvSpPr txBox="1"/>
          </xdr:nvSpPr>
          <xdr:spPr>
            <a:xfrm>
              <a:off x="10908196" y="55394087"/>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.0996</m:t>
                  </m:r>
                </m:oMath>
              </a14:m>
              <a:r>
                <a:rPr lang="es-MX" sz="1050" b="0" i="0">
                  <a:latin typeface="Cambria Math" panose="02040503050406030204" pitchFamily="18" charset="0"/>
                </a:rPr>
                <a:t>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99.60 </m:t>
                    </m:r>
                    <m:r>
                      <m:rPr>
                        <m:sty m:val="p"/>
                      </m:rPr>
                      <a:rPr lang="es-MX" sz="1050" b="0" i="0">
                        <a:solidFill>
                          <a:schemeClr val="tx1"/>
                        </a:solidFill>
                        <a:effectLst/>
                        <a:latin typeface="Cambria Math" panose="02040503050406030204" pitchFamily="18" charset="0"/>
                        <a:ea typeface="+mn-ea"/>
                        <a:cs typeface="+mn-cs"/>
                      </a:rPr>
                      <m:t>Dolares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94" name="CuadroTexto 193">
              <a:extLst>
                <a:ext uri="{FF2B5EF4-FFF2-40B4-BE49-F238E27FC236}">
                  <a16:creationId xmlns:a16="http://schemas.microsoft.com/office/drawing/2014/main" id="{A4D9747A-9CD4-45FD-ADF0-46B85275B5EA}"/>
                </a:ext>
              </a:extLst>
            </xdr:cNvPr>
            <xdr:cNvSpPr txBox="1"/>
          </xdr:nvSpPr>
          <xdr:spPr>
            <a:xfrm>
              <a:off x="10908196" y="55394087"/>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𝑃𝐸𝑇=.0996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𝑃𝐸𝑇=99.60 Dolares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twoCellAnchor editAs="oneCell">
    <xdr:from>
      <xdr:col>12</xdr:col>
      <xdr:colOff>2448341</xdr:colOff>
      <xdr:row>85</xdr:row>
      <xdr:rowOff>1043609</xdr:rowOff>
    </xdr:from>
    <xdr:to>
      <xdr:col>13</xdr:col>
      <xdr:colOff>57979</xdr:colOff>
      <xdr:row>86</xdr:row>
      <xdr:rowOff>69574</xdr:rowOff>
    </xdr:to>
    <xdr:pic>
      <xdr:nvPicPr>
        <xdr:cNvPr id="9" name="Gráfico 8" descr="Inalámbrico">
          <a:hlinkClick xmlns:r="http://schemas.openxmlformats.org/officeDocument/2006/relationships" r:id="rId46"/>
          <a:extLst>
            <a:ext uri="{FF2B5EF4-FFF2-40B4-BE49-F238E27FC236}">
              <a16:creationId xmlns:a16="http://schemas.microsoft.com/office/drawing/2014/main" id="{28FA397B-3195-4C13-A1AC-B7159779120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91993" y="57514435"/>
          <a:ext cx="425725" cy="425725"/>
        </a:xfrm>
        <a:prstGeom prst="rect">
          <a:avLst/>
        </a:prstGeom>
      </xdr:spPr>
    </xdr:pic>
    <xdr:clientData/>
  </xdr:twoCellAnchor>
  <xdr:twoCellAnchor editAs="oneCell">
    <xdr:from>
      <xdr:col>12</xdr:col>
      <xdr:colOff>2542761</xdr:colOff>
      <xdr:row>84</xdr:row>
      <xdr:rowOff>1129748</xdr:rowOff>
    </xdr:from>
    <xdr:to>
      <xdr:col>13</xdr:col>
      <xdr:colOff>57978</xdr:colOff>
      <xdr:row>85</xdr:row>
      <xdr:rowOff>53008</xdr:rowOff>
    </xdr:to>
    <xdr:pic>
      <xdr:nvPicPr>
        <xdr:cNvPr id="15" name="Gráfico 14" descr="Inalámbrico">
          <a:hlinkClick xmlns:r="http://schemas.openxmlformats.org/officeDocument/2006/relationships" r:id="rId47"/>
          <a:extLst>
            <a:ext uri="{FF2B5EF4-FFF2-40B4-BE49-F238E27FC236}">
              <a16:creationId xmlns:a16="http://schemas.microsoft.com/office/drawing/2014/main" id="{A1040129-6AAD-4772-9410-5228F45D43E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86413" y="56192531"/>
          <a:ext cx="331304" cy="331304"/>
        </a:xfrm>
        <a:prstGeom prst="rect">
          <a:avLst/>
        </a:prstGeom>
      </xdr:spPr>
    </xdr:pic>
    <xdr:clientData/>
  </xdr:twoCellAnchor>
  <xdr:twoCellAnchor editAs="oneCell">
    <xdr:from>
      <xdr:col>12</xdr:col>
      <xdr:colOff>2438400</xdr:colOff>
      <xdr:row>83</xdr:row>
      <xdr:rowOff>1350065</xdr:rowOff>
    </xdr:from>
    <xdr:to>
      <xdr:col>13</xdr:col>
      <xdr:colOff>77857</xdr:colOff>
      <xdr:row>84</xdr:row>
      <xdr:rowOff>397565</xdr:rowOff>
    </xdr:to>
    <xdr:pic>
      <xdr:nvPicPr>
        <xdr:cNvPr id="30" name="Gráfico 29" descr="Inalámbrico">
          <a:hlinkClick xmlns:r="http://schemas.openxmlformats.org/officeDocument/2006/relationships" r:id="rId48"/>
          <a:extLst>
            <a:ext uri="{FF2B5EF4-FFF2-40B4-BE49-F238E27FC236}">
              <a16:creationId xmlns:a16="http://schemas.microsoft.com/office/drawing/2014/main" id="{E94A6CA3-86CE-4D65-85D8-8ACCD0096DA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6200000">
          <a:off x="17082052" y="55004804"/>
          <a:ext cx="455544" cy="455544"/>
        </a:xfrm>
        <a:prstGeom prst="rect">
          <a:avLst/>
        </a:prstGeom>
      </xdr:spPr>
    </xdr:pic>
    <xdr:clientData/>
  </xdr:twoCellAnchor>
  <xdr:oneCellAnchor>
    <xdr:from>
      <xdr:col>8</xdr:col>
      <xdr:colOff>132522</xdr:colOff>
      <xdr:row>85</xdr:row>
      <xdr:rowOff>588065</xdr:rowOff>
    </xdr:from>
    <xdr:ext cx="1606827" cy="329770"/>
    <mc:AlternateContent xmlns:mc="http://schemas.openxmlformats.org/markup-compatibility/2006" xmlns:a14="http://schemas.microsoft.com/office/drawing/2010/main">
      <mc:Choice Requires="a14">
        <xdr:sp macro="" textlink="">
          <xdr:nvSpPr>
            <xdr:cNvPr id="196" name="CuadroTexto 195">
              <a:extLst>
                <a:ext uri="{FF2B5EF4-FFF2-40B4-BE49-F238E27FC236}">
                  <a16:creationId xmlns:a16="http://schemas.microsoft.com/office/drawing/2014/main" id="{09BBFF62-CFA4-470B-AC18-F289614FD807}"/>
                </a:ext>
              </a:extLst>
            </xdr:cNvPr>
            <xdr:cNvSpPr txBox="1"/>
          </xdr:nvSpPr>
          <xdr:spPr>
            <a:xfrm>
              <a:off x="6982239" y="57058891"/>
              <a:ext cx="160682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𝑘𝑤h</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kwh</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.258 </m:t>
                        </m:r>
                        <m:r>
                          <a:rPr lang="es-MX" sz="1000" b="0" i="1">
                            <a:solidFill>
                              <a:schemeClr val="tx1"/>
                            </a:solidFill>
                            <a:effectLst/>
                            <a:latin typeface="Cambria Math" panose="02040503050406030204" pitchFamily="18" charset="0"/>
                            <a:ea typeface="+mn-ea"/>
                            <a:cs typeface="+mn-cs"/>
                          </a:rPr>
                          <m:t>𝑑𝑜𝑙𝑎𝑟𝑒𝑠</m:t>
                        </m:r>
                      </m:num>
                      <m:den>
                        <m:r>
                          <a:rPr lang="es-MX" sz="1000" b="0" i="0">
                            <a:solidFill>
                              <a:schemeClr val="tx1"/>
                            </a:solidFill>
                            <a:effectLst/>
                            <a:latin typeface="Cambria Math" panose="02040503050406030204" pitchFamily="18" charset="0"/>
                            <a:ea typeface="+mn-ea"/>
                            <a:cs typeface="+mn-cs"/>
                          </a:rPr>
                          <m:t>?(</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196" name="CuadroTexto 195">
              <a:extLst>
                <a:ext uri="{FF2B5EF4-FFF2-40B4-BE49-F238E27FC236}">
                  <a16:creationId xmlns:a16="http://schemas.microsoft.com/office/drawing/2014/main" id="{09BBFF62-CFA4-470B-AC18-F289614FD807}"/>
                </a:ext>
              </a:extLst>
            </xdr:cNvPr>
            <xdr:cNvSpPr txBox="1"/>
          </xdr:nvSpPr>
          <xdr:spPr>
            <a:xfrm>
              <a:off x="6982239" y="57058891"/>
              <a:ext cx="160682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𝑘𝑤ℎ )/(n kwh)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.258 𝑑𝑜𝑙𝑎𝑟𝑒𝑠)/(?())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527326</xdr:colOff>
      <xdr:row>85</xdr:row>
      <xdr:rowOff>606701</xdr:rowOff>
    </xdr:from>
    <xdr:ext cx="1606827" cy="329770"/>
    <mc:AlternateContent xmlns:mc="http://schemas.openxmlformats.org/markup-compatibility/2006" xmlns:a14="http://schemas.microsoft.com/office/drawing/2010/main">
      <mc:Choice Requires="a14">
        <xdr:sp macro="" textlink="">
          <xdr:nvSpPr>
            <xdr:cNvPr id="197" name="CuadroTexto 196">
              <a:extLst>
                <a:ext uri="{FF2B5EF4-FFF2-40B4-BE49-F238E27FC236}">
                  <a16:creationId xmlns:a16="http://schemas.microsoft.com/office/drawing/2014/main" id="{24B73F08-F543-4B53-88CB-E8022EEC4B4E}"/>
                </a:ext>
              </a:extLst>
            </xdr:cNvPr>
            <xdr:cNvSpPr txBox="1"/>
          </xdr:nvSpPr>
          <xdr:spPr>
            <a:xfrm>
              <a:off x="10353951" y="97539451"/>
              <a:ext cx="160682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𝑘𝑤h</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20.528 </m:t>
                        </m:r>
                        <m:r>
                          <m:rPr>
                            <m:sty m:val="p"/>
                          </m:rPr>
                          <a:rPr lang="es-MX" sz="1000" b="0" i="0">
                            <a:solidFill>
                              <a:schemeClr val="tx1"/>
                            </a:solidFill>
                            <a:effectLst/>
                            <a:latin typeface="Cambria Math" panose="02040503050406030204" pitchFamily="18" charset="0"/>
                            <a:ea typeface="+mn-ea"/>
                            <a:cs typeface="+mn-cs"/>
                          </a:rPr>
                          <m:t>kwh</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.258 </m:t>
                        </m:r>
                        <m:r>
                          <a:rPr lang="es-MX" sz="1000" b="0" i="1">
                            <a:solidFill>
                              <a:schemeClr val="tx1"/>
                            </a:solidFill>
                            <a:effectLst/>
                            <a:latin typeface="Cambria Math" panose="02040503050406030204" pitchFamily="18" charset="0"/>
                            <a:ea typeface="+mn-ea"/>
                            <a:cs typeface="+mn-cs"/>
                          </a:rPr>
                          <m:t>𝑑𝑜𝑙𝑎𝑟𝑒𝑠</m:t>
                        </m:r>
                      </m:num>
                      <m:den>
                        <m:r>
                          <a:rPr lang="es-MX" sz="1000" b="0" i="0">
                            <a:solidFill>
                              <a:schemeClr val="tx1"/>
                            </a:solidFill>
                            <a:effectLst/>
                            <a:latin typeface="Cambria Math" panose="02040503050406030204" pitchFamily="18" charset="0"/>
                            <a:ea typeface="+mn-ea"/>
                            <a:cs typeface="+mn-cs"/>
                          </a:rPr>
                          <m:t>?(</m:t>
                        </m:r>
                        <m:r>
                          <a:rPr lang="es-MX" sz="1000" b="0" i="1">
                            <a:solidFill>
                              <a:schemeClr val="tx1"/>
                            </a:solidFill>
                            <a:effectLst/>
                            <a:latin typeface="Cambria Math" panose="02040503050406030204" pitchFamily="18" charset="0"/>
                            <a:ea typeface="+mn-ea"/>
                            <a:cs typeface="+mn-cs"/>
                          </a:rPr>
                          <m:t>5)</m:t>
                        </m:r>
                      </m:den>
                    </m:f>
                    <m:r>
                      <a:rPr lang="es-MX" sz="1000" b="0" i="1">
                        <a:latin typeface="Cambria Math" panose="02040503050406030204" pitchFamily="18" charset="0"/>
                      </a:rPr>
                      <m:t> </m:t>
                    </m:r>
                  </m:oMath>
                </m:oMathPara>
              </a14:m>
              <a:endParaRPr lang="es-MX" sz="1000"/>
            </a:p>
          </xdr:txBody>
        </xdr:sp>
      </mc:Choice>
      <mc:Fallback xmlns="">
        <xdr:sp macro="" textlink="">
          <xdr:nvSpPr>
            <xdr:cNvPr id="197" name="CuadroTexto 196">
              <a:extLst>
                <a:ext uri="{FF2B5EF4-FFF2-40B4-BE49-F238E27FC236}">
                  <a16:creationId xmlns:a16="http://schemas.microsoft.com/office/drawing/2014/main" id="{24B73F08-F543-4B53-88CB-E8022EEC4B4E}"/>
                </a:ext>
              </a:extLst>
            </xdr:cNvPr>
            <xdr:cNvSpPr txBox="1"/>
          </xdr:nvSpPr>
          <xdr:spPr>
            <a:xfrm>
              <a:off x="10353951" y="97539451"/>
              <a:ext cx="160682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𝑘𝑤ℎ )/(20.528 kwh)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.258 𝑑𝑜𝑙𝑎𝑟𝑒𝑠)/(?(5))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207065</xdr:colOff>
      <xdr:row>85</xdr:row>
      <xdr:rowOff>364435</xdr:rowOff>
    </xdr:from>
    <xdr:ext cx="1610784" cy="628650"/>
    <mc:AlternateContent xmlns:mc="http://schemas.openxmlformats.org/markup-compatibility/2006" xmlns:a14="http://schemas.microsoft.com/office/drawing/2010/main">
      <mc:Choice Requires="a14">
        <xdr:sp macro="" textlink="">
          <xdr:nvSpPr>
            <xdr:cNvPr id="198" name="CuadroTexto 197">
              <a:extLst>
                <a:ext uri="{FF2B5EF4-FFF2-40B4-BE49-F238E27FC236}">
                  <a16:creationId xmlns:a16="http://schemas.microsoft.com/office/drawing/2014/main" id="{11556096-DAC4-467F-A8FC-4266BEB5DBE7}"/>
                </a:ext>
              </a:extLst>
            </xdr:cNvPr>
            <xdr:cNvSpPr txBox="1"/>
          </xdr:nvSpPr>
          <xdr:spPr>
            <a:xfrm>
              <a:off x="10875065" y="56835261"/>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oMath>
              </a14:m>
              <a:r>
                <a:rPr lang="es-MX" sz="1050" b="0" i="0">
                  <a:latin typeface="Cambria Math" panose="02040503050406030204" pitchFamily="18" charset="0"/>
                </a:rPr>
                <a:t> 5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5,296 </m:t>
                    </m:r>
                    <m:r>
                      <m:rPr>
                        <m:sty m:val="p"/>
                      </m:rPr>
                      <a:rPr lang="es-MX" sz="1050" b="0" i="0">
                        <a:solidFill>
                          <a:schemeClr val="tx1"/>
                        </a:solidFill>
                        <a:effectLst/>
                        <a:latin typeface="Cambria Math" panose="02040503050406030204" pitchFamily="18" charset="0"/>
                        <a:ea typeface="+mn-ea"/>
                        <a:cs typeface="+mn-cs"/>
                      </a:rPr>
                      <m:t>Dolares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98" name="CuadroTexto 197">
              <a:extLst>
                <a:ext uri="{FF2B5EF4-FFF2-40B4-BE49-F238E27FC236}">
                  <a16:creationId xmlns:a16="http://schemas.microsoft.com/office/drawing/2014/main" id="{11556096-DAC4-467F-A8FC-4266BEB5DBE7}"/>
                </a:ext>
              </a:extLst>
            </xdr:cNvPr>
            <xdr:cNvSpPr txBox="1"/>
          </xdr:nvSpPr>
          <xdr:spPr>
            <a:xfrm>
              <a:off x="10875065" y="56835261"/>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 5 Dolares</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𝑃𝐸𝑇=5,296 Dolares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11</xdr:col>
      <xdr:colOff>1880152</xdr:colOff>
      <xdr:row>84</xdr:row>
      <xdr:rowOff>1101586</xdr:rowOff>
    </xdr:from>
    <xdr:ext cx="364435" cy="364435"/>
    <xdr:pic>
      <xdr:nvPicPr>
        <xdr:cNvPr id="199" name="Gráfico 198" descr="Inalámbrico">
          <a:hlinkClick xmlns:r="http://schemas.openxmlformats.org/officeDocument/2006/relationships" r:id="rId44"/>
          <a:extLst>
            <a:ext uri="{FF2B5EF4-FFF2-40B4-BE49-F238E27FC236}">
              <a16:creationId xmlns:a16="http://schemas.microsoft.com/office/drawing/2014/main" id="{137728A1-B4BF-43B7-AAA5-F6F2290A5D1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5400000">
          <a:off x="14602239" y="54756325"/>
          <a:ext cx="364435" cy="364435"/>
        </a:xfrm>
        <a:prstGeom prst="rect">
          <a:avLst/>
        </a:prstGeom>
      </xdr:spPr>
    </xdr:pic>
    <xdr:clientData/>
  </xdr:oneCellAnchor>
  <xdr:oneCellAnchor>
    <xdr:from>
      <xdr:col>8</xdr:col>
      <xdr:colOff>399636</xdr:colOff>
      <xdr:row>95</xdr:row>
      <xdr:rowOff>429316</xdr:rowOff>
    </xdr:from>
    <xdr:ext cx="1606827" cy="319255"/>
    <mc:AlternateContent xmlns:mc="http://schemas.openxmlformats.org/markup-compatibility/2006" xmlns:a14="http://schemas.microsoft.com/office/drawing/2010/main">
      <mc:Choice Requires="a14">
        <xdr:sp macro="" textlink="">
          <xdr:nvSpPr>
            <xdr:cNvPr id="200" name="CuadroTexto 199">
              <a:extLst>
                <a:ext uri="{FF2B5EF4-FFF2-40B4-BE49-F238E27FC236}">
                  <a16:creationId xmlns:a16="http://schemas.microsoft.com/office/drawing/2014/main" id="{D2597609-3D23-4C6A-93A4-FDC3AEB034F4}"/>
                </a:ext>
              </a:extLst>
            </xdr:cNvPr>
            <xdr:cNvSpPr txBox="1"/>
          </xdr:nvSpPr>
          <xdr:spPr>
            <a:xfrm>
              <a:off x="7797386" y="108061816"/>
              <a:ext cx="1606827" cy="3192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25</m:t>
                        </m:r>
                        <m:r>
                          <a:rPr lang="es-MX" sz="1000" b="0" i="1">
                            <a:solidFill>
                              <a:schemeClr val="tx1"/>
                            </a:solidFill>
                            <a:effectLst/>
                            <a:latin typeface="Cambria Math" panose="02040503050406030204" pitchFamily="18" charset="0"/>
                            <a:ea typeface="+mn-ea"/>
                            <a:cs typeface="+mn-cs"/>
                          </a:rPr>
                          <m:t>𝑔</m:t>
                        </m:r>
                      </m:num>
                      <m:den>
                        <m:r>
                          <a:rPr lang="es-MX" sz="1000" b="0" i="0">
                            <a:solidFill>
                              <a:schemeClr val="tx1"/>
                            </a:solidFill>
                            <a:effectLst/>
                            <a:latin typeface="Cambria Math" panose="02040503050406030204" pitchFamily="18" charset="0"/>
                            <a:ea typeface="+mn-ea"/>
                            <a:cs typeface="+mn-cs"/>
                          </a:rPr>
                          <m:t>1000</m:t>
                        </m:r>
                        <m:r>
                          <m:rPr>
                            <m:sty m:val="p"/>
                          </m:rPr>
                          <a:rPr lang="es-MX" sz="1000" b="0" i="0">
                            <a:solidFill>
                              <a:schemeClr val="tx1"/>
                            </a:solidFill>
                            <a:effectLst/>
                            <a:latin typeface="Cambria Math" panose="02040503050406030204" pitchFamily="18" charset="0"/>
                            <a:ea typeface="+mn-ea"/>
                            <a:cs typeface="+mn-cs"/>
                          </a:rPr>
                          <m:t>g</m:t>
                        </m:r>
                      </m:den>
                    </m:f>
                    <m:r>
                      <a:rPr lang="es-MX" sz="1000" b="0" i="1">
                        <a:latin typeface="Cambria Math" panose="02040503050406030204" pitchFamily="18" charset="0"/>
                      </a:rPr>
                      <m:t> </m:t>
                    </m:r>
                  </m:oMath>
                </m:oMathPara>
              </a14:m>
              <a:endParaRPr lang="es-MX" sz="1000"/>
            </a:p>
          </xdr:txBody>
        </xdr:sp>
      </mc:Choice>
      <mc:Fallback xmlns="">
        <xdr:sp macro="" textlink="">
          <xdr:nvSpPr>
            <xdr:cNvPr id="200" name="CuadroTexto 199">
              <a:extLst>
                <a:ext uri="{FF2B5EF4-FFF2-40B4-BE49-F238E27FC236}">
                  <a16:creationId xmlns:a16="http://schemas.microsoft.com/office/drawing/2014/main" id="{D2597609-3D23-4C6A-93A4-FDC3AEB034F4}"/>
                </a:ext>
              </a:extLst>
            </xdr:cNvPr>
            <xdr:cNvSpPr txBox="1"/>
          </xdr:nvSpPr>
          <xdr:spPr>
            <a:xfrm>
              <a:off x="7797386" y="108061816"/>
              <a:ext cx="1606827" cy="3192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 𝑃𝐸𝑇 )/(?())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25𝑔/1000g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529396</xdr:colOff>
      <xdr:row>95</xdr:row>
      <xdr:rowOff>381000</xdr:rowOff>
    </xdr:from>
    <xdr:ext cx="1606827" cy="319255"/>
    <mc:AlternateContent xmlns:mc="http://schemas.openxmlformats.org/markup-compatibility/2006" xmlns:a14="http://schemas.microsoft.com/office/drawing/2010/main">
      <mc:Choice Requires="a14">
        <xdr:sp macro="" textlink="">
          <xdr:nvSpPr>
            <xdr:cNvPr id="201" name="CuadroTexto 200">
              <a:extLst>
                <a:ext uri="{FF2B5EF4-FFF2-40B4-BE49-F238E27FC236}">
                  <a16:creationId xmlns:a16="http://schemas.microsoft.com/office/drawing/2014/main" id="{5E28E3FD-22C2-425D-91EB-D0C28BD7E2FE}"/>
                </a:ext>
              </a:extLst>
            </xdr:cNvPr>
            <xdr:cNvSpPr txBox="1"/>
          </xdr:nvSpPr>
          <xdr:spPr>
            <a:xfrm>
              <a:off x="10356021" y="108013500"/>
              <a:ext cx="1606827" cy="3192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𝑃𝐸𝑇</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?(40)</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25</m:t>
                        </m:r>
                        <m:r>
                          <a:rPr lang="es-MX" sz="1000" b="0" i="1">
                            <a:solidFill>
                              <a:schemeClr val="tx1"/>
                            </a:solidFill>
                            <a:effectLst/>
                            <a:latin typeface="Cambria Math" panose="02040503050406030204" pitchFamily="18" charset="0"/>
                            <a:ea typeface="+mn-ea"/>
                            <a:cs typeface="+mn-cs"/>
                          </a:rPr>
                          <m:t>𝑔</m:t>
                        </m:r>
                      </m:num>
                      <m:den>
                        <m:r>
                          <a:rPr lang="es-MX" sz="1000" b="0" i="0">
                            <a:solidFill>
                              <a:schemeClr val="tx1"/>
                            </a:solidFill>
                            <a:effectLst/>
                            <a:latin typeface="Cambria Math" panose="02040503050406030204" pitchFamily="18" charset="0"/>
                            <a:ea typeface="+mn-ea"/>
                            <a:cs typeface="+mn-cs"/>
                          </a:rPr>
                          <m:t>1000</m:t>
                        </m:r>
                        <m:r>
                          <m:rPr>
                            <m:sty m:val="p"/>
                          </m:rPr>
                          <a:rPr lang="es-MX" sz="1000" b="0" i="0">
                            <a:solidFill>
                              <a:schemeClr val="tx1"/>
                            </a:solidFill>
                            <a:effectLst/>
                            <a:latin typeface="Cambria Math" panose="02040503050406030204" pitchFamily="18" charset="0"/>
                            <a:ea typeface="+mn-ea"/>
                            <a:cs typeface="+mn-cs"/>
                          </a:rPr>
                          <m:t>g</m:t>
                        </m:r>
                      </m:den>
                    </m:f>
                    <m:r>
                      <a:rPr lang="es-MX" sz="1000" b="0" i="1">
                        <a:latin typeface="Cambria Math" panose="02040503050406030204" pitchFamily="18" charset="0"/>
                      </a:rPr>
                      <m:t> </m:t>
                    </m:r>
                  </m:oMath>
                </m:oMathPara>
              </a14:m>
              <a:endParaRPr lang="es-MX" sz="1000"/>
            </a:p>
          </xdr:txBody>
        </xdr:sp>
      </mc:Choice>
      <mc:Fallback xmlns="">
        <xdr:sp macro="" textlink="">
          <xdr:nvSpPr>
            <xdr:cNvPr id="201" name="CuadroTexto 200">
              <a:extLst>
                <a:ext uri="{FF2B5EF4-FFF2-40B4-BE49-F238E27FC236}">
                  <a16:creationId xmlns:a16="http://schemas.microsoft.com/office/drawing/2014/main" id="{5E28E3FD-22C2-425D-91EB-D0C28BD7E2FE}"/>
                </a:ext>
              </a:extLst>
            </xdr:cNvPr>
            <xdr:cNvSpPr txBox="1"/>
          </xdr:nvSpPr>
          <xdr:spPr>
            <a:xfrm>
              <a:off x="10356021" y="108013500"/>
              <a:ext cx="1606827" cy="3192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 𝑃𝐸𝑇 )/(?(40))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25𝑔/1000g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371336</xdr:colOff>
      <xdr:row>95</xdr:row>
      <xdr:rowOff>389282</xdr:rowOff>
    </xdr:from>
    <xdr:ext cx="1805609" cy="628650"/>
    <mc:AlternateContent xmlns:mc="http://schemas.openxmlformats.org/markup-compatibility/2006" xmlns:a14="http://schemas.microsoft.com/office/drawing/2010/main">
      <mc:Choice Requires="a14">
        <xdr:sp macro="" textlink="">
          <xdr:nvSpPr>
            <xdr:cNvPr id="202" name="CuadroTexto 201">
              <a:extLst>
                <a:ext uri="{FF2B5EF4-FFF2-40B4-BE49-F238E27FC236}">
                  <a16:creationId xmlns:a16="http://schemas.microsoft.com/office/drawing/2014/main" id="{FB4B8450-7A8A-405F-9AFB-6C12897D9812}"/>
                </a:ext>
              </a:extLst>
            </xdr:cNvPr>
            <xdr:cNvSpPr txBox="1"/>
          </xdr:nvSpPr>
          <xdr:spPr>
            <a:xfrm>
              <a:off x="12753836" y="108021782"/>
              <a:ext cx="180560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oMath>
              </a14:m>
              <a:r>
                <a:rPr lang="es-MX" sz="1050" b="0" i="0">
                  <a:latin typeface="Cambria Math" panose="02040503050406030204" pitchFamily="18" charset="0"/>
                </a:rPr>
                <a:t> 40</a:t>
              </a:r>
              <a:r>
                <a:rPr lang="es-MX" sz="1050" b="0" i="0" baseline="0">
                  <a:latin typeface="Cambria Math" panose="02040503050406030204" pitchFamily="18" charset="0"/>
                </a:rPr>
                <a:t> botellas</a:t>
              </a:r>
              <a:endParaRPr lang="es-MX" sz="1050" b="0" i="0">
                <a:latin typeface="Cambria Math" panose="02040503050406030204" pitchFamily="18" charset="0"/>
              </a:endParaRP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40,000 </m:t>
                    </m:r>
                    <m:r>
                      <m:rPr>
                        <m:sty m:val="p"/>
                      </m:rPr>
                      <a:rPr lang="es-MX" sz="1050" b="0" i="0">
                        <a:solidFill>
                          <a:schemeClr val="tx1"/>
                        </a:solidFill>
                        <a:effectLst/>
                        <a:latin typeface="Cambria Math" panose="02040503050406030204" pitchFamily="18" charset="0"/>
                        <a:ea typeface="+mn-ea"/>
                        <a:cs typeface="+mn-cs"/>
                      </a:rPr>
                      <m:t>botellas</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202" name="CuadroTexto 201">
              <a:extLst>
                <a:ext uri="{FF2B5EF4-FFF2-40B4-BE49-F238E27FC236}">
                  <a16:creationId xmlns:a16="http://schemas.microsoft.com/office/drawing/2014/main" id="{FB4B8450-7A8A-405F-9AFB-6C12897D9812}"/>
                </a:ext>
              </a:extLst>
            </xdr:cNvPr>
            <xdr:cNvSpPr txBox="1"/>
          </xdr:nvSpPr>
          <xdr:spPr>
            <a:xfrm>
              <a:off x="12753836" y="108021782"/>
              <a:ext cx="180560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 40</a:t>
              </a:r>
              <a:r>
                <a:rPr lang="es-MX" sz="1050" b="0" i="0" baseline="0">
                  <a:latin typeface="Cambria Math" panose="02040503050406030204" pitchFamily="18" charset="0"/>
                </a:rPr>
                <a:t> botellas</a:t>
              </a:r>
              <a:endParaRPr lang="es-MX" sz="1050" b="0" i="0">
                <a:latin typeface="Cambria Math" panose="02040503050406030204" pitchFamily="18" charset="0"/>
              </a:endParaRP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𝑃𝐸𝑇=40,000 botellas</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256761</xdr:colOff>
      <xdr:row>6</xdr:row>
      <xdr:rowOff>977348</xdr:rowOff>
    </xdr:from>
    <xdr:ext cx="1404744" cy="250453"/>
    <mc:AlternateContent xmlns:mc="http://schemas.openxmlformats.org/markup-compatibility/2006" xmlns:a14="http://schemas.microsoft.com/office/drawing/2010/main">
      <mc:Choice Requires="a14">
        <xdr:sp macro="" textlink="">
          <xdr:nvSpPr>
            <xdr:cNvPr id="183" name="CuadroTexto 182">
              <a:extLst>
                <a:ext uri="{FF2B5EF4-FFF2-40B4-BE49-F238E27FC236}">
                  <a16:creationId xmlns:a16="http://schemas.microsoft.com/office/drawing/2014/main" id="{5C4570A2-2C73-4C29-9FF4-88294E05760C}"/>
                </a:ext>
              </a:extLst>
            </xdr:cNvPr>
            <xdr:cNvSpPr txBox="1"/>
          </xdr:nvSpPr>
          <xdr:spPr>
            <a:xfrm>
              <a:off x="7106478" y="5449957"/>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endParaRPr lang="es-MX" sz="800" b="0"/>
            </a:p>
          </xdr:txBody>
        </xdr:sp>
      </mc:Choice>
      <mc:Fallback xmlns="">
        <xdr:sp macro="" textlink="">
          <xdr:nvSpPr>
            <xdr:cNvPr id="183" name="CuadroTexto 182">
              <a:extLst>
                <a:ext uri="{FF2B5EF4-FFF2-40B4-BE49-F238E27FC236}">
                  <a16:creationId xmlns:a16="http://schemas.microsoft.com/office/drawing/2014/main" id="{5C4570A2-2C73-4C29-9FF4-88294E05760C}"/>
                </a:ext>
              </a:extLst>
            </xdr:cNvPr>
            <xdr:cNvSpPr txBox="1"/>
          </xdr:nvSpPr>
          <xdr:spPr>
            <a:xfrm>
              <a:off x="7106478" y="5449957"/>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endParaRPr lang="es-MX" sz="800" b="0"/>
            </a:p>
          </xdr:txBody>
        </xdr:sp>
      </mc:Fallback>
    </mc:AlternateContent>
    <xdr:clientData/>
  </xdr:oneCellAnchor>
  <xdr:oneCellAnchor>
    <xdr:from>
      <xdr:col>8</xdr:col>
      <xdr:colOff>596347</xdr:colOff>
      <xdr:row>45</xdr:row>
      <xdr:rowOff>414128</xdr:rowOff>
    </xdr:from>
    <xdr:ext cx="687457" cy="221664"/>
    <mc:AlternateContent xmlns:mc="http://schemas.openxmlformats.org/markup-compatibility/2006" xmlns:a14="http://schemas.microsoft.com/office/drawing/2010/main">
      <mc:Choice Requires="a14">
        <xdr:sp macro="" textlink="">
          <xdr:nvSpPr>
            <xdr:cNvPr id="195" name="CuadroTexto 194">
              <a:extLst>
                <a:ext uri="{FF2B5EF4-FFF2-40B4-BE49-F238E27FC236}">
                  <a16:creationId xmlns:a16="http://schemas.microsoft.com/office/drawing/2014/main" id="{323D90CD-D140-47AE-B7C6-F0E3F534F893}"/>
                </a:ext>
              </a:extLst>
            </xdr:cNvPr>
            <xdr:cNvSpPr txBox="1"/>
          </xdr:nvSpPr>
          <xdr:spPr>
            <a:xfrm>
              <a:off x="7446064" y="33039324"/>
              <a:ext cx="687457" cy="221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EA</a:t>
              </a:r>
              <a14:m>
                <m:oMath xmlns:m="http://schemas.openxmlformats.org/officeDocument/2006/math">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𝑘𝑔𝑃𝐸𝑇</m:t>
                      </m:r>
                    </m:num>
                    <m:den>
                      <m:r>
                        <a:rPr lang="es-MX" sz="1000" b="0" i="1">
                          <a:latin typeface="Cambria Math" panose="02040503050406030204" pitchFamily="18" charset="0"/>
                        </a:rPr>
                        <m:t>𝑐𝑒𝑎</m:t>
                      </m:r>
                    </m:den>
                  </m:f>
                </m:oMath>
              </a14:m>
              <a:endParaRPr lang="es-MX" sz="1000" b="0"/>
            </a:p>
          </xdr:txBody>
        </xdr:sp>
      </mc:Choice>
      <mc:Fallback xmlns="">
        <xdr:sp macro="" textlink="">
          <xdr:nvSpPr>
            <xdr:cNvPr id="195" name="CuadroTexto 194">
              <a:extLst>
                <a:ext uri="{FF2B5EF4-FFF2-40B4-BE49-F238E27FC236}">
                  <a16:creationId xmlns:a16="http://schemas.microsoft.com/office/drawing/2014/main" id="{323D90CD-D140-47AE-B7C6-F0E3F534F893}"/>
                </a:ext>
              </a:extLst>
            </xdr:cNvPr>
            <xdr:cNvSpPr txBox="1"/>
          </xdr:nvSpPr>
          <xdr:spPr>
            <a:xfrm>
              <a:off x="7446064" y="33039324"/>
              <a:ext cx="687457" cy="221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a:t>EA</a:t>
              </a:r>
              <a:r>
                <a:rPr lang="es-MX" sz="1000" b="0" i="0">
                  <a:latin typeface="Cambria Math" panose="02040503050406030204" pitchFamily="18" charset="0"/>
                </a:rPr>
                <a:t>=𝑘𝑔𝑃𝐸𝑇/𝑐𝑒𝑎</a:t>
              </a:r>
              <a:endParaRPr lang="es-MX" sz="1000" b="0"/>
            </a:p>
          </xdr:txBody>
        </xdr:sp>
      </mc:Fallback>
    </mc:AlternateContent>
    <xdr:clientData/>
  </xdr:oneCellAnchor>
  <xdr:oneCellAnchor>
    <xdr:from>
      <xdr:col>8</xdr:col>
      <xdr:colOff>124239</xdr:colOff>
      <xdr:row>45</xdr:row>
      <xdr:rowOff>869674</xdr:rowOff>
    </xdr:from>
    <xdr:ext cx="1745927" cy="370743"/>
    <mc:AlternateContent xmlns:mc="http://schemas.openxmlformats.org/markup-compatibility/2006" xmlns:a14="http://schemas.microsoft.com/office/drawing/2010/main">
      <mc:Choice Requires="a14">
        <xdr:sp macro="" textlink="">
          <xdr:nvSpPr>
            <xdr:cNvPr id="203" name="CuadroTexto 202">
              <a:extLst>
                <a:ext uri="{FF2B5EF4-FFF2-40B4-BE49-F238E27FC236}">
                  <a16:creationId xmlns:a16="http://schemas.microsoft.com/office/drawing/2014/main" id="{A027705F-7F52-4C03-A816-BE16684E9AD6}"/>
                </a:ext>
              </a:extLst>
            </xdr:cNvPr>
            <xdr:cNvSpPr txBox="1"/>
          </xdr:nvSpPr>
          <xdr:spPr>
            <a:xfrm>
              <a:off x="6973956" y="33494870"/>
              <a:ext cx="1745927" cy="3707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m:t>
                    </m:r>
                  </m:oMath>
                </m:oMathPara>
              </a14:m>
              <a:endParaRPr lang="es-MX" sz="800" b="0" i="1">
                <a:latin typeface="Cambria Math" panose="02040503050406030204" pitchFamily="18" charset="0"/>
              </a:endParaRPr>
            </a:p>
            <a:p>
              <a14:m>
                <m:oMath xmlns:m="http://schemas.openxmlformats.org/officeDocument/2006/math">
                  <m:r>
                    <m:rPr>
                      <m:sty m:val="p"/>
                    </m:rPr>
                    <a:rPr lang="es-MX" sz="800" b="0" i="0">
                      <a:latin typeface="Cambria Math" panose="02040503050406030204" pitchFamily="18" charset="0"/>
                    </a:rPr>
                    <m:t>kgPET</m:t>
                  </m:r>
                </m:oMath>
              </a14:m>
              <a:r>
                <a:rPr lang="es-MX" sz="800" b="0"/>
                <a:t> representa número de kilos de</a:t>
              </a:r>
              <a:r>
                <a:rPr lang="es-MX" sz="800" b="0" baseline="0"/>
                <a:t> pet</a:t>
              </a:r>
              <a:endParaRPr lang="es-MX" sz="800" b="0"/>
            </a:p>
            <a:p>
              <a:r>
                <a:rPr lang="es-MX" sz="800" b="0"/>
                <a:t>Ea representa</a:t>
              </a:r>
              <a:r>
                <a:rPr lang="es-MX" sz="800" b="0" baseline="0"/>
                <a:t>  capacidad del Estadio </a:t>
              </a:r>
              <a:endParaRPr lang="es-MX" sz="800" b="0"/>
            </a:p>
          </xdr:txBody>
        </xdr:sp>
      </mc:Choice>
      <mc:Fallback xmlns="">
        <xdr:sp macro="" textlink="">
          <xdr:nvSpPr>
            <xdr:cNvPr id="203" name="CuadroTexto 202">
              <a:extLst>
                <a:ext uri="{FF2B5EF4-FFF2-40B4-BE49-F238E27FC236}">
                  <a16:creationId xmlns:a16="http://schemas.microsoft.com/office/drawing/2014/main" id="{A027705F-7F52-4C03-A816-BE16684E9AD6}"/>
                </a:ext>
              </a:extLst>
            </xdr:cNvPr>
            <xdr:cNvSpPr txBox="1"/>
          </xdr:nvSpPr>
          <xdr:spPr>
            <a:xfrm>
              <a:off x="6973956" y="33494870"/>
              <a:ext cx="1745927" cy="3707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a:t>
              </a:r>
              <a:endParaRPr lang="es-MX" sz="800" b="0" i="1">
                <a:latin typeface="Cambria Math" panose="02040503050406030204" pitchFamily="18" charset="0"/>
              </a:endParaRPr>
            </a:p>
            <a:p>
              <a:r>
                <a:rPr lang="es-MX" sz="800" b="0" i="0">
                  <a:latin typeface="Cambria Math" panose="02040503050406030204" pitchFamily="18" charset="0"/>
                </a:rPr>
                <a:t>kgPET</a:t>
              </a:r>
              <a:r>
                <a:rPr lang="es-MX" sz="800" b="0"/>
                <a:t> representa número de kilos de</a:t>
              </a:r>
              <a:r>
                <a:rPr lang="es-MX" sz="800" b="0" baseline="0"/>
                <a:t> pet</a:t>
              </a:r>
              <a:endParaRPr lang="es-MX" sz="800" b="0"/>
            </a:p>
            <a:p>
              <a:r>
                <a:rPr lang="es-MX" sz="800" b="0"/>
                <a:t>Ea representa</a:t>
              </a:r>
              <a:r>
                <a:rPr lang="es-MX" sz="800" b="0" baseline="0"/>
                <a:t>  capacidad del Estadio </a:t>
              </a:r>
              <a:endParaRPr lang="es-MX" sz="800" b="0"/>
            </a:p>
          </xdr:txBody>
        </xdr:sp>
      </mc:Fallback>
    </mc:AlternateContent>
    <xdr:clientData/>
  </xdr:oneCellAnchor>
  <xdr:oneCellAnchor>
    <xdr:from>
      <xdr:col>10</xdr:col>
      <xdr:colOff>207065</xdr:colOff>
      <xdr:row>65</xdr:row>
      <xdr:rowOff>463826</xdr:rowOff>
    </xdr:from>
    <xdr:ext cx="1610784" cy="628650"/>
    <mc:AlternateContent xmlns:mc="http://schemas.openxmlformats.org/markup-compatibility/2006" xmlns:a14="http://schemas.microsoft.com/office/drawing/2010/main">
      <mc:Choice Requires="a14">
        <xdr:sp macro="" textlink="">
          <xdr:nvSpPr>
            <xdr:cNvPr id="208" name="CuadroTexto 207">
              <a:extLst>
                <a:ext uri="{FF2B5EF4-FFF2-40B4-BE49-F238E27FC236}">
                  <a16:creationId xmlns:a16="http://schemas.microsoft.com/office/drawing/2014/main" id="{FA5F87AB-7574-4E6C-BCE1-9BF5543FE1A2}"/>
                </a:ext>
              </a:extLst>
            </xdr:cNvPr>
            <xdr:cNvSpPr txBox="1"/>
          </xdr:nvSpPr>
          <xdr:spPr>
            <a:xfrm>
              <a:off x="10875065" y="46167261"/>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2.355</m:t>
                  </m:r>
                </m:oMath>
              </a14:m>
              <a:r>
                <a:rPr lang="es-MX" sz="1050" b="0" i="0">
                  <a:latin typeface="Cambria Math" panose="02040503050406030204" pitchFamily="18" charset="0"/>
                </a:rPr>
                <a:t>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2,355 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208" name="CuadroTexto 207">
              <a:extLst>
                <a:ext uri="{FF2B5EF4-FFF2-40B4-BE49-F238E27FC236}">
                  <a16:creationId xmlns:a16="http://schemas.microsoft.com/office/drawing/2014/main" id="{FA5F87AB-7574-4E6C-BCE1-9BF5543FE1A2}"/>
                </a:ext>
              </a:extLst>
            </xdr:cNvPr>
            <xdr:cNvSpPr txBox="1"/>
          </xdr:nvSpPr>
          <xdr:spPr>
            <a:xfrm>
              <a:off x="10875065" y="46167261"/>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𝑃𝐸𝑇=2.355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𝑃𝐸𝑇=2,355 </a:t>
              </a:r>
              <a:r>
                <a:rPr lang="es-MX" sz="1100" b="0" i="0">
                  <a:solidFill>
                    <a:schemeClr val="tx1"/>
                  </a:solidFill>
                  <a:effectLst/>
                  <a:latin typeface="Cambria Math" panose="02040503050406030204" pitchFamily="18" charset="0"/>
                  <a:ea typeface="+mn-ea"/>
                  <a:cs typeface="+mn-cs"/>
                </a:rPr>
                <a:t>"kg CO2</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twoCellAnchor editAs="oneCell">
    <xdr:from>
      <xdr:col>12</xdr:col>
      <xdr:colOff>1143001</xdr:colOff>
      <xdr:row>11</xdr:row>
      <xdr:rowOff>476251</xdr:rowOff>
    </xdr:from>
    <xdr:to>
      <xdr:col>12</xdr:col>
      <xdr:colOff>1524001</xdr:colOff>
      <xdr:row>11</xdr:row>
      <xdr:rowOff>857251</xdr:rowOff>
    </xdr:to>
    <xdr:pic>
      <xdr:nvPicPr>
        <xdr:cNvPr id="11" name="Gráfico 10" descr="Inalámbrico">
          <a:hlinkClick xmlns:r="http://schemas.openxmlformats.org/officeDocument/2006/relationships" r:id="rId49"/>
          <a:extLst>
            <a:ext uri="{FF2B5EF4-FFF2-40B4-BE49-F238E27FC236}">
              <a16:creationId xmlns:a16="http://schemas.microsoft.com/office/drawing/2014/main" id="{24713A41-170E-41F8-ACC4-843842F9075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92451" y="13430251"/>
          <a:ext cx="381000" cy="381000"/>
        </a:xfrm>
        <a:prstGeom prst="rect">
          <a:avLst/>
        </a:prstGeom>
      </xdr:spPr>
    </xdr:pic>
    <xdr:clientData/>
  </xdr:twoCellAnchor>
  <xdr:oneCellAnchor>
    <xdr:from>
      <xdr:col>8</xdr:col>
      <xdr:colOff>463795</xdr:colOff>
      <xdr:row>11</xdr:row>
      <xdr:rowOff>973016</xdr:rowOff>
    </xdr:from>
    <xdr:ext cx="1479306" cy="375680"/>
    <mc:AlternateContent xmlns:mc="http://schemas.openxmlformats.org/markup-compatibility/2006" xmlns:a14="http://schemas.microsoft.com/office/drawing/2010/main">
      <mc:Choice Requires="a14">
        <xdr:sp macro="" textlink="">
          <xdr:nvSpPr>
            <xdr:cNvPr id="177" name="CuadroTexto 176">
              <a:extLst>
                <a:ext uri="{FF2B5EF4-FFF2-40B4-BE49-F238E27FC236}">
                  <a16:creationId xmlns:a16="http://schemas.microsoft.com/office/drawing/2014/main" id="{69366CD9-1173-4C69-B58A-047B04ADC0EC}"/>
                </a:ext>
              </a:extLst>
            </xdr:cNvPr>
            <xdr:cNvSpPr txBox="1"/>
          </xdr:nvSpPr>
          <xdr:spPr>
            <a:xfrm>
              <a:off x="7861545" y="1426039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Pr representa el</a:t>
              </a:r>
              <a:r>
                <a:rPr lang="es-MX" sz="800" b="0" baseline="0"/>
                <a:t> consumo de energía del celular en un año</a:t>
              </a:r>
            </a:p>
          </xdr:txBody>
        </xdr:sp>
      </mc:Choice>
      <mc:Fallback xmlns="">
        <xdr:sp macro="" textlink="">
          <xdr:nvSpPr>
            <xdr:cNvPr id="177" name="CuadroTexto 176">
              <a:extLst>
                <a:ext uri="{FF2B5EF4-FFF2-40B4-BE49-F238E27FC236}">
                  <a16:creationId xmlns:a16="http://schemas.microsoft.com/office/drawing/2014/main" id="{69366CD9-1173-4C69-B58A-047B04ADC0EC}"/>
                </a:ext>
              </a:extLst>
            </xdr:cNvPr>
            <xdr:cNvSpPr txBox="1"/>
          </xdr:nvSpPr>
          <xdr:spPr>
            <a:xfrm>
              <a:off x="7861545" y="1426039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Pr representa el</a:t>
              </a:r>
              <a:r>
                <a:rPr lang="es-MX" sz="800" b="0" baseline="0"/>
                <a:t> consumo de energía del celular en un año</a:t>
              </a:r>
            </a:p>
          </xdr:txBody>
        </xdr:sp>
      </mc:Fallback>
    </mc:AlternateContent>
    <xdr:clientData/>
  </xdr:oneCellAnchor>
  <xdr:oneCellAnchor>
    <xdr:from>
      <xdr:col>8</xdr:col>
      <xdr:colOff>586277</xdr:colOff>
      <xdr:row>11</xdr:row>
      <xdr:rowOff>481011</xdr:rowOff>
    </xdr:from>
    <xdr:ext cx="575773" cy="231602"/>
    <mc:AlternateContent xmlns:mc="http://schemas.openxmlformats.org/markup-compatibility/2006" xmlns:a14="http://schemas.microsoft.com/office/drawing/2010/main">
      <mc:Choice Requires="a14">
        <xdr:sp macro="" textlink="">
          <xdr:nvSpPr>
            <xdr:cNvPr id="179" name="CuadroTexto 178">
              <a:extLst>
                <a:ext uri="{FF2B5EF4-FFF2-40B4-BE49-F238E27FC236}">
                  <a16:creationId xmlns:a16="http://schemas.microsoft.com/office/drawing/2014/main" id="{D96CA9A8-DFF0-4666-9446-F6EBE11FA1CB}"/>
                </a:ext>
              </a:extLst>
            </xdr:cNvPr>
            <xdr:cNvSpPr txBox="1"/>
          </xdr:nvSpPr>
          <xdr:spPr>
            <a:xfrm>
              <a:off x="7444277" y="9177336"/>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14:m>
                <m:oMath xmlns:m="http://schemas.openxmlformats.org/officeDocument/2006/math">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a14:m>
              <a:endParaRPr lang="es-MX" sz="1000" b="0"/>
            </a:p>
          </xdr:txBody>
        </xdr:sp>
      </mc:Choice>
      <mc:Fallback xmlns="">
        <xdr:sp macro="" textlink="">
          <xdr:nvSpPr>
            <xdr:cNvPr id="179" name="CuadroTexto 178">
              <a:extLst>
                <a:ext uri="{FF2B5EF4-FFF2-40B4-BE49-F238E27FC236}">
                  <a16:creationId xmlns:a16="http://schemas.microsoft.com/office/drawing/2014/main" id="{D96CA9A8-DFF0-4666-9446-F6EBE11FA1CB}"/>
                </a:ext>
              </a:extLst>
            </xdr:cNvPr>
            <xdr:cNvSpPr txBox="1"/>
          </xdr:nvSpPr>
          <xdr:spPr>
            <a:xfrm>
              <a:off x="7444277" y="9177336"/>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r>
                <a:rPr lang="es-MX" sz="10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9</xdr:col>
      <xdr:colOff>352913</xdr:colOff>
      <xdr:row>11</xdr:row>
      <xdr:rowOff>547077</xdr:rowOff>
    </xdr:from>
    <xdr:ext cx="1852084" cy="307969"/>
    <mc:AlternateContent xmlns:mc="http://schemas.openxmlformats.org/markup-compatibility/2006" xmlns:a14="http://schemas.microsoft.com/office/drawing/2010/main">
      <mc:Choice Requires="a14">
        <xdr:sp macro="" textlink="">
          <xdr:nvSpPr>
            <xdr:cNvPr id="187" name="CuadroTexto 186">
              <a:extLst>
                <a:ext uri="{FF2B5EF4-FFF2-40B4-BE49-F238E27FC236}">
                  <a16:creationId xmlns:a16="http://schemas.microsoft.com/office/drawing/2014/main" id="{936A0EC2-2864-47CD-B5E4-910558170B7E}"/>
                </a:ext>
              </a:extLst>
            </xdr:cNvPr>
            <xdr:cNvSpPr txBox="1"/>
          </xdr:nvSpPr>
          <xdr:spPr>
            <a:xfrm>
              <a:off x="10179538" y="13834452"/>
              <a:ext cx="1852084" cy="307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15.277</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3.46 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den>
                    </m:f>
                  </m:oMath>
                </m:oMathPara>
              </a14:m>
              <a:endParaRPr lang="es-MX" sz="1000" b="0"/>
            </a:p>
          </xdr:txBody>
        </xdr:sp>
      </mc:Choice>
      <mc:Fallback xmlns="">
        <xdr:sp macro="" textlink="">
          <xdr:nvSpPr>
            <xdr:cNvPr id="187" name="CuadroTexto 186">
              <a:extLst>
                <a:ext uri="{FF2B5EF4-FFF2-40B4-BE49-F238E27FC236}">
                  <a16:creationId xmlns:a16="http://schemas.microsoft.com/office/drawing/2014/main" id="{936A0EC2-2864-47CD-B5E4-910558170B7E}"/>
                </a:ext>
              </a:extLst>
            </xdr:cNvPr>
            <xdr:cNvSpPr txBox="1"/>
          </xdr:nvSpPr>
          <xdr:spPr>
            <a:xfrm>
              <a:off x="10179538" y="13834452"/>
              <a:ext cx="1852084" cy="307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15.277 kwh)/(3.46 kwℎ)</a:t>
              </a:r>
              <a:endParaRPr lang="es-MX" sz="1000" b="0"/>
            </a:p>
          </xdr:txBody>
        </xdr:sp>
      </mc:Fallback>
    </mc:AlternateContent>
    <xdr:clientData/>
  </xdr:oneCellAnchor>
  <xdr:oneCellAnchor>
    <xdr:from>
      <xdr:col>8</xdr:col>
      <xdr:colOff>174137</xdr:colOff>
      <xdr:row>300</xdr:row>
      <xdr:rowOff>246690</xdr:rowOff>
    </xdr:from>
    <xdr:ext cx="1590255" cy="172227"/>
    <mc:AlternateContent xmlns:mc="http://schemas.openxmlformats.org/markup-compatibility/2006" xmlns:a14="http://schemas.microsoft.com/office/drawing/2010/main">
      <mc:Choice Requires="a14">
        <xdr:sp macro="" textlink="">
          <xdr:nvSpPr>
            <xdr:cNvPr id="204" name="CuadroTexto 203">
              <a:extLst>
                <a:ext uri="{FF2B5EF4-FFF2-40B4-BE49-F238E27FC236}">
                  <a16:creationId xmlns:a16="http://schemas.microsoft.com/office/drawing/2014/main" id="{68AEA02E-05A4-4738-8778-1A3D974694F0}"/>
                </a:ext>
              </a:extLst>
            </xdr:cNvPr>
            <xdr:cNvSpPr txBox="1"/>
          </xdr:nvSpPr>
          <xdr:spPr>
            <a:xfrm>
              <a:off x="7032137" y="33042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𝐸𝑣</m:t>
                    </m:r>
                    <m:r>
                      <a:rPr lang="es-MX" sz="1100" b="0" i="1">
                        <a:latin typeface="Cambria Math" panose="02040503050406030204" pitchFamily="18" charset="0"/>
                      </a:rPr>
                      <m:t> −</m:t>
                    </m:r>
                    <m:r>
                      <a:rPr lang="es-MX" sz="1100" b="0" i="1">
                        <a:latin typeface="Cambria Math" panose="02040503050406030204" pitchFamily="18" charset="0"/>
                      </a:rPr>
                      <m:t>𝐸𝑟</m:t>
                    </m:r>
                    <m:r>
                      <a:rPr lang="es-MX" sz="1100" b="0" i="1">
                        <a:latin typeface="Cambria Math" panose="02040503050406030204" pitchFamily="18" charset="0"/>
                      </a:rPr>
                      <m:t> </m:t>
                    </m:r>
                  </m:oMath>
                </m:oMathPara>
              </a14:m>
              <a:endParaRPr lang="es-MX" sz="1100"/>
            </a:p>
          </xdr:txBody>
        </xdr:sp>
      </mc:Choice>
      <mc:Fallback xmlns="">
        <xdr:sp macro="" textlink="">
          <xdr:nvSpPr>
            <xdr:cNvPr id="204" name="CuadroTexto 203">
              <a:extLst>
                <a:ext uri="{FF2B5EF4-FFF2-40B4-BE49-F238E27FC236}">
                  <a16:creationId xmlns:a16="http://schemas.microsoft.com/office/drawing/2014/main" id="{68AEA02E-05A4-4738-8778-1A3D974694F0}"/>
                </a:ext>
              </a:extLst>
            </xdr:cNvPr>
            <xdr:cNvSpPr txBox="1"/>
          </xdr:nvSpPr>
          <xdr:spPr>
            <a:xfrm>
              <a:off x="7032137" y="33042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𝐸𝑣 −𝐸𝑟 </a:t>
              </a:r>
              <a:endParaRPr lang="es-MX" sz="1100"/>
            </a:p>
          </xdr:txBody>
        </xdr:sp>
      </mc:Fallback>
    </mc:AlternateContent>
    <xdr:clientData/>
  </xdr:oneCellAnchor>
  <xdr:oneCellAnchor>
    <xdr:from>
      <xdr:col>4</xdr:col>
      <xdr:colOff>119743</xdr:colOff>
      <xdr:row>299</xdr:row>
      <xdr:rowOff>70758</xdr:rowOff>
    </xdr:from>
    <xdr:ext cx="360000" cy="360000"/>
    <xdr:pic>
      <xdr:nvPicPr>
        <xdr:cNvPr id="205" name="Gráfico 204" descr="Hogar">
          <a:extLst>
            <a:ext uri="{FF2B5EF4-FFF2-40B4-BE49-F238E27FC236}">
              <a16:creationId xmlns:a16="http://schemas.microsoft.com/office/drawing/2014/main" id="{0973289E-7C77-4C64-876F-FE730CC14D7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3643" y="2623458"/>
          <a:ext cx="360000" cy="360000"/>
        </a:xfrm>
        <a:prstGeom prst="rect">
          <a:avLst/>
        </a:prstGeom>
      </xdr:spPr>
    </xdr:pic>
    <xdr:clientData/>
  </xdr:oneCellAnchor>
  <xdr:oneCellAnchor>
    <xdr:from>
      <xdr:col>3</xdr:col>
      <xdr:colOff>73330</xdr:colOff>
      <xdr:row>299</xdr:row>
      <xdr:rowOff>67651</xdr:rowOff>
    </xdr:from>
    <xdr:ext cx="358941" cy="367560"/>
    <xdr:pic>
      <xdr:nvPicPr>
        <xdr:cNvPr id="206" name="Gráfico 205" descr="Bombilla fluorescente">
          <a:extLst>
            <a:ext uri="{FF2B5EF4-FFF2-40B4-BE49-F238E27FC236}">
              <a16:creationId xmlns:a16="http://schemas.microsoft.com/office/drawing/2014/main" id="{64AFFC8A-7EDF-4798-9950-CB70FFCBCAD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2620351"/>
          <a:ext cx="358941" cy="367560"/>
        </a:xfrm>
        <a:prstGeom prst="rect">
          <a:avLst/>
        </a:prstGeom>
      </xdr:spPr>
    </xdr:pic>
    <xdr:clientData/>
  </xdr:oneCellAnchor>
  <xdr:oneCellAnchor>
    <xdr:from>
      <xdr:col>1</xdr:col>
      <xdr:colOff>316209</xdr:colOff>
      <xdr:row>300</xdr:row>
      <xdr:rowOff>222250</xdr:rowOff>
    </xdr:from>
    <xdr:ext cx="2439691" cy="782108"/>
    <mc:AlternateContent xmlns:mc="http://schemas.openxmlformats.org/markup-compatibility/2006" xmlns:a14="http://schemas.microsoft.com/office/drawing/2010/main">
      <mc:Choice Requires="a14">
        <xdr:sp macro="" textlink="">
          <xdr:nvSpPr>
            <xdr:cNvPr id="207" name="CuadroTexto 206">
              <a:extLst>
                <a:ext uri="{FF2B5EF4-FFF2-40B4-BE49-F238E27FC236}">
                  <a16:creationId xmlns:a16="http://schemas.microsoft.com/office/drawing/2014/main" id="{8A3E0D21-C5C1-4087-B72D-7637402637E7}"/>
                </a:ext>
              </a:extLst>
            </xdr:cNvPr>
            <xdr:cNvSpPr txBox="1"/>
          </xdr:nvSpPr>
          <xdr:spPr>
            <a:xfrm>
              <a:off x="1030584" y="249729625"/>
              <a:ext cx="2439691" cy="7821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000" b="0" i="0">
                      <a:latin typeface="Cambria Math" panose="02040503050406030204" pitchFamily="18" charset="0"/>
                    </a:rPr>
                    <m:t>Obtenci</m:t>
                  </m:r>
                  <m:r>
                    <a:rPr lang="es-MX" sz="1000" b="0" i="0">
                      <a:latin typeface="Cambria Math" panose="02040503050406030204" pitchFamily="18" charset="0"/>
                    </a:rPr>
                    <m:t>ó</m:t>
                  </m:r>
                  <m:r>
                    <m:rPr>
                      <m:sty m:val="p"/>
                    </m:rPr>
                    <a:rPr lang="es-MX" sz="1000" b="0" i="0">
                      <a:latin typeface="Cambria Math" panose="02040503050406030204" pitchFamily="18" charset="0"/>
                    </a:rPr>
                    <m:t>n</m:t>
                  </m:r>
                  <m:r>
                    <a:rPr lang="es-MX" sz="1000" b="0" i="0">
                      <a:latin typeface="Cambria Math" panose="02040503050406030204" pitchFamily="18" charset="0"/>
                    </a:rPr>
                    <m:t> </m:t>
                  </m:r>
                  <m:r>
                    <m:rPr>
                      <m:sty m:val="p"/>
                    </m:rPr>
                    <a:rPr lang="es-MX" sz="1000" b="0" i="0">
                      <a:latin typeface="Cambria Math" panose="02040503050406030204" pitchFamily="18" charset="0"/>
                    </a:rPr>
                    <m:t>AL</m:t>
                  </m:r>
                  <m:r>
                    <a:rPr lang="es-MX" sz="1000" b="0" i="0">
                      <a:latin typeface="Cambria Math" panose="02040503050406030204" pitchFamily="18" charset="0"/>
                    </a:rPr>
                    <m:t> </m:t>
                  </m:r>
                  <m:r>
                    <m:rPr>
                      <m:sty m:val="p"/>
                    </m:rPr>
                    <a:rPr lang="es-MX" sz="1000" b="0" i="0">
                      <a:latin typeface="Cambria Math" panose="02040503050406030204" pitchFamily="18" charset="0"/>
                    </a:rPr>
                    <m:t>Virgen</m:t>
                  </m:r>
                  <m:r>
                    <a:rPr lang="es-MX" sz="1000" b="0" i="0">
                      <a:latin typeface="Cambria Math" panose="02040503050406030204" pitchFamily="18" charset="0"/>
                    </a:rPr>
                    <m:t> </m:t>
                  </m:r>
                  <m:r>
                    <a:rPr lang="es-MX" sz="1000" b="0" i="1">
                      <a:latin typeface="Cambria Math" panose="02040503050406030204" pitchFamily="18" charset="0"/>
                    </a:rPr>
                    <m:t>156</m:t>
                  </m:r>
                  <m:f>
                    <m:fPr>
                      <m:ctrlPr>
                        <a:rPr lang="es-MX" sz="1000" i="1">
                          <a:latin typeface="Cambria Math" panose="02040503050406030204" pitchFamily="18" charset="0"/>
                        </a:rPr>
                      </m:ctrlPr>
                    </m:fPr>
                    <m:num>
                      <m:r>
                        <m:rPr>
                          <m:sty m:val="p"/>
                        </m:rPr>
                        <a:rPr lang="es-MX" sz="1000" b="0" i="0">
                          <a:latin typeface="Cambria Math" panose="02040503050406030204" pitchFamily="18" charset="0"/>
                        </a:rPr>
                        <m:t>MJ</m:t>
                      </m:r>
                    </m:num>
                    <m:den>
                      <m:r>
                        <m:rPr>
                          <m:sty m:val="p"/>
                        </m:rPr>
                        <a:rPr lang="es-MX" sz="1000" b="0" i="0">
                          <a:latin typeface="Cambria Math" panose="02040503050406030204" pitchFamily="18" charset="0"/>
                        </a:rPr>
                        <m:t>kg</m:t>
                      </m:r>
                    </m:den>
                  </m:f>
                </m:oMath>
              </a14:m>
              <a:r>
                <a:rPr lang="es-MX" sz="1000" i="0">
                  <a:latin typeface="+mn-lt"/>
                  <a:cs typeface="Arial" panose="020B0604020202020204" pitchFamily="34" charset="0"/>
                </a:rPr>
                <a:t> = </a:t>
              </a:r>
              <a14:m>
                <m:oMath xmlns:m="http://schemas.openxmlformats.org/officeDocument/2006/math">
                  <m:r>
                    <a:rPr lang="es-MX" sz="1000" i="0">
                      <a:solidFill>
                        <a:schemeClr val="tx1"/>
                      </a:solidFill>
                      <a:effectLst/>
                      <a:latin typeface="Cambria Math" panose="02040503050406030204" pitchFamily="18" charset="0"/>
                      <a:ea typeface="+mn-ea"/>
                      <a:cs typeface="+mn-cs"/>
                    </a:rPr>
                    <m:t>4</m:t>
                  </m:r>
                  <m:r>
                    <a:rPr lang="es-MX" sz="1000" b="0" i="0">
                      <a:solidFill>
                        <a:schemeClr val="tx1"/>
                      </a:solidFill>
                      <a:effectLst/>
                      <a:latin typeface="Cambria Math" panose="02040503050406030204" pitchFamily="18" charset="0"/>
                      <a:ea typeface="+mn-ea"/>
                      <a:cs typeface="+mn-cs"/>
                    </a:rPr>
                    <m:t>4.33</m:t>
                  </m:r>
                  <m:f>
                    <m:fPr>
                      <m:ctrlPr>
                        <a:rPr lang="es-MX" sz="1000" i="1">
                          <a:solidFill>
                            <a:schemeClr val="tx1"/>
                          </a:solidFill>
                          <a:effectLst/>
                          <a:latin typeface="Cambria Math" panose="02040503050406030204" pitchFamily="18" charset="0"/>
                          <a:ea typeface="+mn-ea"/>
                          <a:cs typeface="+mn-cs"/>
                        </a:rPr>
                      </m:ctrlPr>
                    </m:fPr>
                    <m:num>
                      <m:r>
                        <m:rPr>
                          <m:sty m:val="p"/>
                        </m:rPr>
                        <a:rPr lang="es-MX" sz="1000" b="0" i="0">
                          <a:solidFill>
                            <a:schemeClr val="tx1"/>
                          </a:solidFill>
                          <a:effectLst/>
                          <a:latin typeface="Cambria Math" panose="02040503050406030204" pitchFamily="18" charset="0"/>
                          <a:ea typeface="+mn-ea"/>
                          <a:cs typeface="+mn-cs"/>
                        </a:rPr>
                        <m:t>kwh</m:t>
                      </m:r>
                    </m:num>
                    <m:den>
                      <m:r>
                        <m:rPr>
                          <m:sty m:val="p"/>
                        </m:rPr>
                        <a:rPr lang="es-MX" sz="1000" b="0" i="0">
                          <a:solidFill>
                            <a:schemeClr val="tx1"/>
                          </a:solidFill>
                          <a:effectLst/>
                          <a:latin typeface="Cambria Math" panose="02040503050406030204" pitchFamily="18" charset="0"/>
                          <a:ea typeface="+mn-ea"/>
                          <a:cs typeface="+mn-cs"/>
                        </a:rPr>
                        <m:t>kg</m:t>
                      </m:r>
                    </m:den>
                  </m:f>
                </m:oMath>
              </a14:m>
              <a:endParaRPr lang="es-MX" sz="1000" i="0">
                <a:latin typeface="+mn-lt"/>
                <a:cs typeface="Arial" panose="020B0604020202020204" pitchFamily="34" charset="0"/>
              </a:endParaRP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Obtenci</m:t>
                  </m:r>
                  <m:r>
                    <a:rPr lang="es-MX" sz="1000" b="0" i="0">
                      <a:solidFill>
                        <a:schemeClr val="tx1"/>
                      </a:solidFill>
                      <a:effectLst/>
                      <a:latin typeface="Cambria Math" panose="02040503050406030204" pitchFamily="18" charset="0"/>
                      <a:ea typeface="+mn-ea"/>
                      <a:cs typeface="+mn-cs"/>
                    </a:rPr>
                    <m:t>ó</m:t>
                  </m:r>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AL</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Reciclado</m:t>
                  </m:r>
                  <m:r>
                    <a:rPr lang="es-MX" sz="1000" b="0" i="0">
                      <a:solidFill>
                        <a:schemeClr val="tx1"/>
                      </a:solidFill>
                      <a:effectLst/>
                      <a:latin typeface="Cambria Math" panose="02040503050406030204" pitchFamily="18" charset="0"/>
                      <a:ea typeface="+mn-ea"/>
                      <a:cs typeface="+mn-cs"/>
                    </a:rPr>
                    <m:t> 14.06 </m:t>
                  </m:r>
                  <m:f>
                    <m:fPr>
                      <m:ctrlPr>
                        <a:rPr lang="es-MX" sz="1000" i="1">
                          <a:solidFill>
                            <a:schemeClr val="tx1"/>
                          </a:solidFill>
                          <a:effectLst/>
                          <a:latin typeface="Cambria Math" panose="02040503050406030204" pitchFamily="18" charset="0"/>
                          <a:ea typeface="+mn-ea"/>
                          <a:cs typeface="+mn-cs"/>
                        </a:rPr>
                      </m:ctrlPr>
                    </m:fPr>
                    <m:num>
                      <m:r>
                        <m:rPr>
                          <m:sty m:val="p"/>
                        </m:rPr>
                        <a:rPr lang="es-MX" sz="1000" b="0" i="0">
                          <a:solidFill>
                            <a:schemeClr val="tx1"/>
                          </a:solidFill>
                          <a:effectLst/>
                          <a:latin typeface="Cambria Math" panose="02040503050406030204" pitchFamily="18" charset="0"/>
                          <a:ea typeface="+mn-ea"/>
                          <a:cs typeface="+mn-cs"/>
                        </a:rPr>
                        <m:t>MJ</m:t>
                      </m:r>
                    </m:num>
                    <m:den>
                      <m:r>
                        <m:rPr>
                          <m:sty m:val="p"/>
                        </m:rPr>
                        <a:rPr lang="es-MX" sz="1000" b="0" i="0">
                          <a:solidFill>
                            <a:schemeClr val="tx1"/>
                          </a:solidFill>
                          <a:effectLst/>
                          <a:latin typeface="Cambria Math" panose="02040503050406030204" pitchFamily="18" charset="0"/>
                          <a:ea typeface="+mn-ea"/>
                          <a:cs typeface="+mn-cs"/>
                        </a:rPr>
                        <m:t>kg</m:t>
                      </m:r>
                    </m:den>
                  </m:f>
                </m:oMath>
              </a14:m>
              <a:r>
                <a:rPr lang="es-MX" sz="1000" i="0">
                  <a:solidFill>
                    <a:schemeClr val="tx1"/>
                  </a:solidFill>
                  <a:effectLst/>
                  <a:latin typeface="+mn-lt"/>
                  <a:ea typeface="+mn-ea"/>
                  <a:cs typeface="Arial" panose="020B0604020202020204" pitchFamily="34" charset="0"/>
                </a:rPr>
                <a:t> =</a:t>
              </a:r>
              <a14:m>
                <m:oMath xmlns:m="http://schemas.openxmlformats.org/officeDocument/2006/math">
                  <m:r>
                    <a:rPr lang="es-MX" sz="1000" b="0" i="1">
                      <a:solidFill>
                        <a:schemeClr val="tx1"/>
                      </a:solidFill>
                      <a:effectLst/>
                      <a:latin typeface="Cambria Math" panose="02040503050406030204" pitchFamily="18" charset="0"/>
                      <a:ea typeface="+mn-ea"/>
                      <a:cs typeface="+mn-cs"/>
                    </a:rPr>
                    <m:t>3.91</m:t>
                  </m:r>
                  <m:f>
                    <m:fPr>
                      <m:ctrlPr>
                        <a:rPr lang="es-MX" sz="1000" i="1">
                          <a:solidFill>
                            <a:schemeClr val="tx1"/>
                          </a:solidFill>
                          <a:effectLst/>
                          <a:latin typeface="Cambria Math" panose="02040503050406030204" pitchFamily="18" charset="0"/>
                          <a:ea typeface="+mn-ea"/>
                          <a:cs typeface="+mn-cs"/>
                        </a:rPr>
                      </m:ctrlPr>
                    </m:fPr>
                    <m:num>
                      <m:r>
                        <m:rPr>
                          <m:sty m:val="p"/>
                        </m:rPr>
                        <a:rPr lang="es-MX" sz="1000" b="0" i="0">
                          <a:solidFill>
                            <a:schemeClr val="tx1"/>
                          </a:solidFill>
                          <a:effectLst/>
                          <a:latin typeface="Cambria Math" panose="02040503050406030204" pitchFamily="18" charset="0"/>
                          <a:ea typeface="+mn-ea"/>
                          <a:cs typeface="+mn-cs"/>
                        </a:rPr>
                        <m:t>kwh</m:t>
                      </m:r>
                    </m:num>
                    <m:den>
                      <m:r>
                        <m:rPr>
                          <m:sty m:val="p"/>
                        </m:rPr>
                        <a:rPr lang="es-MX" sz="1000" b="0" i="0">
                          <a:solidFill>
                            <a:schemeClr val="tx1"/>
                          </a:solidFill>
                          <a:effectLst/>
                          <a:latin typeface="Cambria Math" panose="02040503050406030204" pitchFamily="18" charset="0"/>
                          <a:ea typeface="+mn-ea"/>
                          <a:cs typeface="+mn-cs"/>
                        </a:rPr>
                        <m:t>kg</m:t>
                      </m:r>
                    </m:den>
                  </m:f>
                </m:oMath>
              </a14:m>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207" name="CuadroTexto 206">
              <a:extLst>
                <a:ext uri="{FF2B5EF4-FFF2-40B4-BE49-F238E27FC236}">
                  <a16:creationId xmlns:a16="http://schemas.microsoft.com/office/drawing/2014/main" id="{8A3E0D21-C5C1-4087-B72D-7637402637E7}"/>
                </a:ext>
              </a:extLst>
            </xdr:cNvPr>
            <xdr:cNvSpPr txBox="1"/>
          </xdr:nvSpPr>
          <xdr:spPr>
            <a:xfrm>
              <a:off x="1030584" y="249729625"/>
              <a:ext cx="2439691" cy="7821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Obtención AL Virgen 156 MJ/kg</a:t>
              </a:r>
              <a:r>
                <a:rPr lang="es-MX" sz="1000" i="0">
                  <a:latin typeface="+mn-lt"/>
                  <a:cs typeface="Arial" panose="020B0604020202020204" pitchFamily="34" charset="0"/>
                </a:rPr>
                <a:t> = </a:t>
              </a:r>
              <a:r>
                <a:rPr lang="es-MX" sz="1000" i="0">
                  <a:solidFill>
                    <a:schemeClr val="tx1"/>
                  </a:solidFill>
                  <a:effectLst/>
                  <a:latin typeface="Cambria Math" panose="02040503050406030204" pitchFamily="18" charset="0"/>
                  <a:ea typeface="+mn-ea"/>
                  <a:cs typeface="+mn-cs"/>
                </a:rPr>
                <a:t>4</a:t>
              </a:r>
              <a:r>
                <a:rPr lang="es-MX" sz="1000" b="0" i="0">
                  <a:solidFill>
                    <a:schemeClr val="tx1"/>
                  </a:solidFill>
                  <a:effectLst/>
                  <a:latin typeface="Cambria Math" panose="02040503050406030204" pitchFamily="18" charset="0"/>
                  <a:ea typeface="+mn-ea"/>
                  <a:cs typeface="+mn-cs"/>
                </a:rPr>
                <a:t>4.33 kwh/kg</a:t>
              </a:r>
              <a:endParaRPr lang="es-MX" sz="1000" i="0">
                <a:latin typeface="+mn-lt"/>
                <a:cs typeface="Arial" panose="020B0604020202020204" pitchFamily="34" charset="0"/>
              </a:endParaRP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Obtención AL Reciclado 14.06  MJ/kg</a:t>
              </a:r>
              <a:r>
                <a:rPr lang="es-MX" sz="1000" i="0">
                  <a:solidFill>
                    <a:schemeClr val="tx1"/>
                  </a:solidFill>
                  <a:effectLst/>
                  <a:latin typeface="+mn-lt"/>
                  <a:ea typeface="+mn-ea"/>
                  <a:cs typeface="Arial" panose="020B0604020202020204" pitchFamily="34" charset="0"/>
                </a:rPr>
                <a:t> =</a:t>
              </a:r>
              <a:r>
                <a:rPr lang="es-MX" sz="1000" b="0" i="0">
                  <a:solidFill>
                    <a:schemeClr val="tx1"/>
                  </a:solidFill>
                  <a:effectLst/>
                  <a:latin typeface="Cambria Math" panose="02040503050406030204" pitchFamily="18" charset="0"/>
                  <a:ea typeface="+mn-ea"/>
                  <a:cs typeface="+mn-cs"/>
                </a:rPr>
                <a:t>3.91 kwh/kg</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8</xdr:col>
      <xdr:colOff>300566</xdr:colOff>
      <xdr:row>300</xdr:row>
      <xdr:rowOff>986366</xdr:rowOff>
    </xdr:from>
    <xdr:ext cx="1302216" cy="375680"/>
    <mc:AlternateContent xmlns:mc="http://schemas.openxmlformats.org/markup-compatibility/2006" xmlns:a14="http://schemas.microsoft.com/office/drawing/2010/main">
      <mc:Choice Requires="a14">
        <xdr:sp macro="" textlink="">
          <xdr:nvSpPr>
            <xdr:cNvPr id="210" name="CuadroTexto 209">
              <a:extLst>
                <a:ext uri="{FF2B5EF4-FFF2-40B4-BE49-F238E27FC236}">
                  <a16:creationId xmlns:a16="http://schemas.microsoft.com/office/drawing/2014/main" id="{ABA1FC5F-A6A0-4B6B-91F3-B9974647D039}"/>
                </a:ext>
              </a:extLst>
            </xdr:cNvPr>
            <xdr:cNvSpPr txBox="1"/>
          </xdr:nvSpPr>
          <xdr:spPr>
            <a:xfrm>
              <a:off x="7158566" y="404389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Ev representa</a:t>
              </a:r>
              <a:r>
                <a:rPr lang="es-MX" sz="800" b="0" baseline="0"/>
                <a:t> energía virgen</a:t>
              </a:r>
            </a:p>
            <a:p>
              <a:r>
                <a:rPr lang="es-MX" sz="800" b="0" baseline="0"/>
                <a:t>Er representa energía reciclado</a:t>
              </a:r>
              <a:endParaRPr lang="es-MX" sz="800" b="0"/>
            </a:p>
          </xdr:txBody>
        </xdr:sp>
      </mc:Choice>
      <mc:Fallback xmlns="">
        <xdr:sp macro="" textlink="">
          <xdr:nvSpPr>
            <xdr:cNvPr id="210" name="CuadroTexto 209">
              <a:extLst>
                <a:ext uri="{FF2B5EF4-FFF2-40B4-BE49-F238E27FC236}">
                  <a16:creationId xmlns:a16="http://schemas.microsoft.com/office/drawing/2014/main" id="{ABA1FC5F-A6A0-4B6B-91F3-B9974647D039}"/>
                </a:ext>
              </a:extLst>
            </xdr:cNvPr>
            <xdr:cNvSpPr txBox="1"/>
          </xdr:nvSpPr>
          <xdr:spPr>
            <a:xfrm>
              <a:off x="7158566" y="404389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Ev representa</a:t>
              </a:r>
              <a:r>
                <a:rPr lang="es-MX" sz="800" b="0" baseline="0"/>
                <a:t> energía virgen</a:t>
              </a:r>
            </a:p>
            <a:p>
              <a:r>
                <a:rPr lang="es-MX" sz="800" b="0" baseline="0"/>
                <a:t>Er representa energía reciclado</a:t>
              </a:r>
              <a:endParaRPr lang="es-MX" sz="800" b="0"/>
            </a:p>
          </xdr:txBody>
        </xdr:sp>
      </mc:Fallback>
    </mc:AlternateContent>
    <xdr:clientData/>
  </xdr:oneCellAnchor>
  <xdr:oneCellAnchor>
    <xdr:from>
      <xdr:col>9</xdr:col>
      <xdr:colOff>56093</xdr:colOff>
      <xdr:row>300</xdr:row>
      <xdr:rowOff>368301</xdr:rowOff>
    </xdr:from>
    <xdr:ext cx="2063750" cy="351122"/>
    <mc:AlternateContent xmlns:mc="http://schemas.openxmlformats.org/markup-compatibility/2006" xmlns:a14="http://schemas.microsoft.com/office/drawing/2010/main">
      <mc:Choice Requires="a14">
        <xdr:sp macro="" textlink="">
          <xdr:nvSpPr>
            <xdr:cNvPr id="211" name="CuadroTexto 210">
              <a:extLst>
                <a:ext uri="{FF2B5EF4-FFF2-40B4-BE49-F238E27FC236}">
                  <a16:creationId xmlns:a16="http://schemas.microsoft.com/office/drawing/2014/main" id="{F2B463F7-0ADA-45BA-B46E-A5FACB5BDE75}"/>
                </a:ext>
              </a:extLst>
            </xdr:cNvPr>
            <xdr:cNvSpPr txBox="1"/>
          </xdr:nvSpPr>
          <xdr:spPr>
            <a:xfrm>
              <a:off x="9882718" y="2498756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43.33</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−3.91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211" name="CuadroTexto 210">
              <a:extLst>
                <a:ext uri="{FF2B5EF4-FFF2-40B4-BE49-F238E27FC236}">
                  <a16:creationId xmlns:a16="http://schemas.microsoft.com/office/drawing/2014/main" id="{F2B463F7-0ADA-45BA-B46E-A5FACB5BDE75}"/>
                </a:ext>
              </a:extLst>
            </xdr:cNvPr>
            <xdr:cNvSpPr txBox="1"/>
          </xdr:nvSpPr>
          <xdr:spPr>
            <a:xfrm>
              <a:off x="9882718" y="2498756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43.33</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−3.91</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140759</xdr:colOff>
      <xdr:row>300</xdr:row>
      <xdr:rowOff>130174</xdr:rowOff>
    </xdr:from>
    <xdr:ext cx="1459441" cy="351122"/>
    <mc:AlternateContent xmlns:mc="http://schemas.openxmlformats.org/markup-compatibility/2006" xmlns:a14="http://schemas.microsoft.com/office/drawing/2010/main">
      <mc:Choice Requires="a14">
        <xdr:sp macro="" textlink="">
          <xdr:nvSpPr>
            <xdr:cNvPr id="212" name="CuadroTexto 211">
              <a:extLst>
                <a:ext uri="{FF2B5EF4-FFF2-40B4-BE49-F238E27FC236}">
                  <a16:creationId xmlns:a16="http://schemas.microsoft.com/office/drawing/2014/main" id="{1A2DE0EE-CA0E-498C-929F-74E5DC7C320C}"/>
                </a:ext>
              </a:extLst>
            </xdr:cNvPr>
            <xdr:cNvSpPr txBox="1"/>
          </xdr:nvSpPr>
          <xdr:spPr>
            <a:xfrm>
              <a:off x="10818284" y="3187699"/>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39.42</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m:t>
                        </m:r>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212" name="CuadroTexto 211">
              <a:extLst>
                <a:ext uri="{FF2B5EF4-FFF2-40B4-BE49-F238E27FC236}">
                  <a16:creationId xmlns:a16="http://schemas.microsoft.com/office/drawing/2014/main" id="{1A2DE0EE-CA0E-498C-929F-74E5DC7C320C}"/>
                </a:ext>
              </a:extLst>
            </xdr:cNvPr>
            <xdr:cNvSpPr txBox="1"/>
          </xdr:nvSpPr>
          <xdr:spPr>
            <a:xfrm>
              <a:off x="10818284" y="3187699"/>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39.42</a:t>
              </a:r>
              <a:r>
                <a:rPr lang="es-MX" sz="1100" b="0" i="0">
                  <a:solidFill>
                    <a:schemeClr val="tx1"/>
                  </a:solidFill>
                  <a:effectLst/>
                  <a:latin typeface="Cambria Math" panose="02040503050406030204" pitchFamily="18" charset="0"/>
                  <a:ea typeface="+mn-ea"/>
                  <a:cs typeface="+mn-cs"/>
                </a:rPr>
                <a:t> kwh/1kg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2434166</xdr:colOff>
      <xdr:row>300</xdr:row>
      <xdr:rowOff>1023407</xdr:rowOff>
    </xdr:from>
    <xdr:ext cx="452966" cy="448733"/>
    <xdr:pic>
      <xdr:nvPicPr>
        <xdr:cNvPr id="213" name="Gráfico 212" descr="Inalámbrico">
          <a:hlinkClick xmlns:r="http://schemas.openxmlformats.org/officeDocument/2006/relationships" r:id="rId50"/>
          <a:extLst>
            <a:ext uri="{FF2B5EF4-FFF2-40B4-BE49-F238E27FC236}">
              <a16:creationId xmlns:a16="http://schemas.microsoft.com/office/drawing/2014/main" id="{C3288D34-2E93-4AEB-8C64-74763EE3354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93141" y="4080932"/>
          <a:ext cx="452966" cy="448733"/>
        </a:xfrm>
        <a:prstGeom prst="rect">
          <a:avLst/>
        </a:prstGeom>
      </xdr:spPr>
    </xdr:pic>
    <xdr:clientData/>
  </xdr:oneCellAnchor>
  <xdr:oneCellAnchor>
    <xdr:from>
      <xdr:col>10</xdr:col>
      <xdr:colOff>209550</xdr:colOff>
      <xdr:row>300</xdr:row>
      <xdr:rowOff>733424</xdr:rowOff>
    </xdr:from>
    <xdr:ext cx="1362075" cy="321435"/>
    <mc:AlternateContent xmlns:mc="http://schemas.openxmlformats.org/markup-compatibility/2006" xmlns:a14="http://schemas.microsoft.com/office/drawing/2010/main">
      <mc:Choice Requires="a14">
        <xdr:sp macro="" textlink="">
          <xdr:nvSpPr>
            <xdr:cNvPr id="214" name="CuadroTexto 213">
              <a:extLst>
                <a:ext uri="{FF2B5EF4-FFF2-40B4-BE49-F238E27FC236}">
                  <a16:creationId xmlns:a16="http://schemas.microsoft.com/office/drawing/2014/main" id="{6B7D0D98-547D-424A-959D-F62ED40C5710}"/>
                </a:ext>
              </a:extLst>
            </xdr:cNvPr>
            <xdr:cNvSpPr txBox="1"/>
          </xdr:nvSpPr>
          <xdr:spPr>
            <a:xfrm>
              <a:off x="10887075" y="3790949"/>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39,420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214" name="CuadroTexto 213">
              <a:extLst>
                <a:ext uri="{FF2B5EF4-FFF2-40B4-BE49-F238E27FC236}">
                  <a16:creationId xmlns:a16="http://schemas.microsoft.com/office/drawing/2014/main" id="{6B7D0D98-547D-424A-959D-F62ED40C5710}"/>
                </a:ext>
              </a:extLst>
            </xdr:cNvPr>
            <xdr:cNvSpPr txBox="1"/>
          </xdr:nvSpPr>
          <xdr:spPr>
            <a:xfrm>
              <a:off x="10887075" y="3790949"/>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39,420</a:t>
              </a:r>
              <a:r>
                <a:rPr lang="es-MX" sz="1100" b="0" i="0">
                  <a:solidFill>
                    <a:schemeClr val="tx1"/>
                  </a:solidFill>
                  <a:effectLst/>
                  <a:latin typeface="Cambria Math" panose="02040503050406030204" pitchFamily="18" charset="0"/>
                  <a:ea typeface="+mn-ea"/>
                  <a:cs typeface="+mn-cs"/>
                </a:rPr>
                <a:t> kwh/ton </a:t>
              </a:r>
              <a:r>
                <a:rPr lang="es-MX" sz="1100" b="0" i="0">
                  <a:latin typeface="Cambria Math" panose="02040503050406030204" pitchFamily="18" charset="0"/>
                </a:rPr>
                <a:t> </a:t>
              </a:r>
              <a:endParaRPr lang="es-MX" sz="1100"/>
            </a:p>
          </xdr:txBody>
        </xdr:sp>
      </mc:Fallback>
    </mc:AlternateContent>
    <xdr:clientData/>
  </xdr:oneCellAnchor>
  <xdr:oneCellAnchor>
    <xdr:from>
      <xdr:col>6</xdr:col>
      <xdr:colOff>133350</xdr:colOff>
      <xdr:row>299</xdr:row>
      <xdr:rowOff>77256</xdr:rowOff>
    </xdr:from>
    <xdr:ext cx="284694" cy="284694"/>
    <xdr:pic>
      <xdr:nvPicPr>
        <xdr:cNvPr id="215" name="Imagen 214">
          <a:extLst>
            <a:ext uri="{FF2B5EF4-FFF2-40B4-BE49-F238E27FC236}">
              <a16:creationId xmlns:a16="http://schemas.microsoft.com/office/drawing/2014/main" id="{9FD75431-9AA9-492F-A5E4-2B54FF275E6E}"/>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829300" y="2629956"/>
          <a:ext cx="284694" cy="284694"/>
        </a:xfrm>
        <a:prstGeom prst="rect">
          <a:avLst/>
        </a:prstGeom>
      </xdr:spPr>
    </xdr:pic>
    <xdr:clientData/>
  </xdr:oneCellAnchor>
  <xdr:oneCellAnchor>
    <xdr:from>
      <xdr:col>7</xdr:col>
      <xdr:colOff>202407</xdr:colOff>
      <xdr:row>299</xdr:row>
      <xdr:rowOff>171450</xdr:rowOff>
    </xdr:from>
    <xdr:ext cx="159543" cy="144653"/>
    <xdr:pic>
      <xdr:nvPicPr>
        <xdr:cNvPr id="216" name="Imagen 215">
          <a:extLst>
            <a:ext uri="{FF2B5EF4-FFF2-40B4-BE49-F238E27FC236}">
              <a16:creationId xmlns:a16="http://schemas.microsoft.com/office/drawing/2014/main" id="{3332E7CF-F634-4D76-A740-8C45929911C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479382" y="2724150"/>
          <a:ext cx="159543" cy="144653"/>
        </a:xfrm>
        <a:prstGeom prst="rect">
          <a:avLst/>
        </a:prstGeom>
      </xdr:spPr>
    </xdr:pic>
    <xdr:clientData/>
  </xdr:oneCellAnchor>
  <xdr:oneCellAnchor>
    <xdr:from>
      <xdr:col>4</xdr:col>
      <xdr:colOff>400050</xdr:colOff>
      <xdr:row>299</xdr:row>
      <xdr:rowOff>77007</xdr:rowOff>
    </xdr:from>
    <xdr:ext cx="200025" cy="204828"/>
    <xdr:pic>
      <xdr:nvPicPr>
        <xdr:cNvPr id="217" name="Gráfico 216" descr="Bombilla fluorescente">
          <a:extLst>
            <a:ext uri="{FF2B5EF4-FFF2-40B4-BE49-F238E27FC236}">
              <a16:creationId xmlns:a16="http://schemas.microsoft.com/office/drawing/2014/main" id="{FFD6D8F6-EDED-4CF4-B252-DBC26A9BB1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3950" y="2629707"/>
          <a:ext cx="200025" cy="204828"/>
        </a:xfrm>
        <a:prstGeom prst="rect">
          <a:avLst/>
        </a:prstGeom>
      </xdr:spPr>
    </xdr:pic>
    <xdr:clientData/>
  </xdr:oneCellAnchor>
  <xdr:oneCellAnchor>
    <xdr:from>
      <xdr:col>8</xdr:col>
      <xdr:colOff>174137</xdr:colOff>
      <xdr:row>302</xdr:row>
      <xdr:rowOff>246690</xdr:rowOff>
    </xdr:from>
    <xdr:ext cx="1590255" cy="172227"/>
    <mc:AlternateContent xmlns:mc="http://schemas.openxmlformats.org/markup-compatibility/2006" xmlns:a14="http://schemas.microsoft.com/office/drawing/2010/main">
      <mc:Choice Requires="a14">
        <xdr:sp macro="" textlink="">
          <xdr:nvSpPr>
            <xdr:cNvPr id="218" name="CuadroTexto 217">
              <a:extLst>
                <a:ext uri="{FF2B5EF4-FFF2-40B4-BE49-F238E27FC236}">
                  <a16:creationId xmlns:a16="http://schemas.microsoft.com/office/drawing/2014/main" id="{18CE03A7-5379-434C-BC76-6C715335C114}"/>
                </a:ext>
              </a:extLst>
            </xdr:cNvPr>
            <xdr:cNvSpPr txBox="1"/>
          </xdr:nvSpPr>
          <xdr:spPr>
            <a:xfrm>
              <a:off x="7032137" y="66540690"/>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𝐸𝑣</m:t>
                    </m:r>
                    <m:r>
                      <a:rPr lang="es-MX" sz="1100" b="0" i="1">
                        <a:latin typeface="Cambria Math" panose="02040503050406030204" pitchFamily="18" charset="0"/>
                      </a:rPr>
                      <m:t> −</m:t>
                    </m:r>
                    <m:r>
                      <a:rPr lang="es-MX" sz="1100" b="0" i="1">
                        <a:latin typeface="Cambria Math" panose="02040503050406030204" pitchFamily="18" charset="0"/>
                      </a:rPr>
                      <m:t>𝐸𝑟</m:t>
                    </m:r>
                    <m:r>
                      <a:rPr lang="es-MX" sz="1100" b="0" i="1">
                        <a:latin typeface="Cambria Math" panose="02040503050406030204" pitchFamily="18" charset="0"/>
                      </a:rPr>
                      <m:t> </m:t>
                    </m:r>
                  </m:oMath>
                </m:oMathPara>
              </a14:m>
              <a:endParaRPr lang="es-MX" sz="1100"/>
            </a:p>
          </xdr:txBody>
        </xdr:sp>
      </mc:Choice>
      <mc:Fallback xmlns="">
        <xdr:sp macro="" textlink="">
          <xdr:nvSpPr>
            <xdr:cNvPr id="218" name="CuadroTexto 217">
              <a:extLst>
                <a:ext uri="{FF2B5EF4-FFF2-40B4-BE49-F238E27FC236}">
                  <a16:creationId xmlns:a16="http://schemas.microsoft.com/office/drawing/2014/main" id="{18CE03A7-5379-434C-BC76-6C715335C114}"/>
                </a:ext>
              </a:extLst>
            </xdr:cNvPr>
            <xdr:cNvSpPr txBox="1"/>
          </xdr:nvSpPr>
          <xdr:spPr>
            <a:xfrm>
              <a:off x="7032137" y="66540690"/>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𝐸𝑣 −𝐸𝑟 </a:t>
              </a:r>
              <a:endParaRPr lang="es-MX" sz="1100"/>
            </a:p>
          </xdr:txBody>
        </xdr:sp>
      </mc:Fallback>
    </mc:AlternateContent>
    <xdr:clientData/>
  </xdr:oneCellAnchor>
  <xdr:oneCellAnchor>
    <xdr:from>
      <xdr:col>8</xdr:col>
      <xdr:colOff>300566</xdr:colOff>
      <xdr:row>302</xdr:row>
      <xdr:rowOff>986366</xdr:rowOff>
    </xdr:from>
    <xdr:ext cx="1302216" cy="375680"/>
    <mc:AlternateContent xmlns:mc="http://schemas.openxmlformats.org/markup-compatibility/2006" xmlns:a14="http://schemas.microsoft.com/office/drawing/2010/main">
      <mc:Choice Requires="a14">
        <xdr:sp macro="" textlink="">
          <xdr:nvSpPr>
            <xdr:cNvPr id="220" name="CuadroTexto 219">
              <a:extLst>
                <a:ext uri="{FF2B5EF4-FFF2-40B4-BE49-F238E27FC236}">
                  <a16:creationId xmlns:a16="http://schemas.microsoft.com/office/drawing/2014/main" id="{007DD1F1-A16D-4981-B275-0DAC08789FD3}"/>
                </a:ext>
              </a:extLst>
            </xdr:cNvPr>
            <xdr:cNvSpPr txBox="1"/>
          </xdr:nvSpPr>
          <xdr:spPr>
            <a:xfrm>
              <a:off x="7158566" y="67280366"/>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Ev representa</a:t>
              </a:r>
              <a:r>
                <a:rPr lang="es-MX" sz="800" b="0" baseline="0"/>
                <a:t> energía virgen</a:t>
              </a:r>
            </a:p>
            <a:p>
              <a:r>
                <a:rPr lang="es-MX" sz="800" b="0" baseline="0"/>
                <a:t>Er representa energía reciclado</a:t>
              </a:r>
              <a:endParaRPr lang="es-MX" sz="800" b="0"/>
            </a:p>
          </xdr:txBody>
        </xdr:sp>
      </mc:Choice>
      <mc:Fallback xmlns="">
        <xdr:sp macro="" textlink="">
          <xdr:nvSpPr>
            <xdr:cNvPr id="220" name="CuadroTexto 219">
              <a:extLst>
                <a:ext uri="{FF2B5EF4-FFF2-40B4-BE49-F238E27FC236}">
                  <a16:creationId xmlns:a16="http://schemas.microsoft.com/office/drawing/2014/main" id="{007DD1F1-A16D-4981-B275-0DAC08789FD3}"/>
                </a:ext>
              </a:extLst>
            </xdr:cNvPr>
            <xdr:cNvSpPr txBox="1"/>
          </xdr:nvSpPr>
          <xdr:spPr>
            <a:xfrm>
              <a:off x="7158566" y="67280366"/>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Ev representa</a:t>
              </a:r>
              <a:r>
                <a:rPr lang="es-MX" sz="800" b="0" baseline="0"/>
                <a:t> energía virgen</a:t>
              </a:r>
            </a:p>
            <a:p>
              <a:r>
                <a:rPr lang="es-MX" sz="800" b="0" baseline="0"/>
                <a:t>Er representa energía reciclado</a:t>
              </a:r>
              <a:endParaRPr lang="es-MX" sz="800" b="0"/>
            </a:p>
          </xdr:txBody>
        </xdr:sp>
      </mc:Fallback>
    </mc:AlternateContent>
    <xdr:clientData/>
  </xdr:oneCellAnchor>
  <xdr:oneCellAnchor>
    <xdr:from>
      <xdr:col>9</xdr:col>
      <xdr:colOff>294218</xdr:colOff>
      <xdr:row>301</xdr:row>
      <xdr:rowOff>241301</xdr:rowOff>
    </xdr:from>
    <xdr:ext cx="2063750" cy="263085"/>
    <mc:AlternateContent xmlns:mc="http://schemas.openxmlformats.org/markup-compatibility/2006" xmlns:a14="http://schemas.microsoft.com/office/drawing/2010/main">
      <mc:Choice Requires="a14">
        <xdr:sp macro="" textlink="">
          <xdr:nvSpPr>
            <xdr:cNvPr id="221" name="CuadroTexto 220">
              <a:extLst>
                <a:ext uri="{FF2B5EF4-FFF2-40B4-BE49-F238E27FC236}">
                  <a16:creationId xmlns:a16="http://schemas.microsoft.com/office/drawing/2014/main" id="{9E895247-8515-44B2-B569-37D36B92D49A}"/>
                </a:ext>
              </a:extLst>
            </xdr:cNvPr>
            <xdr:cNvSpPr txBox="1"/>
          </xdr:nvSpPr>
          <xdr:spPr>
            <a:xfrm>
              <a:off x="10120843" y="251161551"/>
              <a:ext cx="2063750" cy="263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𝐸𝐴</m:t>
                    </m:r>
                    <m:r>
                      <a:rPr lang="es-MX" sz="900" i="1">
                        <a:latin typeface="Cambria Math" panose="02040503050406030204" pitchFamily="18" charset="0"/>
                      </a:rPr>
                      <m:t>=</m:t>
                    </m:r>
                    <m:r>
                      <a:rPr lang="es-MX" sz="900" b="0" i="0">
                        <a:latin typeface="Cambria Math" panose="02040503050406030204" pitchFamily="18" charset="0"/>
                      </a:rPr>
                      <m:t>63,628</m:t>
                    </m:r>
                    <m:f>
                      <m:fPr>
                        <m:ctrlPr>
                          <a:rPr lang="es-MX" sz="900" i="1">
                            <a:solidFill>
                              <a:schemeClr val="tx1"/>
                            </a:solidFill>
                            <a:effectLst/>
                            <a:latin typeface="Cambria Math" panose="02040503050406030204" pitchFamily="18" charset="0"/>
                            <a:ea typeface="+mn-ea"/>
                            <a:cs typeface="+mn-cs"/>
                          </a:rPr>
                        </m:ctrlPr>
                      </m:fPr>
                      <m:num>
                        <m:r>
                          <m:rPr>
                            <m:sty m:val="p"/>
                          </m:rPr>
                          <a:rPr lang="es-MX" sz="900" b="0" i="0">
                            <a:solidFill>
                              <a:schemeClr val="tx1"/>
                            </a:solidFill>
                            <a:effectLst/>
                            <a:latin typeface="Cambria Math" panose="02040503050406030204" pitchFamily="18" charset="0"/>
                            <a:ea typeface="+mn-ea"/>
                            <a:cs typeface="+mn-cs"/>
                          </a:rPr>
                          <m:t>kwh</m:t>
                        </m:r>
                      </m:num>
                      <m:den>
                        <m:r>
                          <a:rPr lang="es-MX" sz="900" b="0" i="1">
                            <a:solidFill>
                              <a:schemeClr val="tx1"/>
                            </a:solidFill>
                            <a:effectLst/>
                            <a:latin typeface="Cambria Math" panose="02040503050406030204" pitchFamily="18" charset="0"/>
                            <a:ea typeface="+mn-ea"/>
                            <a:cs typeface="+mn-cs"/>
                          </a:rPr>
                          <m:t>𝑡𝑜𝑛</m:t>
                        </m:r>
                      </m:den>
                    </m:f>
                    <m:r>
                      <a:rPr lang="es-MX" sz="900" b="0" i="1">
                        <a:latin typeface="Cambria Math" panose="02040503050406030204" pitchFamily="18" charset="0"/>
                      </a:rPr>
                      <m:t> </m:t>
                    </m:r>
                    <m:r>
                      <a:rPr lang="es-MX" sz="900" b="0" i="0">
                        <a:latin typeface="Cambria Math" panose="02040503050406030204" pitchFamily="18" charset="0"/>
                      </a:rPr>
                      <m:t>−5% (3,181.4)</m:t>
                    </m:r>
                  </m:oMath>
                </m:oMathPara>
              </a14:m>
              <a:endParaRPr lang="es-MX" sz="900"/>
            </a:p>
          </xdr:txBody>
        </xdr:sp>
      </mc:Choice>
      <mc:Fallback xmlns="">
        <xdr:sp macro="" textlink="">
          <xdr:nvSpPr>
            <xdr:cNvPr id="221" name="CuadroTexto 220">
              <a:extLst>
                <a:ext uri="{FF2B5EF4-FFF2-40B4-BE49-F238E27FC236}">
                  <a16:creationId xmlns:a16="http://schemas.microsoft.com/office/drawing/2014/main" id="{9E895247-8515-44B2-B569-37D36B92D49A}"/>
                </a:ext>
              </a:extLst>
            </xdr:cNvPr>
            <xdr:cNvSpPr txBox="1"/>
          </xdr:nvSpPr>
          <xdr:spPr>
            <a:xfrm>
              <a:off x="10120843" y="251161551"/>
              <a:ext cx="2063750" cy="263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b="0" i="0">
                  <a:latin typeface="Cambria Math" panose="02040503050406030204" pitchFamily="18" charset="0"/>
                </a:rPr>
                <a:t>𝐸𝐴</a:t>
              </a:r>
              <a:r>
                <a:rPr lang="es-MX" sz="900" i="0">
                  <a:latin typeface="Cambria Math" panose="02040503050406030204" pitchFamily="18" charset="0"/>
                </a:rPr>
                <a:t>=</a:t>
              </a:r>
              <a:r>
                <a:rPr lang="es-MX" sz="900" b="0" i="0">
                  <a:latin typeface="Cambria Math" panose="02040503050406030204" pitchFamily="18" charset="0"/>
                </a:rPr>
                <a:t>63,628</a:t>
              </a:r>
              <a:r>
                <a:rPr lang="es-MX" sz="900" b="0" i="0">
                  <a:solidFill>
                    <a:schemeClr val="tx1"/>
                  </a:solidFill>
                  <a:effectLst/>
                  <a:latin typeface="Cambria Math" panose="02040503050406030204" pitchFamily="18" charset="0"/>
                  <a:ea typeface="+mn-ea"/>
                  <a:cs typeface="+mn-cs"/>
                </a:rPr>
                <a:t> kwh/𝑡𝑜𝑛 </a:t>
              </a:r>
              <a:r>
                <a:rPr lang="es-MX" sz="900" b="0" i="0">
                  <a:latin typeface="Cambria Math" panose="02040503050406030204" pitchFamily="18" charset="0"/>
                </a:rPr>
                <a:t> −5% (3,181.4)</a:t>
              </a:r>
              <a:endParaRPr lang="es-MX" sz="900"/>
            </a:p>
          </xdr:txBody>
        </xdr:sp>
      </mc:Fallback>
    </mc:AlternateContent>
    <xdr:clientData/>
  </xdr:oneCellAnchor>
  <xdr:oneCellAnchor>
    <xdr:from>
      <xdr:col>10</xdr:col>
      <xdr:colOff>296623</xdr:colOff>
      <xdr:row>301</xdr:row>
      <xdr:rowOff>874856</xdr:rowOff>
    </xdr:from>
    <xdr:ext cx="1459441" cy="321435"/>
    <mc:AlternateContent xmlns:mc="http://schemas.openxmlformats.org/markup-compatibility/2006" xmlns:a14="http://schemas.microsoft.com/office/drawing/2010/main">
      <mc:Choice Requires="a14">
        <xdr:sp macro="" textlink="">
          <xdr:nvSpPr>
            <xdr:cNvPr id="222" name="CuadroTexto 221">
              <a:extLst>
                <a:ext uri="{FF2B5EF4-FFF2-40B4-BE49-F238E27FC236}">
                  <a16:creationId xmlns:a16="http://schemas.microsoft.com/office/drawing/2014/main" id="{73E61B0F-C311-469E-A9D1-EEEAAF68A6DE}"/>
                </a:ext>
              </a:extLst>
            </xdr:cNvPr>
            <xdr:cNvSpPr txBox="1"/>
          </xdr:nvSpPr>
          <xdr:spPr>
            <a:xfrm>
              <a:off x="10973282" y="250559742"/>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60,446.</m:t>
                    </m:r>
                    <m:r>
                      <a:rPr lang="es-MX" sz="1100" b="0" i="1">
                        <a:latin typeface="Cambria Math" panose="02040503050406030204" pitchFamily="18" charset="0"/>
                      </a:rPr>
                      <m:t>6</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222" name="CuadroTexto 221">
              <a:extLst>
                <a:ext uri="{FF2B5EF4-FFF2-40B4-BE49-F238E27FC236}">
                  <a16:creationId xmlns:a16="http://schemas.microsoft.com/office/drawing/2014/main" id="{73E61B0F-C311-469E-A9D1-EEEAAF68A6DE}"/>
                </a:ext>
              </a:extLst>
            </xdr:cNvPr>
            <xdr:cNvSpPr txBox="1"/>
          </xdr:nvSpPr>
          <xdr:spPr>
            <a:xfrm>
              <a:off x="10973282" y="250559742"/>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60,446.6</a:t>
              </a:r>
              <a:r>
                <a:rPr lang="es-MX" sz="1100" b="0" i="0">
                  <a:solidFill>
                    <a:schemeClr val="tx1"/>
                  </a:solidFill>
                  <a:effectLst/>
                  <a:latin typeface="Cambria Math" panose="02040503050406030204" pitchFamily="18" charset="0"/>
                  <a:ea typeface="+mn-ea"/>
                  <a:cs typeface="+mn-cs"/>
                </a:rPr>
                <a:t> kwh/(1 ton) </a:t>
              </a:r>
              <a:r>
                <a:rPr lang="es-MX" sz="1100" b="0" i="0">
                  <a:latin typeface="Cambria Math" panose="02040503050406030204" pitchFamily="18" charset="0"/>
                </a:rPr>
                <a:t> </a:t>
              </a:r>
              <a:endParaRPr lang="es-MX" sz="1100"/>
            </a:p>
          </xdr:txBody>
        </xdr:sp>
      </mc:Fallback>
    </mc:AlternateContent>
    <xdr:clientData/>
  </xdr:oneCellAnchor>
  <xdr:twoCellAnchor editAs="oneCell">
    <xdr:from>
      <xdr:col>12</xdr:col>
      <xdr:colOff>443442</xdr:colOff>
      <xdr:row>4</xdr:row>
      <xdr:rowOff>800099</xdr:rowOff>
    </xdr:from>
    <xdr:to>
      <xdr:col>12</xdr:col>
      <xdr:colOff>730788</xdr:colOff>
      <xdr:row>4</xdr:row>
      <xdr:rowOff>1085848</xdr:rowOff>
    </xdr:to>
    <xdr:pic>
      <xdr:nvPicPr>
        <xdr:cNvPr id="14" name="Gráfico 13" descr="Hogar">
          <a:hlinkClick xmlns:r="http://schemas.openxmlformats.org/officeDocument/2006/relationships" r:id="rId52"/>
          <a:extLst>
            <a:ext uri="{FF2B5EF4-FFF2-40B4-BE49-F238E27FC236}">
              <a16:creationId xmlns:a16="http://schemas.microsoft.com/office/drawing/2014/main" id="{4417681B-0E52-4015-B44F-A2F38FA7435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092892" y="3114674"/>
          <a:ext cx="287346" cy="285749"/>
        </a:xfrm>
        <a:prstGeom prst="rect">
          <a:avLst/>
        </a:prstGeom>
      </xdr:spPr>
    </xdr:pic>
    <xdr:clientData/>
  </xdr:twoCellAnchor>
  <xdr:twoCellAnchor editAs="oneCell">
    <xdr:from>
      <xdr:col>12</xdr:col>
      <xdr:colOff>448733</xdr:colOff>
      <xdr:row>6</xdr:row>
      <xdr:rowOff>709084</xdr:rowOff>
    </xdr:from>
    <xdr:to>
      <xdr:col>12</xdr:col>
      <xdr:colOff>768946</xdr:colOff>
      <xdr:row>6</xdr:row>
      <xdr:rowOff>1027642</xdr:rowOff>
    </xdr:to>
    <xdr:pic>
      <xdr:nvPicPr>
        <xdr:cNvPr id="219" name="Gráfico 218" descr="Hogar">
          <a:hlinkClick xmlns:r="http://schemas.openxmlformats.org/officeDocument/2006/relationships" r:id="rId53"/>
          <a:extLst>
            <a:ext uri="{FF2B5EF4-FFF2-40B4-BE49-F238E27FC236}">
              <a16:creationId xmlns:a16="http://schemas.microsoft.com/office/drawing/2014/main" id="{103EEAC6-0A2D-44ED-95AD-6128AD9A626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098183" y="5957359"/>
          <a:ext cx="320213" cy="318558"/>
        </a:xfrm>
        <a:prstGeom prst="rect">
          <a:avLst/>
        </a:prstGeom>
      </xdr:spPr>
    </xdr:pic>
    <xdr:clientData/>
  </xdr:twoCellAnchor>
  <xdr:oneCellAnchor>
    <xdr:from>
      <xdr:col>10</xdr:col>
      <xdr:colOff>152400</xdr:colOff>
      <xdr:row>11</xdr:row>
      <xdr:rowOff>168275</xdr:rowOff>
    </xdr:from>
    <xdr:ext cx="1852084" cy="330924"/>
    <mc:AlternateContent xmlns:mc="http://schemas.openxmlformats.org/markup-compatibility/2006" xmlns:a14="http://schemas.microsoft.com/office/drawing/2010/main">
      <mc:Choice Requires="a14">
        <xdr:sp macro="" textlink="">
          <xdr:nvSpPr>
            <xdr:cNvPr id="227" name="CuadroTexto 226">
              <a:extLst>
                <a:ext uri="{FF2B5EF4-FFF2-40B4-BE49-F238E27FC236}">
                  <a16:creationId xmlns:a16="http://schemas.microsoft.com/office/drawing/2014/main" id="{650E0582-D7DA-4188-81CD-F36F329AC730}"/>
                </a:ext>
              </a:extLst>
            </xdr:cNvPr>
            <xdr:cNvSpPr txBox="1"/>
          </xdr:nvSpPr>
          <xdr:spPr>
            <a:xfrm>
              <a:off x="12534900" y="13455650"/>
              <a:ext cx="1852084" cy="330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=4.4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227" name="CuadroTexto 226">
              <a:extLst>
                <a:ext uri="{FF2B5EF4-FFF2-40B4-BE49-F238E27FC236}">
                  <a16:creationId xmlns:a16="http://schemas.microsoft.com/office/drawing/2014/main" id="{650E0582-D7DA-4188-81CD-F36F329AC730}"/>
                </a:ext>
              </a:extLst>
            </xdr:cNvPr>
            <xdr:cNvSpPr txBox="1"/>
          </xdr:nvSpPr>
          <xdr:spPr>
            <a:xfrm>
              <a:off x="12534900" y="13455650"/>
              <a:ext cx="1852084" cy="330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𝑃𝑐=4.4 </a:t>
              </a:r>
              <a:r>
                <a:rPr lang="es-MX" sz="1100" b="0" i="0">
                  <a:solidFill>
                    <a:schemeClr val="tx1"/>
                  </a:solidFill>
                  <a:effectLst/>
                  <a:latin typeface="Cambria Math" panose="02040503050406030204" pitchFamily="18" charset="0"/>
                  <a:ea typeface="+mn-ea"/>
                  <a:cs typeface="+mn-cs"/>
                </a:rPr>
                <a:t> (𝑐𝑒𝑙𝑢𝑙𝑎𝑟𝑒𝑠 )/(1 𝑘𝑔 𝑑𝑒 𝑃𝐸𝑇)</a:t>
              </a:r>
              <a:endParaRPr lang="es-MX" sz="1000" b="0"/>
            </a:p>
          </xdr:txBody>
        </xdr:sp>
      </mc:Fallback>
    </mc:AlternateContent>
    <xdr:clientData/>
  </xdr:oneCellAnchor>
  <xdr:oneCellAnchor>
    <xdr:from>
      <xdr:col>10</xdr:col>
      <xdr:colOff>238125</xdr:colOff>
      <xdr:row>11</xdr:row>
      <xdr:rowOff>638175</xdr:rowOff>
    </xdr:from>
    <xdr:ext cx="1528234" cy="301236"/>
    <mc:AlternateContent xmlns:mc="http://schemas.openxmlformats.org/markup-compatibility/2006" xmlns:a14="http://schemas.microsoft.com/office/drawing/2010/main">
      <mc:Choice Requires="a14">
        <xdr:sp macro="" textlink="">
          <xdr:nvSpPr>
            <xdr:cNvPr id="228" name="CuadroTexto 227">
              <a:extLst>
                <a:ext uri="{FF2B5EF4-FFF2-40B4-BE49-F238E27FC236}">
                  <a16:creationId xmlns:a16="http://schemas.microsoft.com/office/drawing/2014/main" id="{5FC7E370-E0B6-44F8-A7F2-39D7D9DE4DF9}"/>
                </a:ext>
              </a:extLst>
            </xdr:cNvPr>
            <xdr:cNvSpPr txBox="1"/>
          </xdr:nvSpPr>
          <xdr:spPr>
            <a:xfrm>
              <a:off x="10915650" y="9334500"/>
              <a:ext cx="1528234" cy="3012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=4.415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228" name="CuadroTexto 227">
              <a:extLst>
                <a:ext uri="{FF2B5EF4-FFF2-40B4-BE49-F238E27FC236}">
                  <a16:creationId xmlns:a16="http://schemas.microsoft.com/office/drawing/2014/main" id="{5FC7E370-E0B6-44F8-A7F2-39D7D9DE4DF9}"/>
                </a:ext>
              </a:extLst>
            </xdr:cNvPr>
            <xdr:cNvSpPr txBox="1"/>
          </xdr:nvSpPr>
          <xdr:spPr>
            <a:xfrm>
              <a:off x="10915650" y="9334500"/>
              <a:ext cx="1528234" cy="3012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𝑃𝑐=4.415 </a:t>
              </a:r>
              <a:r>
                <a:rPr lang="es-MX" sz="1100" b="0" i="0">
                  <a:solidFill>
                    <a:schemeClr val="tx1"/>
                  </a:solidFill>
                  <a:effectLst/>
                  <a:latin typeface="Cambria Math" panose="02040503050406030204" pitchFamily="18" charset="0"/>
                  <a:ea typeface="+mn-ea"/>
                  <a:cs typeface="+mn-cs"/>
                </a:rPr>
                <a:t> (𝑐𝑒𝑙𝑢𝑙𝑎𝑟𝑒𝑠 )/(1 𝑇𝑜𝑛 𝑑𝑒 𝑃𝐸𝑇)</a:t>
              </a:r>
              <a:endParaRPr lang="es-MX" sz="1000" b="0"/>
            </a:p>
          </xdr:txBody>
        </xdr:sp>
      </mc:Fallback>
    </mc:AlternateContent>
    <xdr:clientData/>
  </xdr:oneCellAnchor>
  <xdr:oneCellAnchor>
    <xdr:from>
      <xdr:col>9</xdr:col>
      <xdr:colOff>460375</xdr:colOff>
      <xdr:row>21</xdr:row>
      <xdr:rowOff>374650</xdr:rowOff>
    </xdr:from>
    <xdr:ext cx="1730375" cy="351506"/>
    <mc:AlternateContent xmlns:mc="http://schemas.openxmlformats.org/markup-compatibility/2006" xmlns:a14="http://schemas.microsoft.com/office/drawing/2010/main">
      <mc:Choice Requires="a14">
        <xdr:sp macro="" textlink="">
          <xdr:nvSpPr>
            <xdr:cNvPr id="233" name="CuadroTexto 232">
              <a:extLst>
                <a:ext uri="{FF2B5EF4-FFF2-40B4-BE49-F238E27FC236}">
                  <a16:creationId xmlns:a16="http://schemas.microsoft.com/office/drawing/2014/main" id="{E651B4DB-A645-4437-B0E2-CEEB30765B6C}"/>
                </a:ext>
              </a:extLst>
            </xdr:cNvPr>
            <xdr:cNvSpPr txBox="1"/>
          </xdr:nvSpPr>
          <xdr:spPr>
            <a:xfrm>
              <a:off x="10287000" y="2533015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𝑛𝑎𝑟𝑎𝑛𝑗𝑎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50 </m:t>
                        </m:r>
                        <m:r>
                          <m:rPr>
                            <m:sty m:val="p"/>
                          </m:rPr>
                          <a:rPr lang="es-MX" sz="1100" b="0" i="0">
                            <a:solidFill>
                              <a:schemeClr val="tx1"/>
                            </a:solidFill>
                            <a:effectLst/>
                            <a:latin typeface="Cambria Math" panose="02040503050406030204" pitchFamily="18" charset="0"/>
                            <a:ea typeface="+mn-ea"/>
                            <a:cs typeface="+mn-cs"/>
                          </a:rPr>
                          <m:t>L</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233" name="CuadroTexto 232">
              <a:extLst>
                <a:ext uri="{FF2B5EF4-FFF2-40B4-BE49-F238E27FC236}">
                  <a16:creationId xmlns:a16="http://schemas.microsoft.com/office/drawing/2014/main" id="{E651B4DB-A645-4437-B0E2-CEEB30765B6C}"/>
                </a:ext>
              </a:extLst>
            </xdr:cNvPr>
            <xdr:cNvSpPr txBox="1"/>
          </xdr:nvSpPr>
          <xdr:spPr>
            <a:xfrm>
              <a:off x="10287000" y="2533015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𝑛𝑎𝑟𝑎𝑛𝑗𝑎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50 L)/(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244474</xdr:colOff>
      <xdr:row>21</xdr:row>
      <xdr:rowOff>379413</xdr:rowOff>
    </xdr:from>
    <xdr:ext cx="2130425" cy="322268"/>
    <mc:AlternateContent xmlns:mc="http://schemas.openxmlformats.org/markup-compatibility/2006" xmlns:a14="http://schemas.microsoft.com/office/drawing/2010/main">
      <mc:Choice Requires="a14">
        <xdr:sp macro="" textlink="">
          <xdr:nvSpPr>
            <xdr:cNvPr id="234" name="CuadroTexto 233">
              <a:extLst>
                <a:ext uri="{FF2B5EF4-FFF2-40B4-BE49-F238E27FC236}">
                  <a16:creationId xmlns:a16="http://schemas.microsoft.com/office/drawing/2014/main" id="{668CA366-F6F1-4DC5-BB88-47FEADFBF7A7}"/>
                </a:ext>
              </a:extLst>
            </xdr:cNvPr>
            <xdr:cNvSpPr txBox="1"/>
          </xdr:nvSpPr>
          <xdr:spPr>
            <a:xfrm>
              <a:off x="12626974" y="25334913"/>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𝑘𝑔</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 </m:t>
                    </m:r>
                  </m:oMath>
                </m:oMathPara>
              </a14:m>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a:p>
          </xdr:txBody>
        </xdr:sp>
      </mc:Choice>
      <mc:Fallback xmlns="">
        <xdr:sp macro="" textlink="">
          <xdr:nvSpPr>
            <xdr:cNvPr id="234" name="CuadroTexto 233">
              <a:extLst>
                <a:ext uri="{FF2B5EF4-FFF2-40B4-BE49-F238E27FC236}">
                  <a16:creationId xmlns:a16="http://schemas.microsoft.com/office/drawing/2014/main" id="{668CA366-F6F1-4DC5-BB88-47FEADFBF7A7}"/>
                </a:ext>
              </a:extLst>
            </xdr:cNvPr>
            <xdr:cNvSpPr txBox="1"/>
          </xdr:nvSpPr>
          <xdr:spPr>
            <a:xfrm>
              <a:off x="12626974" y="25334913"/>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solidFill>
                    <a:schemeClr val="tx1"/>
                  </a:solidFill>
                  <a:effectLst/>
                  <a:latin typeface="Cambria Math" panose="02040503050406030204" pitchFamily="18" charset="0"/>
                  <a:ea typeface="+mn-ea"/>
                  <a:cs typeface="+mn-cs"/>
                </a:rPr>
                <a:t>1 𝑘𝑔 𝑃𝐸𝑇= </a:t>
              </a:r>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a:t>
              </a:r>
              <a:endParaRPr lang="es-MX" sz="1050" b="0"/>
            </a:p>
          </xdr:txBody>
        </xdr:sp>
      </mc:Fallback>
    </mc:AlternateContent>
    <xdr:clientData/>
  </xdr:oneCellAnchor>
  <xdr:oneCellAnchor>
    <xdr:from>
      <xdr:col>12</xdr:col>
      <xdr:colOff>1219200</xdr:colOff>
      <xdr:row>21</xdr:row>
      <xdr:rowOff>388938</xdr:rowOff>
    </xdr:from>
    <xdr:ext cx="376237" cy="376237"/>
    <xdr:pic>
      <xdr:nvPicPr>
        <xdr:cNvPr id="235" name="Gráfico 234" descr="Inalámbrico">
          <a:hlinkClick xmlns:r="http://schemas.openxmlformats.org/officeDocument/2006/relationships" r:id="rId12"/>
          <a:extLst>
            <a:ext uri="{FF2B5EF4-FFF2-40B4-BE49-F238E27FC236}">
              <a16:creationId xmlns:a16="http://schemas.microsoft.com/office/drawing/2014/main" id="{C3D7161C-EA48-4E99-9C42-1AFAF26B05B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68650" y="24563388"/>
          <a:ext cx="376237" cy="376237"/>
        </a:xfrm>
        <a:prstGeom prst="rect">
          <a:avLst/>
        </a:prstGeom>
      </xdr:spPr>
    </xdr:pic>
    <xdr:clientData/>
  </xdr:oneCellAnchor>
  <xdr:oneCellAnchor>
    <xdr:from>
      <xdr:col>9</xdr:col>
      <xdr:colOff>412750</xdr:colOff>
      <xdr:row>22</xdr:row>
      <xdr:rowOff>422275</xdr:rowOff>
    </xdr:from>
    <xdr:ext cx="1730375" cy="351506"/>
    <mc:AlternateContent xmlns:mc="http://schemas.openxmlformats.org/markup-compatibility/2006" xmlns:a14="http://schemas.microsoft.com/office/drawing/2010/main">
      <mc:Choice Requires="a14">
        <xdr:sp macro="" textlink="">
          <xdr:nvSpPr>
            <xdr:cNvPr id="239" name="CuadroTexto 238">
              <a:extLst>
                <a:ext uri="{FF2B5EF4-FFF2-40B4-BE49-F238E27FC236}">
                  <a16:creationId xmlns:a16="http://schemas.microsoft.com/office/drawing/2014/main" id="{0B475547-ADDF-413D-BE76-76C965877866}"/>
                </a:ext>
              </a:extLst>
            </xdr:cNvPr>
            <xdr:cNvSpPr txBox="1"/>
          </xdr:nvSpPr>
          <xdr:spPr>
            <a:xfrm>
              <a:off x="10239375" y="2679065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𝑡𝑜𝑚𝑎𝑡𝑒</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13 </m:t>
                        </m:r>
                        <m:r>
                          <m:rPr>
                            <m:sty m:val="p"/>
                          </m:rPr>
                          <a:rPr lang="es-MX" sz="1100" b="0" i="0">
                            <a:solidFill>
                              <a:schemeClr val="tx1"/>
                            </a:solidFill>
                            <a:effectLst/>
                            <a:latin typeface="Cambria Math" panose="02040503050406030204" pitchFamily="18" charset="0"/>
                            <a:ea typeface="+mn-ea"/>
                            <a:cs typeface="+mn-cs"/>
                          </a:rPr>
                          <m:t>L</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239" name="CuadroTexto 238">
              <a:extLst>
                <a:ext uri="{FF2B5EF4-FFF2-40B4-BE49-F238E27FC236}">
                  <a16:creationId xmlns:a16="http://schemas.microsoft.com/office/drawing/2014/main" id="{0B475547-ADDF-413D-BE76-76C965877866}"/>
                </a:ext>
              </a:extLst>
            </xdr:cNvPr>
            <xdr:cNvSpPr txBox="1"/>
          </xdr:nvSpPr>
          <xdr:spPr>
            <a:xfrm>
              <a:off x="10239375" y="26790650"/>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𝑡𝑜𝑚𝑎𝑡𝑒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13 L)/(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508000</xdr:colOff>
      <xdr:row>22</xdr:row>
      <xdr:rowOff>442913</xdr:rowOff>
    </xdr:from>
    <xdr:ext cx="1216024" cy="480131"/>
    <mc:AlternateContent xmlns:mc="http://schemas.openxmlformats.org/markup-compatibility/2006" xmlns:a14="http://schemas.microsoft.com/office/drawing/2010/main">
      <mc:Choice Requires="a14">
        <xdr:sp macro="" textlink="">
          <xdr:nvSpPr>
            <xdr:cNvPr id="240" name="CuadroTexto 239">
              <a:extLst>
                <a:ext uri="{FF2B5EF4-FFF2-40B4-BE49-F238E27FC236}">
                  <a16:creationId xmlns:a16="http://schemas.microsoft.com/office/drawing/2014/main" id="{C953454A-1338-4FD0-8D56-EC734B5D0748}"/>
                </a:ext>
              </a:extLst>
            </xdr:cNvPr>
            <xdr:cNvSpPr txBox="1"/>
          </xdr:nvSpPr>
          <xdr:spPr>
            <a:xfrm>
              <a:off x="12890500" y="26811288"/>
              <a:ext cx="1216024" cy="480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𝑘𝑔</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i="1">
                <a:solidFill>
                  <a:schemeClr val="tx1"/>
                </a:solidFill>
                <a:effectLst/>
                <a:latin typeface="Cambria Math" panose="02040503050406030204" pitchFamily="18" charset="0"/>
                <a:ea typeface="+mn-ea"/>
                <a:cs typeface="+mn-cs"/>
              </a:endParaRPr>
            </a:p>
            <a:p>
              <a:pPr algn="l"/>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a:p>
          </xdr:txBody>
        </xdr:sp>
      </mc:Choice>
      <mc:Fallback xmlns="">
        <xdr:sp macro="" textlink="">
          <xdr:nvSpPr>
            <xdr:cNvPr id="240" name="CuadroTexto 239">
              <a:extLst>
                <a:ext uri="{FF2B5EF4-FFF2-40B4-BE49-F238E27FC236}">
                  <a16:creationId xmlns:a16="http://schemas.microsoft.com/office/drawing/2014/main" id="{C953454A-1338-4FD0-8D56-EC734B5D0748}"/>
                </a:ext>
              </a:extLst>
            </xdr:cNvPr>
            <xdr:cNvSpPr txBox="1"/>
          </xdr:nvSpPr>
          <xdr:spPr>
            <a:xfrm>
              <a:off x="12890500" y="26811288"/>
              <a:ext cx="1216024" cy="480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solidFill>
                    <a:schemeClr val="tx1"/>
                  </a:solidFill>
                  <a:effectLst/>
                  <a:latin typeface="Cambria Math" panose="02040503050406030204" pitchFamily="18" charset="0"/>
                  <a:ea typeface="+mn-ea"/>
                  <a:cs typeface="+mn-cs"/>
                </a:rPr>
                <a:t>1 𝑘𝑔 𝑃𝐸𝑇=</a:t>
              </a:r>
              <a:endParaRPr lang="es-MX" sz="1050" b="0" i="1">
                <a:solidFill>
                  <a:schemeClr val="tx1"/>
                </a:solidFill>
                <a:effectLst/>
                <a:latin typeface="Cambria Math" panose="02040503050406030204" pitchFamily="18" charset="0"/>
                <a:ea typeface="+mn-ea"/>
                <a:cs typeface="+mn-cs"/>
              </a:endParaRPr>
            </a:p>
            <a:p>
              <a:pPr algn="l"/>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a:t>
              </a:r>
              <a:endParaRPr lang="es-MX" sz="1050" b="0"/>
            </a:p>
          </xdr:txBody>
        </xdr:sp>
      </mc:Fallback>
    </mc:AlternateContent>
    <xdr:clientData/>
  </xdr:oneCellAnchor>
  <xdr:oneCellAnchor>
    <xdr:from>
      <xdr:col>12</xdr:col>
      <xdr:colOff>1257300</xdr:colOff>
      <xdr:row>22</xdr:row>
      <xdr:rowOff>312738</xdr:rowOff>
    </xdr:from>
    <xdr:ext cx="376237" cy="376237"/>
    <xdr:pic>
      <xdr:nvPicPr>
        <xdr:cNvPr id="241" name="Gráfico 240" descr="Inalámbrico">
          <a:hlinkClick xmlns:r="http://schemas.openxmlformats.org/officeDocument/2006/relationships" r:id="rId12"/>
          <a:extLst>
            <a:ext uri="{FF2B5EF4-FFF2-40B4-BE49-F238E27FC236}">
              <a16:creationId xmlns:a16="http://schemas.microsoft.com/office/drawing/2014/main" id="{D9F414F5-5A45-4F01-881B-066CFE4C41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906750" y="25896888"/>
          <a:ext cx="376237" cy="376237"/>
        </a:xfrm>
        <a:prstGeom prst="rect">
          <a:avLst/>
        </a:prstGeom>
      </xdr:spPr>
    </xdr:pic>
    <xdr:clientData/>
  </xdr:oneCellAnchor>
  <xdr:oneCellAnchor>
    <xdr:from>
      <xdr:col>9</xdr:col>
      <xdr:colOff>317500</xdr:colOff>
      <xdr:row>23</xdr:row>
      <xdr:rowOff>454025</xdr:rowOff>
    </xdr:from>
    <xdr:ext cx="1730375" cy="351506"/>
    <mc:AlternateContent xmlns:mc="http://schemas.openxmlformats.org/markup-compatibility/2006" xmlns:a14="http://schemas.microsoft.com/office/drawing/2010/main">
      <mc:Choice Requires="a14">
        <xdr:sp macro="" textlink="">
          <xdr:nvSpPr>
            <xdr:cNvPr id="247" name="CuadroTexto 246">
              <a:extLst>
                <a:ext uri="{FF2B5EF4-FFF2-40B4-BE49-F238E27FC236}">
                  <a16:creationId xmlns:a16="http://schemas.microsoft.com/office/drawing/2014/main" id="{589AEC13-D3E3-4452-B407-3D54A8E0D02E}"/>
                </a:ext>
              </a:extLst>
            </xdr:cNvPr>
            <xdr:cNvSpPr txBox="1"/>
          </xdr:nvSpPr>
          <xdr:spPr>
            <a:xfrm>
              <a:off x="10144125" y="28235275"/>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𝑝𝑎𝑝𝑎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25 </m:t>
                        </m:r>
                        <m:r>
                          <m:rPr>
                            <m:sty m:val="p"/>
                          </m:rPr>
                          <a:rPr lang="es-MX" sz="1100" b="0" i="0">
                            <a:solidFill>
                              <a:schemeClr val="tx1"/>
                            </a:solidFill>
                            <a:effectLst/>
                            <a:latin typeface="Cambria Math" panose="02040503050406030204" pitchFamily="18" charset="0"/>
                            <a:ea typeface="+mn-ea"/>
                            <a:cs typeface="+mn-cs"/>
                          </a:rPr>
                          <m:t>L</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𝐿</m:t>
                        </m:r>
                      </m:den>
                    </m:f>
                    <m:r>
                      <a:rPr lang="es-MX" sz="1600" b="0" i="1">
                        <a:latin typeface="Cambria Math" panose="02040503050406030204" pitchFamily="18" charset="0"/>
                      </a:rPr>
                      <m:t> </m:t>
                    </m:r>
                  </m:oMath>
                </m:oMathPara>
              </a14:m>
              <a:endParaRPr lang="es-MX" sz="1600"/>
            </a:p>
          </xdr:txBody>
        </xdr:sp>
      </mc:Choice>
      <mc:Fallback xmlns="">
        <xdr:sp macro="" textlink="">
          <xdr:nvSpPr>
            <xdr:cNvPr id="247" name="CuadroTexto 246">
              <a:extLst>
                <a:ext uri="{FF2B5EF4-FFF2-40B4-BE49-F238E27FC236}">
                  <a16:creationId xmlns:a16="http://schemas.microsoft.com/office/drawing/2014/main" id="{589AEC13-D3E3-4452-B407-3D54A8E0D02E}"/>
                </a:ext>
              </a:extLst>
            </xdr:cNvPr>
            <xdr:cNvSpPr txBox="1"/>
          </xdr:nvSpPr>
          <xdr:spPr>
            <a:xfrm>
              <a:off x="10144125" y="28235275"/>
              <a:ext cx="173037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𝑝𝑎𝑝𝑎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25 L)/( 𝐿)</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180974</xdr:colOff>
      <xdr:row>23</xdr:row>
      <xdr:rowOff>442913</xdr:rowOff>
    </xdr:from>
    <xdr:ext cx="2130425" cy="322268"/>
    <mc:AlternateContent xmlns:mc="http://schemas.openxmlformats.org/markup-compatibility/2006" xmlns:a14="http://schemas.microsoft.com/office/drawing/2010/main">
      <mc:Choice Requires="a14">
        <xdr:sp macro="" textlink="">
          <xdr:nvSpPr>
            <xdr:cNvPr id="248" name="CuadroTexto 247">
              <a:extLst>
                <a:ext uri="{FF2B5EF4-FFF2-40B4-BE49-F238E27FC236}">
                  <a16:creationId xmlns:a16="http://schemas.microsoft.com/office/drawing/2014/main" id="{799FBE5E-50A4-495A-B034-ABED9B608B18}"/>
                </a:ext>
              </a:extLst>
            </xdr:cNvPr>
            <xdr:cNvSpPr txBox="1"/>
          </xdr:nvSpPr>
          <xdr:spPr>
            <a:xfrm>
              <a:off x="12563474" y="28224163"/>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𝑘𝑔</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oMath>
                </m:oMathPara>
              </a14:m>
              <a:endParaRPr lang="es-MX" sz="1050" b="0"/>
            </a:p>
          </xdr:txBody>
        </xdr:sp>
      </mc:Choice>
      <mc:Fallback xmlns="">
        <xdr:sp macro="" textlink="">
          <xdr:nvSpPr>
            <xdr:cNvPr id="248" name="CuadroTexto 247">
              <a:extLst>
                <a:ext uri="{FF2B5EF4-FFF2-40B4-BE49-F238E27FC236}">
                  <a16:creationId xmlns:a16="http://schemas.microsoft.com/office/drawing/2014/main" id="{799FBE5E-50A4-495A-B034-ABED9B608B18}"/>
                </a:ext>
              </a:extLst>
            </xdr:cNvPr>
            <xdr:cNvSpPr txBox="1"/>
          </xdr:nvSpPr>
          <xdr:spPr>
            <a:xfrm>
              <a:off x="12563474" y="28224163"/>
              <a:ext cx="2130425" cy="32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solidFill>
                    <a:schemeClr val="tx1"/>
                  </a:solidFill>
                  <a:effectLst/>
                  <a:latin typeface="Cambria Math" panose="02040503050406030204" pitchFamily="18" charset="0"/>
                  <a:ea typeface="+mn-ea"/>
                  <a:cs typeface="+mn-cs"/>
                </a:rPr>
                <a:t>1 𝑘𝑔 𝑃𝐸𝑇=</a:t>
              </a:r>
              <a:endParaRPr lang="es-MX" sz="1050" b="0" i="1">
                <a:solidFill>
                  <a:schemeClr val="tx1"/>
                </a:solidFill>
                <a:effectLst/>
                <a:latin typeface="Cambria Math" panose="02040503050406030204" pitchFamily="18"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a:t>
              </a:r>
              <a:endParaRPr lang="es-MX" sz="1050" b="0"/>
            </a:p>
          </xdr:txBody>
        </xdr:sp>
      </mc:Fallback>
    </mc:AlternateContent>
    <xdr:clientData/>
  </xdr:oneCellAnchor>
  <xdr:oneCellAnchor>
    <xdr:from>
      <xdr:col>12</xdr:col>
      <xdr:colOff>1245659</xdr:colOff>
      <xdr:row>24</xdr:row>
      <xdr:rowOff>732366</xdr:rowOff>
    </xdr:from>
    <xdr:ext cx="376237" cy="376237"/>
    <xdr:pic>
      <xdr:nvPicPr>
        <xdr:cNvPr id="259" name="Gráfico 258" descr="Inalámbrico">
          <a:hlinkClick xmlns:r="http://schemas.openxmlformats.org/officeDocument/2006/relationships" r:id="rId54"/>
          <a:extLst>
            <a:ext uri="{FF2B5EF4-FFF2-40B4-BE49-F238E27FC236}">
              <a16:creationId xmlns:a16="http://schemas.microsoft.com/office/drawing/2014/main" id="{95B6A0C4-3336-4ABD-AD34-F4C7333D204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95109" y="29135916"/>
          <a:ext cx="376237" cy="376237"/>
        </a:xfrm>
        <a:prstGeom prst="rect">
          <a:avLst/>
        </a:prstGeom>
      </xdr:spPr>
    </xdr:pic>
    <xdr:clientData/>
  </xdr:oneCellAnchor>
  <xdr:twoCellAnchor editAs="oneCell">
    <xdr:from>
      <xdr:col>12</xdr:col>
      <xdr:colOff>1191059</xdr:colOff>
      <xdr:row>12</xdr:row>
      <xdr:rowOff>1151897</xdr:rowOff>
    </xdr:from>
    <xdr:to>
      <xdr:col>12</xdr:col>
      <xdr:colOff>1487587</xdr:colOff>
      <xdr:row>12</xdr:row>
      <xdr:rowOff>1451409</xdr:rowOff>
    </xdr:to>
    <xdr:pic>
      <xdr:nvPicPr>
        <xdr:cNvPr id="236" name="Gráfico 235" descr="Inalámbrico">
          <a:hlinkClick xmlns:r="http://schemas.openxmlformats.org/officeDocument/2006/relationships" r:id="rId55"/>
          <a:extLst>
            <a:ext uri="{FF2B5EF4-FFF2-40B4-BE49-F238E27FC236}">
              <a16:creationId xmlns:a16="http://schemas.microsoft.com/office/drawing/2014/main" id="{928884CF-C659-4806-A8BE-D1ECDDA0D60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0509" y="15515597"/>
          <a:ext cx="296528" cy="299512"/>
        </a:xfrm>
        <a:prstGeom prst="rect">
          <a:avLst/>
        </a:prstGeom>
      </xdr:spPr>
    </xdr:pic>
    <xdr:clientData/>
  </xdr:twoCellAnchor>
  <xdr:twoCellAnchor editAs="oneCell">
    <xdr:from>
      <xdr:col>12</xdr:col>
      <xdr:colOff>1205442</xdr:colOff>
      <xdr:row>12</xdr:row>
      <xdr:rowOff>1859786</xdr:rowOff>
    </xdr:from>
    <xdr:to>
      <xdr:col>12</xdr:col>
      <xdr:colOff>1504953</xdr:colOff>
      <xdr:row>12</xdr:row>
      <xdr:rowOff>2164821</xdr:rowOff>
    </xdr:to>
    <xdr:pic>
      <xdr:nvPicPr>
        <xdr:cNvPr id="237" name="Gráfico 236" descr="Inalámbrico">
          <a:hlinkClick xmlns:r="http://schemas.openxmlformats.org/officeDocument/2006/relationships" r:id="rId56"/>
          <a:extLst>
            <a:ext uri="{FF2B5EF4-FFF2-40B4-BE49-F238E27FC236}">
              <a16:creationId xmlns:a16="http://schemas.microsoft.com/office/drawing/2014/main" id="{9CE90B5F-2527-4A53-9B32-03CD660D42B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4892" y="15852011"/>
          <a:ext cx="299511" cy="305035"/>
        </a:xfrm>
        <a:prstGeom prst="rect">
          <a:avLst/>
        </a:prstGeom>
      </xdr:spPr>
    </xdr:pic>
    <xdr:clientData/>
  </xdr:twoCellAnchor>
  <xdr:oneCellAnchor>
    <xdr:from>
      <xdr:col>8</xdr:col>
      <xdr:colOff>320675</xdr:colOff>
      <xdr:row>12</xdr:row>
      <xdr:rowOff>444500</xdr:rowOff>
    </xdr:from>
    <xdr:ext cx="1123950" cy="228076"/>
    <mc:AlternateContent xmlns:mc="http://schemas.openxmlformats.org/markup-compatibility/2006" xmlns:a14="http://schemas.microsoft.com/office/drawing/2010/main">
      <mc:Choice Requires="a14">
        <xdr:sp macro="" textlink="">
          <xdr:nvSpPr>
            <xdr:cNvPr id="243" name="CuadroTexto 242">
              <a:extLst>
                <a:ext uri="{FF2B5EF4-FFF2-40B4-BE49-F238E27FC236}">
                  <a16:creationId xmlns:a16="http://schemas.microsoft.com/office/drawing/2014/main" id="{DE23D081-E184-4F61-85CC-499AAA353EE8}"/>
                </a:ext>
              </a:extLst>
            </xdr:cNvPr>
            <xdr:cNvSpPr txBox="1"/>
          </xdr:nvSpPr>
          <xdr:spPr>
            <a:xfrm>
              <a:off x="7718425" y="15192375"/>
              <a:ext cx="1123950" cy="228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Wh</a:t>
              </a:r>
              <a14:m>
                <m:oMath xmlns:m="http://schemas.openxmlformats.org/officeDocument/2006/math">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𝑚𝐴h</m:t>
                      </m:r>
                    </m:e>
                  </m:d>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V</m:t>
                      </m:r>
                    </m:num>
                    <m:den>
                      <m:r>
                        <a:rPr lang="es-MX" sz="1100" b="0" i="1">
                          <a:solidFill>
                            <a:schemeClr val="tx1"/>
                          </a:solidFill>
                          <a:effectLst/>
                          <a:latin typeface="Cambria Math" panose="02040503050406030204" pitchFamily="18" charset="0"/>
                          <a:ea typeface="+mn-ea"/>
                          <a:cs typeface="+mn-cs"/>
                        </a:rPr>
                        <m:t>1000</m:t>
                      </m:r>
                    </m:den>
                  </m:f>
                </m:oMath>
              </a14:m>
              <a:endParaRPr lang="es-MX" sz="1000" b="0"/>
            </a:p>
          </xdr:txBody>
        </xdr:sp>
      </mc:Choice>
      <mc:Fallback xmlns="">
        <xdr:sp macro="" textlink="">
          <xdr:nvSpPr>
            <xdr:cNvPr id="243" name="CuadroTexto 242">
              <a:extLst>
                <a:ext uri="{FF2B5EF4-FFF2-40B4-BE49-F238E27FC236}">
                  <a16:creationId xmlns:a16="http://schemas.microsoft.com/office/drawing/2014/main" id="{DE23D081-E184-4F61-85CC-499AAA353EE8}"/>
                </a:ext>
              </a:extLst>
            </xdr:cNvPr>
            <xdr:cNvSpPr txBox="1"/>
          </xdr:nvSpPr>
          <xdr:spPr>
            <a:xfrm>
              <a:off x="7718425" y="15192375"/>
              <a:ext cx="1123950" cy="228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Wh</a:t>
              </a:r>
              <a:r>
                <a:rPr lang="es-MX" sz="1000" b="0" i="0">
                  <a:latin typeface="Cambria Math" panose="02040503050406030204" pitchFamily="18" charset="0"/>
                </a:rPr>
                <a:t>=(𝑚𝐴ℎ)∗</a:t>
              </a:r>
              <a:r>
                <a:rPr lang="es-MX" sz="1100" b="0" i="0">
                  <a:solidFill>
                    <a:schemeClr val="tx1"/>
                  </a:solidFill>
                  <a:effectLst/>
                  <a:latin typeface="Cambria Math" panose="02040503050406030204" pitchFamily="18" charset="0"/>
                  <a:ea typeface="+mn-ea"/>
                  <a:cs typeface="+mn-cs"/>
                </a:rPr>
                <a:t>V/1000</a:t>
              </a:r>
              <a:endParaRPr lang="es-MX" sz="1000" b="0"/>
            </a:p>
          </xdr:txBody>
        </xdr:sp>
      </mc:Fallback>
    </mc:AlternateContent>
    <xdr:clientData/>
  </xdr:oneCellAnchor>
  <xdr:oneCellAnchor>
    <xdr:from>
      <xdr:col>8</xdr:col>
      <xdr:colOff>317500</xdr:colOff>
      <xdr:row>12</xdr:row>
      <xdr:rowOff>720725</xdr:rowOff>
    </xdr:from>
    <xdr:ext cx="1571626" cy="156518"/>
    <mc:AlternateContent xmlns:mc="http://schemas.openxmlformats.org/markup-compatibility/2006" xmlns:a14="http://schemas.microsoft.com/office/drawing/2010/main">
      <mc:Choice Requires="a14">
        <xdr:sp macro="" textlink="">
          <xdr:nvSpPr>
            <xdr:cNvPr id="251" name="CuadroTexto 250">
              <a:extLst>
                <a:ext uri="{FF2B5EF4-FFF2-40B4-BE49-F238E27FC236}">
                  <a16:creationId xmlns:a16="http://schemas.microsoft.com/office/drawing/2014/main" id="{6649B1F7-B62D-4F46-A15A-B378268C9C49}"/>
                </a:ext>
              </a:extLst>
            </xdr:cNvPr>
            <xdr:cNvSpPr txBox="1"/>
          </xdr:nvSpPr>
          <xdr:spPr>
            <a:xfrm>
              <a:off x="7715250" y="15468600"/>
              <a:ext cx="1571626"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mn-lt"/>
                </a:rPr>
                <a:t>CC</a:t>
              </a:r>
              <a14:m>
                <m:oMath xmlns:m="http://schemas.openxmlformats.org/officeDocument/2006/math">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𝑊h</m:t>
                      </m:r>
                    </m:e>
                  </m:d>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𝑡𝑐</m:t>
                      </m:r>
                    </m:e>
                  </m:d>
                  <m:r>
                    <a:rPr lang="es-MX" sz="1000" b="0" i="1">
                      <a:latin typeface="Cambria Math" panose="02040503050406030204" pitchFamily="18" charset="0"/>
                    </a:rPr>
                    <m:t>∗365 </m:t>
                  </m:r>
                  <m:r>
                    <a:rPr lang="es-MX" sz="1000" b="0" i="1">
                      <a:latin typeface="Cambria Math" panose="02040503050406030204" pitchFamily="18" charset="0"/>
                    </a:rPr>
                    <m:t>𝑑</m:t>
                  </m:r>
                  <m:r>
                    <a:rPr lang="es-MX" sz="1000" b="0" i="1">
                      <a:latin typeface="Cambria Math" panose="02040503050406030204" pitchFamily="18" charset="0"/>
                    </a:rPr>
                    <m:t>í</m:t>
                  </m:r>
                  <m:r>
                    <a:rPr lang="es-MX" sz="1000" b="0" i="1">
                      <a:latin typeface="Cambria Math" panose="02040503050406030204" pitchFamily="18" charset="0"/>
                    </a:rPr>
                    <m:t>𝑎𝑠</m:t>
                  </m:r>
                </m:oMath>
              </a14:m>
              <a:endParaRPr lang="es-MX" sz="1000" b="0"/>
            </a:p>
          </xdr:txBody>
        </xdr:sp>
      </mc:Choice>
      <mc:Fallback xmlns="">
        <xdr:sp macro="" textlink="">
          <xdr:nvSpPr>
            <xdr:cNvPr id="251" name="CuadroTexto 250">
              <a:extLst>
                <a:ext uri="{FF2B5EF4-FFF2-40B4-BE49-F238E27FC236}">
                  <a16:creationId xmlns:a16="http://schemas.microsoft.com/office/drawing/2014/main" id="{6649B1F7-B62D-4F46-A15A-B378268C9C49}"/>
                </a:ext>
              </a:extLst>
            </xdr:cNvPr>
            <xdr:cNvSpPr txBox="1"/>
          </xdr:nvSpPr>
          <xdr:spPr>
            <a:xfrm>
              <a:off x="7715250" y="15468600"/>
              <a:ext cx="1571626"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mn-lt"/>
                </a:rPr>
                <a:t>CC</a:t>
              </a:r>
              <a:r>
                <a:rPr lang="es-MX" sz="1000" b="0" i="0">
                  <a:latin typeface="Cambria Math" panose="02040503050406030204" pitchFamily="18" charset="0"/>
                </a:rPr>
                <a:t>=(𝑊ℎ)∗(𝑡𝑐)∗365 𝑑í𝑎𝑠</a:t>
              </a:r>
              <a:endParaRPr lang="es-MX" sz="1000" b="0"/>
            </a:p>
          </xdr:txBody>
        </xdr:sp>
      </mc:Fallback>
    </mc:AlternateContent>
    <xdr:clientData/>
  </xdr:oneCellAnchor>
  <xdr:oneCellAnchor>
    <xdr:from>
      <xdr:col>9</xdr:col>
      <xdr:colOff>353484</xdr:colOff>
      <xdr:row>12</xdr:row>
      <xdr:rowOff>187324</xdr:rowOff>
    </xdr:from>
    <xdr:ext cx="2091265" cy="1047338"/>
    <mc:AlternateContent xmlns:mc="http://schemas.openxmlformats.org/markup-compatibility/2006" xmlns:a14="http://schemas.microsoft.com/office/drawing/2010/main">
      <mc:Choice Requires="a14">
        <xdr:sp macro="" textlink="">
          <xdr:nvSpPr>
            <xdr:cNvPr id="253" name="CuadroTexto 252">
              <a:extLst>
                <a:ext uri="{FF2B5EF4-FFF2-40B4-BE49-F238E27FC236}">
                  <a16:creationId xmlns:a16="http://schemas.microsoft.com/office/drawing/2014/main" id="{208039DD-8AD1-4AB4-A106-242004C44F4A}"/>
                </a:ext>
              </a:extLst>
            </xdr:cNvPr>
            <xdr:cNvSpPr txBox="1"/>
          </xdr:nvSpPr>
          <xdr:spPr>
            <a:xfrm>
              <a:off x="10180109" y="14935199"/>
              <a:ext cx="2091265" cy="1047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900" b="0">
                  <a:solidFill>
                    <a:schemeClr val="tx1"/>
                  </a:solidFill>
                  <a:effectLst/>
                  <a:latin typeface="+mn-lt"/>
                  <a:ea typeface="+mn-ea"/>
                  <a:cs typeface="+mn-cs"/>
                </a:rPr>
                <a:t>Wh</a:t>
              </a:r>
              <a14:m>
                <m:oMath xmlns:m="http://schemas.openxmlformats.org/officeDocument/2006/math">
                  <m:r>
                    <a:rPr lang="es-MX" sz="900" b="0" i="1">
                      <a:solidFill>
                        <a:schemeClr val="tx1"/>
                      </a:solidFill>
                      <a:effectLst/>
                      <a:latin typeface="Cambria Math" panose="02040503050406030204" pitchFamily="18" charset="0"/>
                      <a:ea typeface="+mn-ea"/>
                      <a:cs typeface="+mn-cs"/>
                    </a:rPr>
                    <m:t>=</m:t>
                  </m:r>
                  <m:d>
                    <m:dPr>
                      <m:ctrlPr>
                        <a:rPr lang="es-MX" sz="900" b="0" i="1">
                          <a:solidFill>
                            <a:schemeClr val="tx1"/>
                          </a:solidFill>
                          <a:effectLst/>
                          <a:latin typeface="Cambria Math" panose="02040503050406030204" pitchFamily="18" charset="0"/>
                          <a:ea typeface="+mn-ea"/>
                          <a:cs typeface="+mn-cs"/>
                        </a:rPr>
                      </m:ctrlPr>
                    </m:dPr>
                    <m:e>
                      <m:r>
                        <a:rPr lang="es-MX" sz="900" b="0" i="1">
                          <a:solidFill>
                            <a:schemeClr val="tx1"/>
                          </a:solidFill>
                          <a:effectLst/>
                          <a:latin typeface="Cambria Math" panose="02040503050406030204" pitchFamily="18" charset="0"/>
                          <a:ea typeface="+mn-ea"/>
                          <a:cs typeface="+mn-cs"/>
                        </a:rPr>
                        <m:t>3400</m:t>
                      </m:r>
                    </m:e>
                  </m:d>
                  <m:r>
                    <a:rPr lang="es-MX" sz="900" b="0" i="1">
                      <a:solidFill>
                        <a:schemeClr val="tx1"/>
                      </a:solidFill>
                      <a:effectLst/>
                      <a:latin typeface="Cambria Math" panose="02040503050406030204" pitchFamily="18" charset="0"/>
                      <a:ea typeface="+mn-ea"/>
                      <a:cs typeface="+mn-cs"/>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5</m:t>
                      </m:r>
                      <m:r>
                        <m:rPr>
                          <m:sty m:val="p"/>
                        </m:rPr>
                        <a:rPr lang="es-MX" sz="900" b="0" i="0">
                          <a:solidFill>
                            <a:schemeClr val="tx1"/>
                          </a:solidFill>
                          <a:effectLst/>
                          <a:latin typeface="Cambria Math" panose="02040503050406030204" pitchFamily="18" charset="0"/>
                          <a:ea typeface="+mn-ea"/>
                          <a:cs typeface="+mn-cs"/>
                        </a:rPr>
                        <m:t>V</m:t>
                      </m:r>
                    </m:num>
                    <m:den>
                      <m:r>
                        <a:rPr lang="es-MX" sz="900" b="0" i="1">
                          <a:solidFill>
                            <a:schemeClr val="tx1"/>
                          </a:solidFill>
                          <a:effectLst/>
                          <a:latin typeface="Cambria Math" panose="02040503050406030204" pitchFamily="18" charset="0"/>
                          <a:ea typeface="+mn-ea"/>
                          <a:cs typeface="+mn-cs"/>
                        </a:rPr>
                        <m:t>1000</m:t>
                      </m:r>
                    </m:den>
                  </m:f>
                </m:oMath>
              </a14:m>
              <a:r>
                <a:rPr lang="es-MX" sz="900" b="0">
                  <a:solidFill>
                    <a:schemeClr val="tx1"/>
                  </a:solidFill>
                  <a:effectLst/>
                  <a:latin typeface="+mn-lt"/>
                  <a:ea typeface="+mn-ea"/>
                  <a:cs typeface="+mn-cs"/>
                </a:rPr>
                <a:t> = 17 Wh</a:t>
              </a:r>
              <a:endParaRPr lang="es-MX" sz="900">
                <a:effectLst/>
              </a:endParaRPr>
            </a:p>
            <a:p>
              <a:endParaRPr lang="es-MX" sz="900" b="0" i="0">
                <a:latin typeface="+mn-lt"/>
              </a:endParaRPr>
            </a:p>
            <a:p>
              <a:endParaRPr lang="es-MX" sz="900" b="0" i="0">
                <a:latin typeface="+mn-lt"/>
              </a:endParaRPr>
            </a:p>
            <a:p>
              <a:r>
                <a:rPr lang="es-MX" sz="900" b="0" i="0">
                  <a:latin typeface="+mn-lt"/>
                </a:rPr>
                <a:t>CC</a:t>
              </a:r>
              <a14:m>
                <m:oMath xmlns:m="http://schemas.openxmlformats.org/officeDocument/2006/math">
                  <m:r>
                    <a:rPr lang="es-MX" sz="900" b="0" i="1">
                      <a:latin typeface="Cambria Math" panose="02040503050406030204" pitchFamily="18" charset="0"/>
                    </a:rPr>
                    <m:t>=</m:t>
                  </m:r>
                  <m:d>
                    <m:dPr>
                      <m:ctrlPr>
                        <a:rPr lang="es-MX" sz="900" b="0" i="1">
                          <a:latin typeface="Cambria Math" panose="02040503050406030204" pitchFamily="18" charset="0"/>
                        </a:rPr>
                      </m:ctrlPr>
                    </m:dPr>
                    <m:e>
                      <m:r>
                        <a:rPr lang="es-MX" sz="900" b="0" i="1">
                          <a:latin typeface="Cambria Math" panose="02040503050406030204" pitchFamily="18" charset="0"/>
                        </a:rPr>
                        <m:t>17</m:t>
                      </m:r>
                      <m:r>
                        <a:rPr lang="es-MX" sz="900" b="0" i="1">
                          <a:latin typeface="Cambria Math" panose="02040503050406030204" pitchFamily="18" charset="0"/>
                        </a:rPr>
                        <m:t>𝑊h</m:t>
                      </m:r>
                      <m:r>
                        <a:rPr lang="es-MX" sz="900" b="0" i="1">
                          <a:latin typeface="Cambria Math" panose="02040503050406030204" pitchFamily="18" charset="0"/>
                        </a:rPr>
                        <m:t>/1000</m:t>
                      </m:r>
                    </m:e>
                  </m:d>
                  <m:r>
                    <a:rPr lang="es-MX" sz="900" b="0" i="1">
                      <a:latin typeface="Cambria Math" panose="02040503050406030204" pitchFamily="18" charset="0"/>
                    </a:rPr>
                    <m:t>∗</m:t>
                  </m:r>
                  <m:d>
                    <m:dPr>
                      <m:ctrlPr>
                        <a:rPr lang="es-MX" sz="900" b="0" i="1">
                          <a:latin typeface="Cambria Math" panose="02040503050406030204" pitchFamily="18" charset="0"/>
                        </a:rPr>
                      </m:ctrlPr>
                    </m:dPr>
                    <m:e>
                      <m:r>
                        <a:rPr lang="es-MX" sz="900" b="0" i="1">
                          <a:latin typeface="Cambria Math" panose="02040503050406030204" pitchFamily="18" charset="0"/>
                        </a:rPr>
                        <m:t>3</m:t>
                      </m:r>
                      <m:r>
                        <a:rPr lang="es-MX" sz="900" b="0" i="1">
                          <a:latin typeface="Cambria Math" panose="02040503050406030204" pitchFamily="18" charset="0"/>
                        </a:rPr>
                        <m:t>h</m:t>
                      </m:r>
                    </m:e>
                  </m:d>
                  <m:r>
                    <a:rPr lang="es-MX" sz="900" b="0" i="1">
                      <a:latin typeface="Cambria Math" panose="02040503050406030204" pitchFamily="18" charset="0"/>
                    </a:rPr>
                    <m:t>∗365 </m:t>
                  </m:r>
                  <m:r>
                    <a:rPr lang="es-MX" sz="900" b="0" i="1">
                      <a:latin typeface="Cambria Math" panose="02040503050406030204" pitchFamily="18" charset="0"/>
                    </a:rPr>
                    <m:t>𝑑</m:t>
                  </m:r>
                  <m:r>
                    <a:rPr lang="es-MX" sz="900" b="0" i="1">
                      <a:latin typeface="Cambria Math" panose="02040503050406030204" pitchFamily="18" charset="0"/>
                    </a:rPr>
                    <m:t>í</m:t>
                  </m:r>
                  <m:r>
                    <a:rPr lang="es-MX" sz="900" b="0" i="1">
                      <a:latin typeface="Cambria Math" panose="02040503050406030204" pitchFamily="18" charset="0"/>
                    </a:rPr>
                    <m:t>𝑎𝑠</m:t>
                  </m:r>
                </m:oMath>
              </a14:m>
              <a:endParaRPr lang="es-MX" sz="900" b="0"/>
            </a:p>
            <a:p>
              <a:endParaRPr lang="es-MX" sz="900" b="0"/>
            </a:p>
            <a:p>
              <a:pPr marL="0" marR="0" lvl="0" indent="0" defTabSz="914400" eaLnBrk="1" fontAlgn="auto" latinLnBrk="0" hangingPunct="1">
                <a:lnSpc>
                  <a:spcPct val="100000"/>
                </a:lnSpc>
                <a:spcBef>
                  <a:spcPts val="0"/>
                </a:spcBef>
                <a:spcAft>
                  <a:spcPts val="0"/>
                </a:spcAft>
                <a:buClrTx/>
                <a:buSzTx/>
                <a:buFontTx/>
                <a:buNone/>
                <a:tabLst/>
                <a:defRPr/>
              </a:pPr>
              <a:r>
                <a:rPr lang="es-MX" sz="900" b="0" i="0">
                  <a:solidFill>
                    <a:schemeClr val="tx1"/>
                  </a:solidFill>
                  <a:effectLst/>
                  <a:latin typeface="+mn-lt"/>
                  <a:ea typeface="+mn-ea"/>
                  <a:cs typeface="+mn-cs"/>
                </a:rPr>
                <a:t>CC</a:t>
              </a:r>
              <a14:m>
                <m:oMath xmlns:m="http://schemas.openxmlformats.org/officeDocument/2006/math">
                  <m:r>
                    <a:rPr lang="es-MX" sz="900" b="0" i="1">
                      <a:solidFill>
                        <a:schemeClr val="tx1"/>
                      </a:solidFill>
                      <a:effectLst/>
                      <a:latin typeface="Cambria Math" panose="02040503050406030204" pitchFamily="18" charset="0"/>
                      <a:ea typeface="+mn-ea"/>
                      <a:cs typeface="+mn-cs"/>
                    </a:rPr>
                    <m:t>=18.615</m:t>
                  </m:r>
                </m:oMath>
              </a14:m>
              <a:r>
                <a:rPr lang="es-MX" sz="900" b="0">
                  <a:solidFill>
                    <a:schemeClr val="tx1"/>
                  </a:solidFill>
                  <a:effectLst/>
                  <a:latin typeface="+mn-lt"/>
                  <a:ea typeface="+mn-ea"/>
                  <a:cs typeface="+mn-cs"/>
                </a:rPr>
                <a:t> kwh/año</a:t>
              </a:r>
              <a:endParaRPr lang="es-MX" sz="900">
                <a:effectLst/>
              </a:endParaRPr>
            </a:p>
            <a:p>
              <a:endParaRPr lang="es-MX" sz="900" b="0"/>
            </a:p>
          </xdr:txBody>
        </xdr:sp>
      </mc:Choice>
      <mc:Fallback xmlns="">
        <xdr:sp macro="" textlink="">
          <xdr:nvSpPr>
            <xdr:cNvPr id="253" name="CuadroTexto 252">
              <a:extLst>
                <a:ext uri="{FF2B5EF4-FFF2-40B4-BE49-F238E27FC236}">
                  <a16:creationId xmlns:a16="http://schemas.microsoft.com/office/drawing/2014/main" id="{208039DD-8AD1-4AB4-A106-242004C44F4A}"/>
                </a:ext>
              </a:extLst>
            </xdr:cNvPr>
            <xdr:cNvSpPr txBox="1"/>
          </xdr:nvSpPr>
          <xdr:spPr>
            <a:xfrm>
              <a:off x="10180109" y="14935199"/>
              <a:ext cx="2091265" cy="1047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900" b="0">
                  <a:solidFill>
                    <a:schemeClr val="tx1"/>
                  </a:solidFill>
                  <a:effectLst/>
                  <a:latin typeface="+mn-lt"/>
                  <a:ea typeface="+mn-ea"/>
                  <a:cs typeface="+mn-cs"/>
                </a:rPr>
                <a:t>Wh</a:t>
              </a:r>
              <a:r>
                <a:rPr lang="es-MX" sz="900" b="0" i="0">
                  <a:solidFill>
                    <a:schemeClr val="tx1"/>
                  </a:solidFill>
                  <a:effectLst/>
                  <a:latin typeface="Cambria Math" panose="02040503050406030204" pitchFamily="18" charset="0"/>
                  <a:ea typeface="+mn-ea"/>
                  <a:cs typeface="+mn-cs"/>
                </a:rPr>
                <a:t>=(3400)∗5V/1000</a:t>
              </a:r>
              <a:r>
                <a:rPr lang="es-MX" sz="900" b="0">
                  <a:solidFill>
                    <a:schemeClr val="tx1"/>
                  </a:solidFill>
                  <a:effectLst/>
                  <a:latin typeface="+mn-lt"/>
                  <a:ea typeface="+mn-ea"/>
                  <a:cs typeface="+mn-cs"/>
                </a:rPr>
                <a:t> = 17 Wh</a:t>
              </a:r>
              <a:endParaRPr lang="es-MX" sz="900">
                <a:effectLst/>
              </a:endParaRPr>
            </a:p>
            <a:p>
              <a:endParaRPr lang="es-MX" sz="900" b="0" i="0">
                <a:latin typeface="+mn-lt"/>
              </a:endParaRPr>
            </a:p>
            <a:p>
              <a:endParaRPr lang="es-MX" sz="900" b="0" i="0">
                <a:latin typeface="+mn-lt"/>
              </a:endParaRPr>
            </a:p>
            <a:p>
              <a:r>
                <a:rPr lang="es-MX" sz="900" b="0" i="0">
                  <a:latin typeface="+mn-lt"/>
                </a:rPr>
                <a:t>CC</a:t>
              </a:r>
              <a:r>
                <a:rPr lang="es-MX" sz="900" b="0" i="0">
                  <a:latin typeface="Cambria Math" panose="02040503050406030204" pitchFamily="18" charset="0"/>
                </a:rPr>
                <a:t>=(17𝑊ℎ/1000)∗(3ℎ)∗365 𝑑í𝑎𝑠</a:t>
              </a:r>
              <a:endParaRPr lang="es-MX" sz="900" b="0"/>
            </a:p>
            <a:p>
              <a:endParaRPr lang="es-MX" sz="900" b="0"/>
            </a:p>
            <a:p>
              <a:pPr marL="0" marR="0" lvl="0" indent="0" defTabSz="914400" eaLnBrk="1" fontAlgn="auto" latinLnBrk="0" hangingPunct="1">
                <a:lnSpc>
                  <a:spcPct val="100000"/>
                </a:lnSpc>
                <a:spcBef>
                  <a:spcPts val="0"/>
                </a:spcBef>
                <a:spcAft>
                  <a:spcPts val="0"/>
                </a:spcAft>
                <a:buClrTx/>
                <a:buSzTx/>
                <a:buFontTx/>
                <a:buNone/>
                <a:tabLst/>
                <a:defRPr/>
              </a:pPr>
              <a:r>
                <a:rPr lang="es-MX" sz="900" b="0" i="0">
                  <a:solidFill>
                    <a:schemeClr val="tx1"/>
                  </a:solidFill>
                  <a:effectLst/>
                  <a:latin typeface="+mn-lt"/>
                  <a:ea typeface="+mn-ea"/>
                  <a:cs typeface="+mn-cs"/>
                </a:rPr>
                <a:t>CC</a:t>
              </a:r>
              <a:r>
                <a:rPr lang="es-MX" sz="900" b="0" i="0">
                  <a:solidFill>
                    <a:schemeClr val="tx1"/>
                  </a:solidFill>
                  <a:effectLst/>
                  <a:latin typeface="Cambria Math" panose="02040503050406030204" pitchFamily="18" charset="0"/>
                  <a:ea typeface="+mn-ea"/>
                  <a:cs typeface="+mn-cs"/>
                </a:rPr>
                <a:t>=18.615</a:t>
              </a:r>
              <a:r>
                <a:rPr lang="es-MX" sz="900" b="0">
                  <a:solidFill>
                    <a:schemeClr val="tx1"/>
                  </a:solidFill>
                  <a:effectLst/>
                  <a:latin typeface="+mn-lt"/>
                  <a:ea typeface="+mn-ea"/>
                  <a:cs typeface="+mn-cs"/>
                </a:rPr>
                <a:t> kwh/año</a:t>
              </a:r>
              <a:endParaRPr lang="es-MX" sz="900">
                <a:effectLst/>
              </a:endParaRPr>
            </a:p>
            <a:p>
              <a:endParaRPr lang="es-MX" sz="900" b="0"/>
            </a:p>
          </xdr:txBody>
        </xdr:sp>
      </mc:Fallback>
    </mc:AlternateContent>
    <xdr:clientData/>
  </xdr:oneCellAnchor>
  <xdr:oneCellAnchor>
    <xdr:from>
      <xdr:col>9</xdr:col>
      <xdr:colOff>55033</xdr:colOff>
      <xdr:row>12</xdr:row>
      <xdr:rowOff>1424517</xdr:rowOff>
    </xdr:from>
    <xdr:ext cx="1852084" cy="307969"/>
    <mc:AlternateContent xmlns:mc="http://schemas.openxmlformats.org/markup-compatibility/2006" xmlns:a14="http://schemas.microsoft.com/office/drawing/2010/main">
      <mc:Choice Requires="a14">
        <xdr:sp macro="" textlink="">
          <xdr:nvSpPr>
            <xdr:cNvPr id="256" name="CuadroTexto 255">
              <a:extLst>
                <a:ext uri="{FF2B5EF4-FFF2-40B4-BE49-F238E27FC236}">
                  <a16:creationId xmlns:a16="http://schemas.microsoft.com/office/drawing/2014/main" id="{600CC810-D0F0-49A4-A493-7BA99D291D71}"/>
                </a:ext>
              </a:extLst>
            </xdr:cNvPr>
            <xdr:cNvSpPr txBox="1"/>
          </xdr:nvSpPr>
          <xdr:spPr>
            <a:xfrm>
              <a:off x="9881658" y="16172392"/>
              <a:ext cx="1852084" cy="307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15.277</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18.615 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den>
                    </m:f>
                  </m:oMath>
                </m:oMathPara>
              </a14:m>
              <a:endParaRPr lang="es-MX" sz="1000" b="0"/>
            </a:p>
          </xdr:txBody>
        </xdr:sp>
      </mc:Choice>
      <mc:Fallback xmlns="">
        <xdr:sp macro="" textlink="">
          <xdr:nvSpPr>
            <xdr:cNvPr id="256" name="CuadroTexto 255">
              <a:extLst>
                <a:ext uri="{FF2B5EF4-FFF2-40B4-BE49-F238E27FC236}">
                  <a16:creationId xmlns:a16="http://schemas.microsoft.com/office/drawing/2014/main" id="{600CC810-D0F0-49A4-A493-7BA99D291D71}"/>
                </a:ext>
              </a:extLst>
            </xdr:cNvPr>
            <xdr:cNvSpPr txBox="1"/>
          </xdr:nvSpPr>
          <xdr:spPr>
            <a:xfrm>
              <a:off x="9881658" y="16172392"/>
              <a:ext cx="1852084" cy="307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15.277 kwh)/(18.615 kwℎ)</a:t>
              </a:r>
              <a:endParaRPr lang="es-MX" sz="1000" b="0"/>
            </a:p>
          </xdr:txBody>
        </xdr:sp>
      </mc:Fallback>
    </mc:AlternateContent>
    <xdr:clientData/>
  </xdr:oneCellAnchor>
  <xdr:oneCellAnchor>
    <xdr:from>
      <xdr:col>10</xdr:col>
      <xdr:colOff>247649</xdr:colOff>
      <xdr:row>12</xdr:row>
      <xdr:rowOff>257175</xdr:rowOff>
    </xdr:from>
    <xdr:ext cx="1724025" cy="904876"/>
    <mc:AlternateContent xmlns:mc="http://schemas.openxmlformats.org/markup-compatibility/2006" xmlns:a14="http://schemas.microsoft.com/office/drawing/2010/main">
      <mc:Choice Requires="a14">
        <xdr:sp macro="" textlink="">
          <xdr:nvSpPr>
            <xdr:cNvPr id="262" name="CuadroTexto 261">
              <a:extLst>
                <a:ext uri="{FF2B5EF4-FFF2-40B4-BE49-F238E27FC236}">
                  <a16:creationId xmlns:a16="http://schemas.microsoft.com/office/drawing/2014/main" id="{DBF4BA32-D24E-41DA-B663-2B7B41C30B19}"/>
                </a:ext>
              </a:extLst>
            </xdr:cNvPr>
            <xdr:cNvSpPr txBox="1"/>
          </xdr:nvSpPr>
          <xdr:spPr>
            <a:xfrm>
              <a:off x="10925174" y="13182600"/>
              <a:ext cx="1724025" cy="904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𝑃𝑐</m:t>
                    </m:r>
                    <m:r>
                      <a:rPr lang="es-MX" sz="1100" b="0" i="1">
                        <a:solidFill>
                          <a:schemeClr val="tx1"/>
                        </a:solidFill>
                        <a:effectLst/>
                        <a:latin typeface="Cambria Math" panose="02040503050406030204" pitchFamily="18" charset="0"/>
                        <a:ea typeface="+mn-ea"/>
                        <a:cs typeface="+mn-cs"/>
                      </a:rPr>
                      <m:t>=.820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a:effectLst/>
              </a:endParaRPr>
            </a:p>
            <a:p>
              <a:endParaRPr lang="es-MX" sz="1000" b="0"/>
            </a:p>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Pc</m:t>
                    </m:r>
                    <m:r>
                      <a:rPr lang="es-MX" sz="1000" b="0" i="1">
                        <a:latin typeface="Cambria Math" panose="02040503050406030204" pitchFamily="18" charset="0"/>
                      </a:rPr>
                      <m:t>=</m:t>
                    </m:r>
                    <m:r>
                      <a:rPr lang="es-ES" sz="1000" b="0" i="1">
                        <a:latin typeface="Cambria Math" panose="02040503050406030204" pitchFamily="18" charset="0"/>
                      </a:rPr>
                      <m:t>820.6</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00" b="0"/>
            </a:p>
          </xdr:txBody>
        </xdr:sp>
      </mc:Choice>
      <mc:Fallback xmlns="">
        <xdr:sp macro="" textlink="">
          <xdr:nvSpPr>
            <xdr:cNvPr id="262" name="CuadroTexto 261">
              <a:extLst>
                <a:ext uri="{FF2B5EF4-FFF2-40B4-BE49-F238E27FC236}">
                  <a16:creationId xmlns:a16="http://schemas.microsoft.com/office/drawing/2014/main" id="{DBF4BA32-D24E-41DA-B663-2B7B41C30B19}"/>
                </a:ext>
              </a:extLst>
            </xdr:cNvPr>
            <xdr:cNvSpPr txBox="1"/>
          </xdr:nvSpPr>
          <xdr:spPr>
            <a:xfrm>
              <a:off x="10925174" y="13182600"/>
              <a:ext cx="1724025" cy="904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𝑃𝑐=</a:t>
              </a:r>
              <a:r>
                <a:rPr lang="es-ES" sz="1100" b="0" i="0">
                  <a:solidFill>
                    <a:schemeClr val="tx1"/>
                  </a:solidFill>
                  <a:effectLst/>
                  <a:latin typeface="Cambria Math" panose="02040503050406030204" pitchFamily="18" charset="0"/>
                  <a:ea typeface="+mn-ea"/>
                  <a:cs typeface="+mn-cs"/>
                </a:rPr>
                <a:t>.820</a:t>
              </a:r>
              <a:r>
                <a:rPr lang="es-MX" sz="1100" b="0" i="0">
                  <a:solidFill>
                    <a:schemeClr val="tx1"/>
                  </a:solidFill>
                  <a:effectLst/>
                  <a:latin typeface="Cambria Math" panose="02040503050406030204" pitchFamily="18" charset="0"/>
                  <a:ea typeface="+mn-ea"/>
                  <a:cs typeface="+mn-cs"/>
                </a:rPr>
                <a:t>  (𝑐𝑒𝑙𝑢𝑙𝑎𝑟𝑒𝑠 )/(1 𝑘𝑔 𝑑𝑒 𝑃𝐸𝑇)</a:t>
              </a:r>
              <a:endParaRPr lang="es-MX" sz="1000">
                <a:effectLst/>
              </a:endParaRPr>
            </a:p>
            <a:p>
              <a:endParaRPr lang="es-MX" sz="1000" b="0"/>
            </a:p>
            <a:p>
              <a:pPr/>
              <a:r>
                <a:rPr lang="es-MX" sz="1000" b="0" i="0">
                  <a:latin typeface="Cambria Math" panose="02040503050406030204" pitchFamily="18" charset="0"/>
                </a:rPr>
                <a:t>Pc=</a:t>
              </a:r>
              <a:r>
                <a:rPr lang="es-ES" sz="1000" b="0" i="0">
                  <a:latin typeface="Cambria Math" panose="02040503050406030204" pitchFamily="18" charset="0"/>
                </a:rPr>
                <a:t>820.6</a:t>
              </a:r>
              <a:r>
                <a:rPr lang="es-MX" sz="1100" b="0" i="0">
                  <a:solidFill>
                    <a:schemeClr val="tx1"/>
                  </a:solidFill>
                  <a:effectLst/>
                  <a:latin typeface="Cambria Math" panose="02040503050406030204" pitchFamily="18" charset="0"/>
                  <a:ea typeface="+mn-ea"/>
                  <a:cs typeface="+mn-cs"/>
                </a:rPr>
                <a:t> (𝑐𝑒𝑙𝑢𝑙𝑎𝑟𝑒𝑠 )/(1 𝑇𝑜𝑛 𝑑𝑒 𝑃𝐸𝑇)</a:t>
              </a:r>
              <a:endParaRPr lang="es-MX" sz="1000" b="0"/>
            </a:p>
          </xdr:txBody>
        </xdr:sp>
      </mc:Fallback>
    </mc:AlternateContent>
    <xdr:clientData/>
  </xdr:oneCellAnchor>
  <xdr:oneCellAnchor>
    <xdr:from>
      <xdr:col>9</xdr:col>
      <xdr:colOff>196850</xdr:colOff>
      <xdr:row>59</xdr:row>
      <xdr:rowOff>285750</xdr:rowOff>
    </xdr:from>
    <xdr:ext cx="2076450" cy="319511"/>
    <mc:AlternateContent xmlns:mc="http://schemas.openxmlformats.org/markup-compatibility/2006" xmlns:a14="http://schemas.microsoft.com/office/drawing/2010/main">
      <mc:Choice Requires="a14">
        <xdr:sp macro="" textlink="">
          <xdr:nvSpPr>
            <xdr:cNvPr id="269" name="CuadroTexto 268">
              <a:extLst>
                <a:ext uri="{FF2B5EF4-FFF2-40B4-BE49-F238E27FC236}">
                  <a16:creationId xmlns:a16="http://schemas.microsoft.com/office/drawing/2014/main" id="{0D1DFC8E-BFF0-44C6-8FA1-3920CF3A16AB}"/>
                </a:ext>
              </a:extLst>
            </xdr:cNvPr>
            <xdr:cNvSpPr txBox="1"/>
          </xdr:nvSpPr>
          <xdr:spPr>
            <a:xfrm>
              <a:off x="10023475" y="68246625"/>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37 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d>
                          <m:dPr>
                            <m:ctrlPr>
                              <a:rPr lang="es-MX" sz="1000" b="0" i="1">
                                <a:solidFill>
                                  <a:schemeClr val="tx1"/>
                                </a:solidFill>
                                <a:effectLst/>
                                <a:latin typeface="Cambria Math" panose="02040503050406030204" pitchFamily="18" charset="0"/>
                                <a:ea typeface="+mn-ea"/>
                                <a:cs typeface="+mn-cs"/>
                              </a:rPr>
                            </m:ctrlPr>
                          </m:dPr>
                          <m:e>
                            <m:r>
                              <a:rPr lang="es-MX" sz="1000" b="0" i="0">
                                <a:solidFill>
                                  <a:schemeClr val="tx1"/>
                                </a:solidFill>
                                <a:effectLst/>
                                <a:latin typeface="Cambria Math" panose="02040503050406030204" pitchFamily="18" charset="0"/>
                                <a:ea typeface="+mn-ea"/>
                                <a:cs typeface="+mn-cs"/>
                              </a:rPr>
                              <m:t>.293</m:t>
                            </m:r>
                          </m:e>
                        </m:d>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𝑇𝑎𝑛𝑞𝑢𝑒</m:t>
                        </m:r>
                      </m:num>
                      <m:den>
                        <m:r>
                          <a:rPr lang="es-MX" sz="1000" b="0" i="0">
                            <a:solidFill>
                              <a:schemeClr val="tx1"/>
                            </a:solidFill>
                            <a:effectLst/>
                            <a:latin typeface="Cambria Math" panose="02040503050406030204" pitchFamily="18" charset="0"/>
                            <a:ea typeface="+mn-ea"/>
                            <a:cs typeface="+mn-cs"/>
                          </a:rPr>
                          <m:t>?( .007</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269" name="CuadroTexto 268">
              <a:extLst>
                <a:ext uri="{FF2B5EF4-FFF2-40B4-BE49-F238E27FC236}">
                  <a16:creationId xmlns:a16="http://schemas.microsoft.com/office/drawing/2014/main" id="{0D1DFC8E-BFF0-44C6-8FA1-3920CF3A16AB}"/>
                </a:ext>
              </a:extLst>
            </xdr:cNvPr>
            <xdr:cNvSpPr txBox="1"/>
          </xdr:nvSpPr>
          <xdr:spPr>
            <a:xfrm>
              <a:off x="10023475" y="68246625"/>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37 𝐿 𝑔𝑎𝑠𝑜𝑙𝑖𝑛𝑎  )/((.293)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𝑇𝑎𝑛𝑞𝑢𝑒)/(?( .007))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105833</xdr:colOff>
      <xdr:row>7</xdr:row>
      <xdr:rowOff>192617</xdr:rowOff>
    </xdr:from>
    <xdr:ext cx="1873250" cy="1162050"/>
    <mc:AlternateContent xmlns:mc="http://schemas.openxmlformats.org/markup-compatibility/2006" xmlns:a14="http://schemas.microsoft.com/office/drawing/2010/main">
      <mc:Choice Requires="a14">
        <xdr:sp macro="" textlink="">
          <xdr:nvSpPr>
            <xdr:cNvPr id="264" name="CuadroTexto 263">
              <a:extLst>
                <a:ext uri="{FF2B5EF4-FFF2-40B4-BE49-F238E27FC236}">
                  <a16:creationId xmlns:a16="http://schemas.microsoft.com/office/drawing/2014/main" id="{97E514EA-C014-452E-A702-6FE8FEB079FB}"/>
                </a:ext>
              </a:extLst>
            </xdr:cNvPr>
            <xdr:cNvSpPr txBox="1"/>
          </xdr:nvSpPr>
          <xdr:spPr>
            <a:xfrm>
              <a:off x="10795000" y="6733117"/>
              <a:ext cx="1873250" cy="1162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𝑁𝐹</m:t>
                    </m:r>
                    <m:r>
                      <a:rPr lang="es-MX" sz="1050" i="1">
                        <a:latin typeface="Cambria Math" panose="02040503050406030204" pitchFamily="18" charset="0"/>
                      </a:rPr>
                      <m:t>=</m:t>
                    </m:r>
                    <m:r>
                      <a:rPr lang="es-MX" sz="1050" b="0" i="0">
                        <a:latin typeface="Cambria Math" panose="02040503050406030204" pitchFamily="18" charset="0"/>
                      </a:rPr>
                      <m:t>1</m:t>
                    </m:r>
                    <m:r>
                      <a:rPr lang="es-MX" sz="1050" b="0" i="1">
                        <a:latin typeface="Cambria Math" panose="02040503050406030204" pitchFamily="18" charset="0"/>
                      </a:rPr>
                      <m:t>,697</m:t>
                    </m:r>
                    <m:f>
                      <m:fPr>
                        <m:ctrlPr>
                          <a:rPr lang="es-MX" sz="1050" b="0" i="1">
                            <a:latin typeface="Cambria Math" panose="02040503050406030204" pitchFamily="18" charset="0"/>
                          </a:rPr>
                        </m:ctrlPr>
                      </m:fPr>
                      <m:num>
                        <m:r>
                          <a:rPr lang="es-MX" sz="1050" b="0" i="1">
                            <a:latin typeface="Cambria Math" panose="02040503050406030204" pitchFamily="18" charset="0"/>
                          </a:rPr>
                          <m:t>𝑓𝑜𝑐𝑜𝑠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𝑃𝐸𝑇</m:t>
                        </m:r>
                      </m:den>
                    </m:f>
                  </m:oMath>
                </m:oMathPara>
              </a14:m>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𝑁𝐹</m:t>
                    </m:r>
                    <m:r>
                      <a:rPr lang="es-MX" sz="110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1,697,533</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𝑓𝑜𝑐𝑜𝑠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50">
                <a:effectLst/>
              </a:endParaRPr>
            </a:p>
            <a:p>
              <a:endParaRPr lang="es-MX" sz="1050"/>
            </a:p>
          </xdr:txBody>
        </xdr:sp>
      </mc:Choice>
      <mc:Fallback xmlns="">
        <xdr:sp macro="" textlink="">
          <xdr:nvSpPr>
            <xdr:cNvPr id="264" name="CuadroTexto 263">
              <a:extLst>
                <a:ext uri="{FF2B5EF4-FFF2-40B4-BE49-F238E27FC236}">
                  <a16:creationId xmlns:a16="http://schemas.microsoft.com/office/drawing/2014/main" id="{97E514EA-C014-452E-A702-6FE8FEB079FB}"/>
                </a:ext>
              </a:extLst>
            </xdr:cNvPr>
            <xdr:cNvSpPr txBox="1"/>
          </xdr:nvSpPr>
          <xdr:spPr>
            <a:xfrm>
              <a:off x="10795000" y="6733117"/>
              <a:ext cx="1873250" cy="1162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𝑁𝐹</a:t>
              </a:r>
              <a:r>
                <a:rPr lang="es-MX" sz="1050" i="0">
                  <a:latin typeface="Cambria Math" panose="02040503050406030204" pitchFamily="18" charset="0"/>
                </a:rPr>
                <a:t>=</a:t>
              </a:r>
              <a:r>
                <a:rPr lang="es-MX" sz="1050" b="0" i="0">
                  <a:latin typeface="Cambria Math" panose="02040503050406030204" pitchFamily="18" charset="0"/>
                </a:rPr>
                <a:t>1,697 𝑓𝑜𝑐𝑜𝑠/(1 𝑘𝑔 𝑑𝑒 𝑃𝐸𝑇)</a:t>
              </a:r>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𝑁𝐹</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1,697,533 𝑓𝑜𝑐𝑜𝑠/(1 𝑡𝑜𝑛 𝑑𝑒 𝑃𝐸𝑇)</a:t>
              </a:r>
              <a:endParaRPr lang="es-MX" sz="1050">
                <a:effectLst/>
              </a:endParaRPr>
            </a:p>
            <a:p>
              <a:endParaRPr lang="es-MX" sz="1050"/>
            </a:p>
          </xdr:txBody>
        </xdr:sp>
      </mc:Fallback>
    </mc:AlternateContent>
    <xdr:clientData/>
  </xdr:oneCellAnchor>
  <xdr:oneCellAnchor>
    <xdr:from>
      <xdr:col>10</xdr:col>
      <xdr:colOff>228599</xdr:colOff>
      <xdr:row>8</xdr:row>
      <xdr:rowOff>257174</xdr:rowOff>
    </xdr:from>
    <xdr:ext cx="1819275" cy="1133475"/>
    <mc:AlternateContent xmlns:mc="http://schemas.openxmlformats.org/markup-compatibility/2006" xmlns:a14="http://schemas.microsoft.com/office/drawing/2010/main">
      <mc:Choice Requires="a14">
        <xdr:sp macro="" textlink="">
          <xdr:nvSpPr>
            <xdr:cNvPr id="274" name="CuadroTexto 273">
              <a:extLst>
                <a:ext uri="{FF2B5EF4-FFF2-40B4-BE49-F238E27FC236}">
                  <a16:creationId xmlns:a16="http://schemas.microsoft.com/office/drawing/2014/main" id="{5A98443C-D84E-45B1-86D1-00670EEC68CC}"/>
                </a:ext>
              </a:extLst>
            </xdr:cNvPr>
            <xdr:cNvSpPr txBox="1"/>
          </xdr:nvSpPr>
          <xdr:spPr>
            <a:xfrm>
              <a:off x="10906124" y="6800849"/>
              <a:ext cx="1819275" cy="1133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𝐶𝑖</m:t>
                    </m:r>
                    <m:r>
                      <a:rPr lang="es-MX" sz="1050" i="1">
                        <a:latin typeface="Cambria Math" panose="02040503050406030204" pitchFamily="18" charset="0"/>
                      </a:rPr>
                      <m:t>=</m:t>
                    </m:r>
                    <m:r>
                      <a:rPr lang="es-ES" sz="1050" b="0" i="1">
                        <a:latin typeface="Cambria Math" panose="02040503050406030204" pitchFamily="18" charset="0"/>
                      </a:rPr>
                      <m:t>12.3</m:t>
                    </m:r>
                    <m:f>
                      <m:fPr>
                        <m:ctrlPr>
                          <a:rPr lang="es-MX" sz="1050" b="0" i="1">
                            <a:latin typeface="Cambria Math" panose="02040503050406030204" pitchFamily="18" charset="0"/>
                          </a:rPr>
                        </m:ctrlPr>
                      </m:fPr>
                      <m:num>
                        <m:r>
                          <a:rPr lang="es-MX" sz="1050" b="0" i="1">
                            <a:latin typeface="Cambria Math" panose="02040503050406030204" pitchFamily="18" charset="0"/>
                          </a:rPr>
                          <m:t>𝑐𝑎𝑠𝑎𝑠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𝑃𝐸𝑇</m:t>
                        </m:r>
                      </m:den>
                    </m:f>
                  </m:oMath>
                </m:oMathPara>
              </a14:m>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𝐶𝑖</m:t>
                    </m:r>
                    <m:r>
                      <a:rPr lang="es-MX" sz="1100" i="1">
                        <a:solidFill>
                          <a:schemeClr val="tx1"/>
                        </a:solidFill>
                        <a:effectLst/>
                        <a:latin typeface="Cambria Math" panose="02040503050406030204" pitchFamily="18" charset="0"/>
                        <a:ea typeface="+mn-ea"/>
                        <a:cs typeface="+mn-cs"/>
                      </a:rPr>
                      <m:t>=</m:t>
                    </m:r>
                    <m:r>
                      <a:rPr lang="es-ES" sz="1100" b="0" i="0">
                        <a:solidFill>
                          <a:schemeClr val="tx1"/>
                        </a:solidFill>
                        <a:effectLst/>
                        <a:latin typeface="Cambria Math" panose="02040503050406030204" pitchFamily="18" charset="0"/>
                        <a:ea typeface="+mn-ea"/>
                        <a:cs typeface="+mn-cs"/>
                      </a:rPr>
                      <m:t>12,310</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𝑐𝑎𝑠𝑎𝑠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den>
                    </m:f>
                  </m:oMath>
                </m:oMathPara>
              </a14:m>
              <a:endParaRPr lang="es-MX" sz="1050">
                <a:effectLst/>
              </a:endParaRPr>
            </a:p>
            <a:p>
              <a:endParaRPr lang="es-MX" sz="1050"/>
            </a:p>
          </xdr:txBody>
        </xdr:sp>
      </mc:Choice>
      <mc:Fallback xmlns="">
        <xdr:sp macro="" textlink="">
          <xdr:nvSpPr>
            <xdr:cNvPr id="274" name="CuadroTexto 273">
              <a:extLst>
                <a:ext uri="{FF2B5EF4-FFF2-40B4-BE49-F238E27FC236}">
                  <a16:creationId xmlns:a16="http://schemas.microsoft.com/office/drawing/2014/main" id="{5A98443C-D84E-45B1-86D1-00670EEC68CC}"/>
                </a:ext>
              </a:extLst>
            </xdr:cNvPr>
            <xdr:cNvSpPr txBox="1"/>
          </xdr:nvSpPr>
          <xdr:spPr>
            <a:xfrm>
              <a:off x="10906124" y="6800849"/>
              <a:ext cx="1819275" cy="1133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𝐶𝑖</a:t>
              </a:r>
              <a:r>
                <a:rPr lang="es-MX" sz="1050" i="0">
                  <a:latin typeface="Cambria Math" panose="02040503050406030204" pitchFamily="18" charset="0"/>
                </a:rPr>
                <a:t>=</a:t>
              </a:r>
              <a:r>
                <a:rPr lang="es-ES" sz="1050" b="0" i="0">
                  <a:latin typeface="Cambria Math" panose="02040503050406030204" pitchFamily="18" charset="0"/>
                </a:rPr>
                <a:t>12.3</a:t>
              </a:r>
              <a:r>
                <a:rPr lang="es-MX" sz="1050" b="0" i="0">
                  <a:latin typeface="Cambria Math" panose="02040503050406030204" pitchFamily="18" charset="0"/>
                </a:rPr>
                <a:t> 𝑐𝑎𝑠𝑎𝑠/(1 𝑘𝑔 𝑑𝑒 𝑃𝐸𝑇)</a:t>
              </a:r>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𝐶𝑖</a:t>
              </a:r>
              <a:r>
                <a:rPr lang="es-MX" sz="1100" i="0">
                  <a:solidFill>
                    <a:schemeClr val="tx1"/>
                  </a:solidFill>
                  <a:effectLst/>
                  <a:latin typeface="Cambria Math" panose="02040503050406030204" pitchFamily="18" charset="0"/>
                  <a:ea typeface="+mn-ea"/>
                  <a:cs typeface="+mn-cs"/>
                </a:rPr>
                <a:t>=</a:t>
              </a:r>
              <a:r>
                <a:rPr lang="es-ES" sz="1100" b="0" i="0">
                  <a:solidFill>
                    <a:schemeClr val="tx1"/>
                  </a:solidFill>
                  <a:effectLst/>
                  <a:latin typeface="Cambria Math" panose="02040503050406030204" pitchFamily="18" charset="0"/>
                  <a:ea typeface="+mn-ea"/>
                  <a:cs typeface="+mn-cs"/>
                </a:rPr>
                <a:t>12,310</a:t>
              </a:r>
              <a:r>
                <a:rPr lang="es-MX" sz="1100" b="0" i="0">
                  <a:solidFill>
                    <a:schemeClr val="tx1"/>
                  </a:solidFill>
                  <a:effectLst/>
                  <a:latin typeface="Cambria Math" panose="02040503050406030204" pitchFamily="18" charset="0"/>
                  <a:ea typeface="+mn-ea"/>
                  <a:cs typeface="+mn-cs"/>
                </a:rPr>
                <a:t> 𝑐𝑎𝑠𝑎𝑠/(1 𝑡𝑜𝑛 𝑑𝑒 𝑃𝐸𝑇)</a:t>
              </a:r>
              <a:endParaRPr lang="es-MX" sz="1050">
                <a:effectLst/>
              </a:endParaRPr>
            </a:p>
            <a:p>
              <a:endParaRPr lang="es-MX" sz="1050"/>
            </a:p>
          </xdr:txBody>
        </xdr:sp>
      </mc:Fallback>
    </mc:AlternateContent>
    <xdr:clientData/>
  </xdr:oneCellAnchor>
  <xdr:oneCellAnchor>
    <xdr:from>
      <xdr:col>8</xdr:col>
      <xdr:colOff>364065</xdr:colOff>
      <xdr:row>12</xdr:row>
      <xdr:rowOff>1289050</xdr:rowOff>
    </xdr:from>
    <xdr:ext cx="1857375" cy="876587"/>
    <mc:AlternateContent xmlns:mc="http://schemas.openxmlformats.org/markup-compatibility/2006" xmlns:a14="http://schemas.microsoft.com/office/drawing/2010/main">
      <mc:Choice Requires="a14">
        <xdr:sp macro="" textlink="">
          <xdr:nvSpPr>
            <xdr:cNvPr id="272" name="CuadroTexto 271">
              <a:extLst>
                <a:ext uri="{FF2B5EF4-FFF2-40B4-BE49-F238E27FC236}">
                  <a16:creationId xmlns:a16="http://schemas.microsoft.com/office/drawing/2014/main" id="{9256D8CA-EBCB-4CF1-A2F3-0DF1F1AF0B61}"/>
                </a:ext>
              </a:extLst>
            </xdr:cNvPr>
            <xdr:cNvSpPr txBox="1"/>
          </xdr:nvSpPr>
          <xdr:spPr>
            <a:xfrm>
              <a:off x="7761815" y="16036925"/>
              <a:ext cx="1857375" cy="8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mAh representa el</a:t>
              </a:r>
              <a:r>
                <a:rPr lang="es-MX" sz="800" b="0" baseline="0"/>
                <a:t> consumo de la bateria del celular </a:t>
              </a:r>
            </a:p>
            <a:p>
              <a:r>
                <a:rPr lang="es-MX" sz="800" b="0" baseline="0"/>
                <a:t>v representa el voltaje con el que trabaja </a:t>
              </a:r>
            </a:p>
            <a:p>
              <a:r>
                <a:rPr lang="es-MX" sz="800" b="0" baseline="0"/>
                <a:t>tc representa tiempo de carga de pila</a:t>
              </a:r>
            </a:p>
            <a:p>
              <a:r>
                <a:rPr lang="es-MX" sz="800" b="0" baseline="0"/>
                <a:t>pr representa consumo de energia para la carga del celular/ año</a:t>
              </a:r>
            </a:p>
          </xdr:txBody>
        </xdr:sp>
      </mc:Choice>
      <mc:Fallback xmlns="">
        <xdr:sp macro="" textlink="">
          <xdr:nvSpPr>
            <xdr:cNvPr id="272" name="CuadroTexto 271">
              <a:extLst>
                <a:ext uri="{FF2B5EF4-FFF2-40B4-BE49-F238E27FC236}">
                  <a16:creationId xmlns:a16="http://schemas.microsoft.com/office/drawing/2014/main" id="{9256D8CA-EBCB-4CF1-A2F3-0DF1F1AF0B61}"/>
                </a:ext>
              </a:extLst>
            </xdr:cNvPr>
            <xdr:cNvSpPr txBox="1"/>
          </xdr:nvSpPr>
          <xdr:spPr>
            <a:xfrm>
              <a:off x="7761815" y="16036925"/>
              <a:ext cx="1857375" cy="8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mAh representa el</a:t>
              </a:r>
              <a:r>
                <a:rPr lang="es-MX" sz="800" b="0" baseline="0"/>
                <a:t> consumo de la bateria del celular </a:t>
              </a:r>
            </a:p>
            <a:p>
              <a:r>
                <a:rPr lang="es-MX" sz="800" b="0" baseline="0"/>
                <a:t>v representa el voltaje con el que trabaja </a:t>
              </a:r>
            </a:p>
            <a:p>
              <a:r>
                <a:rPr lang="es-MX" sz="800" b="0" baseline="0"/>
                <a:t>tc representa tiempo de carga de pila</a:t>
              </a:r>
            </a:p>
            <a:p>
              <a:r>
                <a:rPr lang="es-MX" sz="800" b="0" baseline="0"/>
                <a:t>pr representa consumo de energia para la carga del celular/ año</a:t>
              </a:r>
            </a:p>
          </xdr:txBody>
        </xdr:sp>
      </mc:Fallback>
    </mc:AlternateContent>
    <xdr:clientData/>
  </xdr:oneCellAnchor>
  <xdr:oneCellAnchor>
    <xdr:from>
      <xdr:col>8</xdr:col>
      <xdr:colOff>361950</xdr:colOff>
      <xdr:row>12</xdr:row>
      <xdr:rowOff>965200</xdr:rowOff>
    </xdr:from>
    <xdr:ext cx="575773" cy="231602"/>
    <mc:AlternateContent xmlns:mc="http://schemas.openxmlformats.org/markup-compatibility/2006" xmlns:a14="http://schemas.microsoft.com/office/drawing/2010/main">
      <mc:Choice Requires="a14">
        <xdr:sp macro="" textlink="">
          <xdr:nvSpPr>
            <xdr:cNvPr id="276" name="CuadroTexto 275">
              <a:extLst>
                <a:ext uri="{FF2B5EF4-FFF2-40B4-BE49-F238E27FC236}">
                  <a16:creationId xmlns:a16="http://schemas.microsoft.com/office/drawing/2014/main" id="{9D8326DE-09F6-4FD4-BF7C-A8B3CE5DA34A}"/>
                </a:ext>
              </a:extLst>
            </xdr:cNvPr>
            <xdr:cNvSpPr txBox="1"/>
          </xdr:nvSpPr>
          <xdr:spPr>
            <a:xfrm>
              <a:off x="7759700" y="15713075"/>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14:m>
                <m:oMath xmlns:m="http://schemas.openxmlformats.org/officeDocument/2006/math">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a14:m>
              <a:endParaRPr lang="es-MX" sz="1000" b="0"/>
            </a:p>
          </xdr:txBody>
        </xdr:sp>
      </mc:Choice>
      <mc:Fallback xmlns="">
        <xdr:sp macro="" textlink="">
          <xdr:nvSpPr>
            <xdr:cNvPr id="276" name="CuadroTexto 275">
              <a:extLst>
                <a:ext uri="{FF2B5EF4-FFF2-40B4-BE49-F238E27FC236}">
                  <a16:creationId xmlns:a16="http://schemas.microsoft.com/office/drawing/2014/main" id="{9D8326DE-09F6-4FD4-BF7C-A8B3CE5DA34A}"/>
                </a:ext>
              </a:extLst>
            </xdr:cNvPr>
            <xdr:cNvSpPr txBox="1"/>
          </xdr:nvSpPr>
          <xdr:spPr>
            <a:xfrm>
              <a:off x="7759700" y="15713075"/>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r>
                <a:rPr lang="es-MX" sz="10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9</xdr:col>
      <xdr:colOff>371475</xdr:colOff>
      <xdr:row>53</xdr:row>
      <xdr:rowOff>219075</xdr:rowOff>
    </xdr:from>
    <xdr:ext cx="1352550" cy="351443"/>
    <mc:AlternateContent xmlns:mc="http://schemas.openxmlformats.org/markup-compatibility/2006" xmlns:a14="http://schemas.microsoft.com/office/drawing/2010/main">
      <mc:Choice Requires="a14">
        <xdr:sp macro="" textlink="">
          <xdr:nvSpPr>
            <xdr:cNvPr id="250" name="CuadroTexto 249">
              <a:extLst>
                <a:ext uri="{FF2B5EF4-FFF2-40B4-BE49-F238E27FC236}">
                  <a16:creationId xmlns:a16="http://schemas.microsoft.com/office/drawing/2014/main" id="{7D5BAFD5-ED80-40F8-9C94-0B3AA8108E0E}"/>
                </a:ext>
              </a:extLst>
            </xdr:cNvPr>
            <xdr:cNvSpPr txBox="1"/>
          </xdr:nvSpPr>
          <xdr:spPr>
            <a:xfrm>
              <a:off x="9144000" y="48139350"/>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.00444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.705)</m:t>
                        </m:r>
                      </m:den>
                    </m:f>
                    <m:r>
                      <a:rPr lang="es-MX" sz="1600" b="0" i="1">
                        <a:latin typeface="Cambria Math" panose="02040503050406030204" pitchFamily="18" charset="0"/>
                      </a:rPr>
                      <m:t> </m:t>
                    </m:r>
                  </m:oMath>
                </m:oMathPara>
              </a14:m>
              <a:endParaRPr lang="es-MX" sz="1600"/>
            </a:p>
          </xdr:txBody>
        </xdr:sp>
      </mc:Choice>
      <mc:Fallback xmlns="">
        <xdr:sp macro="" textlink="">
          <xdr:nvSpPr>
            <xdr:cNvPr id="250" name="CuadroTexto 249">
              <a:extLst>
                <a:ext uri="{FF2B5EF4-FFF2-40B4-BE49-F238E27FC236}">
                  <a16:creationId xmlns:a16="http://schemas.microsoft.com/office/drawing/2014/main" id="{7D5BAFD5-ED80-40F8-9C94-0B3AA8108E0E}"/>
                </a:ext>
              </a:extLst>
            </xdr:cNvPr>
            <xdr:cNvSpPr txBox="1"/>
          </xdr:nvSpPr>
          <xdr:spPr>
            <a:xfrm>
              <a:off x="9144000" y="48139350"/>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)/(.00444 )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.705))</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323850</xdr:colOff>
      <xdr:row>53</xdr:row>
      <xdr:rowOff>257175</xdr:rowOff>
    </xdr:from>
    <xdr:ext cx="1537759" cy="628650"/>
    <mc:AlternateContent xmlns:mc="http://schemas.openxmlformats.org/markup-compatibility/2006" xmlns:a14="http://schemas.microsoft.com/office/drawing/2010/main">
      <mc:Choice Requires="a14">
        <xdr:sp macro="" textlink="">
          <xdr:nvSpPr>
            <xdr:cNvPr id="252" name="CuadroTexto 251">
              <a:extLst>
                <a:ext uri="{FF2B5EF4-FFF2-40B4-BE49-F238E27FC236}">
                  <a16:creationId xmlns:a16="http://schemas.microsoft.com/office/drawing/2014/main" id="{73772573-C219-4C1B-8C44-E67CB2280F77}"/>
                </a:ext>
              </a:extLst>
            </xdr:cNvPr>
            <xdr:cNvSpPr txBox="1"/>
          </xdr:nvSpPr>
          <xdr:spPr>
            <a:xfrm>
              <a:off x="11001375" y="4817745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.7059 </m:t>
                    </m:r>
                    <m:r>
                      <m:rPr>
                        <m:sty m:val="p"/>
                      </m:rPr>
                      <a:rPr lang="es-MX" sz="1050" b="0" i="0">
                        <a:latin typeface="Cambria Math" panose="02040503050406030204" pitchFamily="18" charset="0"/>
                      </a:rPr>
                      <m:t>Lp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705.9 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252" name="CuadroTexto 251">
              <a:extLst>
                <a:ext uri="{FF2B5EF4-FFF2-40B4-BE49-F238E27FC236}">
                  <a16:creationId xmlns:a16="http://schemas.microsoft.com/office/drawing/2014/main" id="{73772573-C219-4C1B-8C44-E67CB2280F77}"/>
                </a:ext>
              </a:extLst>
            </xdr:cNvPr>
            <xdr:cNvSpPr txBox="1"/>
          </xdr:nvSpPr>
          <xdr:spPr>
            <a:xfrm>
              <a:off x="11001375" y="4817745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𝑃𝐸𝑇= .7059 Lp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𝑃𝐸𝑇=705.9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1193534</xdr:colOff>
      <xdr:row>53</xdr:row>
      <xdr:rowOff>428624</xdr:rowOff>
    </xdr:from>
    <xdr:ext cx="374254" cy="372798"/>
    <xdr:pic>
      <xdr:nvPicPr>
        <xdr:cNvPr id="257" name="Gráfico 256" descr="Inalámbrico">
          <a:hlinkClick xmlns:r="http://schemas.openxmlformats.org/officeDocument/2006/relationships" r:id="rId57"/>
          <a:extLst>
            <a:ext uri="{FF2B5EF4-FFF2-40B4-BE49-F238E27FC236}">
              <a16:creationId xmlns:a16="http://schemas.microsoft.com/office/drawing/2014/main" id="{180EDFDE-75AA-4733-A6D6-B76246F2FC6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2984" y="56473724"/>
          <a:ext cx="374254" cy="372798"/>
        </a:xfrm>
        <a:prstGeom prst="rect">
          <a:avLst/>
        </a:prstGeom>
      </xdr:spPr>
    </xdr:pic>
    <xdr:clientData/>
  </xdr:oneCellAnchor>
  <xdr:oneCellAnchor>
    <xdr:from>
      <xdr:col>12</xdr:col>
      <xdr:colOff>2556934</xdr:colOff>
      <xdr:row>58</xdr:row>
      <xdr:rowOff>466725</xdr:rowOff>
    </xdr:from>
    <xdr:ext cx="295276" cy="295276"/>
    <xdr:pic>
      <xdr:nvPicPr>
        <xdr:cNvPr id="249" name="Gráfico 248" descr="Inalámbrico">
          <a:hlinkClick xmlns:r="http://schemas.openxmlformats.org/officeDocument/2006/relationships" r:id="rId58"/>
          <a:extLst>
            <a:ext uri="{FF2B5EF4-FFF2-40B4-BE49-F238E27FC236}">
              <a16:creationId xmlns:a16="http://schemas.microsoft.com/office/drawing/2014/main" id="{20F0472E-94AC-406E-93C0-E82AF134595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5909" y="54025800"/>
          <a:ext cx="295276" cy="295276"/>
        </a:xfrm>
        <a:prstGeom prst="rect">
          <a:avLst/>
        </a:prstGeom>
      </xdr:spPr>
    </xdr:pic>
    <xdr:clientData/>
  </xdr:oneCellAnchor>
  <xdr:twoCellAnchor editAs="oneCell">
    <xdr:from>
      <xdr:col>12</xdr:col>
      <xdr:colOff>2324100</xdr:colOff>
      <xdr:row>58</xdr:row>
      <xdr:rowOff>504825</xdr:rowOff>
    </xdr:from>
    <xdr:to>
      <xdr:col>12</xdr:col>
      <xdr:colOff>2552700</xdr:colOff>
      <xdr:row>58</xdr:row>
      <xdr:rowOff>733425</xdr:rowOff>
    </xdr:to>
    <xdr:pic>
      <xdr:nvPicPr>
        <xdr:cNvPr id="283" name="Gráfico 282" descr="Hogar">
          <a:hlinkClick xmlns:r="http://schemas.openxmlformats.org/officeDocument/2006/relationships" r:id="rId59"/>
          <a:extLst>
            <a:ext uri="{FF2B5EF4-FFF2-40B4-BE49-F238E27FC236}">
              <a16:creationId xmlns:a16="http://schemas.microsoft.com/office/drawing/2014/main" id="{0F20211E-E95F-4854-8F4F-2614318AE5D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075" y="54063900"/>
          <a:ext cx="228600" cy="228600"/>
        </a:xfrm>
        <a:prstGeom prst="rect">
          <a:avLst/>
        </a:prstGeom>
      </xdr:spPr>
    </xdr:pic>
    <xdr:clientData/>
  </xdr:twoCellAnchor>
  <xdr:oneCellAnchor>
    <xdr:from>
      <xdr:col>12</xdr:col>
      <xdr:colOff>2556934</xdr:colOff>
      <xdr:row>58</xdr:row>
      <xdr:rowOff>742950</xdr:rowOff>
    </xdr:from>
    <xdr:ext cx="295276" cy="295276"/>
    <xdr:pic>
      <xdr:nvPicPr>
        <xdr:cNvPr id="284" name="Gráfico 283" descr="Inalámbrico">
          <a:hlinkClick xmlns:r="http://schemas.openxmlformats.org/officeDocument/2006/relationships" r:id="rId60"/>
          <a:extLst>
            <a:ext uri="{FF2B5EF4-FFF2-40B4-BE49-F238E27FC236}">
              <a16:creationId xmlns:a16="http://schemas.microsoft.com/office/drawing/2014/main" id="{3BB62765-12BF-4481-876B-8FCDB2D3029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5909" y="54302025"/>
          <a:ext cx="295276" cy="295276"/>
        </a:xfrm>
        <a:prstGeom prst="rect">
          <a:avLst/>
        </a:prstGeom>
      </xdr:spPr>
    </xdr:pic>
    <xdr:clientData/>
  </xdr:oneCellAnchor>
  <xdr:twoCellAnchor editAs="oneCell">
    <xdr:from>
      <xdr:col>12</xdr:col>
      <xdr:colOff>2324100</xdr:colOff>
      <xdr:row>58</xdr:row>
      <xdr:rowOff>781050</xdr:rowOff>
    </xdr:from>
    <xdr:to>
      <xdr:col>12</xdr:col>
      <xdr:colOff>2552700</xdr:colOff>
      <xdr:row>58</xdr:row>
      <xdr:rowOff>1009650</xdr:rowOff>
    </xdr:to>
    <xdr:pic>
      <xdr:nvPicPr>
        <xdr:cNvPr id="285" name="Gráfico 284" descr="Hogar">
          <a:hlinkClick xmlns:r="http://schemas.openxmlformats.org/officeDocument/2006/relationships" r:id="rId61"/>
          <a:extLst>
            <a:ext uri="{FF2B5EF4-FFF2-40B4-BE49-F238E27FC236}">
              <a16:creationId xmlns:a16="http://schemas.microsoft.com/office/drawing/2014/main" id="{B4186EEA-7419-41FF-ACDC-F24CA657AC5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075" y="54340125"/>
          <a:ext cx="228600" cy="228600"/>
        </a:xfrm>
        <a:prstGeom prst="rect">
          <a:avLst/>
        </a:prstGeom>
      </xdr:spPr>
    </xdr:pic>
    <xdr:clientData/>
  </xdr:twoCellAnchor>
  <xdr:oneCellAnchor>
    <xdr:from>
      <xdr:col>12</xdr:col>
      <xdr:colOff>2566459</xdr:colOff>
      <xdr:row>58</xdr:row>
      <xdr:rowOff>1276350</xdr:rowOff>
    </xdr:from>
    <xdr:ext cx="295276" cy="295276"/>
    <xdr:pic>
      <xdr:nvPicPr>
        <xdr:cNvPr id="286" name="Gráfico 285" descr="Inalámbrico">
          <a:hlinkClick xmlns:r="http://schemas.openxmlformats.org/officeDocument/2006/relationships" r:id="rId62"/>
          <a:extLst>
            <a:ext uri="{FF2B5EF4-FFF2-40B4-BE49-F238E27FC236}">
              <a16:creationId xmlns:a16="http://schemas.microsoft.com/office/drawing/2014/main" id="{5AC30196-E869-4AAB-B3D7-128258402AC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25434" y="54835425"/>
          <a:ext cx="295276" cy="295276"/>
        </a:xfrm>
        <a:prstGeom prst="rect">
          <a:avLst/>
        </a:prstGeom>
      </xdr:spPr>
    </xdr:pic>
    <xdr:clientData/>
  </xdr:oneCellAnchor>
  <xdr:twoCellAnchor editAs="oneCell">
    <xdr:from>
      <xdr:col>12</xdr:col>
      <xdr:colOff>2333625</xdr:colOff>
      <xdr:row>58</xdr:row>
      <xdr:rowOff>1314450</xdr:rowOff>
    </xdr:from>
    <xdr:to>
      <xdr:col>12</xdr:col>
      <xdr:colOff>2562225</xdr:colOff>
      <xdr:row>58</xdr:row>
      <xdr:rowOff>1543050</xdr:rowOff>
    </xdr:to>
    <xdr:pic>
      <xdr:nvPicPr>
        <xdr:cNvPr id="287" name="Gráfico 286" descr="Hogar">
          <a:hlinkClick xmlns:r="http://schemas.openxmlformats.org/officeDocument/2006/relationships" r:id="rId63"/>
          <a:extLst>
            <a:ext uri="{FF2B5EF4-FFF2-40B4-BE49-F238E27FC236}">
              <a16:creationId xmlns:a16="http://schemas.microsoft.com/office/drawing/2014/main" id="{CE565262-ED60-435A-9F7C-939C63E49BA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92600" y="54873525"/>
          <a:ext cx="228600" cy="228600"/>
        </a:xfrm>
        <a:prstGeom prst="rect">
          <a:avLst/>
        </a:prstGeom>
      </xdr:spPr>
    </xdr:pic>
    <xdr:clientData/>
  </xdr:twoCellAnchor>
  <xdr:oneCellAnchor>
    <xdr:from>
      <xdr:col>12</xdr:col>
      <xdr:colOff>2533650</xdr:colOff>
      <xdr:row>58</xdr:row>
      <xdr:rowOff>1943100</xdr:rowOff>
    </xdr:from>
    <xdr:ext cx="295276" cy="295276"/>
    <xdr:pic>
      <xdr:nvPicPr>
        <xdr:cNvPr id="288" name="Gráfico 287" descr="Inalámbrico">
          <a:hlinkClick xmlns:r="http://schemas.openxmlformats.org/officeDocument/2006/relationships" r:id="rId64"/>
          <a:extLst>
            <a:ext uri="{FF2B5EF4-FFF2-40B4-BE49-F238E27FC236}">
              <a16:creationId xmlns:a16="http://schemas.microsoft.com/office/drawing/2014/main" id="{71DF72B5-9F3D-4F6E-BD19-CD02D326B1E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2625" y="55502175"/>
          <a:ext cx="295276" cy="295276"/>
        </a:xfrm>
        <a:prstGeom prst="rect">
          <a:avLst/>
        </a:prstGeom>
      </xdr:spPr>
    </xdr:pic>
    <xdr:clientData/>
  </xdr:oneCellAnchor>
  <xdr:twoCellAnchor editAs="oneCell">
    <xdr:from>
      <xdr:col>12</xdr:col>
      <xdr:colOff>2305050</xdr:colOff>
      <xdr:row>58</xdr:row>
      <xdr:rowOff>2000250</xdr:rowOff>
    </xdr:from>
    <xdr:to>
      <xdr:col>12</xdr:col>
      <xdr:colOff>2533650</xdr:colOff>
      <xdr:row>58</xdr:row>
      <xdr:rowOff>2228850</xdr:rowOff>
    </xdr:to>
    <xdr:pic>
      <xdr:nvPicPr>
        <xdr:cNvPr id="289" name="Gráfico 288" descr="Hogar">
          <a:hlinkClick xmlns:r="http://schemas.openxmlformats.org/officeDocument/2006/relationships" r:id="rId65"/>
          <a:extLst>
            <a:ext uri="{FF2B5EF4-FFF2-40B4-BE49-F238E27FC236}">
              <a16:creationId xmlns:a16="http://schemas.microsoft.com/office/drawing/2014/main" id="{B083DE4F-7AAE-4CF7-B92E-A4168112E35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4025" y="55559325"/>
          <a:ext cx="228600" cy="228600"/>
        </a:xfrm>
        <a:prstGeom prst="rect">
          <a:avLst/>
        </a:prstGeom>
      </xdr:spPr>
    </xdr:pic>
    <xdr:clientData/>
  </xdr:twoCellAnchor>
  <xdr:oneCellAnchor>
    <xdr:from>
      <xdr:col>12</xdr:col>
      <xdr:colOff>2552700</xdr:colOff>
      <xdr:row>58</xdr:row>
      <xdr:rowOff>2600325</xdr:rowOff>
    </xdr:from>
    <xdr:ext cx="295276" cy="295276"/>
    <xdr:pic>
      <xdr:nvPicPr>
        <xdr:cNvPr id="290" name="Gráfico 289" descr="Inalámbrico">
          <a:hlinkClick xmlns:r="http://schemas.openxmlformats.org/officeDocument/2006/relationships" r:id="rId66"/>
          <a:extLst>
            <a:ext uri="{FF2B5EF4-FFF2-40B4-BE49-F238E27FC236}">
              <a16:creationId xmlns:a16="http://schemas.microsoft.com/office/drawing/2014/main" id="{FE987E4D-68F8-4EE8-875F-DAD53505EE0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1675" y="56159400"/>
          <a:ext cx="295276" cy="295276"/>
        </a:xfrm>
        <a:prstGeom prst="rect">
          <a:avLst/>
        </a:prstGeom>
      </xdr:spPr>
    </xdr:pic>
    <xdr:clientData/>
  </xdr:oneCellAnchor>
  <xdr:oneCellAnchor>
    <xdr:from>
      <xdr:col>12</xdr:col>
      <xdr:colOff>2525183</xdr:colOff>
      <xdr:row>69</xdr:row>
      <xdr:rowOff>1132417</xdr:rowOff>
    </xdr:from>
    <xdr:ext cx="295276" cy="295276"/>
    <xdr:pic>
      <xdr:nvPicPr>
        <xdr:cNvPr id="292" name="Gráfico 291" descr="Inalámbrico">
          <a:hlinkClick xmlns:r="http://schemas.openxmlformats.org/officeDocument/2006/relationships" r:id="rId64"/>
          <a:extLst>
            <a:ext uri="{FF2B5EF4-FFF2-40B4-BE49-F238E27FC236}">
              <a16:creationId xmlns:a16="http://schemas.microsoft.com/office/drawing/2014/main" id="{CBE2CEF1-0CFB-44C3-A22C-A3B6594AEDC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3683" y="60547250"/>
          <a:ext cx="295276" cy="295276"/>
        </a:xfrm>
        <a:prstGeom prst="rect">
          <a:avLst/>
        </a:prstGeom>
      </xdr:spPr>
    </xdr:pic>
    <xdr:clientData/>
  </xdr:oneCellAnchor>
  <xdr:twoCellAnchor editAs="oneCell">
    <xdr:from>
      <xdr:col>12</xdr:col>
      <xdr:colOff>2296583</xdr:colOff>
      <xdr:row>69</xdr:row>
      <xdr:rowOff>1189567</xdr:rowOff>
    </xdr:from>
    <xdr:to>
      <xdr:col>12</xdr:col>
      <xdr:colOff>2525183</xdr:colOff>
      <xdr:row>69</xdr:row>
      <xdr:rowOff>1423458</xdr:rowOff>
    </xdr:to>
    <xdr:pic>
      <xdr:nvPicPr>
        <xdr:cNvPr id="293" name="Gráfico 292" descr="Hogar">
          <a:hlinkClick xmlns:r="http://schemas.openxmlformats.org/officeDocument/2006/relationships" r:id="rId65"/>
          <a:extLst>
            <a:ext uri="{FF2B5EF4-FFF2-40B4-BE49-F238E27FC236}">
              <a16:creationId xmlns:a16="http://schemas.microsoft.com/office/drawing/2014/main" id="{0A3F3617-AD17-4BF4-BB74-0510BB2F5BB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5083" y="60604400"/>
          <a:ext cx="228600" cy="228600"/>
        </a:xfrm>
        <a:prstGeom prst="rect">
          <a:avLst/>
        </a:prstGeom>
      </xdr:spPr>
    </xdr:pic>
    <xdr:clientData/>
  </xdr:twoCellAnchor>
  <xdr:oneCellAnchor>
    <xdr:from>
      <xdr:col>12</xdr:col>
      <xdr:colOff>2518834</xdr:colOff>
      <xdr:row>69</xdr:row>
      <xdr:rowOff>455084</xdr:rowOff>
    </xdr:from>
    <xdr:ext cx="295276" cy="295276"/>
    <xdr:pic>
      <xdr:nvPicPr>
        <xdr:cNvPr id="294" name="Gráfico 293" descr="Inalámbrico">
          <a:hlinkClick xmlns:r="http://schemas.openxmlformats.org/officeDocument/2006/relationships" r:id="rId62"/>
          <a:extLst>
            <a:ext uri="{FF2B5EF4-FFF2-40B4-BE49-F238E27FC236}">
              <a16:creationId xmlns:a16="http://schemas.microsoft.com/office/drawing/2014/main" id="{4A3C4942-DB5A-47BE-8074-975438B2DF2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87334" y="61277501"/>
          <a:ext cx="295276" cy="295276"/>
        </a:xfrm>
        <a:prstGeom prst="rect">
          <a:avLst/>
        </a:prstGeom>
      </xdr:spPr>
    </xdr:pic>
    <xdr:clientData/>
  </xdr:oneCellAnchor>
  <xdr:twoCellAnchor editAs="oneCell">
    <xdr:from>
      <xdr:col>12</xdr:col>
      <xdr:colOff>2286000</xdr:colOff>
      <xdr:row>69</xdr:row>
      <xdr:rowOff>493184</xdr:rowOff>
    </xdr:from>
    <xdr:to>
      <xdr:col>12</xdr:col>
      <xdr:colOff>2514600</xdr:colOff>
      <xdr:row>69</xdr:row>
      <xdr:rowOff>721784</xdr:rowOff>
    </xdr:to>
    <xdr:pic>
      <xdr:nvPicPr>
        <xdr:cNvPr id="295" name="Gráfico 294" descr="Hogar">
          <a:hlinkClick xmlns:r="http://schemas.openxmlformats.org/officeDocument/2006/relationships" r:id="rId63"/>
          <a:extLst>
            <a:ext uri="{FF2B5EF4-FFF2-40B4-BE49-F238E27FC236}">
              <a16:creationId xmlns:a16="http://schemas.microsoft.com/office/drawing/2014/main" id="{1BEF95B1-0E59-470D-B8BA-CE8B397CEA7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54500" y="61315601"/>
          <a:ext cx="228600" cy="228600"/>
        </a:xfrm>
        <a:prstGeom prst="rect">
          <a:avLst/>
        </a:prstGeom>
      </xdr:spPr>
    </xdr:pic>
    <xdr:clientData/>
  </xdr:twoCellAnchor>
  <xdr:oneCellAnchor>
    <xdr:from>
      <xdr:col>12</xdr:col>
      <xdr:colOff>2579158</xdr:colOff>
      <xdr:row>69</xdr:row>
      <xdr:rowOff>1165225</xdr:rowOff>
    </xdr:from>
    <xdr:ext cx="295276" cy="295276"/>
    <xdr:pic>
      <xdr:nvPicPr>
        <xdr:cNvPr id="296" name="Gráfico 295" descr="Inalámbrico">
          <a:hlinkClick xmlns:r="http://schemas.openxmlformats.org/officeDocument/2006/relationships" r:id="rId66"/>
          <a:extLst>
            <a:ext uri="{FF2B5EF4-FFF2-40B4-BE49-F238E27FC236}">
              <a16:creationId xmlns:a16="http://schemas.microsoft.com/office/drawing/2014/main" id="{17365F34-6400-495A-910A-8D0A5E4A1F9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47658" y="61987642"/>
          <a:ext cx="295276" cy="295276"/>
        </a:xfrm>
        <a:prstGeom prst="rect">
          <a:avLst/>
        </a:prstGeom>
      </xdr:spPr>
    </xdr:pic>
    <xdr:clientData/>
  </xdr:oneCellAnchor>
  <xdr:oneCellAnchor>
    <xdr:from>
      <xdr:col>8</xdr:col>
      <xdr:colOff>137584</xdr:colOff>
      <xdr:row>7</xdr:row>
      <xdr:rowOff>423333</xdr:rowOff>
    </xdr:from>
    <xdr:ext cx="1418167" cy="341953"/>
    <mc:AlternateContent xmlns:mc="http://schemas.openxmlformats.org/markup-compatibility/2006" xmlns:a14="http://schemas.microsoft.com/office/drawing/2010/main">
      <mc:Choice Requires="a14">
        <xdr:sp macro="" textlink="">
          <xdr:nvSpPr>
            <xdr:cNvPr id="297" name="CuadroTexto 296">
              <a:extLst>
                <a:ext uri="{FF2B5EF4-FFF2-40B4-BE49-F238E27FC236}">
                  <a16:creationId xmlns:a16="http://schemas.microsoft.com/office/drawing/2014/main" id="{31495EEA-4F17-4A80-95A5-52C139FE9577}"/>
                </a:ext>
              </a:extLst>
            </xdr:cNvPr>
            <xdr:cNvSpPr txBox="1"/>
          </xdr:nvSpPr>
          <xdr:spPr>
            <a:xfrm>
              <a:off x="7006167" y="6297083"/>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oMath>
                </m:oMathPara>
              </a14:m>
              <a:endParaRPr lang="es-MX" sz="1050"/>
            </a:p>
          </xdr:txBody>
        </xdr:sp>
      </mc:Choice>
      <mc:Fallback xmlns="">
        <xdr:sp macro="" textlink="">
          <xdr:nvSpPr>
            <xdr:cNvPr id="297" name="CuadroTexto 296">
              <a:extLst>
                <a:ext uri="{FF2B5EF4-FFF2-40B4-BE49-F238E27FC236}">
                  <a16:creationId xmlns:a16="http://schemas.microsoft.com/office/drawing/2014/main" id="{31495EEA-4F17-4A80-95A5-52C139FE9577}"/>
                </a:ext>
              </a:extLst>
            </xdr:cNvPr>
            <xdr:cNvSpPr txBox="1"/>
          </xdr:nvSpPr>
          <xdr:spPr>
            <a:xfrm>
              <a:off x="7006167" y="6297083"/>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NF=((𝑘𝑤ℎ∗1000))/𝑃𝑓</a:t>
              </a:r>
              <a:endParaRPr lang="es-MX" sz="1050"/>
            </a:p>
          </xdr:txBody>
        </xdr:sp>
      </mc:Fallback>
    </mc:AlternateContent>
    <xdr:clientData/>
  </xdr:oneCellAnchor>
  <xdr:oneCellAnchor>
    <xdr:from>
      <xdr:col>8</xdr:col>
      <xdr:colOff>256761</xdr:colOff>
      <xdr:row>7</xdr:row>
      <xdr:rowOff>977348</xdr:rowOff>
    </xdr:from>
    <xdr:ext cx="1404744" cy="250453"/>
    <mc:AlternateContent xmlns:mc="http://schemas.openxmlformats.org/markup-compatibility/2006" xmlns:a14="http://schemas.microsoft.com/office/drawing/2010/main">
      <mc:Choice Requires="a14">
        <xdr:sp macro="" textlink="">
          <xdr:nvSpPr>
            <xdr:cNvPr id="299" name="CuadroTexto 298">
              <a:extLst>
                <a:ext uri="{FF2B5EF4-FFF2-40B4-BE49-F238E27FC236}">
                  <a16:creationId xmlns:a16="http://schemas.microsoft.com/office/drawing/2014/main" id="{BDCC0EE8-59D7-429C-BC7D-7C00E80F5A8F}"/>
                </a:ext>
              </a:extLst>
            </xdr:cNvPr>
            <xdr:cNvSpPr txBox="1"/>
          </xdr:nvSpPr>
          <xdr:spPr>
            <a:xfrm>
              <a:off x="7125344" y="5443515"/>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endParaRPr lang="es-MX" sz="800" b="0"/>
            </a:p>
          </xdr:txBody>
        </xdr:sp>
      </mc:Choice>
      <mc:Fallback xmlns="">
        <xdr:sp macro="" textlink="">
          <xdr:nvSpPr>
            <xdr:cNvPr id="299" name="CuadroTexto 298">
              <a:extLst>
                <a:ext uri="{FF2B5EF4-FFF2-40B4-BE49-F238E27FC236}">
                  <a16:creationId xmlns:a16="http://schemas.microsoft.com/office/drawing/2014/main" id="{BDCC0EE8-59D7-429C-BC7D-7C00E80F5A8F}"/>
                </a:ext>
              </a:extLst>
            </xdr:cNvPr>
            <xdr:cNvSpPr txBox="1"/>
          </xdr:nvSpPr>
          <xdr:spPr>
            <a:xfrm>
              <a:off x="7125344" y="5443515"/>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endParaRPr lang="es-MX" sz="800" b="0"/>
            </a:p>
          </xdr:txBody>
        </xdr:sp>
      </mc:Fallback>
    </mc:AlternateContent>
    <xdr:clientData/>
  </xdr:oneCellAnchor>
  <xdr:twoCellAnchor editAs="oneCell">
    <xdr:from>
      <xdr:col>12</xdr:col>
      <xdr:colOff>1180476</xdr:colOff>
      <xdr:row>12</xdr:row>
      <xdr:rowOff>509361</xdr:rowOff>
    </xdr:from>
    <xdr:to>
      <xdr:col>12</xdr:col>
      <xdr:colOff>1477004</xdr:colOff>
      <xdr:row>12</xdr:row>
      <xdr:rowOff>808873</xdr:rowOff>
    </xdr:to>
    <xdr:pic>
      <xdr:nvPicPr>
        <xdr:cNvPr id="300" name="Gráfico 299" descr="Inalámbrico">
          <a:hlinkClick xmlns:r="http://schemas.openxmlformats.org/officeDocument/2006/relationships" r:id="rId67"/>
          <a:extLst>
            <a:ext uri="{FF2B5EF4-FFF2-40B4-BE49-F238E27FC236}">
              <a16:creationId xmlns:a16="http://schemas.microsoft.com/office/drawing/2014/main" id="{61BEDF38-77CB-464B-A639-2B73F26EC58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29926" y="14873061"/>
          <a:ext cx="296528" cy="299512"/>
        </a:xfrm>
        <a:prstGeom prst="rect">
          <a:avLst/>
        </a:prstGeom>
      </xdr:spPr>
    </xdr:pic>
    <xdr:clientData/>
  </xdr:twoCellAnchor>
  <xdr:oneCellAnchor>
    <xdr:from>
      <xdr:col>9</xdr:col>
      <xdr:colOff>201084</xdr:colOff>
      <xdr:row>16</xdr:row>
      <xdr:rowOff>523876</xdr:rowOff>
    </xdr:from>
    <xdr:ext cx="2053166" cy="319511"/>
    <mc:AlternateContent xmlns:mc="http://schemas.openxmlformats.org/markup-compatibility/2006" xmlns:a14="http://schemas.microsoft.com/office/drawing/2010/main">
      <mc:Choice Requires="a14">
        <xdr:sp macro="" textlink="">
          <xdr:nvSpPr>
            <xdr:cNvPr id="303" name="CuadroTexto 302">
              <a:extLst>
                <a:ext uri="{FF2B5EF4-FFF2-40B4-BE49-F238E27FC236}">
                  <a16:creationId xmlns:a16="http://schemas.microsoft.com/office/drawing/2014/main" id="{0C81380F-30A5-4098-834F-D4D053BE23E1}"/>
                </a:ext>
              </a:extLst>
            </xdr:cNvPr>
            <xdr:cNvSpPr txBox="1"/>
          </xdr:nvSpPr>
          <xdr:spPr>
            <a:xfrm>
              <a:off x="10027709" y="184150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40,000 </m:t>
                        </m:r>
                        <m:r>
                          <m:rPr>
                            <m:sty m:val="p"/>
                          </m:rPr>
                          <a:rPr lang="es-MX" sz="1000" b="0" i="0">
                            <a:solidFill>
                              <a:schemeClr val="tx1"/>
                            </a:solidFill>
                            <a:effectLst/>
                            <a:latin typeface="Cambria Math" panose="02040503050406030204" pitchFamily="18" charset="0"/>
                            <a:ea typeface="+mn-ea"/>
                            <a:cs typeface="+mn-cs"/>
                          </a:rPr>
                          <m:t>L</m:t>
                        </m:r>
                      </m:num>
                      <m:den>
                        <m:r>
                          <a:rPr lang="es-MX" sz="1000" b="0" i="1">
                            <a:solidFill>
                              <a:schemeClr val="tx1"/>
                            </a:solidFill>
                            <a:effectLst/>
                            <a:latin typeface="Cambria Math" panose="02040503050406030204" pitchFamily="18" charset="0"/>
                            <a:ea typeface="+mn-ea"/>
                            <a:cs typeface="+mn-cs"/>
                          </a:rPr>
                          <m:t>?(40)</m:t>
                        </m:r>
                      </m:den>
                    </m:f>
                    <m:r>
                      <a:rPr lang="es-MX" sz="1000" b="0" i="1">
                        <a:latin typeface="Cambria Math" panose="02040503050406030204" pitchFamily="18" charset="0"/>
                      </a:rPr>
                      <m:t> </m:t>
                    </m:r>
                  </m:oMath>
                </m:oMathPara>
              </a14:m>
              <a:endParaRPr lang="es-MX" sz="1000"/>
            </a:p>
          </xdr:txBody>
        </xdr:sp>
      </mc:Choice>
      <mc:Fallback xmlns="">
        <xdr:sp macro="" textlink="">
          <xdr:nvSpPr>
            <xdr:cNvPr id="303" name="CuadroTexto 302">
              <a:extLst>
                <a:ext uri="{FF2B5EF4-FFF2-40B4-BE49-F238E27FC236}">
                  <a16:creationId xmlns:a16="http://schemas.microsoft.com/office/drawing/2014/main" id="{0C81380F-30A5-4098-834F-D4D053BE23E1}"/>
                </a:ext>
              </a:extLst>
            </xdr:cNvPr>
            <xdr:cNvSpPr txBox="1"/>
          </xdr:nvSpPr>
          <xdr:spPr>
            <a:xfrm>
              <a:off x="10027709" y="184150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𝑝𝑒𝑡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40,000 L)/(?(40)) </a:t>
              </a:r>
              <a:r>
                <a:rPr lang="es-MX" sz="1000" b="0" i="0">
                  <a:latin typeface="Cambria Math" panose="02040503050406030204" pitchFamily="18" charset="0"/>
                </a:rPr>
                <a:t> </a:t>
              </a:r>
              <a:endParaRPr lang="es-MX" sz="1000"/>
            </a:p>
          </xdr:txBody>
        </xdr:sp>
      </mc:Fallback>
    </mc:AlternateContent>
    <xdr:clientData/>
  </xdr:oneCellAnchor>
  <xdr:twoCellAnchor editAs="oneCell">
    <xdr:from>
      <xdr:col>4</xdr:col>
      <xdr:colOff>127001</xdr:colOff>
      <xdr:row>29</xdr:row>
      <xdr:rowOff>118532</xdr:rowOff>
    </xdr:from>
    <xdr:to>
      <xdr:col>4</xdr:col>
      <xdr:colOff>444500</xdr:colOff>
      <xdr:row>29</xdr:row>
      <xdr:rowOff>436031</xdr:rowOff>
    </xdr:to>
    <xdr:pic>
      <xdr:nvPicPr>
        <xdr:cNvPr id="43" name="Imagen 42">
          <a:extLst>
            <a:ext uri="{FF2B5EF4-FFF2-40B4-BE49-F238E27FC236}">
              <a16:creationId xmlns:a16="http://schemas.microsoft.com/office/drawing/2014/main" id="{CAADDD62-796B-45F4-9C3C-17608C37592E}"/>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7251" y="31857949"/>
          <a:ext cx="317499" cy="317499"/>
        </a:xfrm>
        <a:prstGeom prst="rect">
          <a:avLst/>
        </a:prstGeom>
      </xdr:spPr>
    </xdr:pic>
    <xdr:clientData/>
  </xdr:twoCellAnchor>
  <xdr:twoCellAnchor editAs="oneCell">
    <xdr:from>
      <xdr:col>5</xdr:col>
      <xdr:colOff>21167</xdr:colOff>
      <xdr:row>29</xdr:row>
      <xdr:rowOff>57401</xdr:rowOff>
    </xdr:from>
    <xdr:to>
      <xdr:col>5</xdr:col>
      <xdr:colOff>560917</xdr:colOff>
      <xdr:row>29</xdr:row>
      <xdr:rowOff>436032</xdr:rowOff>
    </xdr:to>
    <xdr:pic>
      <xdr:nvPicPr>
        <xdr:cNvPr id="62" name="Imagen 61">
          <a:extLst>
            <a:ext uri="{FF2B5EF4-FFF2-40B4-BE49-F238E27FC236}">
              <a16:creationId xmlns:a16="http://schemas.microsoft.com/office/drawing/2014/main" id="{18B32765-6412-487F-8D31-D7A4941BAC9E}"/>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43500" y="31796818"/>
          <a:ext cx="539750" cy="378631"/>
        </a:xfrm>
        <a:prstGeom prst="rect">
          <a:avLst/>
        </a:prstGeom>
      </xdr:spPr>
    </xdr:pic>
    <xdr:clientData/>
  </xdr:twoCellAnchor>
  <xdr:twoCellAnchor editAs="oneCell">
    <xdr:from>
      <xdr:col>2</xdr:col>
      <xdr:colOff>59531</xdr:colOff>
      <xdr:row>63</xdr:row>
      <xdr:rowOff>83344</xdr:rowOff>
    </xdr:from>
    <xdr:to>
      <xdr:col>2</xdr:col>
      <xdr:colOff>451432</xdr:colOff>
      <xdr:row>63</xdr:row>
      <xdr:rowOff>449682</xdr:rowOff>
    </xdr:to>
    <xdr:pic>
      <xdr:nvPicPr>
        <xdr:cNvPr id="304" name="Imagen 303">
          <a:extLst>
            <a:ext uri="{FF2B5EF4-FFF2-40B4-BE49-F238E27FC236}">
              <a16:creationId xmlns:a16="http://schemas.microsoft.com/office/drawing/2014/main" id="{161AFE51-C055-4A3D-8D66-386DBA146BD9}"/>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29000" y="76069032"/>
          <a:ext cx="391901" cy="366338"/>
        </a:xfrm>
        <a:prstGeom prst="rect">
          <a:avLst/>
        </a:prstGeom>
      </xdr:spPr>
    </xdr:pic>
    <xdr:clientData/>
  </xdr:twoCellAnchor>
  <xdr:twoCellAnchor editAs="oneCell">
    <xdr:from>
      <xdr:col>3</xdr:col>
      <xdr:colOff>178591</xdr:colOff>
      <xdr:row>63</xdr:row>
      <xdr:rowOff>107155</xdr:rowOff>
    </xdr:from>
    <xdr:to>
      <xdr:col>3</xdr:col>
      <xdr:colOff>488154</xdr:colOff>
      <xdr:row>63</xdr:row>
      <xdr:rowOff>416718</xdr:rowOff>
    </xdr:to>
    <xdr:pic>
      <xdr:nvPicPr>
        <xdr:cNvPr id="66" name="Imagen 65">
          <a:extLst>
            <a:ext uri="{FF2B5EF4-FFF2-40B4-BE49-F238E27FC236}">
              <a16:creationId xmlns:a16="http://schemas.microsoft.com/office/drawing/2014/main" id="{013F71EE-7E8D-4C82-BD30-81CDCA73D629}"/>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76092843"/>
          <a:ext cx="309563" cy="309563"/>
        </a:xfrm>
        <a:prstGeom prst="rect">
          <a:avLst/>
        </a:prstGeom>
      </xdr:spPr>
    </xdr:pic>
    <xdr:clientData/>
  </xdr:twoCellAnchor>
  <xdr:twoCellAnchor editAs="oneCell">
    <xdr:from>
      <xdr:col>4</xdr:col>
      <xdr:colOff>59531</xdr:colOff>
      <xdr:row>63</xdr:row>
      <xdr:rowOff>83343</xdr:rowOff>
    </xdr:from>
    <xdr:to>
      <xdr:col>4</xdr:col>
      <xdr:colOff>516731</xdr:colOff>
      <xdr:row>64</xdr:row>
      <xdr:rowOff>19843</xdr:rowOff>
    </xdr:to>
    <xdr:pic>
      <xdr:nvPicPr>
        <xdr:cNvPr id="305" name="Gráfico 304" descr="Convertible">
          <a:extLst>
            <a:ext uri="{FF2B5EF4-FFF2-40B4-BE49-F238E27FC236}">
              <a16:creationId xmlns:a16="http://schemas.microsoft.com/office/drawing/2014/main" id="{6595229E-0A84-4FA9-8899-CC68DE2C158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5812" y="76069031"/>
          <a:ext cx="457200" cy="448468"/>
        </a:xfrm>
        <a:prstGeom prst="rect">
          <a:avLst/>
        </a:prstGeom>
      </xdr:spPr>
    </xdr:pic>
    <xdr:clientData/>
  </xdr:twoCellAnchor>
  <xdr:twoCellAnchor editAs="oneCell">
    <xdr:from>
      <xdr:col>5</xdr:col>
      <xdr:colOff>154782</xdr:colOff>
      <xdr:row>3</xdr:row>
      <xdr:rowOff>107156</xdr:rowOff>
    </xdr:from>
    <xdr:to>
      <xdr:col>5</xdr:col>
      <xdr:colOff>439476</xdr:colOff>
      <xdr:row>3</xdr:row>
      <xdr:rowOff>391850</xdr:rowOff>
    </xdr:to>
    <xdr:pic>
      <xdr:nvPicPr>
        <xdr:cNvPr id="255" name="Imagen 254">
          <a:extLst>
            <a:ext uri="{FF2B5EF4-FFF2-40B4-BE49-F238E27FC236}">
              <a16:creationId xmlns:a16="http://schemas.microsoft.com/office/drawing/2014/main" id="{3985CA18-34B6-422F-8642-871956202F82}"/>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274470" y="1905000"/>
          <a:ext cx="284694" cy="284694"/>
        </a:xfrm>
        <a:prstGeom prst="rect">
          <a:avLst/>
        </a:prstGeom>
      </xdr:spPr>
    </xdr:pic>
    <xdr:clientData/>
  </xdr:twoCellAnchor>
  <xdr:oneCellAnchor>
    <xdr:from>
      <xdr:col>8</xdr:col>
      <xdr:colOff>396387</xdr:colOff>
      <xdr:row>139</xdr:row>
      <xdr:rowOff>341940</xdr:rowOff>
    </xdr:from>
    <xdr:ext cx="1590255" cy="172227"/>
    <mc:AlternateContent xmlns:mc="http://schemas.openxmlformats.org/markup-compatibility/2006" xmlns:a14="http://schemas.microsoft.com/office/drawing/2010/main">
      <mc:Choice Requires="a14">
        <xdr:sp macro="" textlink="">
          <xdr:nvSpPr>
            <xdr:cNvPr id="308" name="CuadroTexto 307">
              <a:extLst>
                <a:ext uri="{FF2B5EF4-FFF2-40B4-BE49-F238E27FC236}">
                  <a16:creationId xmlns:a16="http://schemas.microsoft.com/office/drawing/2014/main" id="{BA5AE55E-53A0-4D4A-8778-FCF563CC73F7}"/>
                </a:ext>
              </a:extLst>
            </xdr:cNvPr>
            <xdr:cNvSpPr txBox="1"/>
          </xdr:nvSpPr>
          <xdr:spPr>
            <a:xfrm>
              <a:off x="7794137" y="119880690"/>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𝐸𝑣</m:t>
                    </m:r>
                    <m:r>
                      <a:rPr lang="es-MX" sz="1100" b="0" i="1">
                        <a:latin typeface="Cambria Math" panose="02040503050406030204" pitchFamily="18" charset="0"/>
                      </a:rPr>
                      <m:t> −</m:t>
                    </m:r>
                    <m:r>
                      <a:rPr lang="es-MX" sz="1100" b="0" i="1">
                        <a:latin typeface="Cambria Math" panose="02040503050406030204" pitchFamily="18" charset="0"/>
                      </a:rPr>
                      <m:t>𝐸𝑟</m:t>
                    </m:r>
                    <m:r>
                      <a:rPr lang="es-MX" sz="1100" b="0" i="1">
                        <a:latin typeface="Cambria Math" panose="02040503050406030204" pitchFamily="18" charset="0"/>
                      </a:rPr>
                      <m:t> </m:t>
                    </m:r>
                  </m:oMath>
                </m:oMathPara>
              </a14:m>
              <a:endParaRPr lang="es-MX" sz="1100"/>
            </a:p>
          </xdr:txBody>
        </xdr:sp>
      </mc:Choice>
      <mc:Fallback xmlns="">
        <xdr:sp macro="" textlink="">
          <xdr:nvSpPr>
            <xdr:cNvPr id="308" name="CuadroTexto 307">
              <a:extLst>
                <a:ext uri="{FF2B5EF4-FFF2-40B4-BE49-F238E27FC236}">
                  <a16:creationId xmlns:a16="http://schemas.microsoft.com/office/drawing/2014/main" id="{BA5AE55E-53A0-4D4A-8778-FCF563CC73F7}"/>
                </a:ext>
              </a:extLst>
            </xdr:cNvPr>
            <xdr:cNvSpPr txBox="1"/>
          </xdr:nvSpPr>
          <xdr:spPr>
            <a:xfrm>
              <a:off x="7794137" y="119880690"/>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𝐸𝑣 −𝐸𝑟 </a:t>
              </a:r>
              <a:endParaRPr lang="es-MX" sz="1100"/>
            </a:p>
          </xdr:txBody>
        </xdr:sp>
      </mc:Fallback>
    </mc:AlternateContent>
    <xdr:clientData/>
  </xdr:oneCellAnchor>
  <xdr:oneCellAnchor>
    <xdr:from>
      <xdr:col>4</xdr:col>
      <xdr:colOff>119743</xdr:colOff>
      <xdr:row>138</xdr:row>
      <xdr:rowOff>70758</xdr:rowOff>
    </xdr:from>
    <xdr:ext cx="360000" cy="360000"/>
    <xdr:pic>
      <xdr:nvPicPr>
        <xdr:cNvPr id="309" name="Gráfico 308" descr="Hogar">
          <a:extLst>
            <a:ext uri="{FF2B5EF4-FFF2-40B4-BE49-F238E27FC236}">
              <a16:creationId xmlns:a16="http://schemas.microsoft.com/office/drawing/2014/main" id="{F241BA07-4B32-41E0-A82E-18BF4AA7BC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6024" y="1868602"/>
          <a:ext cx="360000" cy="360000"/>
        </a:xfrm>
        <a:prstGeom prst="rect">
          <a:avLst/>
        </a:prstGeom>
      </xdr:spPr>
    </xdr:pic>
    <xdr:clientData/>
  </xdr:oneCellAnchor>
  <xdr:oneCellAnchor>
    <xdr:from>
      <xdr:col>3</xdr:col>
      <xdr:colOff>73330</xdr:colOff>
      <xdr:row>138</xdr:row>
      <xdr:rowOff>67651</xdr:rowOff>
    </xdr:from>
    <xdr:ext cx="358941" cy="367560"/>
    <xdr:pic>
      <xdr:nvPicPr>
        <xdr:cNvPr id="310" name="Gráfico 309" descr="Bombilla fluorescente">
          <a:extLst>
            <a:ext uri="{FF2B5EF4-FFF2-40B4-BE49-F238E27FC236}">
              <a16:creationId xmlns:a16="http://schemas.microsoft.com/office/drawing/2014/main" id="{1719E6E5-0B52-4187-B6AC-6E7079D0CB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1865495"/>
          <a:ext cx="358941" cy="367560"/>
        </a:xfrm>
        <a:prstGeom prst="rect">
          <a:avLst/>
        </a:prstGeom>
      </xdr:spPr>
    </xdr:pic>
    <xdr:clientData/>
  </xdr:oneCellAnchor>
  <xdr:oneCellAnchor>
    <xdr:from>
      <xdr:col>1</xdr:col>
      <xdr:colOff>120153</xdr:colOff>
      <xdr:row>139</xdr:row>
      <xdr:rowOff>92939</xdr:rowOff>
    </xdr:from>
    <xdr:ext cx="2525416" cy="1269136"/>
    <mc:AlternateContent xmlns:mc="http://schemas.openxmlformats.org/markup-compatibility/2006" xmlns:a14="http://schemas.microsoft.com/office/drawing/2010/main">
      <mc:Choice Requires="a14">
        <xdr:sp macro="" textlink="">
          <xdr:nvSpPr>
            <xdr:cNvPr id="311" name="CuadroTexto 310">
              <a:extLst>
                <a:ext uri="{FF2B5EF4-FFF2-40B4-BE49-F238E27FC236}">
                  <a16:creationId xmlns:a16="http://schemas.microsoft.com/office/drawing/2014/main" id="{4413553F-12C4-4A43-A6D8-683F48386284}"/>
                </a:ext>
              </a:extLst>
            </xdr:cNvPr>
            <xdr:cNvSpPr txBox="1"/>
          </xdr:nvSpPr>
          <xdr:spPr>
            <a:xfrm>
              <a:off x="834528" y="117755264"/>
              <a:ext cx="2525416" cy="12691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t>Dato obtenido del ACV de ECOEMBES-UNESCO: </a:t>
              </a:r>
              <a:endParaRPr lang="es-MX" sz="1200" b="0" i="0">
                <a:latin typeface="Cambria Math" panose="02040503050406030204" pitchFamily="18" charset="0"/>
              </a:endParaRPr>
            </a:p>
            <a:p>
              <a14:m>
                <m:oMath xmlns:m="http://schemas.openxmlformats.org/officeDocument/2006/math">
                  <m:r>
                    <m:rPr>
                      <m:sty m:val="p"/>
                    </m:rPr>
                    <a:rPr lang="es-MX" sz="1200" b="0" i="0">
                      <a:latin typeface="Cambria Math" panose="02040503050406030204" pitchFamily="18" charset="0"/>
                    </a:rPr>
                    <m:t>Obtenci</m:t>
                  </m:r>
                  <m:r>
                    <a:rPr lang="es-MX" sz="1200" b="0" i="0">
                      <a:latin typeface="Cambria Math" panose="02040503050406030204" pitchFamily="18" charset="0"/>
                    </a:rPr>
                    <m:t>ó</m:t>
                  </m:r>
                  <m:r>
                    <m:rPr>
                      <m:sty m:val="p"/>
                    </m:rPr>
                    <a:rPr lang="es-MX" sz="1200" b="0" i="0">
                      <a:latin typeface="Cambria Math" panose="02040503050406030204" pitchFamily="18" charset="0"/>
                    </a:rPr>
                    <m:t>n</m:t>
                  </m:r>
                  <m:r>
                    <a:rPr lang="es-MX" sz="1200" b="0" i="0">
                      <a:latin typeface="Cambria Math" panose="02040503050406030204" pitchFamily="18" charset="0"/>
                    </a:rPr>
                    <m:t> </m:t>
                  </m:r>
                  <m:r>
                    <m:rPr>
                      <m:sty m:val="p"/>
                    </m:rPr>
                    <a:rPr lang="es-MX" sz="1200" b="0" i="0">
                      <a:latin typeface="Cambria Math" panose="02040503050406030204" pitchFamily="18" charset="0"/>
                    </a:rPr>
                    <m:t>PEAD</m:t>
                  </m:r>
                  <m:r>
                    <a:rPr lang="es-MX" sz="1200" b="0" i="0">
                      <a:latin typeface="Cambria Math" panose="02040503050406030204" pitchFamily="18" charset="0"/>
                    </a:rPr>
                    <m:t> </m:t>
                  </m:r>
                  <m:r>
                    <m:rPr>
                      <m:sty m:val="p"/>
                    </m:rPr>
                    <a:rPr lang="es-MX" sz="1200" b="0" i="0">
                      <a:latin typeface="Cambria Math" panose="02040503050406030204" pitchFamily="18" charset="0"/>
                    </a:rPr>
                    <m:t>V</m:t>
                  </m:r>
                  <m:r>
                    <a:rPr lang="es-MX" sz="1200" b="0" i="0">
                      <a:latin typeface="Cambria Math" panose="02040503050406030204" pitchFamily="18" charset="0"/>
                    </a:rPr>
                    <m:t> </m:t>
                  </m:r>
                  <m:r>
                    <a:rPr lang="es-MX" sz="1200" b="0" i="1">
                      <a:latin typeface="Cambria Math" panose="02040503050406030204" pitchFamily="18" charset="0"/>
                    </a:rPr>
                    <m:t>69.7</m:t>
                  </m:r>
                  <m:f>
                    <m:fPr>
                      <m:ctrlPr>
                        <a:rPr lang="es-MX" sz="1200" i="1">
                          <a:latin typeface="Cambria Math" panose="02040503050406030204" pitchFamily="18" charset="0"/>
                        </a:rPr>
                      </m:ctrlPr>
                    </m:fPr>
                    <m:num>
                      <m:r>
                        <m:rPr>
                          <m:sty m:val="p"/>
                        </m:rPr>
                        <a:rPr lang="es-MX" sz="1200" b="0" i="0">
                          <a:latin typeface="Cambria Math" panose="02040503050406030204" pitchFamily="18" charset="0"/>
                        </a:rPr>
                        <m:t>MJ</m:t>
                      </m:r>
                    </m:num>
                    <m:den>
                      <m:r>
                        <m:rPr>
                          <m:sty m:val="p"/>
                        </m:rPr>
                        <a:rPr lang="es-MX" sz="1200" b="0" i="0">
                          <a:latin typeface="Cambria Math" panose="02040503050406030204" pitchFamily="18" charset="0"/>
                        </a:rPr>
                        <m:t>kg</m:t>
                      </m:r>
                    </m:den>
                  </m:f>
                </m:oMath>
              </a14:m>
              <a:r>
                <a:rPr lang="es-MX" sz="1200" i="0">
                  <a:latin typeface="+mn-lt"/>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1</m:t>
                  </m:r>
                  <m:r>
                    <a:rPr lang="es-MX" sz="1200" b="0" i="0">
                      <a:solidFill>
                        <a:schemeClr val="tx1"/>
                      </a:solidFill>
                      <a:effectLst/>
                      <a:latin typeface="Cambria Math" panose="02040503050406030204" pitchFamily="18" charset="0"/>
                      <a:ea typeface="+mn-ea"/>
                      <a:cs typeface="+mn-cs"/>
                    </a:rPr>
                    <m:t>9.36</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Obtenci</m:t>
                  </m:r>
                  <m:r>
                    <a:rPr lang="es-MX" sz="1200" b="0" i="0">
                      <a:solidFill>
                        <a:schemeClr val="tx1"/>
                      </a:solidFill>
                      <a:effectLst/>
                      <a:latin typeface="Cambria Math" panose="02040503050406030204" pitchFamily="18" charset="0"/>
                      <a:ea typeface="+mn-ea"/>
                      <a:cs typeface="+mn-cs"/>
                    </a:rPr>
                    <m:t>ó</m:t>
                  </m:r>
                  <m:r>
                    <m:rPr>
                      <m:sty m:val="p"/>
                    </m:rPr>
                    <a:rPr lang="es-MX" sz="1200" b="0" i="0">
                      <a:solidFill>
                        <a:schemeClr val="tx1"/>
                      </a:solidFill>
                      <a:effectLst/>
                      <a:latin typeface="Cambria Math" panose="02040503050406030204" pitchFamily="18" charset="0"/>
                      <a:ea typeface="+mn-ea"/>
                      <a:cs typeface="+mn-cs"/>
                    </a:rPr>
                    <m:t>n</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PEAD</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m:t>
                  </m:r>
                  <m:r>
                    <a:rPr lang="es-MX" sz="1200" b="0" i="0">
                      <a:solidFill>
                        <a:schemeClr val="tx1"/>
                      </a:solidFill>
                      <a:effectLst/>
                      <a:latin typeface="Cambria Math" panose="02040503050406030204" pitchFamily="18" charset="0"/>
                      <a:ea typeface="+mn-ea"/>
                      <a:cs typeface="+mn-cs"/>
                    </a:rPr>
                    <m:t> 6.3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MJ</m:t>
                      </m:r>
                    </m:num>
                    <m:den>
                      <m:r>
                        <m:rPr>
                          <m:sty m:val="p"/>
                        </m:rPr>
                        <a:rPr lang="es-MX" sz="1200" b="0" i="0">
                          <a:solidFill>
                            <a:schemeClr val="tx1"/>
                          </a:solidFill>
                          <a:effectLst/>
                          <a:latin typeface="Cambria Math" panose="02040503050406030204" pitchFamily="18" charset="0"/>
                          <a:ea typeface="+mn-ea"/>
                          <a:cs typeface="+mn-cs"/>
                        </a:rPr>
                        <m:t>kg</m:t>
                      </m:r>
                    </m:den>
                  </m:f>
                </m:oMath>
              </a14:m>
              <a:r>
                <a:rPr lang="es-MX" sz="1200" i="0">
                  <a:solidFill>
                    <a:schemeClr val="tx1"/>
                  </a:solidFill>
                  <a:effectLst/>
                  <a:latin typeface="+mn-lt"/>
                  <a:ea typeface="+mn-ea"/>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1</m:t>
                  </m:r>
                  <m:r>
                    <a:rPr lang="es-MX" sz="1200" b="0" i="0">
                      <a:solidFill>
                        <a:schemeClr val="tx1"/>
                      </a:solidFill>
                      <a:effectLst/>
                      <a:latin typeface="Cambria Math" panose="02040503050406030204" pitchFamily="18" charset="0"/>
                      <a:ea typeface="+mn-ea"/>
                      <a:cs typeface="+mn-cs"/>
                    </a:rPr>
                    <m:t>.</m:t>
                  </m:r>
                  <m:r>
                    <a:rPr lang="es-MX" sz="1200" b="0" i="1">
                      <a:solidFill>
                        <a:schemeClr val="tx1"/>
                      </a:solidFill>
                      <a:effectLst/>
                      <a:latin typeface="Cambria Math" panose="02040503050406030204" pitchFamily="18" charset="0"/>
                      <a:ea typeface="+mn-ea"/>
                      <a:cs typeface="+mn-cs"/>
                    </a:rPr>
                    <m:t>75</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311" name="CuadroTexto 310">
              <a:extLst>
                <a:ext uri="{FF2B5EF4-FFF2-40B4-BE49-F238E27FC236}">
                  <a16:creationId xmlns:a16="http://schemas.microsoft.com/office/drawing/2014/main" id="{4413553F-12C4-4A43-A6D8-683F48386284}"/>
                </a:ext>
              </a:extLst>
            </xdr:cNvPr>
            <xdr:cNvSpPr txBox="1"/>
          </xdr:nvSpPr>
          <xdr:spPr>
            <a:xfrm>
              <a:off x="834528" y="117755264"/>
              <a:ext cx="2525416" cy="12691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t>Dato obtenido del ACV de ECOEMBES-UNESCO: </a:t>
              </a:r>
              <a:endParaRPr lang="es-MX" sz="1200" b="0" i="0">
                <a:latin typeface="Cambria Math" panose="02040503050406030204" pitchFamily="18" charset="0"/>
              </a:endParaRPr>
            </a:p>
            <a:p>
              <a:r>
                <a:rPr lang="es-MX" sz="1200" b="0" i="0">
                  <a:latin typeface="Cambria Math" panose="02040503050406030204" pitchFamily="18" charset="0"/>
                </a:rPr>
                <a:t>Obtención PEAD V 69.7 MJ/kg</a:t>
              </a:r>
              <a:r>
                <a:rPr lang="es-MX" sz="1200" i="0">
                  <a:latin typeface="+mn-lt"/>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1</a:t>
              </a:r>
              <a:r>
                <a:rPr lang="es-MX" sz="1200" b="0" i="0">
                  <a:solidFill>
                    <a:schemeClr val="tx1"/>
                  </a:solidFill>
                  <a:effectLst/>
                  <a:latin typeface="Cambria Math" panose="02040503050406030204" pitchFamily="18" charset="0"/>
                  <a:ea typeface="+mn-ea"/>
                  <a:cs typeface="+mn-cs"/>
                </a:rPr>
                <a:t>9.36 kwh/kg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Obtención PEAD R 6.3  MJ/kg</a:t>
              </a:r>
              <a:r>
                <a:rPr lang="es-MX" sz="1200" i="0">
                  <a:solidFill>
                    <a:schemeClr val="tx1"/>
                  </a:solidFill>
                  <a:effectLst/>
                  <a:latin typeface="+mn-lt"/>
                  <a:ea typeface="+mn-ea"/>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1</a:t>
              </a:r>
              <a:r>
                <a:rPr lang="es-MX" sz="1200" b="0" i="0">
                  <a:solidFill>
                    <a:schemeClr val="tx1"/>
                  </a:solidFill>
                  <a:effectLst/>
                  <a:latin typeface="Cambria Math" panose="02040503050406030204" pitchFamily="18" charset="0"/>
                  <a:ea typeface="+mn-ea"/>
                  <a:cs typeface="+mn-cs"/>
                </a:rPr>
                <a:t>.75 kwh/kg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8</xdr:col>
      <xdr:colOff>300566</xdr:colOff>
      <xdr:row>139</xdr:row>
      <xdr:rowOff>986366</xdr:rowOff>
    </xdr:from>
    <xdr:ext cx="1302216" cy="375680"/>
    <mc:AlternateContent xmlns:mc="http://schemas.openxmlformats.org/markup-compatibility/2006" xmlns:a14="http://schemas.microsoft.com/office/drawing/2010/main">
      <mc:Choice Requires="a14">
        <xdr:sp macro="" textlink="">
          <xdr:nvSpPr>
            <xdr:cNvPr id="312" name="CuadroTexto 311">
              <a:extLst>
                <a:ext uri="{FF2B5EF4-FFF2-40B4-BE49-F238E27FC236}">
                  <a16:creationId xmlns:a16="http://schemas.microsoft.com/office/drawing/2014/main" id="{645DC5F6-E5D7-4B57-8B68-68F5AD65710C}"/>
                </a:ext>
              </a:extLst>
            </xdr:cNvPr>
            <xdr:cNvSpPr txBox="1"/>
          </xdr:nvSpPr>
          <xdr:spPr>
            <a:xfrm>
              <a:off x="7170472" y="3284272"/>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Choice>
      <mc:Fallback xmlns="">
        <xdr:sp macro="" textlink="">
          <xdr:nvSpPr>
            <xdr:cNvPr id="312" name="CuadroTexto 311">
              <a:extLst>
                <a:ext uri="{FF2B5EF4-FFF2-40B4-BE49-F238E27FC236}">
                  <a16:creationId xmlns:a16="http://schemas.microsoft.com/office/drawing/2014/main" id="{645DC5F6-E5D7-4B57-8B68-68F5AD65710C}"/>
                </a:ext>
              </a:extLst>
            </xdr:cNvPr>
            <xdr:cNvSpPr txBox="1"/>
          </xdr:nvSpPr>
          <xdr:spPr>
            <a:xfrm>
              <a:off x="7170472" y="3284272"/>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Fallback>
    </mc:AlternateContent>
    <xdr:clientData/>
  </xdr:oneCellAnchor>
  <xdr:oneCellAnchor>
    <xdr:from>
      <xdr:col>9</xdr:col>
      <xdr:colOff>198968</xdr:colOff>
      <xdr:row>139</xdr:row>
      <xdr:rowOff>415926</xdr:rowOff>
    </xdr:from>
    <xdr:ext cx="2063750" cy="351122"/>
    <mc:AlternateContent xmlns:mc="http://schemas.openxmlformats.org/markup-compatibility/2006" xmlns:a14="http://schemas.microsoft.com/office/drawing/2010/main">
      <mc:Choice Requires="a14">
        <xdr:sp macro="" textlink="">
          <xdr:nvSpPr>
            <xdr:cNvPr id="313" name="CuadroTexto 312">
              <a:extLst>
                <a:ext uri="{FF2B5EF4-FFF2-40B4-BE49-F238E27FC236}">
                  <a16:creationId xmlns:a16="http://schemas.microsoft.com/office/drawing/2014/main" id="{45D7CABA-31D2-42FA-B62B-E3FD33411D98}"/>
                </a:ext>
              </a:extLst>
            </xdr:cNvPr>
            <xdr:cNvSpPr txBox="1"/>
          </xdr:nvSpPr>
          <xdr:spPr>
            <a:xfrm>
              <a:off x="10025593" y="1199546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19.36</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m:t>
                    </m:r>
                    <m:r>
                      <a:rPr lang="es-MX" sz="1100" i="0">
                        <a:solidFill>
                          <a:schemeClr val="tx1"/>
                        </a:solidFill>
                        <a:effectLst/>
                        <a:latin typeface="Cambria Math" panose="02040503050406030204" pitchFamily="18" charset="0"/>
                        <a:ea typeface="+mn-ea"/>
                        <a:cs typeface="+mn-cs"/>
                      </a:rPr>
                      <m:t>1</m:t>
                    </m:r>
                    <m:r>
                      <a:rPr lang="es-MX" sz="1100" b="0" i="0">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75</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313" name="CuadroTexto 312">
              <a:extLst>
                <a:ext uri="{FF2B5EF4-FFF2-40B4-BE49-F238E27FC236}">
                  <a16:creationId xmlns:a16="http://schemas.microsoft.com/office/drawing/2014/main" id="{45D7CABA-31D2-42FA-B62B-E3FD33411D98}"/>
                </a:ext>
              </a:extLst>
            </xdr:cNvPr>
            <xdr:cNvSpPr txBox="1"/>
          </xdr:nvSpPr>
          <xdr:spPr>
            <a:xfrm>
              <a:off x="10025593" y="119954676"/>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19.36</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1</a:t>
              </a:r>
              <a:r>
                <a:rPr lang="es-MX" sz="1100" b="0" i="0">
                  <a:solidFill>
                    <a:schemeClr val="tx1"/>
                  </a:solidFill>
                  <a:effectLst/>
                  <a:latin typeface="Cambria Math" panose="02040503050406030204" pitchFamily="18" charset="0"/>
                  <a:ea typeface="+mn-ea"/>
                  <a:cs typeface="+mn-cs"/>
                </a:rPr>
                <a:t>.75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140759</xdr:colOff>
      <xdr:row>139</xdr:row>
      <xdr:rowOff>130174</xdr:rowOff>
    </xdr:from>
    <xdr:ext cx="1459441" cy="351122"/>
    <mc:AlternateContent xmlns:mc="http://schemas.openxmlformats.org/markup-compatibility/2006" xmlns:a14="http://schemas.microsoft.com/office/drawing/2010/main">
      <mc:Choice Requires="a14">
        <xdr:sp macro="" textlink="">
          <xdr:nvSpPr>
            <xdr:cNvPr id="314" name="CuadroTexto 313">
              <a:extLst>
                <a:ext uri="{FF2B5EF4-FFF2-40B4-BE49-F238E27FC236}">
                  <a16:creationId xmlns:a16="http://schemas.microsoft.com/office/drawing/2014/main" id="{9FF98986-699E-452B-AFA6-FB8CFAD18639}"/>
                </a:ext>
              </a:extLst>
            </xdr:cNvPr>
            <xdr:cNvSpPr txBox="1"/>
          </xdr:nvSpPr>
          <xdr:spPr>
            <a:xfrm>
              <a:off x="10832572" y="2428080"/>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17.611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314" name="CuadroTexto 313">
              <a:extLst>
                <a:ext uri="{FF2B5EF4-FFF2-40B4-BE49-F238E27FC236}">
                  <a16:creationId xmlns:a16="http://schemas.microsoft.com/office/drawing/2014/main" id="{9FF98986-699E-452B-AFA6-FB8CFAD18639}"/>
                </a:ext>
              </a:extLst>
            </xdr:cNvPr>
            <xdr:cNvSpPr txBox="1"/>
          </xdr:nvSpPr>
          <xdr:spPr>
            <a:xfrm>
              <a:off x="10832572" y="2428080"/>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17.611</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209550</xdr:colOff>
      <xdr:row>139</xdr:row>
      <xdr:rowOff>733424</xdr:rowOff>
    </xdr:from>
    <xdr:ext cx="1362075" cy="321435"/>
    <mc:AlternateContent xmlns:mc="http://schemas.openxmlformats.org/markup-compatibility/2006" xmlns:a14="http://schemas.microsoft.com/office/drawing/2010/main">
      <mc:Choice Requires="a14">
        <xdr:sp macro="" textlink="">
          <xdr:nvSpPr>
            <xdr:cNvPr id="316" name="CuadroTexto 315">
              <a:extLst>
                <a:ext uri="{FF2B5EF4-FFF2-40B4-BE49-F238E27FC236}">
                  <a16:creationId xmlns:a16="http://schemas.microsoft.com/office/drawing/2014/main" id="{263C6B81-8B91-487F-9CCD-BB81652AB32F}"/>
                </a:ext>
              </a:extLst>
            </xdr:cNvPr>
            <xdr:cNvSpPr txBox="1"/>
          </xdr:nvSpPr>
          <xdr:spPr>
            <a:xfrm>
              <a:off x="10901363" y="3031330"/>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17</m:t>
                    </m:r>
                    <m:r>
                      <a:rPr lang="es-MX" sz="1100" b="0" i="1">
                        <a:latin typeface="Cambria Math" panose="02040503050406030204" pitchFamily="18" charset="0"/>
                      </a:rPr>
                      <m:t>,611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316" name="CuadroTexto 315">
              <a:extLst>
                <a:ext uri="{FF2B5EF4-FFF2-40B4-BE49-F238E27FC236}">
                  <a16:creationId xmlns:a16="http://schemas.microsoft.com/office/drawing/2014/main" id="{263C6B81-8B91-487F-9CCD-BB81652AB32F}"/>
                </a:ext>
              </a:extLst>
            </xdr:cNvPr>
            <xdr:cNvSpPr txBox="1"/>
          </xdr:nvSpPr>
          <xdr:spPr>
            <a:xfrm>
              <a:off x="10901363" y="3031330"/>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17,611</a:t>
              </a:r>
              <a:r>
                <a:rPr lang="es-MX" sz="1100" b="0" i="0">
                  <a:solidFill>
                    <a:schemeClr val="tx1"/>
                  </a:solidFill>
                  <a:effectLst/>
                  <a:latin typeface="Cambria Math" panose="02040503050406030204" pitchFamily="18" charset="0"/>
                  <a:ea typeface="+mn-ea"/>
                  <a:cs typeface="+mn-cs"/>
                </a:rPr>
                <a:t> kwh/ton </a:t>
              </a:r>
              <a:r>
                <a:rPr lang="es-MX" sz="1100" b="0" i="0">
                  <a:latin typeface="Cambria Math" panose="02040503050406030204" pitchFamily="18" charset="0"/>
                </a:rPr>
                <a:t> </a:t>
              </a:r>
              <a:endParaRPr lang="es-MX" sz="1100"/>
            </a:p>
          </xdr:txBody>
        </xdr:sp>
      </mc:Fallback>
    </mc:AlternateContent>
    <xdr:clientData/>
  </xdr:oneCellAnchor>
  <xdr:oneCellAnchor>
    <xdr:from>
      <xdr:col>6</xdr:col>
      <xdr:colOff>226219</xdr:colOff>
      <xdr:row>138</xdr:row>
      <xdr:rowOff>195263</xdr:rowOff>
    </xdr:from>
    <xdr:ext cx="159543" cy="144653"/>
    <xdr:pic>
      <xdr:nvPicPr>
        <xdr:cNvPr id="317" name="Imagen 316">
          <a:extLst>
            <a:ext uri="{FF2B5EF4-FFF2-40B4-BE49-F238E27FC236}">
              <a16:creationId xmlns:a16="http://schemas.microsoft.com/office/drawing/2014/main" id="{6C4B9AE7-B6D4-462D-8374-D6AE0E643B1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929313" y="1993107"/>
          <a:ext cx="159543" cy="144653"/>
        </a:xfrm>
        <a:prstGeom prst="rect">
          <a:avLst/>
        </a:prstGeom>
      </xdr:spPr>
    </xdr:pic>
    <xdr:clientData/>
  </xdr:oneCellAnchor>
  <xdr:oneCellAnchor>
    <xdr:from>
      <xdr:col>4</xdr:col>
      <xdr:colOff>400050</xdr:colOff>
      <xdr:row>138</xdr:row>
      <xdr:rowOff>77007</xdr:rowOff>
    </xdr:from>
    <xdr:ext cx="202407" cy="204828"/>
    <xdr:pic>
      <xdr:nvPicPr>
        <xdr:cNvPr id="318" name="Gráfico 317" descr="Bombilla fluorescente">
          <a:extLst>
            <a:ext uri="{FF2B5EF4-FFF2-40B4-BE49-F238E27FC236}">
              <a16:creationId xmlns:a16="http://schemas.microsoft.com/office/drawing/2014/main" id="{402E350A-26CE-4635-973C-4C005F102A9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6331" y="1874851"/>
          <a:ext cx="202407" cy="204828"/>
        </a:xfrm>
        <a:prstGeom prst="rect">
          <a:avLst/>
        </a:prstGeom>
      </xdr:spPr>
    </xdr:pic>
    <xdr:clientData/>
  </xdr:oneCellAnchor>
  <xdr:oneCellAnchor>
    <xdr:from>
      <xdr:col>5</xdr:col>
      <xdr:colOff>154782</xdr:colOff>
      <xdr:row>138</xdr:row>
      <xdr:rowOff>107156</xdr:rowOff>
    </xdr:from>
    <xdr:ext cx="284694" cy="284694"/>
    <xdr:pic>
      <xdr:nvPicPr>
        <xdr:cNvPr id="320" name="Imagen 319">
          <a:extLst>
            <a:ext uri="{FF2B5EF4-FFF2-40B4-BE49-F238E27FC236}">
              <a16:creationId xmlns:a16="http://schemas.microsoft.com/office/drawing/2014/main" id="{FA71108C-BCF3-4620-8CE9-9BB27E50F279}"/>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274470" y="1905000"/>
          <a:ext cx="284694" cy="284694"/>
        </a:xfrm>
        <a:prstGeom prst="rect">
          <a:avLst/>
        </a:prstGeom>
      </xdr:spPr>
    </xdr:pic>
    <xdr:clientData/>
  </xdr:oneCellAnchor>
  <xdr:oneCellAnchor>
    <xdr:from>
      <xdr:col>8</xdr:col>
      <xdr:colOff>2390775</xdr:colOff>
      <xdr:row>141</xdr:row>
      <xdr:rowOff>404284</xdr:rowOff>
    </xdr:from>
    <xdr:ext cx="2338918" cy="313612"/>
    <mc:AlternateContent xmlns:mc="http://schemas.openxmlformats.org/markup-compatibility/2006" xmlns:a14="http://schemas.microsoft.com/office/drawing/2010/main">
      <mc:Choice Requires="a14">
        <xdr:sp macro="" textlink="">
          <xdr:nvSpPr>
            <xdr:cNvPr id="322" name="CuadroTexto 321">
              <a:extLst>
                <a:ext uri="{FF2B5EF4-FFF2-40B4-BE49-F238E27FC236}">
                  <a16:creationId xmlns:a16="http://schemas.microsoft.com/office/drawing/2014/main" id="{BE2E9860-E7E8-460D-A1DE-C91390E255FB}"/>
                </a:ext>
              </a:extLst>
            </xdr:cNvPr>
            <xdr:cNvSpPr txBox="1"/>
          </xdr:nvSpPr>
          <xdr:spPr>
            <a:xfrm>
              <a:off x="9788525" y="122991034"/>
              <a:ext cx="2338918"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18.50 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60</m:t>
                        </m:r>
                        <m:r>
                          <a:rPr lang="es-MX" sz="1050" b="0" i="1">
                            <a:latin typeface="Cambria Math" panose="02040503050406030204" pitchFamily="18" charset="0"/>
                          </a:rPr>
                          <m:t>𝑤</m:t>
                        </m:r>
                      </m:den>
                    </m:f>
                  </m:oMath>
                </m:oMathPara>
              </a14:m>
              <a:endParaRPr lang="es-MX" sz="1050"/>
            </a:p>
          </xdr:txBody>
        </xdr:sp>
      </mc:Choice>
      <mc:Fallback xmlns="">
        <xdr:sp macro="" textlink="">
          <xdr:nvSpPr>
            <xdr:cNvPr id="322" name="CuadroTexto 321">
              <a:extLst>
                <a:ext uri="{FF2B5EF4-FFF2-40B4-BE49-F238E27FC236}">
                  <a16:creationId xmlns:a16="http://schemas.microsoft.com/office/drawing/2014/main" id="{BE2E9860-E7E8-460D-A1DE-C91390E255FB}"/>
                </a:ext>
              </a:extLst>
            </xdr:cNvPr>
            <xdr:cNvSpPr txBox="1"/>
          </xdr:nvSpPr>
          <xdr:spPr>
            <a:xfrm>
              <a:off x="9788525" y="122991034"/>
              <a:ext cx="2338918"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NF=((18.50 𝑘𝑤ℎ∗1000))/60𝑤</a:t>
              </a:r>
              <a:endParaRPr lang="es-MX" sz="1050"/>
            </a:p>
          </xdr:txBody>
        </xdr:sp>
      </mc:Fallback>
    </mc:AlternateContent>
    <xdr:clientData/>
  </xdr:oneCellAnchor>
  <xdr:oneCellAnchor>
    <xdr:from>
      <xdr:col>8</xdr:col>
      <xdr:colOff>10583</xdr:colOff>
      <xdr:row>141</xdr:row>
      <xdr:rowOff>338667</xdr:rowOff>
    </xdr:from>
    <xdr:ext cx="1418167" cy="341953"/>
    <mc:AlternateContent xmlns:mc="http://schemas.openxmlformats.org/markup-compatibility/2006" xmlns:a14="http://schemas.microsoft.com/office/drawing/2010/main">
      <mc:Choice Requires="a14">
        <xdr:sp macro="" textlink="">
          <xdr:nvSpPr>
            <xdr:cNvPr id="323" name="CuadroTexto 322">
              <a:extLst>
                <a:ext uri="{FF2B5EF4-FFF2-40B4-BE49-F238E27FC236}">
                  <a16:creationId xmlns:a16="http://schemas.microsoft.com/office/drawing/2014/main" id="{72A13DDB-6C30-4FCC-9A85-66A718B39183}"/>
                </a:ext>
              </a:extLst>
            </xdr:cNvPr>
            <xdr:cNvSpPr txBox="1"/>
          </xdr:nvSpPr>
          <xdr:spPr>
            <a:xfrm>
              <a:off x="6880489" y="4041511"/>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oMath>
                </m:oMathPara>
              </a14:m>
              <a:endParaRPr lang="es-MX" sz="1050"/>
            </a:p>
          </xdr:txBody>
        </xdr:sp>
      </mc:Choice>
      <mc:Fallback xmlns="">
        <xdr:sp macro="" textlink="">
          <xdr:nvSpPr>
            <xdr:cNvPr id="323" name="CuadroTexto 322">
              <a:extLst>
                <a:ext uri="{FF2B5EF4-FFF2-40B4-BE49-F238E27FC236}">
                  <a16:creationId xmlns:a16="http://schemas.microsoft.com/office/drawing/2014/main" id="{72A13DDB-6C30-4FCC-9A85-66A718B39183}"/>
                </a:ext>
              </a:extLst>
            </xdr:cNvPr>
            <xdr:cNvSpPr txBox="1"/>
          </xdr:nvSpPr>
          <xdr:spPr>
            <a:xfrm>
              <a:off x="6880489" y="4041511"/>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NF=((𝑘𝑤ℎ∗1000))/𝑃𝑓</a:t>
              </a:r>
              <a:endParaRPr lang="es-MX" sz="1050"/>
            </a:p>
          </xdr:txBody>
        </xdr:sp>
      </mc:Fallback>
    </mc:AlternateContent>
    <xdr:clientData/>
  </xdr:oneCellAnchor>
  <xdr:oneCellAnchor>
    <xdr:from>
      <xdr:col>10</xdr:col>
      <xdr:colOff>155577</xdr:colOff>
      <xdr:row>141</xdr:row>
      <xdr:rowOff>65880</xdr:rowOff>
    </xdr:from>
    <xdr:ext cx="2057400" cy="1239045"/>
    <mc:AlternateContent xmlns:mc="http://schemas.openxmlformats.org/markup-compatibility/2006" xmlns:a14="http://schemas.microsoft.com/office/drawing/2010/main">
      <mc:Choice Requires="a14">
        <xdr:sp macro="" textlink="">
          <xdr:nvSpPr>
            <xdr:cNvPr id="324" name="CuadroTexto 323">
              <a:extLst>
                <a:ext uri="{FF2B5EF4-FFF2-40B4-BE49-F238E27FC236}">
                  <a16:creationId xmlns:a16="http://schemas.microsoft.com/office/drawing/2014/main" id="{FB91E577-8447-42BD-92D9-A6A1B6E1C94E}"/>
                </a:ext>
              </a:extLst>
            </xdr:cNvPr>
            <xdr:cNvSpPr txBox="1"/>
          </xdr:nvSpPr>
          <xdr:spPr>
            <a:xfrm>
              <a:off x="12509502" y="122224005"/>
              <a:ext cx="2057400" cy="123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𝑁𝐹</m:t>
                    </m:r>
                    <m:r>
                      <a:rPr lang="es-MX" sz="1000" i="1">
                        <a:latin typeface="Cambria Math" panose="02040503050406030204" pitchFamily="18" charset="0"/>
                      </a:rPr>
                      <m:t>=</m:t>
                    </m:r>
                    <m:r>
                      <a:rPr lang="es-MX" sz="1000" b="0" i="0">
                        <a:latin typeface="Cambria Math" panose="02040503050406030204" pitchFamily="18" charset="0"/>
                      </a:rPr>
                      <m:t>30</m:t>
                    </m:r>
                    <m:r>
                      <a:rPr lang="es-MX" sz="1000" b="0" i="1">
                        <a:latin typeface="Cambria Math" panose="02040503050406030204" pitchFamily="18" charset="0"/>
                      </a:rPr>
                      <m:t>8.3</m:t>
                    </m:r>
                    <m:f>
                      <m:fPr>
                        <m:ctrlPr>
                          <a:rPr lang="es-MX" sz="1000" b="0" i="1">
                            <a:latin typeface="Cambria Math" panose="02040503050406030204" pitchFamily="18" charset="0"/>
                          </a:rPr>
                        </m:ctrlPr>
                      </m:fPr>
                      <m:num>
                        <m:r>
                          <a:rPr lang="es-MX" sz="1000" b="0" i="1">
                            <a:latin typeface="Cambria Math" panose="02040503050406030204" pitchFamily="18" charset="0"/>
                          </a:rPr>
                          <m:t>𝑓𝑜𝑐𝑜𝑠</m:t>
                        </m:r>
                      </m:num>
                      <m:den>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𝑑𝑒</m:t>
                        </m:r>
                        <m:r>
                          <a:rPr lang="es-MX" sz="1000" b="0" i="1">
                            <a:latin typeface="Cambria Math" panose="02040503050406030204" pitchFamily="18" charset="0"/>
                          </a:rPr>
                          <m:t> </m:t>
                        </m:r>
                        <m:r>
                          <a:rPr lang="es-MX" sz="1000" b="0" i="1">
                            <a:latin typeface="Cambria Math" panose="02040503050406030204" pitchFamily="18" charset="0"/>
                          </a:rPr>
                          <m:t>𝑃𝐸𝐴𝐷</m:t>
                        </m:r>
                      </m:den>
                    </m:f>
                  </m:oMath>
                </m:oMathPara>
              </a14:m>
              <a:endParaRPr lang="es-MX" sz="1000" b="0"/>
            </a:p>
            <a:p>
              <a:endParaRPr lang="es-MX" sz="1000"/>
            </a:p>
            <a:p>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𝑁𝐹</m:t>
                    </m:r>
                    <m:r>
                      <a:rPr lang="es-MX" sz="100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308,</m:t>
                    </m:r>
                    <m:r>
                      <a:rPr lang="es-MX" sz="1000" b="0" i="1">
                        <a:solidFill>
                          <a:schemeClr val="tx1"/>
                        </a:solidFill>
                        <a:effectLst/>
                        <a:latin typeface="Cambria Math" panose="02040503050406030204" pitchFamily="18" charset="0"/>
                        <a:ea typeface="+mn-ea"/>
                        <a:cs typeface="+mn-cs"/>
                      </a:rPr>
                      <m:t>383</m:t>
                    </m:r>
                    <m:f>
                      <m:fPr>
                        <m:ctrlPr>
                          <a:rPr lang="es-MX" sz="1000" b="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𝑓𝑜𝑐𝑜𝑠</m:t>
                        </m:r>
                      </m:num>
                      <m:den>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𝑑𝑒</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𝑃𝐸𝐴𝐷</m:t>
                        </m:r>
                      </m:den>
                    </m:f>
                  </m:oMath>
                </m:oMathPara>
              </a14:m>
              <a:endParaRPr lang="es-MX" sz="1000">
                <a:effectLst/>
              </a:endParaRPr>
            </a:p>
            <a:p>
              <a:endParaRPr lang="es-MX" sz="1000">
                <a:effectLst/>
              </a:endParaRPr>
            </a:p>
            <a:p>
              <a:r>
                <a:rPr lang="es-MX" sz="1000">
                  <a:effectLst/>
                </a:rPr>
                <a:t>17 botellas - 1 kg</a:t>
              </a:r>
            </a:p>
            <a:p>
              <a:r>
                <a:rPr lang="es-MX" sz="1000">
                  <a:effectLst/>
                </a:rPr>
                <a:t>1 botella - 18</a:t>
              </a:r>
              <a:r>
                <a:rPr lang="es-MX" sz="1000" baseline="0">
                  <a:effectLst/>
                </a:rPr>
                <a:t> focos</a:t>
              </a:r>
              <a:endParaRPr lang="es-MX" sz="1000">
                <a:effectLst/>
              </a:endParaRPr>
            </a:p>
            <a:p>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000"/>
            </a:p>
          </xdr:txBody>
        </xdr:sp>
      </mc:Choice>
      <mc:Fallback xmlns="">
        <xdr:sp macro="" textlink="">
          <xdr:nvSpPr>
            <xdr:cNvPr id="324" name="CuadroTexto 323">
              <a:extLst>
                <a:ext uri="{FF2B5EF4-FFF2-40B4-BE49-F238E27FC236}">
                  <a16:creationId xmlns:a16="http://schemas.microsoft.com/office/drawing/2014/main" id="{FB91E577-8447-42BD-92D9-A6A1B6E1C94E}"/>
                </a:ext>
              </a:extLst>
            </xdr:cNvPr>
            <xdr:cNvSpPr txBox="1"/>
          </xdr:nvSpPr>
          <xdr:spPr>
            <a:xfrm>
              <a:off x="12509502" y="122224005"/>
              <a:ext cx="2057400" cy="123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𝑁𝐹</a:t>
              </a:r>
              <a:r>
                <a:rPr lang="es-MX" sz="1000" i="0">
                  <a:latin typeface="Cambria Math" panose="02040503050406030204" pitchFamily="18" charset="0"/>
                </a:rPr>
                <a:t>=</a:t>
              </a:r>
              <a:r>
                <a:rPr lang="es-MX" sz="1000" b="0" i="0">
                  <a:latin typeface="Cambria Math" panose="02040503050406030204" pitchFamily="18" charset="0"/>
                </a:rPr>
                <a:t>308.3 𝑓𝑜𝑐𝑜𝑠/(1 𝑘𝑔 𝑑𝑒 𝑃𝐸𝐴𝐷)</a:t>
              </a:r>
              <a:endParaRPr lang="es-MX" sz="1000" b="0"/>
            </a:p>
            <a:p>
              <a:endParaRPr lang="es-MX" sz="1000"/>
            </a:p>
            <a:p>
              <a:pPr/>
              <a:r>
                <a:rPr lang="es-MX" sz="1000" b="0" i="0">
                  <a:solidFill>
                    <a:schemeClr val="tx1"/>
                  </a:solidFill>
                  <a:effectLst/>
                  <a:latin typeface="Cambria Math" panose="02040503050406030204" pitchFamily="18" charset="0"/>
                  <a:ea typeface="+mn-ea"/>
                  <a:cs typeface="+mn-cs"/>
                </a:rPr>
                <a:t>𝑁𝐹</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308,383 𝑓𝑜𝑐𝑜𝑠/(1 𝑡𝑜𝑛 𝑑𝑒 𝑃𝐸𝐴𝐷)</a:t>
              </a:r>
              <a:endParaRPr lang="es-MX" sz="1000">
                <a:effectLst/>
              </a:endParaRPr>
            </a:p>
            <a:p>
              <a:pPr/>
              <a:endParaRPr lang="es-MX" sz="1000">
                <a:effectLst/>
              </a:endParaRPr>
            </a:p>
            <a:p>
              <a:pPr/>
              <a:r>
                <a:rPr lang="es-MX" sz="1000">
                  <a:effectLst/>
                </a:rPr>
                <a:t>17 botellas - 1 kg</a:t>
              </a:r>
            </a:p>
            <a:p>
              <a:pPr/>
              <a:r>
                <a:rPr lang="es-MX" sz="1000">
                  <a:effectLst/>
                </a:rPr>
                <a:t>1 botella - 18</a:t>
              </a:r>
              <a:r>
                <a:rPr lang="es-MX" sz="1000" baseline="0">
                  <a:effectLst/>
                </a:rPr>
                <a:t> focos</a:t>
              </a:r>
              <a:endParaRPr lang="es-MX" sz="1000">
                <a:effectLst/>
              </a:endParaRPr>
            </a:p>
            <a:p>
              <a:pPr/>
              <a:r>
                <a:rPr lang="es-MX" sz="1000" b="0" i="0">
                  <a:solidFill>
                    <a:schemeClr val="tx1"/>
                  </a:solidFill>
                  <a:effectLst/>
                  <a:latin typeface="Cambria Math" panose="02040503050406030204" pitchFamily="18" charset="0"/>
                  <a:ea typeface="+mn-ea"/>
                  <a:cs typeface="+mn-cs"/>
                </a:rPr>
                <a:t> </a:t>
              </a:r>
              <a:endParaRPr lang="es-MX" sz="1000">
                <a:effectLst/>
              </a:endParaRPr>
            </a:p>
            <a:p>
              <a:endParaRPr lang="es-MX" sz="1000"/>
            </a:p>
          </xdr:txBody>
        </xdr:sp>
      </mc:Fallback>
    </mc:AlternateContent>
    <xdr:clientData/>
  </xdr:oneCellAnchor>
  <xdr:oneCellAnchor>
    <xdr:from>
      <xdr:col>8</xdr:col>
      <xdr:colOff>143933</xdr:colOff>
      <xdr:row>144</xdr:row>
      <xdr:rowOff>214842</xdr:rowOff>
    </xdr:from>
    <xdr:ext cx="1852084" cy="125227"/>
    <xdr:sp macro="" textlink="">
      <xdr:nvSpPr>
        <xdr:cNvPr id="327" name="CuadroTexto 326">
          <a:extLst>
            <a:ext uri="{FF2B5EF4-FFF2-40B4-BE49-F238E27FC236}">
              <a16:creationId xmlns:a16="http://schemas.microsoft.com/office/drawing/2014/main" id="{28EE9C3D-45A4-457C-AB9C-3692679CF869}"/>
            </a:ext>
          </a:extLst>
        </xdr:cNvPr>
        <xdr:cNvSpPr txBox="1"/>
      </xdr:nvSpPr>
      <xdr:spPr>
        <a:xfrm>
          <a:off x="7013839" y="8132498"/>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370742</xdr:colOff>
      <xdr:row>144</xdr:row>
      <xdr:rowOff>1009977</xdr:rowOff>
    </xdr:from>
    <xdr:ext cx="1835883" cy="500906"/>
    <mc:AlternateContent xmlns:mc="http://schemas.openxmlformats.org/markup-compatibility/2006" xmlns:a14="http://schemas.microsoft.com/office/drawing/2010/main">
      <mc:Choice Requires="a14">
        <xdr:sp macro="" textlink="">
          <xdr:nvSpPr>
            <xdr:cNvPr id="328" name="CuadroTexto 327">
              <a:extLst>
                <a:ext uri="{FF2B5EF4-FFF2-40B4-BE49-F238E27FC236}">
                  <a16:creationId xmlns:a16="http://schemas.microsoft.com/office/drawing/2014/main" id="{CB85C11B-E194-448D-9DB7-5765CB8BEC3F}"/>
                </a:ext>
              </a:extLst>
            </xdr:cNvPr>
            <xdr:cNvSpPr txBox="1"/>
          </xdr:nvSpPr>
          <xdr:spPr>
            <a:xfrm>
              <a:off x="7768492" y="128660852"/>
              <a:ext cx="1835883" cy="500906"/>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endParaRPr lang="es-MX" sz="800" b="0"/>
            </a:p>
            <a:p>
              <a:r>
                <a:rPr lang="es-MX" sz="800" b="0"/>
                <a:t>Fc representa</a:t>
              </a:r>
              <a:r>
                <a:rPr lang="es-MX" sz="800" b="0" baseline="0"/>
                <a:t> promedio de focos en casa</a:t>
              </a:r>
            </a:p>
            <a:p>
              <a:r>
                <a:rPr lang="es-MX" sz="800" b="0" baseline="0"/>
                <a:t>tf  representa </a:t>
              </a:r>
              <a:r>
                <a:rPr lang="es-MX" sz="800" b="0" baseline="0">
                  <a:solidFill>
                    <a:schemeClr val="tx1"/>
                  </a:solidFill>
                  <a:effectLst/>
                  <a:latin typeface="+mn-lt"/>
                  <a:ea typeface="+mn-ea"/>
                  <a:cs typeface="+mn-cs"/>
                </a:rPr>
                <a:t>tiempo de uso de focos/día</a:t>
              </a:r>
              <a:endParaRPr lang="es-MX" sz="800" b="0"/>
            </a:p>
          </xdr:txBody>
        </xdr:sp>
      </mc:Choice>
      <mc:Fallback xmlns="">
        <xdr:sp macro="" textlink="">
          <xdr:nvSpPr>
            <xdr:cNvPr id="328" name="CuadroTexto 327">
              <a:extLst>
                <a:ext uri="{FF2B5EF4-FFF2-40B4-BE49-F238E27FC236}">
                  <a16:creationId xmlns:a16="http://schemas.microsoft.com/office/drawing/2014/main" id="{CB85C11B-E194-448D-9DB7-5765CB8BEC3F}"/>
                </a:ext>
              </a:extLst>
            </xdr:cNvPr>
            <xdr:cNvSpPr txBox="1"/>
          </xdr:nvSpPr>
          <xdr:spPr>
            <a:xfrm>
              <a:off x="7768492" y="128660852"/>
              <a:ext cx="1835883" cy="500906"/>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endParaRPr lang="es-MX" sz="800" b="0"/>
            </a:p>
            <a:p>
              <a:r>
                <a:rPr lang="es-MX" sz="800" b="0"/>
                <a:t>Fc representa</a:t>
              </a:r>
              <a:r>
                <a:rPr lang="es-MX" sz="800" b="0" baseline="0"/>
                <a:t> promedio de focos en casa</a:t>
              </a:r>
            </a:p>
            <a:p>
              <a:r>
                <a:rPr lang="es-MX" sz="800" b="0" baseline="0"/>
                <a:t>tf  representa </a:t>
              </a:r>
              <a:r>
                <a:rPr lang="es-MX" sz="800" b="0" baseline="0">
                  <a:solidFill>
                    <a:schemeClr val="tx1"/>
                  </a:solidFill>
                  <a:effectLst/>
                  <a:latin typeface="+mn-lt"/>
                  <a:ea typeface="+mn-ea"/>
                  <a:cs typeface="+mn-cs"/>
                </a:rPr>
                <a:t>tiempo de uso de focos/día</a:t>
              </a:r>
              <a:endParaRPr lang="es-MX" sz="800" b="0"/>
            </a:p>
          </xdr:txBody>
        </xdr:sp>
      </mc:Fallback>
    </mc:AlternateContent>
    <xdr:clientData/>
  </xdr:oneCellAnchor>
  <xdr:oneCellAnchor>
    <xdr:from>
      <xdr:col>8</xdr:col>
      <xdr:colOff>511420</xdr:colOff>
      <xdr:row>145</xdr:row>
      <xdr:rowOff>1131766</xdr:rowOff>
    </xdr:from>
    <xdr:ext cx="1479306" cy="375680"/>
    <mc:AlternateContent xmlns:mc="http://schemas.openxmlformats.org/markup-compatibility/2006" xmlns:a14="http://schemas.microsoft.com/office/drawing/2010/main">
      <mc:Choice Requires="a14">
        <xdr:sp macro="" textlink="">
          <xdr:nvSpPr>
            <xdr:cNvPr id="332" name="CuadroTexto 331">
              <a:extLst>
                <a:ext uri="{FF2B5EF4-FFF2-40B4-BE49-F238E27FC236}">
                  <a16:creationId xmlns:a16="http://schemas.microsoft.com/office/drawing/2014/main" id="{90270373-DDD3-4D7D-8440-6403CACED563}"/>
                </a:ext>
              </a:extLst>
            </xdr:cNvPr>
            <xdr:cNvSpPr txBox="1"/>
          </xdr:nvSpPr>
          <xdr:spPr>
            <a:xfrm>
              <a:off x="7909170" y="13062414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Pr representa el</a:t>
              </a:r>
              <a:r>
                <a:rPr lang="es-MX" sz="800" b="0" baseline="0"/>
                <a:t> consumo de energía del refrigerador en un día</a:t>
              </a:r>
              <a:endParaRPr lang="es-MX" sz="800" b="0"/>
            </a:p>
          </xdr:txBody>
        </xdr:sp>
      </mc:Choice>
      <mc:Fallback xmlns="">
        <xdr:sp macro="" textlink="">
          <xdr:nvSpPr>
            <xdr:cNvPr id="332" name="CuadroTexto 331">
              <a:extLst>
                <a:ext uri="{FF2B5EF4-FFF2-40B4-BE49-F238E27FC236}">
                  <a16:creationId xmlns:a16="http://schemas.microsoft.com/office/drawing/2014/main" id="{90270373-DDD3-4D7D-8440-6403CACED563}"/>
                </a:ext>
              </a:extLst>
            </xdr:cNvPr>
            <xdr:cNvSpPr txBox="1"/>
          </xdr:nvSpPr>
          <xdr:spPr>
            <a:xfrm>
              <a:off x="7909170" y="13062414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Pr representa el</a:t>
              </a:r>
              <a:r>
                <a:rPr lang="es-MX" sz="800" b="0" baseline="0"/>
                <a:t> consumo de energía del refrigerador en un día</a:t>
              </a:r>
              <a:endParaRPr lang="es-MX" sz="800" b="0"/>
            </a:p>
          </xdr:txBody>
        </xdr:sp>
      </mc:Fallback>
    </mc:AlternateContent>
    <xdr:clientData/>
  </xdr:oneCellAnchor>
  <xdr:oneCellAnchor>
    <xdr:from>
      <xdr:col>8</xdr:col>
      <xdr:colOff>173527</xdr:colOff>
      <xdr:row>145</xdr:row>
      <xdr:rowOff>728662</xdr:rowOff>
    </xdr:from>
    <xdr:ext cx="1852084" cy="300210"/>
    <mc:AlternateContent xmlns:mc="http://schemas.openxmlformats.org/markup-compatibility/2006" xmlns:a14="http://schemas.microsoft.com/office/drawing/2010/main">
      <mc:Choice Requires="a14">
        <xdr:sp macro="" textlink="">
          <xdr:nvSpPr>
            <xdr:cNvPr id="333" name="CuadroTexto 332">
              <a:extLst>
                <a:ext uri="{FF2B5EF4-FFF2-40B4-BE49-F238E27FC236}">
                  <a16:creationId xmlns:a16="http://schemas.microsoft.com/office/drawing/2014/main" id="{230B061F-71F3-438E-99CD-2D49E297B5A1}"/>
                </a:ext>
              </a:extLst>
            </xdr:cNvPr>
            <xdr:cNvSpPr txBox="1"/>
          </xdr:nvSpPr>
          <xdr:spPr>
            <a:xfrm>
              <a:off x="7571277" y="130221037"/>
              <a:ext cx="1852084" cy="300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𝑅𝑒</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m:oMathPara>
              </a14:m>
              <a:endParaRPr lang="es-MX" sz="1000" b="0"/>
            </a:p>
          </xdr:txBody>
        </xdr:sp>
      </mc:Choice>
      <mc:Fallback xmlns="">
        <xdr:sp macro="" textlink="">
          <xdr:nvSpPr>
            <xdr:cNvPr id="333" name="CuadroTexto 332">
              <a:extLst>
                <a:ext uri="{FF2B5EF4-FFF2-40B4-BE49-F238E27FC236}">
                  <a16:creationId xmlns:a16="http://schemas.microsoft.com/office/drawing/2014/main" id="{230B061F-71F3-438E-99CD-2D49E297B5A1}"/>
                </a:ext>
              </a:extLst>
            </xdr:cNvPr>
            <xdr:cNvSpPr txBox="1"/>
          </xdr:nvSpPr>
          <xdr:spPr>
            <a:xfrm>
              <a:off x="7571277" y="130221037"/>
              <a:ext cx="1852084" cy="300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𝑅𝑒=</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9</xdr:col>
      <xdr:colOff>114788</xdr:colOff>
      <xdr:row>145</xdr:row>
      <xdr:rowOff>626452</xdr:rowOff>
    </xdr:from>
    <xdr:ext cx="1852084" cy="564173"/>
    <mc:AlternateContent xmlns:mc="http://schemas.openxmlformats.org/markup-compatibility/2006" xmlns:a14="http://schemas.microsoft.com/office/drawing/2010/main">
      <mc:Choice Requires="a14">
        <xdr:sp macro="" textlink="">
          <xdr:nvSpPr>
            <xdr:cNvPr id="334" name="CuadroTexto 333">
              <a:extLst>
                <a:ext uri="{FF2B5EF4-FFF2-40B4-BE49-F238E27FC236}">
                  <a16:creationId xmlns:a16="http://schemas.microsoft.com/office/drawing/2014/main" id="{5B751A85-AD1C-4C2A-BC6E-2E9B07DC69ED}"/>
                </a:ext>
              </a:extLst>
            </xdr:cNvPr>
            <xdr:cNvSpPr txBox="1"/>
          </xdr:nvSpPr>
          <xdr:spPr>
            <a:xfrm>
              <a:off x="9941413" y="130118827"/>
              <a:ext cx="1852084" cy="564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𝑅𝑒</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0">
                            <a:solidFill>
                              <a:schemeClr val="tx1"/>
                            </a:solidFill>
                            <a:effectLst/>
                            <a:latin typeface="Cambria Math" panose="02040503050406030204" pitchFamily="18" charset="0"/>
                            <a:ea typeface="+mn-ea"/>
                            <a:cs typeface="+mn-cs"/>
                          </a:rPr>
                          <m:t>18.50 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.964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𝑑𝑖𝑎</m:t>
                        </m:r>
                      </m:den>
                    </m:f>
                  </m:oMath>
                </m:oMathPara>
              </a14:m>
              <a:endParaRPr lang="es-MX" sz="1000" b="0"/>
            </a:p>
          </xdr:txBody>
        </xdr:sp>
      </mc:Choice>
      <mc:Fallback xmlns="">
        <xdr:sp macro="" textlink="">
          <xdr:nvSpPr>
            <xdr:cNvPr id="334" name="CuadroTexto 333">
              <a:extLst>
                <a:ext uri="{FF2B5EF4-FFF2-40B4-BE49-F238E27FC236}">
                  <a16:creationId xmlns:a16="http://schemas.microsoft.com/office/drawing/2014/main" id="{5B751A85-AD1C-4C2A-BC6E-2E9B07DC69ED}"/>
                </a:ext>
              </a:extLst>
            </xdr:cNvPr>
            <xdr:cNvSpPr txBox="1"/>
          </xdr:nvSpPr>
          <xdr:spPr>
            <a:xfrm>
              <a:off x="9941413" y="130118827"/>
              <a:ext cx="1852084" cy="564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𝑅𝑒=</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18.50 kwh)/(.964 kwℎ/𝑑𝑖𝑎)</a:t>
              </a:r>
              <a:endParaRPr lang="es-MX" sz="1000" b="0"/>
            </a:p>
          </xdr:txBody>
        </xdr:sp>
      </mc:Fallback>
    </mc:AlternateContent>
    <xdr:clientData/>
  </xdr:oneCellAnchor>
  <xdr:oneCellAnchor>
    <xdr:from>
      <xdr:col>10</xdr:col>
      <xdr:colOff>313226</xdr:colOff>
      <xdr:row>145</xdr:row>
      <xdr:rowOff>326048</xdr:rowOff>
    </xdr:from>
    <xdr:ext cx="1852084" cy="1159852"/>
    <mc:AlternateContent xmlns:mc="http://schemas.openxmlformats.org/markup-compatibility/2006" xmlns:a14="http://schemas.microsoft.com/office/drawing/2010/main">
      <mc:Choice Requires="a14">
        <xdr:sp macro="" textlink="">
          <xdr:nvSpPr>
            <xdr:cNvPr id="335" name="CuadroTexto 334">
              <a:extLst>
                <a:ext uri="{FF2B5EF4-FFF2-40B4-BE49-F238E27FC236}">
                  <a16:creationId xmlns:a16="http://schemas.microsoft.com/office/drawing/2014/main" id="{BFF6411E-A2A0-4629-ADAA-6C4307599E10}"/>
                </a:ext>
              </a:extLst>
            </xdr:cNvPr>
            <xdr:cNvSpPr txBox="1"/>
          </xdr:nvSpPr>
          <xdr:spPr>
            <a:xfrm>
              <a:off x="12667151" y="129380273"/>
              <a:ext cx="1852084" cy="1159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R</m:t>
                    </m:r>
                    <m:r>
                      <a:rPr lang="es-MX" sz="1000" b="0" i="1">
                        <a:latin typeface="Cambria Math" panose="02040503050406030204" pitchFamily="18" charset="0"/>
                      </a:rPr>
                      <m:t>𝑒</m:t>
                    </m:r>
                    <m:r>
                      <a:rPr lang="es-MX" sz="1000" b="0" i="1">
                        <a:latin typeface="Cambria Math" panose="02040503050406030204" pitchFamily="18" charset="0"/>
                      </a:rPr>
                      <m:t>=19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𝑑</m:t>
                        </m:r>
                        <m:r>
                          <a:rPr lang="es-MX" sz="1100" b="0" i="1">
                            <a:solidFill>
                              <a:schemeClr val="tx1"/>
                            </a:solidFill>
                            <a:effectLst/>
                            <a:latin typeface="Cambria Math" panose="02040503050406030204" pitchFamily="18" charset="0"/>
                            <a:ea typeface="+mn-ea"/>
                            <a:cs typeface="+mn-cs"/>
                          </a:rPr>
                          <m:t>í</m:t>
                        </m:r>
                        <m:r>
                          <a:rPr lang="es-MX" sz="1100" b="0" i="1">
                            <a:solidFill>
                              <a:schemeClr val="tx1"/>
                            </a:solidFill>
                            <a:effectLst/>
                            <a:latin typeface="Cambria Math" panose="02040503050406030204" pitchFamily="18" charset="0"/>
                            <a:ea typeface="+mn-ea"/>
                            <a:cs typeface="+mn-cs"/>
                          </a:rPr>
                          <m:t>𝑎𝑠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100" b="0">
                <a:solidFill>
                  <a:schemeClr val="tx1"/>
                </a:solidFill>
                <a:effectLst/>
                <a:ea typeface="+mn-ea"/>
                <a:cs typeface="+mn-cs"/>
              </a:endParaRP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100" b="0" i="0">
                        <a:solidFill>
                          <a:schemeClr val="tx1"/>
                        </a:solidFill>
                        <a:effectLst/>
                        <a:latin typeface="Cambria Math" panose="02040503050406030204" pitchFamily="18" charset="0"/>
                        <a:ea typeface="+mn-ea"/>
                        <a:cs typeface="+mn-cs"/>
                      </a:rPr>
                      <m:t>R</m:t>
                    </m:r>
                    <m:r>
                      <a:rPr lang="es-MX" sz="1100" b="0" i="1">
                        <a:solidFill>
                          <a:schemeClr val="tx1"/>
                        </a:solidFill>
                        <a:effectLst/>
                        <a:latin typeface="Cambria Math" panose="02040503050406030204" pitchFamily="18" charset="0"/>
                        <a:ea typeface="+mn-ea"/>
                        <a:cs typeface="+mn-cs"/>
                      </a:rPr>
                      <m:t>𝑒</m:t>
                    </m:r>
                    <m:r>
                      <a:rPr lang="es-MX" sz="1100" b="0" i="1">
                        <a:solidFill>
                          <a:schemeClr val="tx1"/>
                        </a:solidFill>
                        <a:effectLst/>
                        <a:latin typeface="Cambria Math" panose="02040503050406030204" pitchFamily="18" charset="0"/>
                        <a:ea typeface="+mn-ea"/>
                        <a:cs typeface="+mn-cs"/>
                      </a:rPr>
                      <m:t>=19,190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𝑑</m:t>
                        </m:r>
                        <m:r>
                          <a:rPr lang="es-MX" sz="1100" b="0" i="1">
                            <a:solidFill>
                              <a:schemeClr val="tx1"/>
                            </a:solidFill>
                            <a:effectLst/>
                            <a:latin typeface="Cambria Math" panose="02040503050406030204" pitchFamily="18" charset="0"/>
                            <a:ea typeface="+mn-ea"/>
                            <a:cs typeface="+mn-cs"/>
                          </a:rPr>
                          <m:t>í</m:t>
                        </m:r>
                        <m:r>
                          <a:rPr lang="es-MX" sz="1100" b="0" i="1">
                            <a:solidFill>
                              <a:schemeClr val="tx1"/>
                            </a:solidFill>
                            <a:effectLst/>
                            <a:latin typeface="Cambria Math" panose="02040503050406030204" pitchFamily="18" charset="0"/>
                            <a:ea typeface="+mn-ea"/>
                            <a:cs typeface="+mn-cs"/>
                          </a:rPr>
                          <m:t>𝑎𝑠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a:effectLst/>
                </a:rPr>
                <a:t>17 botellas</a:t>
              </a:r>
              <a:r>
                <a:rPr lang="es-MX" sz="1000" baseline="0">
                  <a:effectLst/>
                </a:rPr>
                <a:t> - 19 dias de refri</a:t>
              </a:r>
            </a:p>
            <a:p>
              <a:pPr marL="0" marR="0" lvl="0" indent="0" defTabSz="914400" eaLnBrk="1" fontAlgn="auto" latinLnBrk="0" hangingPunct="1">
                <a:lnSpc>
                  <a:spcPct val="100000"/>
                </a:lnSpc>
                <a:spcBef>
                  <a:spcPts val="0"/>
                </a:spcBef>
                <a:spcAft>
                  <a:spcPts val="0"/>
                </a:spcAft>
                <a:buClrTx/>
                <a:buSzTx/>
                <a:buFontTx/>
                <a:buNone/>
                <a:tabLst/>
                <a:defRPr/>
              </a:pPr>
              <a:r>
                <a:rPr lang="es-MX" sz="1000" baseline="0">
                  <a:effectLst/>
                </a:rPr>
                <a:t>1 botella-  1.12 días</a:t>
              </a: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335" name="CuadroTexto 334">
              <a:extLst>
                <a:ext uri="{FF2B5EF4-FFF2-40B4-BE49-F238E27FC236}">
                  <a16:creationId xmlns:a16="http://schemas.microsoft.com/office/drawing/2014/main" id="{BFF6411E-A2A0-4629-ADAA-6C4307599E10}"/>
                </a:ext>
              </a:extLst>
            </xdr:cNvPr>
            <xdr:cNvSpPr txBox="1"/>
          </xdr:nvSpPr>
          <xdr:spPr>
            <a:xfrm>
              <a:off x="12667151" y="129380273"/>
              <a:ext cx="1852084" cy="1159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R𝑒=19 </a:t>
              </a:r>
              <a:r>
                <a:rPr lang="es-MX" sz="1100" b="0" i="0">
                  <a:solidFill>
                    <a:schemeClr val="tx1"/>
                  </a:solidFill>
                  <a:effectLst/>
                  <a:latin typeface="Cambria Math" panose="02040503050406030204" pitchFamily="18" charset="0"/>
                  <a:ea typeface="+mn-ea"/>
                  <a:cs typeface="+mn-cs"/>
                </a:rPr>
                <a:t> (𝑑í𝑎𝑠 )/(1 𝑘𝑔 𝑑𝑒 𝑃𝐸𝐴𝐷)</a:t>
              </a:r>
              <a:endParaRPr lang="es-MX" sz="1100" b="0">
                <a:solidFill>
                  <a:schemeClr val="tx1"/>
                </a:solidFill>
                <a:effectLst/>
                <a:ea typeface="+mn-ea"/>
                <a:cs typeface="+mn-cs"/>
              </a:endParaRP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R𝑒=19,190  (𝑑í𝑎𝑠 )/(1 𝑡𝑜𝑛 𝑑𝑒 𝑃𝐸𝐴𝐷)</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a:effectLst/>
                </a:rPr>
                <a:t>17 botellas</a:t>
              </a:r>
              <a:r>
                <a:rPr lang="es-MX" sz="1000" baseline="0">
                  <a:effectLst/>
                </a:rPr>
                <a:t> - 19 dias de refri</a:t>
              </a:r>
            </a:p>
            <a:p>
              <a:pPr marL="0" marR="0" lvl="0" indent="0" defTabSz="914400" eaLnBrk="1" fontAlgn="auto" latinLnBrk="0" hangingPunct="1">
                <a:lnSpc>
                  <a:spcPct val="100000"/>
                </a:lnSpc>
                <a:spcBef>
                  <a:spcPts val="0"/>
                </a:spcBef>
                <a:spcAft>
                  <a:spcPts val="0"/>
                </a:spcAft>
                <a:buClrTx/>
                <a:buSzTx/>
                <a:buFontTx/>
                <a:buNone/>
                <a:tabLst/>
                <a:defRPr/>
              </a:pPr>
              <a:r>
                <a:rPr lang="es-MX" sz="1000" baseline="0">
                  <a:effectLst/>
                </a:rPr>
                <a:t>1 botella-  1.12 días</a:t>
              </a: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8</xdr:col>
      <xdr:colOff>256761</xdr:colOff>
      <xdr:row>141</xdr:row>
      <xdr:rowOff>977348</xdr:rowOff>
    </xdr:from>
    <xdr:ext cx="1404744" cy="250453"/>
    <mc:AlternateContent xmlns:mc="http://schemas.openxmlformats.org/markup-compatibility/2006" xmlns:a14="http://schemas.microsoft.com/office/drawing/2010/main">
      <mc:Choice Requires="a14">
        <xdr:sp macro="" textlink="">
          <xdr:nvSpPr>
            <xdr:cNvPr id="345" name="CuadroTexto 344">
              <a:extLst>
                <a:ext uri="{FF2B5EF4-FFF2-40B4-BE49-F238E27FC236}">
                  <a16:creationId xmlns:a16="http://schemas.microsoft.com/office/drawing/2014/main" id="{633E18BE-F357-45A0-832E-782785137376}"/>
                </a:ext>
              </a:extLst>
            </xdr:cNvPr>
            <xdr:cNvSpPr txBox="1"/>
          </xdr:nvSpPr>
          <xdr:spPr>
            <a:xfrm>
              <a:off x="7126667" y="4680192"/>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endParaRPr lang="es-MX" sz="800" b="0"/>
            </a:p>
          </xdr:txBody>
        </xdr:sp>
      </mc:Choice>
      <mc:Fallback xmlns="">
        <xdr:sp macro="" textlink="">
          <xdr:nvSpPr>
            <xdr:cNvPr id="345" name="CuadroTexto 344">
              <a:extLst>
                <a:ext uri="{FF2B5EF4-FFF2-40B4-BE49-F238E27FC236}">
                  <a16:creationId xmlns:a16="http://schemas.microsoft.com/office/drawing/2014/main" id="{633E18BE-F357-45A0-832E-782785137376}"/>
                </a:ext>
              </a:extLst>
            </xdr:cNvPr>
            <xdr:cNvSpPr txBox="1"/>
          </xdr:nvSpPr>
          <xdr:spPr>
            <a:xfrm>
              <a:off x="7126667" y="4680192"/>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endParaRPr lang="es-MX" sz="800" b="0"/>
            </a:p>
          </xdr:txBody>
        </xdr:sp>
      </mc:Fallback>
    </mc:AlternateContent>
    <xdr:clientData/>
  </xdr:oneCellAnchor>
  <xdr:oneCellAnchor>
    <xdr:from>
      <xdr:col>8</xdr:col>
      <xdr:colOff>368545</xdr:colOff>
      <xdr:row>146</xdr:row>
      <xdr:rowOff>941266</xdr:rowOff>
    </xdr:from>
    <xdr:ext cx="1479306" cy="375680"/>
    <mc:AlternateContent xmlns:mc="http://schemas.openxmlformats.org/markup-compatibility/2006" xmlns:a14="http://schemas.microsoft.com/office/drawing/2010/main">
      <mc:Choice Requires="a14">
        <xdr:sp macro="" textlink="">
          <xdr:nvSpPr>
            <xdr:cNvPr id="348" name="CuadroTexto 347">
              <a:extLst>
                <a:ext uri="{FF2B5EF4-FFF2-40B4-BE49-F238E27FC236}">
                  <a16:creationId xmlns:a16="http://schemas.microsoft.com/office/drawing/2014/main" id="{6DCDF594-8579-4806-A49A-BD2DEB3C56ED}"/>
                </a:ext>
              </a:extLst>
            </xdr:cNvPr>
            <xdr:cNvSpPr txBox="1"/>
          </xdr:nvSpPr>
          <xdr:spPr>
            <a:xfrm>
              <a:off x="7766295" y="13214814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Pr representa el</a:t>
              </a:r>
              <a:r>
                <a:rPr lang="es-MX" sz="800" b="0" baseline="0"/>
                <a:t> consumo de energía del celular en un año</a:t>
              </a:r>
            </a:p>
          </xdr:txBody>
        </xdr:sp>
      </mc:Choice>
      <mc:Fallback xmlns="">
        <xdr:sp macro="" textlink="">
          <xdr:nvSpPr>
            <xdr:cNvPr id="348" name="CuadroTexto 347">
              <a:extLst>
                <a:ext uri="{FF2B5EF4-FFF2-40B4-BE49-F238E27FC236}">
                  <a16:creationId xmlns:a16="http://schemas.microsoft.com/office/drawing/2014/main" id="{6DCDF594-8579-4806-A49A-BD2DEB3C56ED}"/>
                </a:ext>
              </a:extLst>
            </xdr:cNvPr>
            <xdr:cNvSpPr txBox="1"/>
          </xdr:nvSpPr>
          <xdr:spPr>
            <a:xfrm>
              <a:off x="7766295" y="132148141"/>
              <a:ext cx="147930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Pr representa el</a:t>
              </a:r>
              <a:r>
                <a:rPr lang="es-MX" sz="800" b="0" baseline="0"/>
                <a:t> consumo de energía del celular en un año</a:t>
              </a:r>
            </a:p>
          </xdr:txBody>
        </xdr:sp>
      </mc:Fallback>
    </mc:AlternateContent>
    <xdr:clientData/>
  </xdr:oneCellAnchor>
  <xdr:oneCellAnchor>
    <xdr:from>
      <xdr:col>8</xdr:col>
      <xdr:colOff>586277</xdr:colOff>
      <xdr:row>146</xdr:row>
      <xdr:rowOff>481011</xdr:rowOff>
    </xdr:from>
    <xdr:ext cx="575773" cy="231602"/>
    <mc:AlternateContent xmlns:mc="http://schemas.openxmlformats.org/markup-compatibility/2006" xmlns:a14="http://schemas.microsoft.com/office/drawing/2010/main">
      <mc:Choice Requires="a14">
        <xdr:sp macro="" textlink="">
          <xdr:nvSpPr>
            <xdr:cNvPr id="349" name="CuadroTexto 348">
              <a:extLst>
                <a:ext uri="{FF2B5EF4-FFF2-40B4-BE49-F238E27FC236}">
                  <a16:creationId xmlns:a16="http://schemas.microsoft.com/office/drawing/2014/main" id="{1F2DB8D3-382D-473A-970A-77315E781478}"/>
                </a:ext>
              </a:extLst>
            </xdr:cNvPr>
            <xdr:cNvSpPr txBox="1"/>
          </xdr:nvSpPr>
          <xdr:spPr>
            <a:xfrm>
              <a:off x="7456183" y="11208542"/>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14:m>
                <m:oMath xmlns:m="http://schemas.openxmlformats.org/officeDocument/2006/math">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a14:m>
              <a:endParaRPr lang="es-MX" sz="1000" b="0"/>
            </a:p>
          </xdr:txBody>
        </xdr:sp>
      </mc:Choice>
      <mc:Fallback xmlns="">
        <xdr:sp macro="" textlink="">
          <xdr:nvSpPr>
            <xdr:cNvPr id="349" name="CuadroTexto 348">
              <a:extLst>
                <a:ext uri="{FF2B5EF4-FFF2-40B4-BE49-F238E27FC236}">
                  <a16:creationId xmlns:a16="http://schemas.microsoft.com/office/drawing/2014/main" id="{1F2DB8D3-382D-473A-970A-77315E781478}"/>
                </a:ext>
              </a:extLst>
            </xdr:cNvPr>
            <xdr:cNvSpPr txBox="1"/>
          </xdr:nvSpPr>
          <xdr:spPr>
            <a:xfrm>
              <a:off x="7456183" y="11208542"/>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r>
                <a:rPr lang="es-MX" sz="10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9</xdr:col>
      <xdr:colOff>487849</xdr:colOff>
      <xdr:row>146</xdr:row>
      <xdr:rowOff>451827</xdr:rowOff>
    </xdr:from>
    <xdr:ext cx="1306025" cy="301365"/>
    <mc:AlternateContent xmlns:mc="http://schemas.openxmlformats.org/markup-compatibility/2006" xmlns:a14="http://schemas.microsoft.com/office/drawing/2010/main">
      <mc:Choice Requires="a14">
        <xdr:sp macro="" textlink="">
          <xdr:nvSpPr>
            <xdr:cNvPr id="350" name="CuadroTexto 349">
              <a:extLst>
                <a:ext uri="{FF2B5EF4-FFF2-40B4-BE49-F238E27FC236}">
                  <a16:creationId xmlns:a16="http://schemas.microsoft.com/office/drawing/2014/main" id="{75500C79-AB89-4678-BA98-4A5C1E29B56F}"/>
                </a:ext>
              </a:extLst>
            </xdr:cNvPr>
            <xdr:cNvSpPr txBox="1"/>
          </xdr:nvSpPr>
          <xdr:spPr>
            <a:xfrm>
              <a:off x="10314474" y="131658702"/>
              <a:ext cx="1306025" cy="301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0">
                            <a:solidFill>
                              <a:schemeClr val="tx1"/>
                            </a:solidFill>
                            <a:effectLst/>
                            <a:latin typeface="Cambria Math" panose="02040503050406030204" pitchFamily="18" charset="0"/>
                            <a:ea typeface="+mn-ea"/>
                            <a:cs typeface="+mn-cs"/>
                          </a:rPr>
                          <m:t>18.50 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3.46 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den>
                    </m:f>
                  </m:oMath>
                </m:oMathPara>
              </a14:m>
              <a:endParaRPr lang="es-MX" sz="1000" b="0"/>
            </a:p>
          </xdr:txBody>
        </xdr:sp>
      </mc:Choice>
      <mc:Fallback xmlns="">
        <xdr:sp macro="" textlink="">
          <xdr:nvSpPr>
            <xdr:cNvPr id="350" name="CuadroTexto 349">
              <a:extLst>
                <a:ext uri="{FF2B5EF4-FFF2-40B4-BE49-F238E27FC236}">
                  <a16:creationId xmlns:a16="http://schemas.microsoft.com/office/drawing/2014/main" id="{75500C79-AB89-4678-BA98-4A5C1E29B56F}"/>
                </a:ext>
              </a:extLst>
            </xdr:cNvPr>
            <xdr:cNvSpPr txBox="1"/>
          </xdr:nvSpPr>
          <xdr:spPr>
            <a:xfrm>
              <a:off x="10314474" y="131658702"/>
              <a:ext cx="1306025" cy="301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18.50 kwh)/(3.46 kwℎ)</a:t>
              </a:r>
              <a:endParaRPr lang="es-MX" sz="1000" b="0"/>
            </a:p>
          </xdr:txBody>
        </xdr:sp>
      </mc:Fallback>
    </mc:AlternateContent>
    <xdr:clientData/>
  </xdr:oneCellAnchor>
  <xdr:oneCellAnchor>
    <xdr:from>
      <xdr:col>10</xdr:col>
      <xdr:colOff>92869</xdr:colOff>
      <xdr:row>146</xdr:row>
      <xdr:rowOff>235744</xdr:rowOff>
    </xdr:from>
    <xdr:ext cx="1852084" cy="965392"/>
    <mc:AlternateContent xmlns:mc="http://schemas.openxmlformats.org/markup-compatibility/2006" xmlns:a14="http://schemas.microsoft.com/office/drawing/2010/main">
      <mc:Choice Requires="a14">
        <xdr:sp macro="" textlink="">
          <xdr:nvSpPr>
            <xdr:cNvPr id="355" name="CuadroTexto 354">
              <a:extLst>
                <a:ext uri="{FF2B5EF4-FFF2-40B4-BE49-F238E27FC236}">
                  <a16:creationId xmlns:a16="http://schemas.microsoft.com/office/drawing/2014/main" id="{B75B75A5-914A-4D66-843B-AA4D048D8A0C}"/>
                </a:ext>
              </a:extLst>
            </xdr:cNvPr>
            <xdr:cNvSpPr txBox="1"/>
          </xdr:nvSpPr>
          <xdr:spPr>
            <a:xfrm>
              <a:off x="10784682" y="120941307"/>
              <a:ext cx="1852084" cy="965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𝑃𝑐</m:t>
                    </m:r>
                    <m:r>
                      <a:rPr lang="es-MX" sz="1000" b="0" i="1">
                        <a:latin typeface="Cambria Math" panose="02040503050406030204" pitchFamily="18" charset="0"/>
                      </a:rPr>
                      <m:t>=5.346</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𝑃𝑐</m:t>
                    </m:r>
                    <m:r>
                      <a:rPr lang="es-MX" sz="1100" b="0" i="1">
                        <a:solidFill>
                          <a:schemeClr val="tx1"/>
                        </a:solidFill>
                        <a:effectLst/>
                        <a:latin typeface="Cambria Math" panose="02040503050406030204" pitchFamily="18" charset="0"/>
                        <a:ea typeface="+mn-ea"/>
                        <a:cs typeface="+mn-cs"/>
                      </a:rPr>
                      <m:t>=5, 346</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00">
                <a:effectLst/>
              </a:endParaRPr>
            </a:p>
            <a:p>
              <a:endParaRPr lang="es-MX" sz="1000" b="0"/>
            </a:p>
          </xdr:txBody>
        </xdr:sp>
      </mc:Choice>
      <mc:Fallback xmlns="">
        <xdr:sp macro="" textlink="">
          <xdr:nvSpPr>
            <xdr:cNvPr id="355" name="CuadroTexto 354">
              <a:extLst>
                <a:ext uri="{FF2B5EF4-FFF2-40B4-BE49-F238E27FC236}">
                  <a16:creationId xmlns:a16="http://schemas.microsoft.com/office/drawing/2014/main" id="{B75B75A5-914A-4D66-843B-AA4D048D8A0C}"/>
                </a:ext>
              </a:extLst>
            </xdr:cNvPr>
            <xdr:cNvSpPr txBox="1"/>
          </xdr:nvSpPr>
          <xdr:spPr>
            <a:xfrm>
              <a:off x="10784682" y="120941307"/>
              <a:ext cx="1852084" cy="965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𝑃𝑐=5.346</a:t>
              </a:r>
              <a:r>
                <a:rPr lang="es-MX" sz="1100" b="0" i="0">
                  <a:solidFill>
                    <a:schemeClr val="tx1"/>
                  </a:solidFill>
                  <a:effectLst/>
                  <a:latin typeface="Cambria Math" panose="02040503050406030204" pitchFamily="18" charset="0"/>
                  <a:ea typeface="+mn-ea"/>
                  <a:cs typeface="+mn-cs"/>
                </a:rPr>
                <a:t> (𝑐𝑒𝑙𝑢𝑙𝑎𝑟𝑒𝑠 )/(1 𝑘𝑔 𝑑𝑒 𝑃𝐸𝐴𝐷)</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𝑃𝑐=5, 346 (𝑐𝑒𝑙𝑢𝑙𝑎𝑟𝑒𝑠 )/(1 𝑇𝑜𝑛 𝑑𝑒 𝑃𝐸𝐴𝐷)</a:t>
              </a:r>
              <a:endParaRPr lang="es-MX" sz="1000">
                <a:effectLst/>
              </a:endParaRPr>
            </a:p>
            <a:p>
              <a:endParaRPr lang="es-MX" sz="1000" b="0"/>
            </a:p>
          </xdr:txBody>
        </xdr:sp>
      </mc:Fallback>
    </mc:AlternateContent>
    <xdr:clientData/>
  </xdr:oneCellAnchor>
  <xdr:oneCellAnchor>
    <xdr:from>
      <xdr:col>8</xdr:col>
      <xdr:colOff>288925</xdr:colOff>
      <xdr:row>147</xdr:row>
      <xdr:rowOff>365125</xdr:rowOff>
    </xdr:from>
    <xdr:ext cx="1123950" cy="228076"/>
    <mc:AlternateContent xmlns:mc="http://schemas.openxmlformats.org/markup-compatibility/2006" xmlns:a14="http://schemas.microsoft.com/office/drawing/2010/main">
      <mc:Choice Requires="a14">
        <xdr:sp macro="" textlink="">
          <xdr:nvSpPr>
            <xdr:cNvPr id="362" name="CuadroTexto 361">
              <a:extLst>
                <a:ext uri="{FF2B5EF4-FFF2-40B4-BE49-F238E27FC236}">
                  <a16:creationId xmlns:a16="http://schemas.microsoft.com/office/drawing/2014/main" id="{F8ADC2DF-96C0-45C8-BFCE-D5A5921506B7}"/>
                </a:ext>
              </a:extLst>
            </xdr:cNvPr>
            <xdr:cNvSpPr txBox="1"/>
          </xdr:nvSpPr>
          <xdr:spPr>
            <a:xfrm>
              <a:off x="7686675" y="132984875"/>
              <a:ext cx="1123950" cy="228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Wh</a:t>
              </a:r>
              <a14:m>
                <m:oMath xmlns:m="http://schemas.openxmlformats.org/officeDocument/2006/math">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𝑚𝐴h</m:t>
                      </m:r>
                    </m:e>
                  </m:d>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V</m:t>
                      </m:r>
                    </m:num>
                    <m:den>
                      <m:r>
                        <a:rPr lang="es-MX" sz="1100" b="0" i="1">
                          <a:solidFill>
                            <a:schemeClr val="tx1"/>
                          </a:solidFill>
                          <a:effectLst/>
                          <a:latin typeface="Cambria Math" panose="02040503050406030204" pitchFamily="18" charset="0"/>
                          <a:ea typeface="+mn-ea"/>
                          <a:cs typeface="+mn-cs"/>
                        </a:rPr>
                        <m:t>1000</m:t>
                      </m:r>
                    </m:den>
                  </m:f>
                </m:oMath>
              </a14:m>
              <a:endParaRPr lang="es-MX" sz="1000" b="0"/>
            </a:p>
          </xdr:txBody>
        </xdr:sp>
      </mc:Choice>
      <mc:Fallback xmlns="">
        <xdr:sp macro="" textlink="">
          <xdr:nvSpPr>
            <xdr:cNvPr id="362" name="CuadroTexto 361">
              <a:extLst>
                <a:ext uri="{FF2B5EF4-FFF2-40B4-BE49-F238E27FC236}">
                  <a16:creationId xmlns:a16="http://schemas.microsoft.com/office/drawing/2014/main" id="{F8ADC2DF-96C0-45C8-BFCE-D5A5921506B7}"/>
                </a:ext>
              </a:extLst>
            </xdr:cNvPr>
            <xdr:cNvSpPr txBox="1"/>
          </xdr:nvSpPr>
          <xdr:spPr>
            <a:xfrm>
              <a:off x="7686675" y="132984875"/>
              <a:ext cx="1123950" cy="228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Wh</a:t>
              </a:r>
              <a:r>
                <a:rPr lang="es-MX" sz="1000" b="0" i="0">
                  <a:latin typeface="Cambria Math" panose="02040503050406030204" pitchFamily="18" charset="0"/>
                </a:rPr>
                <a:t>=(𝑚𝐴ℎ)∗</a:t>
              </a:r>
              <a:r>
                <a:rPr lang="es-MX" sz="1100" b="0" i="0">
                  <a:solidFill>
                    <a:schemeClr val="tx1"/>
                  </a:solidFill>
                  <a:effectLst/>
                  <a:latin typeface="Cambria Math" panose="02040503050406030204" pitchFamily="18" charset="0"/>
                  <a:ea typeface="+mn-ea"/>
                  <a:cs typeface="+mn-cs"/>
                </a:rPr>
                <a:t>V/1000</a:t>
              </a:r>
              <a:endParaRPr lang="es-MX" sz="1000" b="0"/>
            </a:p>
          </xdr:txBody>
        </xdr:sp>
      </mc:Fallback>
    </mc:AlternateContent>
    <xdr:clientData/>
  </xdr:oneCellAnchor>
  <xdr:oneCellAnchor>
    <xdr:from>
      <xdr:col>8</xdr:col>
      <xdr:colOff>301625</xdr:colOff>
      <xdr:row>147</xdr:row>
      <xdr:rowOff>657225</xdr:rowOff>
    </xdr:from>
    <xdr:ext cx="1571626" cy="156518"/>
    <mc:AlternateContent xmlns:mc="http://schemas.openxmlformats.org/markup-compatibility/2006" xmlns:a14="http://schemas.microsoft.com/office/drawing/2010/main">
      <mc:Choice Requires="a14">
        <xdr:sp macro="" textlink="">
          <xdr:nvSpPr>
            <xdr:cNvPr id="363" name="CuadroTexto 362">
              <a:extLst>
                <a:ext uri="{FF2B5EF4-FFF2-40B4-BE49-F238E27FC236}">
                  <a16:creationId xmlns:a16="http://schemas.microsoft.com/office/drawing/2014/main" id="{1A93094B-6D44-4F5D-9D5F-58847136478B}"/>
                </a:ext>
              </a:extLst>
            </xdr:cNvPr>
            <xdr:cNvSpPr txBox="1"/>
          </xdr:nvSpPr>
          <xdr:spPr>
            <a:xfrm>
              <a:off x="7699375" y="133276975"/>
              <a:ext cx="1571626"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mn-lt"/>
                </a:rPr>
                <a:t>CC</a:t>
              </a:r>
              <a14:m>
                <m:oMath xmlns:m="http://schemas.openxmlformats.org/officeDocument/2006/math">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𝑊h</m:t>
                      </m:r>
                    </m:e>
                  </m:d>
                  <m:r>
                    <a:rPr lang="es-MX" sz="1000" b="0" i="1">
                      <a:latin typeface="Cambria Math" panose="02040503050406030204" pitchFamily="18" charset="0"/>
                    </a:rPr>
                    <m:t>∗</m:t>
                  </m:r>
                  <m:d>
                    <m:dPr>
                      <m:ctrlPr>
                        <a:rPr lang="es-MX" sz="1000" b="0" i="1">
                          <a:latin typeface="Cambria Math" panose="02040503050406030204" pitchFamily="18" charset="0"/>
                        </a:rPr>
                      </m:ctrlPr>
                    </m:dPr>
                    <m:e>
                      <m:r>
                        <a:rPr lang="es-MX" sz="1000" b="0" i="1">
                          <a:latin typeface="Cambria Math" panose="02040503050406030204" pitchFamily="18" charset="0"/>
                        </a:rPr>
                        <m:t>𝑡𝑐</m:t>
                      </m:r>
                    </m:e>
                  </m:d>
                  <m:r>
                    <a:rPr lang="es-MX" sz="1000" b="0" i="1">
                      <a:latin typeface="Cambria Math" panose="02040503050406030204" pitchFamily="18" charset="0"/>
                    </a:rPr>
                    <m:t>∗365 </m:t>
                  </m:r>
                  <m:r>
                    <a:rPr lang="es-MX" sz="1000" b="0" i="1">
                      <a:latin typeface="Cambria Math" panose="02040503050406030204" pitchFamily="18" charset="0"/>
                    </a:rPr>
                    <m:t>𝑑</m:t>
                  </m:r>
                  <m:r>
                    <a:rPr lang="es-MX" sz="1000" b="0" i="1">
                      <a:latin typeface="Cambria Math" panose="02040503050406030204" pitchFamily="18" charset="0"/>
                    </a:rPr>
                    <m:t>í</m:t>
                  </m:r>
                  <m:r>
                    <a:rPr lang="es-MX" sz="1000" b="0" i="1">
                      <a:latin typeface="Cambria Math" panose="02040503050406030204" pitchFamily="18" charset="0"/>
                    </a:rPr>
                    <m:t>𝑎𝑠</m:t>
                  </m:r>
                </m:oMath>
              </a14:m>
              <a:endParaRPr lang="es-MX" sz="1000" b="0"/>
            </a:p>
          </xdr:txBody>
        </xdr:sp>
      </mc:Choice>
      <mc:Fallback xmlns="">
        <xdr:sp macro="" textlink="">
          <xdr:nvSpPr>
            <xdr:cNvPr id="363" name="CuadroTexto 362">
              <a:extLst>
                <a:ext uri="{FF2B5EF4-FFF2-40B4-BE49-F238E27FC236}">
                  <a16:creationId xmlns:a16="http://schemas.microsoft.com/office/drawing/2014/main" id="{1A93094B-6D44-4F5D-9D5F-58847136478B}"/>
                </a:ext>
              </a:extLst>
            </xdr:cNvPr>
            <xdr:cNvSpPr txBox="1"/>
          </xdr:nvSpPr>
          <xdr:spPr>
            <a:xfrm>
              <a:off x="7699375" y="133276975"/>
              <a:ext cx="1571626"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mn-lt"/>
                </a:rPr>
                <a:t>CC</a:t>
              </a:r>
              <a:r>
                <a:rPr lang="es-MX" sz="1000" b="0" i="0">
                  <a:latin typeface="Cambria Math" panose="02040503050406030204" pitchFamily="18" charset="0"/>
                </a:rPr>
                <a:t>=(𝑊ℎ)∗(𝑡𝑐)∗365 𝑑í𝑎𝑠</a:t>
              </a:r>
              <a:endParaRPr lang="es-MX" sz="1000" b="0"/>
            </a:p>
          </xdr:txBody>
        </xdr:sp>
      </mc:Fallback>
    </mc:AlternateContent>
    <xdr:clientData/>
  </xdr:oneCellAnchor>
  <xdr:oneCellAnchor>
    <xdr:from>
      <xdr:col>9</xdr:col>
      <xdr:colOff>369359</xdr:colOff>
      <xdr:row>147</xdr:row>
      <xdr:rowOff>223043</xdr:rowOff>
    </xdr:from>
    <xdr:ext cx="2091265" cy="1648080"/>
    <mc:AlternateContent xmlns:mc="http://schemas.openxmlformats.org/markup-compatibility/2006" xmlns:a14="http://schemas.microsoft.com/office/drawing/2010/main">
      <mc:Choice Requires="a14">
        <xdr:sp macro="" textlink="">
          <xdr:nvSpPr>
            <xdr:cNvPr id="364" name="CuadroTexto 363">
              <a:extLst>
                <a:ext uri="{FF2B5EF4-FFF2-40B4-BE49-F238E27FC236}">
                  <a16:creationId xmlns:a16="http://schemas.microsoft.com/office/drawing/2014/main" id="{AA2548A6-9716-4C4F-A31F-F153E5164D35}"/>
                </a:ext>
              </a:extLst>
            </xdr:cNvPr>
            <xdr:cNvSpPr txBox="1"/>
          </xdr:nvSpPr>
          <xdr:spPr>
            <a:xfrm>
              <a:off x="10195984" y="132842793"/>
              <a:ext cx="2091265" cy="1648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900" b="0">
                  <a:solidFill>
                    <a:schemeClr val="tx1"/>
                  </a:solidFill>
                  <a:effectLst/>
                  <a:latin typeface="+mn-lt"/>
                  <a:ea typeface="+mn-ea"/>
                  <a:cs typeface="+mn-cs"/>
                </a:rPr>
                <a:t>Wh</a:t>
              </a:r>
              <a14:m>
                <m:oMath xmlns:m="http://schemas.openxmlformats.org/officeDocument/2006/math">
                  <m:r>
                    <a:rPr lang="es-MX" sz="900" b="0" i="1">
                      <a:solidFill>
                        <a:schemeClr val="tx1"/>
                      </a:solidFill>
                      <a:effectLst/>
                      <a:latin typeface="Cambria Math" panose="02040503050406030204" pitchFamily="18" charset="0"/>
                      <a:ea typeface="+mn-ea"/>
                      <a:cs typeface="+mn-cs"/>
                    </a:rPr>
                    <m:t>=</m:t>
                  </m:r>
                  <m:d>
                    <m:dPr>
                      <m:ctrlPr>
                        <a:rPr lang="es-MX" sz="900" b="0" i="1">
                          <a:solidFill>
                            <a:schemeClr val="tx1"/>
                          </a:solidFill>
                          <a:effectLst/>
                          <a:latin typeface="Cambria Math" panose="02040503050406030204" pitchFamily="18" charset="0"/>
                          <a:ea typeface="+mn-ea"/>
                          <a:cs typeface="+mn-cs"/>
                        </a:rPr>
                      </m:ctrlPr>
                    </m:dPr>
                    <m:e>
                      <m:r>
                        <a:rPr lang="es-MX" sz="900" b="0" i="1">
                          <a:solidFill>
                            <a:schemeClr val="tx1"/>
                          </a:solidFill>
                          <a:effectLst/>
                          <a:latin typeface="Cambria Math" panose="02040503050406030204" pitchFamily="18" charset="0"/>
                          <a:ea typeface="+mn-ea"/>
                          <a:cs typeface="+mn-cs"/>
                        </a:rPr>
                        <m:t>3400</m:t>
                      </m:r>
                    </m:e>
                  </m:d>
                  <m:r>
                    <a:rPr lang="es-MX" sz="900" b="0" i="1">
                      <a:solidFill>
                        <a:schemeClr val="tx1"/>
                      </a:solidFill>
                      <a:effectLst/>
                      <a:latin typeface="Cambria Math" panose="02040503050406030204" pitchFamily="18" charset="0"/>
                      <a:ea typeface="+mn-ea"/>
                      <a:cs typeface="+mn-cs"/>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5</m:t>
                      </m:r>
                      <m:r>
                        <m:rPr>
                          <m:sty m:val="p"/>
                        </m:rPr>
                        <a:rPr lang="es-MX" sz="900" b="0" i="0">
                          <a:solidFill>
                            <a:schemeClr val="tx1"/>
                          </a:solidFill>
                          <a:effectLst/>
                          <a:latin typeface="Cambria Math" panose="02040503050406030204" pitchFamily="18" charset="0"/>
                          <a:ea typeface="+mn-ea"/>
                          <a:cs typeface="+mn-cs"/>
                        </a:rPr>
                        <m:t>V</m:t>
                      </m:r>
                    </m:num>
                    <m:den>
                      <m:r>
                        <a:rPr lang="es-MX" sz="900" b="0" i="1">
                          <a:solidFill>
                            <a:schemeClr val="tx1"/>
                          </a:solidFill>
                          <a:effectLst/>
                          <a:latin typeface="Cambria Math" panose="02040503050406030204" pitchFamily="18" charset="0"/>
                          <a:ea typeface="+mn-ea"/>
                          <a:cs typeface="+mn-cs"/>
                        </a:rPr>
                        <m:t>1000</m:t>
                      </m:r>
                    </m:den>
                  </m:f>
                </m:oMath>
              </a14:m>
              <a:r>
                <a:rPr lang="es-MX" sz="900" b="0">
                  <a:solidFill>
                    <a:schemeClr val="tx1"/>
                  </a:solidFill>
                  <a:effectLst/>
                  <a:latin typeface="+mn-lt"/>
                  <a:ea typeface="+mn-ea"/>
                  <a:cs typeface="+mn-cs"/>
                </a:rPr>
                <a:t> = 17 Wh</a:t>
              </a:r>
              <a:endParaRPr lang="es-MX" sz="900">
                <a:effectLst/>
              </a:endParaRPr>
            </a:p>
            <a:p>
              <a:endParaRPr lang="es-MX" sz="900" b="0" i="0">
                <a:latin typeface="+mn-lt"/>
              </a:endParaRPr>
            </a:p>
            <a:p>
              <a:endParaRPr lang="es-MX" sz="900" b="0" i="0">
                <a:latin typeface="+mn-lt"/>
              </a:endParaRPr>
            </a:p>
            <a:p>
              <a:r>
                <a:rPr lang="es-MX" sz="900" b="0" i="0">
                  <a:latin typeface="+mn-lt"/>
                </a:rPr>
                <a:t>CC</a:t>
              </a:r>
              <a14:m>
                <m:oMath xmlns:m="http://schemas.openxmlformats.org/officeDocument/2006/math">
                  <m:r>
                    <a:rPr lang="es-MX" sz="900" b="0" i="1">
                      <a:latin typeface="Cambria Math" panose="02040503050406030204" pitchFamily="18" charset="0"/>
                    </a:rPr>
                    <m:t>=</m:t>
                  </m:r>
                  <m:d>
                    <m:dPr>
                      <m:ctrlPr>
                        <a:rPr lang="es-MX" sz="900" b="0" i="1">
                          <a:latin typeface="Cambria Math" panose="02040503050406030204" pitchFamily="18" charset="0"/>
                        </a:rPr>
                      </m:ctrlPr>
                    </m:dPr>
                    <m:e>
                      <m:r>
                        <a:rPr lang="es-MX" sz="900" b="0" i="1">
                          <a:latin typeface="Cambria Math" panose="02040503050406030204" pitchFamily="18" charset="0"/>
                        </a:rPr>
                        <m:t>17</m:t>
                      </m:r>
                      <m:r>
                        <a:rPr lang="es-MX" sz="900" b="0" i="1">
                          <a:latin typeface="Cambria Math" panose="02040503050406030204" pitchFamily="18" charset="0"/>
                        </a:rPr>
                        <m:t>𝑊h</m:t>
                      </m:r>
                      <m:r>
                        <a:rPr lang="es-MX" sz="900" b="0" i="1">
                          <a:latin typeface="Cambria Math" panose="02040503050406030204" pitchFamily="18" charset="0"/>
                        </a:rPr>
                        <m:t>/1000</m:t>
                      </m:r>
                    </m:e>
                  </m:d>
                  <m:r>
                    <a:rPr lang="es-MX" sz="900" b="0" i="1">
                      <a:latin typeface="Cambria Math" panose="02040503050406030204" pitchFamily="18" charset="0"/>
                    </a:rPr>
                    <m:t>∗</m:t>
                  </m:r>
                  <m:d>
                    <m:dPr>
                      <m:ctrlPr>
                        <a:rPr lang="es-MX" sz="900" b="0" i="1">
                          <a:latin typeface="Cambria Math" panose="02040503050406030204" pitchFamily="18" charset="0"/>
                        </a:rPr>
                      </m:ctrlPr>
                    </m:dPr>
                    <m:e>
                      <m:r>
                        <a:rPr lang="es-MX" sz="900" b="0" i="1">
                          <a:latin typeface="Cambria Math" panose="02040503050406030204" pitchFamily="18" charset="0"/>
                        </a:rPr>
                        <m:t>3</m:t>
                      </m:r>
                      <m:r>
                        <a:rPr lang="es-MX" sz="900" b="0" i="1">
                          <a:latin typeface="Cambria Math" panose="02040503050406030204" pitchFamily="18" charset="0"/>
                        </a:rPr>
                        <m:t>h</m:t>
                      </m:r>
                    </m:e>
                  </m:d>
                  <m:r>
                    <a:rPr lang="es-MX" sz="900" b="0" i="1">
                      <a:latin typeface="Cambria Math" panose="02040503050406030204" pitchFamily="18" charset="0"/>
                    </a:rPr>
                    <m:t>∗365 </m:t>
                  </m:r>
                  <m:r>
                    <a:rPr lang="es-MX" sz="900" b="0" i="1">
                      <a:latin typeface="Cambria Math" panose="02040503050406030204" pitchFamily="18" charset="0"/>
                    </a:rPr>
                    <m:t>𝑑</m:t>
                  </m:r>
                  <m:r>
                    <a:rPr lang="es-MX" sz="900" b="0" i="1">
                      <a:latin typeface="Cambria Math" panose="02040503050406030204" pitchFamily="18" charset="0"/>
                    </a:rPr>
                    <m:t>í</m:t>
                  </m:r>
                  <m:r>
                    <a:rPr lang="es-MX" sz="900" b="0" i="1">
                      <a:latin typeface="Cambria Math" panose="02040503050406030204" pitchFamily="18" charset="0"/>
                    </a:rPr>
                    <m:t>𝑎𝑠</m:t>
                  </m:r>
                </m:oMath>
              </a14:m>
              <a:endParaRPr lang="es-MX" sz="900" b="0"/>
            </a:p>
            <a:p>
              <a:endParaRPr lang="es-MX" sz="900" b="0"/>
            </a:p>
            <a:p>
              <a:pPr marL="0" marR="0" lvl="0" indent="0" defTabSz="914400" eaLnBrk="1" fontAlgn="auto" latinLnBrk="0" hangingPunct="1">
                <a:lnSpc>
                  <a:spcPct val="100000"/>
                </a:lnSpc>
                <a:spcBef>
                  <a:spcPts val="0"/>
                </a:spcBef>
                <a:spcAft>
                  <a:spcPts val="0"/>
                </a:spcAft>
                <a:buClrTx/>
                <a:buSzTx/>
                <a:buFontTx/>
                <a:buNone/>
                <a:tabLst/>
                <a:defRPr/>
              </a:pPr>
              <a:r>
                <a:rPr lang="es-MX" sz="900" b="0" i="0">
                  <a:solidFill>
                    <a:schemeClr val="tx1"/>
                  </a:solidFill>
                  <a:effectLst/>
                  <a:latin typeface="+mn-lt"/>
                  <a:ea typeface="+mn-ea"/>
                  <a:cs typeface="+mn-cs"/>
                </a:rPr>
                <a:t>CC</a:t>
              </a:r>
              <a14:m>
                <m:oMath xmlns:m="http://schemas.openxmlformats.org/officeDocument/2006/math">
                  <m:r>
                    <a:rPr lang="es-MX" sz="900" b="0" i="1">
                      <a:solidFill>
                        <a:schemeClr val="tx1"/>
                      </a:solidFill>
                      <a:effectLst/>
                      <a:latin typeface="Cambria Math" panose="02040503050406030204" pitchFamily="18" charset="0"/>
                      <a:ea typeface="+mn-ea"/>
                      <a:cs typeface="+mn-cs"/>
                    </a:rPr>
                    <m:t>=18.615</m:t>
                  </m:r>
                </m:oMath>
              </a14:m>
              <a:r>
                <a:rPr lang="es-MX" sz="900" b="0">
                  <a:solidFill>
                    <a:schemeClr val="tx1"/>
                  </a:solidFill>
                  <a:effectLst/>
                  <a:latin typeface="+mn-lt"/>
                  <a:ea typeface="+mn-ea"/>
                  <a:cs typeface="+mn-cs"/>
                </a:rPr>
                <a:t> kwh/año</a:t>
              </a:r>
            </a:p>
            <a:p>
              <a:pPr marL="0" marR="0" lvl="0" indent="0" defTabSz="914400" eaLnBrk="1" fontAlgn="auto" latinLnBrk="0" hangingPunct="1">
                <a:lnSpc>
                  <a:spcPct val="100000"/>
                </a:lnSpc>
                <a:spcBef>
                  <a:spcPts val="0"/>
                </a:spcBef>
                <a:spcAft>
                  <a:spcPts val="0"/>
                </a:spcAft>
                <a:buClrTx/>
                <a:buSzTx/>
                <a:buFontTx/>
                <a:buNone/>
                <a:tabLst/>
                <a:defRPr/>
              </a:pPr>
              <a:endParaRPr lang="es-MX" sz="900" b="0"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𝑃𝑐</m:t>
                    </m:r>
                    <m:r>
                      <a:rPr lang="es-MX" sz="1100" b="0" i="1">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0">
                            <a:solidFill>
                              <a:schemeClr val="tx1"/>
                            </a:solidFill>
                            <a:effectLst/>
                            <a:latin typeface="Cambria Math" panose="02040503050406030204" pitchFamily="18" charset="0"/>
                            <a:ea typeface="+mn-ea"/>
                            <a:cs typeface="+mn-cs"/>
                          </a:rPr>
                          <m:t>18.50 </m:t>
                        </m:r>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18.615 </m:t>
                        </m:r>
                        <m:r>
                          <m:rPr>
                            <m:sty m:val="p"/>
                          </m:rPr>
                          <a:rPr lang="es-MX" sz="1100" b="0" i="0">
                            <a:solidFill>
                              <a:schemeClr val="tx1"/>
                            </a:solidFill>
                            <a:effectLst/>
                            <a:latin typeface="Cambria Math" panose="02040503050406030204" pitchFamily="18" charset="0"/>
                            <a:ea typeface="+mn-ea"/>
                            <a:cs typeface="+mn-cs"/>
                          </a:rPr>
                          <m:t>kw</m:t>
                        </m:r>
                        <m:r>
                          <a:rPr lang="es-MX" sz="1100" b="0" i="1">
                            <a:solidFill>
                              <a:schemeClr val="tx1"/>
                            </a:solidFill>
                            <a:effectLst/>
                            <a:latin typeface="Cambria Math" panose="02040503050406030204" pitchFamily="18" charset="0"/>
                            <a:ea typeface="+mn-ea"/>
                            <a:cs typeface="+mn-cs"/>
                          </a:rPr>
                          <m:t>h</m:t>
                        </m:r>
                      </m:den>
                    </m:f>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Choice>
      <mc:Fallback xmlns="">
        <xdr:sp macro="" textlink="">
          <xdr:nvSpPr>
            <xdr:cNvPr id="364" name="CuadroTexto 363">
              <a:extLst>
                <a:ext uri="{FF2B5EF4-FFF2-40B4-BE49-F238E27FC236}">
                  <a16:creationId xmlns:a16="http://schemas.microsoft.com/office/drawing/2014/main" id="{AA2548A6-9716-4C4F-A31F-F153E5164D35}"/>
                </a:ext>
              </a:extLst>
            </xdr:cNvPr>
            <xdr:cNvSpPr txBox="1"/>
          </xdr:nvSpPr>
          <xdr:spPr>
            <a:xfrm>
              <a:off x="10195984" y="132842793"/>
              <a:ext cx="2091265" cy="1648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900" b="0">
                  <a:solidFill>
                    <a:schemeClr val="tx1"/>
                  </a:solidFill>
                  <a:effectLst/>
                  <a:latin typeface="+mn-lt"/>
                  <a:ea typeface="+mn-ea"/>
                  <a:cs typeface="+mn-cs"/>
                </a:rPr>
                <a:t>Wh</a:t>
              </a:r>
              <a:r>
                <a:rPr lang="es-MX" sz="900" b="0" i="0">
                  <a:solidFill>
                    <a:schemeClr val="tx1"/>
                  </a:solidFill>
                  <a:effectLst/>
                  <a:latin typeface="Cambria Math" panose="02040503050406030204" pitchFamily="18" charset="0"/>
                  <a:ea typeface="+mn-ea"/>
                  <a:cs typeface="+mn-cs"/>
                </a:rPr>
                <a:t>=(3400)∗5V/1000</a:t>
              </a:r>
              <a:r>
                <a:rPr lang="es-MX" sz="900" b="0">
                  <a:solidFill>
                    <a:schemeClr val="tx1"/>
                  </a:solidFill>
                  <a:effectLst/>
                  <a:latin typeface="+mn-lt"/>
                  <a:ea typeface="+mn-ea"/>
                  <a:cs typeface="+mn-cs"/>
                </a:rPr>
                <a:t> = 17 Wh</a:t>
              </a:r>
              <a:endParaRPr lang="es-MX" sz="900">
                <a:effectLst/>
              </a:endParaRPr>
            </a:p>
            <a:p>
              <a:endParaRPr lang="es-MX" sz="900" b="0" i="0">
                <a:latin typeface="+mn-lt"/>
              </a:endParaRPr>
            </a:p>
            <a:p>
              <a:endParaRPr lang="es-MX" sz="900" b="0" i="0">
                <a:latin typeface="+mn-lt"/>
              </a:endParaRPr>
            </a:p>
            <a:p>
              <a:r>
                <a:rPr lang="es-MX" sz="900" b="0" i="0">
                  <a:latin typeface="+mn-lt"/>
                </a:rPr>
                <a:t>CC</a:t>
              </a:r>
              <a:r>
                <a:rPr lang="es-MX" sz="900" b="0" i="0">
                  <a:latin typeface="Cambria Math" panose="02040503050406030204" pitchFamily="18" charset="0"/>
                </a:rPr>
                <a:t>=(17𝑊ℎ/1000)∗(3ℎ)∗365 𝑑í𝑎𝑠</a:t>
              </a:r>
              <a:endParaRPr lang="es-MX" sz="900" b="0"/>
            </a:p>
            <a:p>
              <a:endParaRPr lang="es-MX" sz="900" b="0"/>
            </a:p>
            <a:p>
              <a:pPr marL="0" marR="0" lvl="0" indent="0" defTabSz="914400" eaLnBrk="1" fontAlgn="auto" latinLnBrk="0" hangingPunct="1">
                <a:lnSpc>
                  <a:spcPct val="100000"/>
                </a:lnSpc>
                <a:spcBef>
                  <a:spcPts val="0"/>
                </a:spcBef>
                <a:spcAft>
                  <a:spcPts val="0"/>
                </a:spcAft>
                <a:buClrTx/>
                <a:buSzTx/>
                <a:buFontTx/>
                <a:buNone/>
                <a:tabLst/>
                <a:defRPr/>
              </a:pPr>
              <a:r>
                <a:rPr lang="es-MX" sz="900" b="0" i="0">
                  <a:solidFill>
                    <a:schemeClr val="tx1"/>
                  </a:solidFill>
                  <a:effectLst/>
                  <a:latin typeface="+mn-lt"/>
                  <a:ea typeface="+mn-ea"/>
                  <a:cs typeface="+mn-cs"/>
                </a:rPr>
                <a:t>CC</a:t>
              </a:r>
              <a:r>
                <a:rPr lang="es-MX" sz="900" b="0" i="0">
                  <a:solidFill>
                    <a:schemeClr val="tx1"/>
                  </a:solidFill>
                  <a:effectLst/>
                  <a:latin typeface="Cambria Math" panose="02040503050406030204" pitchFamily="18" charset="0"/>
                  <a:ea typeface="+mn-ea"/>
                  <a:cs typeface="+mn-cs"/>
                </a:rPr>
                <a:t>=18.615</a:t>
              </a:r>
              <a:r>
                <a:rPr lang="es-MX" sz="900" b="0">
                  <a:solidFill>
                    <a:schemeClr val="tx1"/>
                  </a:solidFill>
                  <a:effectLst/>
                  <a:latin typeface="+mn-lt"/>
                  <a:ea typeface="+mn-ea"/>
                  <a:cs typeface="+mn-cs"/>
                </a:rPr>
                <a:t> kwh/año</a:t>
              </a:r>
            </a:p>
            <a:p>
              <a:pPr marL="0" marR="0" lvl="0" indent="0" defTabSz="914400" eaLnBrk="1" fontAlgn="auto" latinLnBrk="0" hangingPunct="1">
                <a:lnSpc>
                  <a:spcPct val="100000"/>
                </a:lnSpc>
                <a:spcBef>
                  <a:spcPts val="0"/>
                </a:spcBef>
                <a:spcAft>
                  <a:spcPts val="0"/>
                </a:spcAft>
                <a:buClrTx/>
                <a:buSzTx/>
                <a:buFontTx/>
                <a:buNone/>
                <a:tabLst/>
                <a:defRPr/>
              </a:pPr>
              <a:endParaRPr lang="es-MX" sz="900" b="0"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𝑃𝑐=</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18.50 kwh)/(18.615 kwℎ)</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Fallback>
    </mc:AlternateContent>
    <xdr:clientData/>
  </xdr:oneCellAnchor>
  <xdr:oneCellAnchor>
    <xdr:from>
      <xdr:col>10</xdr:col>
      <xdr:colOff>247649</xdr:colOff>
      <xdr:row>147</xdr:row>
      <xdr:rowOff>257175</xdr:rowOff>
    </xdr:from>
    <xdr:ext cx="1724025" cy="904876"/>
    <mc:AlternateContent xmlns:mc="http://schemas.openxmlformats.org/markup-compatibility/2006" xmlns:a14="http://schemas.microsoft.com/office/drawing/2010/main">
      <mc:Choice Requires="a14">
        <xdr:sp macro="" textlink="">
          <xdr:nvSpPr>
            <xdr:cNvPr id="366" name="CuadroTexto 365">
              <a:extLst>
                <a:ext uri="{FF2B5EF4-FFF2-40B4-BE49-F238E27FC236}">
                  <a16:creationId xmlns:a16="http://schemas.microsoft.com/office/drawing/2014/main" id="{C9238305-AF3B-4EB0-B31D-9E5DFB00112A}"/>
                </a:ext>
              </a:extLst>
            </xdr:cNvPr>
            <xdr:cNvSpPr txBox="1"/>
          </xdr:nvSpPr>
          <xdr:spPr>
            <a:xfrm>
              <a:off x="10939462" y="12389644"/>
              <a:ext cx="1724025" cy="904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𝑃𝑐</m:t>
                    </m:r>
                    <m:r>
                      <a:rPr lang="es-MX" sz="1100" b="0" i="1">
                        <a:solidFill>
                          <a:schemeClr val="tx1"/>
                        </a:solidFill>
                        <a:effectLst/>
                        <a:latin typeface="Cambria Math" panose="02040503050406030204" pitchFamily="18" charset="0"/>
                        <a:ea typeface="+mn-ea"/>
                        <a:cs typeface="+mn-cs"/>
                      </a:rPr>
                      <m:t>=.993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00">
                <a:effectLst/>
              </a:endParaRPr>
            </a:p>
            <a:p>
              <a:endParaRPr lang="es-MX" sz="1000" b="0"/>
            </a:p>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Pc</m:t>
                    </m:r>
                    <m:r>
                      <a:rPr lang="es-MX" sz="1000" b="0" i="1">
                        <a:latin typeface="Cambria Math" panose="02040503050406030204" pitchFamily="18" charset="0"/>
                      </a:rPr>
                      <m:t>=994 </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𝑐𝑒𝑙𝑢𝑙𝑎𝑟𝑒𝑠</m:t>
                        </m:r>
                        <m:r>
                          <a:rPr lang="es-MX" sz="1100" b="0" i="1">
                            <a:solidFill>
                              <a:schemeClr val="tx1"/>
                            </a:solidFill>
                            <a:effectLst/>
                            <a:latin typeface="Cambria Math" panose="02040503050406030204" pitchFamily="18" charset="0"/>
                            <a:ea typeface="+mn-ea"/>
                            <a:cs typeface="+mn-cs"/>
                          </a:rPr>
                          <m:t> </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00" b="0"/>
            </a:p>
          </xdr:txBody>
        </xdr:sp>
      </mc:Choice>
      <mc:Fallback xmlns="">
        <xdr:sp macro="" textlink="">
          <xdr:nvSpPr>
            <xdr:cNvPr id="366" name="CuadroTexto 365">
              <a:extLst>
                <a:ext uri="{FF2B5EF4-FFF2-40B4-BE49-F238E27FC236}">
                  <a16:creationId xmlns:a16="http://schemas.microsoft.com/office/drawing/2014/main" id="{C9238305-AF3B-4EB0-B31D-9E5DFB00112A}"/>
                </a:ext>
              </a:extLst>
            </xdr:cNvPr>
            <xdr:cNvSpPr txBox="1"/>
          </xdr:nvSpPr>
          <xdr:spPr>
            <a:xfrm>
              <a:off x="10939462" y="12389644"/>
              <a:ext cx="1724025" cy="904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𝑃𝑐=.993  (𝑐𝑒𝑙𝑢𝑙𝑎𝑟𝑒𝑠 )/(1 𝑘𝑔 𝑑𝑒 𝑃𝐸𝐴𝐷)</a:t>
              </a:r>
              <a:endParaRPr lang="es-MX" sz="1000">
                <a:effectLst/>
              </a:endParaRPr>
            </a:p>
            <a:p>
              <a:endParaRPr lang="es-MX" sz="1000" b="0"/>
            </a:p>
            <a:p>
              <a:pPr/>
              <a:r>
                <a:rPr lang="es-MX" sz="1000" b="0" i="0">
                  <a:latin typeface="Cambria Math" panose="02040503050406030204" pitchFamily="18" charset="0"/>
                </a:rPr>
                <a:t>Pc=994 </a:t>
              </a:r>
              <a:r>
                <a:rPr lang="es-MX" sz="1100" b="0" i="0">
                  <a:solidFill>
                    <a:schemeClr val="tx1"/>
                  </a:solidFill>
                  <a:effectLst/>
                  <a:latin typeface="Cambria Math" panose="02040503050406030204" pitchFamily="18" charset="0"/>
                  <a:ea typeface="+mn-ea"/>
                  <a:cs typeface="+mn-cs"/>
                </a:rPr>
                <a:t> (𝑐𝑒𝑙𝑢𝑙𝑎𝑟𝑒𝑠 )/(1 𝑇𝑜𝑛 𝑑𝑒 𝑃𝐸𝐴𝐷)</a:t>
              </a:r>
              <a:endParaRPr lang="es-MX" sz="1000" b="0"/>
            </a:p>
          </xdr:txBody>
        </xdr:sp>
      </mc:Fallback>
    </mc:AlternateContent>
    <xdr:clientData/>
  </xdr:oneCellAnchor>
  <xdr:oneCellAnchor>
    <xdr:from>
      <xdr:col>9</xdr:col>
      <xdr:colOff>123825</xdr:colOff>
      <xdr:row>143</xdr:row>
      <xdr:rowOff>409575</xdr:rowOff>
    </xdr:from>
    <xdr:ext cx="1595968" cy="869662"/>
    <mc:AlternateContent xmlns:mc="http://schemas.openxmlformats.org/markup-compatibility/2006" xmlns:a14="http://schemas.microsoft.com/office/drawing/2010/main">
      <mc:Choice Requires="a14">
        <xdr:sp macro="" textlink="">
          <xdr:nvSpPr>
            <xdr:cNvPr id="372" name="CuadroTexto 371">
              <a:extLst>
                <a:ext uri="{FF2B5EF4-FFF2-40B4-BE49-F238E27FC236}">
                  <a16:creationId xmlns:a16="http://schemas.microsoft.com/office/drawing/2014/main" id="{510BB6D2-1162-4C39-A3D8-FA83DBABD185}"/>
                </a:ext>
              </a:extLst>
            </xdr:cNvPr>
            <xdr:cNvSpPr txBox="1"/>
          </xdr:nvSpPr>
          <xdr:spPr>
            <a:xfrm>
              <a:off x="8910638" y="6922294"/>
              <a:ext cx="1595968" cy="869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Cf</m:t>
                    </m:r>
                    <m:r>
                      <a:rPr lang="es-MX" sz="1050" b="0" i="1">
                        <a:latin typeface="Cambria Math" panose="02040503050406030204" pitchFamily="18" charset="0"/>
                      </a:rPr>
                      <m:t>=</m:t>
                    </m:r>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60</m:t>
                                </m:r>
                                <m:r>
                                  <a:rPr lang="es-MX" sz="1050" b="0" i="1">
                                    <a:latin typeface="Cambria Math" panose="02040503050406030204" pitchFamily="18" charset="0"/>
                                  </a:rPr>
                                  <m:t>𝑤</m:t>
                                </m:r>
                              </m:den>
                            </m:f>
                          </m:num>
                          <m:den>
                            <m:r>
                              <a:rPr lang="es-MX" sz="1050" b="0" i="0">
                                <a:latin typeface="Cambria Math" panose="02040503050406030204" pitchFamily="18" charset="0"/>
                              </a:rPr>
                              <m:t>7</m:t>
                            </m:r>
                            <m:r>
                              <m:rPr>
                                <m:sty m:val="p"/>
                              </m:rPr>
                              <a:rPr lang="es-MX" sz="1050" b="0" i="0">
                                <a:latin typeface="Cambria Math" panose="02040503050406030204" pitchFamily="18" charset="0"/>
                              </a:rPr>
                              <m:t>focos</m:t>
                            </m:r>
                          </m:den>
                        </m:f>
                      </m:num>
                      <m:den>
                        <m:r>
                          <a:rPr lang="es-MX" sz="1050" b="0" i="0">
                            <a:latin typeface="Cambria Math" panose="02040503050406030204" pitchFamily="18" charset="0"/>
                          </a:rPr>
                          <m:t>20.71</m:t>
                        </m:r>
                        <m:r>
                          <m:rPr>
                            <m:sty m:val="p"/>
                          </m:rPr>
                          <a:rPr lang="es-MX" sz="1050" b="0" i="0">
                            <a:latin typeface="Cambria Math" panose="02040503050406030204" pitchFamily="18" charset="0"/>
                          </a:rPr>
                          <m:t>horas</m:t>
                        </m:r>
                      </m:den>
                    </m:f>
                  </m:oMath>
                </m:oMathPara>
              </a14:m>
              <a:endParaRPr lang="es-MX" sz="1050" b="0"/>
            </a:p>
            <a:p>
              <a:endParaRPr lang="es-MX" sz="1050"/>
            </a:p>
            <a:p>
              <a:endParaRPr lang="es-MX" sz="1050"/>
            </a:p>
          </xdr:txBody>
        </xdr:sp>
      </mc:Choice>
      <mc:Fallback xmlns="">
        <xdr:sp macro="" textlink="">
          <xdr:nvSpPr>
            <xdr:cNvPr id="372" name="CuadroTexto 371">
              <a:extLst>
                <a:ext uri="{FF2B5EF4-FFF2-40B4-BE49-F238E27FC236}">
                  <a16:creationId xmlns:a16="http://schemas.microsoft.com/office/drawing/2014/main" id="{510BB6D2-1162-4C39-A3D8-FA83DBABD185}"/>
                </a:ext>
              </a:extLst>
            </xdr:cNvPr>
            <xdr:cNvSpPr txBox="1"/>
          </xdr:nvSpPr>
          <xdr:spPr>
            <a:xfrm>
              <a:off x="8910638" y="6922294"/>
              <a:ext cx="1595968" cy="869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Cf=(((( 𝑘𝑤ℎ∗1000))/60𝑤)/7focos)/20.71horas</a:t>
              </a:r>
              <a:endParaRPr lang="es-MX" sz="1050" b="0"/>
            </a:p>
            <a:p>
              <a:endParaRPr lang="es-MX" sz="1050"/>
            </a:p>
            <a:p>
              <a:endParaRPr lang="es-MX" sz="1050"/>
            </a:p>
          </xdr:txBody>
        </xdr:sp>
      </mc:Fallback>
    </mc:AlternateContent>
    <xdr:clientData/>
  </xdr:oneCellAnchor>
  <xdr:oneCellAnchor>
    <xdr:from>
      <xdr:col>8</xdr:col>
      <xdr:colOff>178859</xdr:colOff>
      <xdr:row>143</xdr:row>
      <xdr:rowOff>223308</xdr:rowOff>
    </xdr:from>
    <xdr:ext cx="1418167" cy="791692"/>
    <mc:AlternateContent xmlns:mc="http://schemas.openxmlformats.org/markup-compatibility/2006" xmlns:a14="http://schemas.microsoft.com/office/drawing/2010/main">
      <mc:Choice Requires="a14">
        <xdr:sp macro="" textlink="">
          <xdr:nvSpPr>
            <xdr:cNvPr id="373" name="CuadroTexto 372">
              <a:extLst>
                <a:ext uri="{FF2B5EF4-FFF2-40B4-BE49-F238E27FC236}">
                  <a16:creationId xmlns:a16="http://schemas.microsoft.com/office/drawing/2014/main" id="{284923F8-5EC2-4DF7-8247-8D5B76D6C93D}"/>
                </a:ext>
              </a:extLst>
            </xdr:cNvPr>
            <xdr:cNvSpPr txBox="1"/>
          </xdr:nvSpPr>
          <xdr:spPr>
            <a:xfrm>
              <a:off x="7048765" y="6736027"/>
              <a:ext cx="1418167" cy="791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m:t>
                    </m:r>
                    <m:r>
                      <a:rPr lang="es-MX" sz="1050" b="0" i="1">
                        <a:latin typeface="Cambria Math" panose="02040503050406030204" pitchFamily="18" charset="0"/>
                      </a:rPr>
                      <m:t>𝑖</m:t>
                    </m:r>
                    <m:r>
                      <a:rPr lang="es-MX" sz="1050" b="0" i="1">
                        <a:latin typeface="Cambria Math" panose="02040503050406030204" pitchFamily="18" charset="0"/>
                      </a:rPr>
                      <m:t>=</m:t>
                    </m:r>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num>
                          <m:den>
                            <m:r>
                              <a:rPr lang="es-MX" sz="1050" b="0" i="1">
                                <a:latin typeface="Cambria Math" panose="02040503050406030204" pitchFamily="18" charset="0"/>
                              </a:rPr>
                              <m:t>𝑓𝑐</m:t>
                            </m:r>
                          </m:den>
                        </m:f>
                      </m:num>
                      <m:den>
                        <m:r>
                          <a:rPr lang="es-MX" sz="1050" b="0" i="1">
                            <a:latin typeface="Cambria Math" panose="02040503050406030204" pitchFamily="18" charset="0"/>
                          </a:rPr>
                          <m:t>𝑡𝑓</m:t>
                        </m:r>
                      </m:den>
                    </m:f>
                  </m:oMath>
                </m:oMathPara>
              </a14:m>
              <a:endParaRPr lang="es-MX" sz="1050" b="0"/>
            </a:p>
            <a:p>
              <a:endParaRPr lang="es-MX" sz="1050"/>
            </a:p>
          </xdr:txBody>
        </xdr:sp>
      </mc:Choice>
      <mc:Fallback xmlns="">
        <xdr:sp macro="" textlink="">
          <xdr:nvSpPr>
            <xdr:cNvPr id="373" name="CuadroTexto 372">
              <a:extLst>
                <a:ext uri="{FF2B5EF4-FFF2-40B4-BE49-F238E27FC236}">
                  <a16:creationId xmlns:a16="http://schemas.microsoft.com/office/drawing/2014/main" id="{284923F8-5EC2-4DF7-8247-8D5B76D6C93D}"/>
                </a:ext>
              </a:extLst>
            </xdr:cNvPr>
            <xdr:cNvSpPr txBox="1"/>
          </xdr:nvSpPr>
          <xdr:spPr>
            <a:xfrm>
              <a:off x="7048765" y="6736027"/>
              <a:ext cx="1418167" cy="791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C𝑖=((((𝑘𝑤ℎ∗1000))/𝑃𝑓)/𝑓𝑐)/𝑡𝑓</a:t>
              </a:r>
              <a:endParaRPr lang="es-MX" sz="1050" b="0"/>
            </a:p>
            <a:p>
              <a:endParaRPr lang="es-MX" sz="1050"/>
            </a:p>
          </xdr:txBody>
        </xdr:sp>
      </mc:Fallback>
    </mc:AlternateContent>
    <xdr:clientData/>
  </xdr:oneCellAnchor>
  <xdr:oneCellAnchor>
    <xdr:from>
      <xdr:col>10</xdr:col>
      <xdr:colOff>109537</xdr:colOff>
      <xdr:row>143</xdr:row>
      <xdr:rowOff>221456</xdr:rowOff>
    </xdr:from>
    <xdr:ext cx="1795462" cy="876300"/>
    <mc:AlternateContent xmlns:mc="http://schemas.openxmlformats.org/markup-compatibility/2006" xmlns:a14="http://schemas.microsoft.com/office/drawing/2010/main">
      <mc:Choice Requires="a14">
        <xdr:sp macro="" textlink="">
          <xdr:nvSpPr>
            <xdr:cNvPr id="374" name="CuadroTexto 373">
              <a:extLst>
                <a:ext uri="{FF2B5EF4-FFF2-40B4-BE49-F238E27FC236}">
                  <a16:creationId xmlns:a16="http://schemas.microsoft.com/office/drawing/2014/main" id="{40D502E1-33B5-4B8D-A268-84389C7C230F}"/>
                </a:ext>
              </a:extLst>
            </xdr:cNvPr>
            <xdr:cNvSpPr txBox="1"/>
          </xdr:nvSpPr>
          <xdr:spPr>
            <a:xfrm>
              <a:off x="10801350" y="116712206"/>
              <a:ext cx="1795462"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𝐶𝑓</m:t>
                    </m:r>
                    <m:r>
                      <a:rPr lang="es-MX" sz="1050" i="1">
                        <a:latin typeface="Cambria Math" panose="02040503050406030204" pitchFamily="18" charset="0"/>
                      </a:rPr>
                      <m:t>=</m:t>
                    </m:r>
                    <m:r>
                      <a:rPr lang="es-MX" sz="1050" b="0" i="0">
                        <a:latin typeface="Cambria Math" panose="02040503050406030204" pitchFamily="18" charset="0"/>
                      </a:rPr>
                      <m:t>2.02</m:t>
                    </m:r>
                    <m:r>
                      <a:rPr lang="es-MX" sz="1050" b="0" i="1">
                        <a:latin typeface="Cambria Math" panose="02040503050406030204" pitchFamily="18" charset="0"/>
                      </a:rPr>
                      <m:t>5</m:t>
                    </m:r>
                    <m:f>
                      <m:fPr>
                        <m:ctrlPr>
                          <a:rPr lang="es-MX" sz="1050" b="0" i="1">
                            <a:latin typeface="Cambria Math" panose="02040503050406030204" pitchFamily="18" charset="0"/>
                          </a:rPr>
                        </m:ctrlPr>
                      </m:fPr>
                      <m:num>
                        <m:r>
                          <a:rPr lang="es-MX" sz="1050" b="0" i="1">
                            <a:latin typeface="Cambria Math" panose="02040503050406030204" pitchFamily="18" charset="0"/>
                          </a:rPr>
                          <m:t>𝑐𝑎𝑠𝑎𝑠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𝑃𝐸𝐴𝐷</m:t>
                        </m:r>
                      </m:den>
                    </m:f>
                  </m:oMath>
                </m:oMathPara>
              </a14:m>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𝐶𝑓</m:t>
                    </m:r>
                    <m:r>
                      <a:rPr lang="es-MX" sz="110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2</m:t>
                    </m:r>
                    <m:r>
                      <a:rPr lang="es-MX" sz="1100" b="0" i="1">
                        <a:solidFill>
                          <a:schemeClr val="tx1"/>
                        </a:solidFill>
                        <a:effectLst/>
                        <a:latin typeface="Cambria Math" panose="02040503050406030204" pitchFamily="18" charset="0"/>
                        <a:ea typeface="+mn-ea"/>
                        <a:cs typeface="+mn-cs"/>
                      </a:rPr>
                      <m:t>,025</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𝑐𝑎𝑠𝑎𝑠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50">
                <a:effectLst/>
              </a:endParaRPr>
            </a:p>
            <a:p>
              <a:endParaRPr lang="es-MX" sz="1050"/>
            </a:p>
          </xdr:txBody>
        </xdr:sp>
      </mc:Choice>
      <mc:Fallback xmlns="">
        <xdr:sp macro="" textlink="">
          <xdr:nvSpPr>
            <xdr:cNvPr id="374" name="CuadroTexto 373">
              <a:extLst>
                <a:ext uri="{FF2B5EF4-FFF2-40B4-BE49-F238E27FC236}">
                  <a16:creationId xmlns:a16="http://schemas.microsoft.com/office/drawing/2014/main" id="{40D502E1-33B5-4B8D-A268-84389C7C230F}"/>
                </a:ext>
              </a:extLst>
            </xdr:cNvPr>
            <xdr:cNvSpPr txBox="1"/>
          </xdr:nvSpPr>
          <xdr:spPr>
            <a:xfrm>
              <a:off x="10801350" y="116712206"/>
              <a:ext cx="1795462"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𝐶𝑓</a:t>
              </a:r>
              <a:r>
                <a:rPr lang="es-MX" sz="1050" i="0">
                  <a:latin typeface="Cambria Math" panose="02040503050406030204" pitchFamily="18" charset="0"/>
                </a:rPr>
                <a:t>=</a:t>
              </a:r>
              <a:r>
                <a:rPr lang="es-MX" sz="1050" b="0" i="0">
                  <a:latin typeface="Cambria Math" panose="02040503050406030204" pitchFamily="18" charset="0"/>
                </a:rPr>
                <a:t>2.025 𝑐𝑎𝑠𝑎𝑠/(1 𝑘𝑔 𝑑𝑒 𝑃𝐸𝐴𝐷)</a:t>
              </a:r>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𝐶𝑓</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2,025 𝑐𝑎𝑠𝑎𝑠/(1 𝑡𝑜𝑛 𝑑𝑒 𝑃𝐸𝐴𝐷)</a:t>
              </a:r>
              <a:endParaRPr lang="es-MX" sz="1050">
                <a:effectLst/>
              </a:endParaRPr>
            </a:p>
            <a:p>
              <a:endParaRPr lang="es-MX" sz="1050"/>
            </a:p>
          </xdr:txBody>
        </xdr:sp>
      </mc:Fallback>
    </mc:AlternateContent>
    <xdr:clientData/>
  </xdr:oneCellAnchor>
  <xdr:oneCellAnchor>
    <xdr:from>
      <xdr:col>8</xdr:col>
      <xdr:colOff>190500</xdr:colOff>
      <xdr:row>143</xdr:row>
      <xdr:rowOff>866775</xdr:rowOff>
    </xdr:from>
    <xdr:ext cx="1693284" cy="500906"/>
    <mc:AlternateContent xmlns:mc="http://schemas.openxmlformats.org/markup-compatibility/2006" xmlns:a14="http://schemas.microsoft.com/office/drawing/2010/main">
      <mc:Choice Requires="a14">
        <xdr:sp macro="" textlink="">
          <xdr:nvSpPr>
            <xdr:cNvPr id="375" name="CuadroTexto 374">
              <a:extLst>
                <a:ext uri="{FF2B5EF4-FFF2-40B4-BE49-F238E27FC236}">
                  <a16:creationId xmlns:a16="http://schemas.microsoft.com/office/drawing/2014/main" id="{F9F03910-3AB3-432C-B553-283158F6611E}"/>
                </a:ext>
              </a:extLst>
            </xdr:cNvPr>
            <xdr:cNvSpPr txBox="1"/>
          </xdr:nvSpPr>
          <xdr:spPr>
            <a:xfrm>
              <a:off x="7060406" y="7379494"/>
              <a:ext cx="1693284" cy="500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p>
            <a:p>
              <a:r>
                <a:rPr lang="es-MX" sz="800" b="0" baseline="0"/>
                <a:t>fc representa promedio de focos en casa</a:t>
              </a:r>
            </a:p>
            <a:p>
              <a:r>
                <a:rPr lang="es-MX" sz="800" b="0" baseline="0"/>
                <a:t>tf representa tiempo de uso de focos/día</a:t>
              </a:r>
              <a:endParaRPr lang="es-MX" sz="800" b="0"/>
            </a:p>
          </xdr:txBody>
        </xdr:sp>
      </mc:Choice>
      <mc:Fallback xmlns="">
        <xdr:sp macro="" textlink="">
          <xdr:nvSpPr>
            <xdr:cNvPr id="375" name="CuadroTexto 374">
              <a:extLst>
                <a:ext uri="{FF2B5EF4-FFF2-40B4-BE49-F238E27FC236}">
                  <a16:creationId xmlns:a16="http://schemas.microsoft.com/office/drawing/2014/main" id="{F9F03910-3AB3-432C-B553-283158F6611E}"/>
                </a:ext>
              </a:extLst>
            </xdr:cNvPr>
            <xdr:cNvSpPr txBox="1"/>
          </xdr:nvSpPr>
          <xdr:spPr>
            <a:xfrm>
              <a:off x="7060406" y="7379494"/>
              <a:ext cx="1693284" cy="500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p>
            <a:p>
              <a:r>
                <a:rPr lang="es-MX" sz="800" b="0" baseline="0"/>
                <a:t>fc representa promedio de focos en casa</a:t>
              </a:r>
            </a:p>
            <a:p>
              <a:r>
                <a:rPr lang="es-MX" sz="800" b="0" baseline="0"/>
                <a:t>tf representa tiempo de uso de focos/día</a:t>
              </a:r>
              <a:endParaRPr lang="es-MX" sz="800" b="0"/>
            </a:p>
          </xdr:txBody>
        </xdr:sp>
      </mc:Fallback>
    </mc:AlternateContent>
    <xdr:clientData/>
  </xdr:oneCellAnchor>
  <xdr:oneCellAnchor>
    <xdr:from>
      <xdr:col>8</xdr:col>
      <xdr:colOff>473075</xdr:colOff>
      <xdr:row>144</xdr:row>
      <xdr:rowOff>327025</xdr:rowOff>
    </xdr:from>
    <xdr:ext cx="1418167" cy="791692"/>
    <mc:AlternateContent xmlns:mc="http://schemas.openxmlformats.org/markup-compatibility/2006" xmlns:a14="http://schemas.microsoft.com/office/drawing/2010/main">
      <mc:Choice Requires="a14">
        <xdr:sp macro="" textlink="">
          <xdr:nvSpPr>
            <xdr:cNvPr id="376" name="CuadroTexto 375">
              <a:extLst>
                <a:ext uri="{FF2B5EF4-FFF2-40B4-BE49-F238E27FC236}">
                  <a16:creationId xmlns:a16="http://schemas.microsoft.com/office/drawing/2014/main" id="{9B8FAF84-AEEE-430F-8E13-3A0DA12F5079}"/>
                </a:ext>
              </a:extLst>
            </xdr:cNvPr>
            <xdr:cNvSpPr txBox="1"/>
          </xdr:nvSpPr>
          <xdr:spPr>
            <a:xfrm>
              <a:off x="7870825" y="127977900"/>
              <a:ext cx="1418167" cy="791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m:t>
                    </m:r>
                    <m:r>
                      <a:rPr lang="es-MX" sz="1050" b="0" i="1">
                        <a:latin typeface="Cambria Math" panose="02040503050406030204" pitchFamily="18" charset="0"/>
                      </a:rPr>
                      <m:t>𝑖</m:t>
                    </m:r>
                    <m:r>
                      <a:rPr lang="es-MX" sz="1050" b="0" i="1">
                        <a:latin typeface="Cambria Math" panose="02040503050406030204" pitchFamily="18" charset="0"/>
                      </a:rPr>
                      <m:t>=</m:t>
                    </m:r>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num>
                          <m:den>
                            <m:r>
                              <a:rPr lang="es-MX" sz="1050" b="0" i="1">
                                <a:latin typeface="Cambria Math" panose="02040503050406030204" pitchFamily="18" charset="0"/>
                              </a:rPr>
                              <m:t>𝑓𝑐</m:t>
                            </m:r>
                          </m:den>
                        </m:f>
                      </m:num>
                      <m:den>
                        <m:r>
                          <a:rPr lang="es-MX" sz="1050" b="0" i="1">
                            <a:latin typeface="Cambria Math" panose="02040503050406030204" pitchFamily="18" charset="0"/>
                          </a:rPr>
                          <m:t>𝑡𝑓</m:t>
                        </m:r>
                      </m:den>
                    </m:f>
                  </m:oMath>
                </m:oMathPara>
              </a14:m>
              <a:endParaRPr lang="es-MX" sz="1050" b="0"/>
            </a:p>
            <a:p>
              <a:endParaRPr lang="es-MX" sz="1050"/>
            </a:p>
          </xdr:txBody>
        </xdr:sp>
      </mc:Choice>
      <mc:Fallback xmlns="">
        <xdr:sp macro="" textlink="">
          <xdr:nvSpPr>
            <xdr:cNvPr id="376" name="CuadroTexto 375">
              <a:extLst>
                <a:ext uri="{FF2B5EF4-FFF2-40B4-BE49-F238E27FC236}">
                  <a16:creationId xmlns:a16="http://schemas.microsoft.com/office/drawing/2014/main" id="{9B8FAF84-AEEE-430F-8E13-3A0DA12F5079}"/>
                </a:ext>
              </a:extLst>
            </xdr:cNvPr>
            <xdr:cNvSpPr txBox="1"/>
          </xdr:nvSpPr>
          <xdr:spPr>
            <a:xfrm>
              <a:off x="7870825" y="127977900"/>
              <a:ext cx="1418167" cy="791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C𝑖=((((𝑘𝑤ℎ∗1000))/𝑃𝑓)/𝑓𝑐)/𝑡𝑓</a:t>
              </a:r>
              <a:endParaRPr lang="es-MX" sz="1050" b="0"/>
            </a:p>
            <a:p>
              <a:endParaRPr lang="es-MX" sz="1050"/>
            </a:p>
          </xdr:txBody>
        </xdr:sp>
      </mc:Fallback>
    </mc:AlternateContent>
    <xdr:clientData/>
  </xdr:oneCellAnchor>
  <xdr:oneCellAnchor>
    <xdr:from>
      <xdr:col>8</xdr:col>
      <xdr:colOff>221190</xdr:colOff>
      <xdr:row>147</xdr:row>
      <xdr:rowOff>1225550</xdr:rowOff>
    </xdr:from>
    <xdr:ext cx="1857375" cy="876587"/>
    <mc:AlternateContent xmlns:mc="http://schemas.openxmlformats.org/markup-compatibility/2006" xmlns:a14="http://schemas.microsoft.com/office/drawing/2010/main">
      <mc:Choice Requires="a14">
        <xdr:sp macro="" textlink="">
          <xdr:nvSpPr>
            <xdr:cNvPr id="377" name="CuadroTexto 376">
              <a:extLst>
                <a:ext uri="{FF2B5EF4-FFF2-40B4-BE49-F238E27FC236}">
                  <a16:creationId xmlns:a16="http://schemas.microsoft.com/office/drawing/2014/main" id="{73CF54DE-B051-480D-966E-A3587FCDB91A}"/>
                </a:ext>
              </a:extLst>
            </xdr:cNvPr>
            <xdr:cNvSpPr txBox="1"/>
          </xdr:nvSpPr>
          <xdr:spPr>
            <a:xfrm>
              <a:off x="7618940" y="133845300"/>
              <a:ext cx="1857375" cy="8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mAh representa el</a:t>
              </a:r>
              <a:r>
                <a:rPr lang="es-MX" sz="800" b="0" baseline="0"/>
                <a:t> consumo de la bateria del celular </a:t>
              </a:r>
            </a:p>
            <a:p>
              <a:r>
                <a:rPr lang="es-MX" sz="800" b="0" baseline="0"/>
                <a:t>v representa el voltaje con el que trabaja </a:t>
              </a:r>
            </a:p>
            <a:p>
              <a:r>
                <a:rPr lang="es-MX" sz="800" b="0" baseline="0"/>
                <a:t>tc representa tiempo de carga de pila</a:t>
              </a:r>
            </a:p>
            <a:p>
              <a:r>
                <a:rPr lang="es-MX" sz="800" b="0" baseline="0"/>
                <a:t>pr representa consumo de energia para la carga del celular/ año</a:t>
              </a:r>
            </a:p>
          </xdr:txBody>
        </xdr:sp>
      </mc:Choice>
      <mc:Fallback xmlns="">
        <xdr:sp macro="" textlink="">
          <xdr:nvSpPr>
            <xdr:cNvPr id="377" name="CuadroTexto 376">
              <a:extLst>
                <a:ext uri="{FF2B5EF4-FFF2-40B4-BE49-F238E27FC236}">
                  <a16:creationId xmlns:a16="http://schemas.microsoft.com/office/drawing/2014/main" id="{73CF54DE-B051-480D-966E-A3587FCDB91A}"/>
                </a:ext>
              </a:extLst>
            </xdr:cNvPr>
            <xdr:cNvSpPr txBox="1"/>
          </xdr:nvSpPr>
          <xdr:spPr>
            <a:xfrm>
              <a:off x="7618940" y="133845300"/>
              <a:ext cx="1857375" cy="8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mAh representa el</a:t>
              </a:r>
              <a:r>
                <a:rPr lang="es-MX" sz="800" b="0" baseline="0"/>
                <a:t> consumo de la bateria del celular </a:t>
              </a:r>
            </a:p>
            <a:p>
              <a:r>
                <a:rPr lang="es-MX" sz="800" b="0" baseline="0"/>
                <a:t>v representa el voltaje con el que trabaja </a:t>
              </a:r>
            </a:p>
            <a:p>
              <a:r>
                <a:rPr lang="es-MX" sz="800" b="0" baseline="0"/>
                <a:t>tc representa tiempo de carga de pila</a:t>
              </a:r>
            </a:p>
            <a:p>
              <a:r>
                <a:rPr lang="es-MX" sz="800" b="0" baseline="0"/>
                <a:t>pr representa consumo de energia para la carga del celular/ año</a:t>
              </a:r>
            </a:p>
          </xdr:txBody>
        </xdr:sp>
      </mc:Fallback>
    </mc:AlternateContent>
    <xdr:clientData/>
  </xdr:oneCellAnchor>
  <xdr:oneCellAnchor>
    <xdr:from>
      <xdr:col>8</xdr:col>
      <xdr:colOff>314325</xdr:colOff>
      <xdr:row>147</xdr:row>
      <xdr:rowOff>901700</xdr:rowOff>
    </xdr:from>
    <xdr:ext cx="575773" cy="231602"/>
    <mc:AlternateContent xmlns:mc="http://schemas.openxmlformats.org/markup-compatibility/2006" xmlns:a14="http://schemas.microsoft.com/office/drawing/2010/main">
      <mc:Choice Requires="a14">
        <xdr:sp macro="" textlink="">
          <xdr:nvSpPr>
            <xdr:cNvPr id="378" name="CuadroTexto 377">
              <a:extLst>
                <a:ext uri="{FF2B5EF4-FFF2-40B4-BE49-F238E27FC236}">
                  <a16:creationId xmlns:a16="http://schemas.microsoft.com/office/drawing/2014/main" id="{D6A790A5-53BA-410B-9B9D-6487953ED37B}"/>
                </a:ext>
              </a:extLst>
            </xdr:cNvPr>
            <xdr:cNvSpPr txBox="1"/>
          </xdr:nvSpPr>
          <xdr:spPr>
            <a:xfrm>
              <a:off x="7712075" y="133521450"/>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14:m>
                <m:oMath xmlns:m="http://schemas.openxmlformats.org/officeDocument/2006/math">
                  <m:r>
                    <a:rPr lang="es-MX" sz="1000" b="0" i="1">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Pr</m:t>
                      </m:r>
                    </m:den>
                  </m:f>
                </m:oMath>
              </a14:m>
              <a:endParaRPr lang="es-MX" sz="1000" b="0"/>
            </a:p>
          </xdr:txBody>
        </xdr:sp>
      </mc:Choice>
      <mc:Fallback xmlns="">
        <xdr:sp macro="" textlink="">
          <xdr:nvSpPr>
            <xdr:cNvPr id="378" name="CuadroTexto 377">
              <a:extLst>
                <a:ext uri="{FF2B5EF4-FFF2-40B4-BE49-F238E27FC236}">
                  <a16:creationId xmlns:a16="http://schemas.microsoft.com/office/drawing/2014/main" id="{D6A790A5-53BA-410B-9B9D-6487953ED37B}"/>
                </a:ext>
              </a:extLst>
            </xdr:cNvPr>
            <xdr:cNvSpPr txBox="1"/>
          </xdr:nvSpPr>
          <xdr:spPr>
            <a:xfrm>
              <a:off x="7712075" y="133521450"/>
              <a:ext cx="575773" cy="231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Pc</a:t>
              </a:r>
              <a:r>
                <a:rPr lang="es-MX" sz="10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kwh/Pr</a:t>
              </a:r>
              <a:endParaRPr lang="es-MX" sz="1000" b="0"/>
            </a:p>
          </xdr:txBody>
        </xdr:sp>
      </mc:Fallback>
    </mc:AlternateContent>
    <xdr:clientData/>
  </xdr:oneCellAnchor>
  <xdr:oneCellAnchor>
    <xdr:from>
      <xdr:col>8</xdr:col>
      <xdr:colOff>137584</xdr:colOff>
      <xdr:row>142</xdr:row>
      <xdr:rowOff>423333</xdr:rowOff>
    </xdr:from>
    <xdr:ext cx="1418167" cy="341953"/>
    <mc:AlternateContent xmlns:mc="http://schemas.openxmlformats.org/markup-compatibility/2006" xmlns:a14="http://schemas.microsoft.com/office/drawing/2010/main">
      <mc:Choice Requires="a14">
        <xdr:sp macro="" textlink="">
          <xdr:nvSpPr>
            <xdr:cNvPr id="379" name="CuadroTexto 378">
              <a:extLst>
                <a:ext uri="{FF2B5EF4-FFF2-40B4-BE49-F238E27FC236}">
                  <a16:creationId xmlns:a16="http://schemas.microsoft.com/office/drawing/2014/main" id="{F3AE9B3C-31D7-47E7-80DB-3C658FF7701C}"/>
                </a:ext>
              </a:extLst>
            </xdr:cNvPr>
            <xdr:cNvSpPr txBox="1"/>
          </xdr:nvSpPr>
          <xdr:spPr>
            <a:xfrm>
              <a:off x="7007490" y="5531114"/>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𝑃𝑓</m:t>
                        </m:r>
                      </m:den>
                    </m:f>
                  </m:oMath>
                </m:oMathPara>
              </a14:m>
              <a:endParaRPr lang="es-MX" sz="1050"/>
            </a:p>
          </xdr:txBody>
        </xdr:sp>
      </mc:Choice>
      <mc:Fallback xmlns="">
        <xdr:sp macro="" textlink="">
          <xdr:nvSpPr>
            <xdr:cNvPr id="379" name="CuadroTexto 378">
              <a:extLst>
                <a:ext uri="{FF2B5EF4-FFF2-40B4-BE49-F238E27FC236}">
                  <a16:creationId xmlns:a16="http://schemas.microsoft.com/office/drawing/2014/main" id="{F3AE9B3C-31D7-47E7-80DB-3C658FF7701C}"/>
                </a:ext>
              </a:extLst>
            </xdr:cNvPr>
            <xdr:cNvSpPr txBox="1"/>
          </xdr:nvSpPr>
          <xdr:spPr>
            <a:xfrm>
              <a:off x="7007490" y="5531114"/>
              <a:ext cx="1418167" cy="341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NF=((𝑘𝑤ℎ∗1000))/𝑃𝑓</a:t>
              </a:r>
              <a:endParaRPr lang="es-MX" sz="1050"/>
            </a:p>
          </xdr:txBody>
        </xdr:sp>
      </mc:Fallback>
    </mc:AlternateContent>
    <xdr:clientData/>
  </xdr:oneCellAnchor>
  <xdr:oneCellAnchor>
    <xdr:from>
      <xdr:col>8</xdr:col>
      <xdr:colOff>256761</xdr:colOff>
      <xdr:row>142</xdr:row>
      <xdr:rowOff>977348</xdr:rowOff>
    </xdr:from>
    <xdr:ext cx="1404744" cy="250453"/>
    <mc:AlternateContent xmlns:mc="http://schemas.openxmlformats.org/markup-compatibility/2006" xmlns:a14="http://schemas.microsoft.com/office/drawing/2010/main">
      <mc:Choice Requires="a14">
        <xdr:sp macro="" textlink="">
          <xdr:nvSpPr>
            <xdr:cNvPr id="380" name="CuadroTexto 379">
              <a:extLst>
                <a:ext uri="{FF2B5EF4-FFF2-40B4-BE49-F238E27FC236}">
                  <a16:creationId xmlns:a16="http://schemas.microsoft.com/office/drawing/2014/main" id="{A59DAF15-5E1B-4264-9854-13363581BFD1}"/>
                </a:ext>
              </a:extLst>
            </xdr:cNvPr>
            <xdr:cNvSpPr txBox="1"/>
          </xdr:nvSpPr>
          <xdr:spPr>
            <a:xfrm>
              <a:off x="7126667" y="6085129"/>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Pf representa potencia del foco</a:t>
              </a:r>
              <a:r>
                <a:rPr lang="es-MX" sz="800" b="0" baseline="0"/>
                <a:t> w</a:t>
              </a:r>
              <a:endParaRPr lang="es-MX" sz="800" b="0"/>
            </a:p>
          </xdr:txBody>
        </xdr:sp>
      </mc:Choice>
      <mc:Fallback xmlns="">
        <xdr:sp macro="" textlink="">
          <xdr:nvSpPr>
            <xdr:cNvPr id="380" name="CuadroTexto 379">
              <a:extLst>
                <a:ext uri="{FF2B5EF4-FFF2-40B4-BE49-F238E27FC236}">
                  <a16:creationId xmlns:a16="http://schemas.microsoft.com/office/drawing/2014/main" id="{A59DAF15-5E1B-4264-9854-13363581BFD1}"/>
                </a:ext>
              </a:extLst>
            </xdr:cNvPr>
            <xdr:cNvSpPr txBox="1"/>
          </xdr:nvSpPr>
          <xdr:spPr>
            <a:xfrm>
              <a:off x="7126667" y="6085129"/>
              <a:ext cx="1404744"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Pf representa potencia del foco</a:t>
              </a:r>
              <a:r>
                <a:rPr lang="es-MX" sz="800" b="0" baseline="0"/>
                <a:t> w</a:t>
              </a:r>
              <a:endParaRPr lang="es-MX" sz="800" b="0"/>
            </a:p>
          </xdr:txBody>
        </xdr:sp>
      </mc:Fallback>
    </mc:AlternateContent>
    <xdr:clientData/>
  </xdr:oneCellAnchor>
  <xdr:oneCellAnchor>
    <xdr:from>
      <xdr:col>9</xdr:col>
      <xdr:colOff>127000</xdr:colOff>
      <xdr:row>142</xdr:row>
      <xdr:rowOff>480219</xdr:rowOff>
    </xdr:from>
    <xdr:ext cx="2338918" cy="313612"/>
    <mc:AlternateContent xmlns:mc="http://schemas.openxmlformats.org/markup-compatibility/2006" xmlns:a14="http://schemas.microsoft.com/office/drawing/2010/main">
      <mc:Choice Requires="a14">
        <xdr:sp macro="" textlink="">
          <xdr:nvSpPr>
            <xdr:cNvPr id="383" name="CuadroTexto 382">
              <a:extLst>
                <a:ext uri="{FF2B5EF4-FFF2-40B4-BE49-F238E27FC236}">
                  <a16:creationId xmlns:a16="http://schemas.microsoft.com/office/drawing/2014/main" id="{57FAD6BB-E85C-47E7-8CD3-D0AEFD23950C}"/>
                </a:ext>
              </a:extLst>
            </xdr:cNvPr>
            <xdr:cNvSpPr txBox="1"/>
          </xdr:nvSpPr>
          <xdr:spPr>
            <a:xfrm>
              <a:off x="9953625" y="124479844"/>
              <a:ext cx="2338918"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18.50 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9</m:t>
                        </m:r>
                        <m:r>
                          <a:rPr lang="es-MX" sz="1050" b="0" i="1">
                            <a:latin typeface="Cambria Math" panose="02040503050406030204" pitchFamily="18" charset="0"/>
                          </a:rPr>
                          <m:t>𝑤</m:t>
                        </m:r>
                      </m:den>
                    </m:f>
                  </m:oMath>
                </m:oMathPara>
              </a14:m>
              <a:endParaRPr lang="es-MX" sz="1050"/>
            </a:p>
          </xdr:txBody>
        </xdr:sp>
      </mc:Choice>
      <mc:Fallback xmlns="">
        <xdr:sp macro="" textlink="">
          <xdr:nvSpPr>
            <xdr:cNvPr id="383" name="CuadroTexto 382">
              <a:extLst>
                <a:ext uri="{FF2B5EF4-FFF2-40B4-BE49-F238E27FC236}">
                  <a16:creationId xmlns:a16="http://schemas.microsoft.com/office/drawing/2014/main" id="{57FAD6BB-E85C-47E7-8CD3-D0AEFD23950C}"/>
                </a:ext>
              </a:extLst>
            </xdr:cNvPr>
            <xdr:cNvSpPr txBox="1"/>
          </xdr:nvSpPr>
          <xdr:spPr>
            <a:xfrm>
              <a:off x="9953625" y="124479844"/>
              <a:ext cx="2338918"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NF=((18.50 𝑘𝑤ℎ∗1000))/9𝑤</a:t>
              </a:r>
              <a:endParaRPr lang="es-MX" sz="1050"/>
            </a:p>
          </xdr:txBody>
        </xdr:sp>
      </mc:Fallback>
    </mc:AlternateContent>
    <xdr:clientData/>
  </xdr:oneCellAnchor>
  <xdr:oneCellAnchor>
    <xdr:from>
      <xdr:col>10</xdr:col>
      <xdr:colOff>246062</xdr:colOff>
      <xdr:row>142</xdr:row>
      <xdr:rowOff>190500</xdr:rowOff>
    </xdr:from>
    <xdr:ext cx="2057400" cy="1158394"/>
    <mc:AlternateContent xmlns:mc="http://schemas.openxmlformats.org/markup-compatibility/2006" xmlns:a14="http://schemas.microsoft.com/office/drawing/2010/main">
      <mc:Choice Requires="a14">
        <xdr:sp macro="" textlink="">
          <xdr:nvSpPr>
            <xdr:cNvPr id="384" name="CuadroTexto 383">
              <a:extLst>
                <a:ext uri="{FF2B5EF4-FFF2-40B4-BE49-F238E27FC236}">
                  <a16:creationId xmlns:a16="http://schemas.microsoft.com/office/drawing/2014/main" id="{A2F26AC8-6241-44A2-B282-656675EE9BB3}"/>
                </a:ext>
              </a:extLst>
            </xdr:cNvPr>
            <xdr:cNvSpPr txBox="1"/>
          </xdr:nvSpPr>
          <xdr:spPr>
            <a:xfrm>
              <a:off x="12628562" y="124190125"/>
              <a:ext cx="2057400" cy="1158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𝑁𝐹</m:t>
                    </m:r>
                    <m:r>
                      <a:rPr lang="es-MX" sz="1050" i="1">
                        <a:latin typeface="Cambria Math" panose="02040503050406030204" pitchFamily="18" charset="0"/>
                      </a:rPr>
                      <m:t>=</m:t>
                    </m:r>
                    <m:r>
                      <a:rPr lang="es-MX" sz="1050" b="0" i="0">
                        <a:latin typeface="Cambria Math" panose="02040503050406030204" pitchFamily="18" charset="0"/>
                      </a:rPr>
                      <m:t>2,05</m:t>
                    </m:r>
                    <m:r>
                      <a:rPr lang="es-MX" sz="1050" b="0" i="1">
                        <a:latin typeface="Cambria Math" panose="02040503050406030204" pitchFamily="18" charset="0"/>
                      </a:rPr>
                      <m:t>5</m:t>
                    </m:r>
                    <m:f>
                      <m:fPr>
                        <m:ctrlPr>
                          <a:rPr lang="es-MX" sz="1050" b="0" i="1">
                            <a:latin typeface="Cambria Math" panose="02040503050406030204" pitchFamily="18" charset="0"/>
                          </a:rPr>
                        </m:ctrlPr>
                      </m:fPr>
                      <m:num>
                        <m:r>
                          <a:rPr lang="es-MX" sz="1050" b="0" i="1">
                            <a:latin typeface="Cambria Math" panose="02040503050406030204" pitchFamily="18" charset="0"/>
                          </a:rPr>
                          <m:t>𝑓𝑜𝑐𝑜𝑠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𝑃𝐸𝐴𝐷</m:t>
                        </m:r>
                      </m:den>
                    </m:f>
                  </m:oMath>
                </m:oMathPara>
              </a14:m>
              <a:endParaRPr lang="es-MX" sz="1050" b="0"/>
            </a:p>
            <a:p>
              <a:endParaRPr lang="es-MX" sz="1050"/>
            </a:p>
            <a:p>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𝑁𝐹</m:t>
                    </m:r>
                    <m:r>
                      <a:rPr lang="es-MX" sz="1100" b="0" i="1">
                        <a:solidFill>
                          <a:schemeClr val="tx1"/>
                        </a:solidFill>
                        <a:effectLst/>
                        <a:latin typeface="Cambria Math" panose="02040503050406030204" pitchFamily="18" charset="0"/>
                        <a:ea typeface="+mn-ea"/>
                        <a:cs typeface="+mn-cs"/>
                      </a:rPr>
                      <m:t>=2,055,555</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𝑓𝑜𝑐𝑜𝑠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50">
                <a:effectLst/>
              </a:endParaRPr>
            </a:p>
            <a:p>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 </m:t>
                    </m:r>
                  </m:oMath>
                </m:oMathPara>
              </a14:m>
              <a:endParaRPr lang="es-MX" sz="1050">
                <a:effectLst/>
              </a:endParaRPr>
            </a:p>
            <a:p>
              <a:endParaRPr lang="es-MX" sz="1050"/>
            </a:p>
          </xdr:txBody>
        </xdr:sp>
      </mc:Choice>
      <mc:Fallback xmlns="">
        <xdr:sp macro="" textlink="">
          <xdr:nvSpPr>
            <xdr:cNvPr id="384" name="CuadroTexto 383">
              <a:extLst>
                <a:ext uri="{FF2B5EF4-FFF2-40B4-BE49-F238E27FC236}">
                  <a16:creationId xmlns:a16="http://schemas.microsoft.com/office/drawing/2014/main" id="{A2F26AC8-6241-44A2-B282-656675EE9BB3}"/>
                </a:ext>
              </a:extLst>
            </xdr:cNvPr>
            <xdr:cNvSpPr txBox="1"/>
          </xdr:nvSpPr>
          <xdr:spPr>
            <a:xfrm>
              <a:off x="12628562" y="124190125"/>
              <a:ext cx="2057400" cy="1158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𝑁𝐹</a:t>
              </a:r>
              <a:r>
                <a:rPr lang="es-MX" sz="1050" i="0">
                  <a:latin typeface="Cambria Math" panose="02040503050406030204" pitchFamily="18" charset="0"/>
                </a:rPr>
                <a:t>=</a:t>
              </a:r>
              <a:r>
                <a:rPr lang="es-MX" sz="1050" b="0" i="0">
                  <a:latin typeface="Cambria Math" panose="02040503050406030204" pitchFamily="18" charset="0"/>
                </a:rPr>
                <a:t>2,055 𝑓𝑜𝑐𝑜𝑠/(1 𝑘𝑔 𝑑𝑒 𝑃𝐸𝐴𝐷)</a:t>
              </a:r>
              <a:endParaRPr lang="es-MX" sz="1050" b="0"/>
            </a:p>
            <a:p>
              <a:endParaRPr lang="es-MX" sz="1050"/>
            </a:p>
            <a:p>
              <a:pPr/>
              <a:r>
                <a:rPr lang="es-MX" sz="1100" b="0" i="0">
                  <a:solidFill>
                    <a:schemeClr val="tx1"/>
                  </a:solidFill>
                  <a:effectLst/>
                  <a:latin typeface="Cambria Math" panose="02040503050406030204" pitchFamily="18" charset="0"/>
                  <a:ea typeface="+mn-ea"/>
                  <a:cs typeface="+mn-cs"/>
                </a:rPr>
                <a:t>𝑁𝐹=2,055,555 𝑓𝑜𝑐𝑜𝑠/(1 𝑡𝑜𝑛 𝑑𝑒 𝑃𝐸𝐴𝐷)</a:t>
              </a:r>
              <a:endParaRPr lang="es-MX" sz="1050">
                <a:effectLst/>
              </a:endParaRPr>
            </a:p>
            <a:p>
              <a:pPr/>
              <a:r>
                <a:rPr lang="es-MX" sz="1100" b="0" i="0">
                  <a:solidFill>
                    <a:schemeClr val="tx1"/>
                  </a:solidFill>
                  <a:effectLst/>
                  <a:latin typeface="Cambria Math" panose="02040503050406030204" pitchFamily="18" charset="0"/>
                  <a:ea typeface="+mn-ea"/>
                  <a:cs typeface="+mn-cs"/>
                </a:rPr>
                <a:t> </a:t>
              </a:r>
              <a:endParaRPr lang="es-MX" sz="1050">
                <a:effectLst/>
              </a:endParaRPr>
            </a:p>
            <a:p>
              <a:endParaRPr lang="es-MX" sz="1050"/>
            </a:p>
          </xdr:txBody>
        </xdr:sp>
      </mc:Fallback>
    </mc:AlternateContent>
    <xdr:clientData/>
  </xdr:oneCellAnchor>
  <xdr:oneCellAnchor>
    <xdr:from>
      <xdr:col>9</xdr:col>
      <xdr:colOff>345281</xdr:colOff>
      <xdr:row>144</xdr:row>
      <xdr:rowOff>369094</xdr:rowOff>
    </xdr:from>
    <xdr:ext cx="1595968" cy="869662"/>
    <mc:AlternateContent xmlns:mc="http://schemas.openxmlformats.org/markup-compatibility/2006" xmlns:a14="http://schemas.microsoft.com/office/drawing/2010/main">
      <mc:Choice Requires="a14">
        <xdr:sp macro="" textlink="">
          <xdr:nvSpPr>
            <xdr:cNvPr id="385" name="CuadroTexto 384">
              <a:extLst>
                <a:ext uri="{FF2B5EF4-FFF2-40B4-BE49-F238E27FC236}">
                  <a16:creationId xmlns:a16="http://schemas.microsoft.com/office/drawing/2014/main" id="{546419F8-0944-4A29-A307-B055CFDCBA47}"/>
                </a:ext>
              </a:extLst>
            </xdr:cNvPr>
            <xdr:cNvSpPr txBox="1"/>
          </xdr:nvSpPr>
          <xdr:spPr>
            <a:xfrm>
              <a:off x="10171906" y="128019969"/>
              <a:ext cx="1595968" cy="869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Cf</m:t>
                    </m:r>
                    <m:r>
                      <a:rPr lang="es-MX" sz="1050" b="0" i="1">
                        <a:latin typeface="Cambria Math" panose="02040503050406030204" pitchFamily="18" charset="0"/>
                      </a:rPr>
                      <m:t>=</m:t>
                    </m:r>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18.50 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60</m:t>
                                </m:r>
                                <m:r>
                                  <a:rPr lang="es-MX" sz="1050" b="0" i="1">
                                    <a:latin typeface="Cambria Math" panose="02040503050406030204" pitchFamily="18" charset="0"/>
                                  </a:rPr>
                                  <m:t>𝑤</m:t>
                                </m:r>
                              </m:den>
                            </m:f>
                          </m:num>
                          <m:den>
                            <m:r>
                              <a:rPr lang="es-MX" sz="1050" b="0" i="0">
                                <a:latin typeface="Cambria Math" panose="02040503050406030204" pitchFamily="18" charset="0"/>
                              </a:rPr>
                              <m:t>7</m:t>
                            </m:r>
                            <m:r>
                              <m:rPr>
                                <m:sty m:val="p"/>
                              </m:rPr>
                              <a:rPr lang="es-MX" sz="1050" b="0" i="0">
                                <a:latin typeface="Cambria Math" panose="02040503050406030204" pitchFamily="18" charset="0"/>
                              </a:rPr>
                              <m:t>focos</m:t>
                            </m:r>
                          </m:den>
                        </m:f>
                      </m:num>
                      <m:den>
                        <m:r>
                          <a:rPr lang="es-MX" sz="1050" b="0" i="0">
                            <a:latin typeface="Cambria Math" panose="02040503050406030204" pitchFamily="18" charset="0"/>
                          </a:rPr>
                          <m:t>5</m:t>
                        </m:r>
                        <m:r>
                          <m:rPr>
                            <m:sty m:val="p"/>
                          </m:rPr>
                          <a:rPr lang="es-MX" sz="1050" b="0" i="0">
                            <a:latin typeface="Cambria Math" panose="02040503050406030204" pitchFamily="18" charset="0"/>
                          </a:rPr>
                          <m:t>horas</m:t>
                        </m:r>
                      </m:den>
                    </m:f>
                  </m:oMath>
                </m:oMathPara>
              </a14:m>
              <a:endParaRPr lang="es-MX" sz="1050" b="0"/>
            </a:p>
            <a:p>
              <a:endParaRPr lang="es-MX" sz="1050"/>
            </a:p>
            <a:p>
              <a:endParaRPr lang="es-MX" sz="1050"/>
            </a:p>
          </xdr:txBody>
        </xdr:sp>
      </mc:Choice>
      <mc:Fallback xmlns="">
        <xdr:sp macro="" textlink="">
          <xdr:nvSpPr>
            <xdr:cNvPr id="385" name="CuadroTexto 384">
              <a:extLst>
                <a:ext uri="{FF2B5EF4-FFF2-40B4-BE49-F238E27FC236}">
                  <a16:creationId xmlns:a16="http://schemas.microsoft.com/office/drawing/2014/main" id="{546419F8-0944-4A29-A307-B055CFDCBA47}"/>
                </a:ext>
              </a:extLst>
            </xdr:cNvPr>
            <xdr:cNvSpPr txBox="1"/>
          </xdr:nvSpPr>
          <xdr:spPr>
            <a:xfrm>
              <a:off x="10171906" y="128019969"/>
              <a:ext cx="1595968" cy="869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Cf=((((18.50 𝑘𝑤ℎ∗1000))/60𝑤)/7focos)/5horas</a:t>
              </a:r>
              <a:endParaRPr lang="es-MX" sz="1050" b="0"/>
            </a:p>
            <a:p>
              <a:endParaRPr lang="es-MX" sz="1050"/>
            </a:p>
            <a:p>
              <a:endParaRPr lang="es-MX" sz="1050"/>
            </a:p>
          </xdr:txBody>
        </xdr:sp>
      </mc:Fallback>
    </mc:AlternateContent>
    <xdr:clientData/>
  </xdr:oneCellAnchor>
  <xdr:oneCellAnchor>
    <xdr:from>
      <xdr:col>10</xdr:col>
      <xdr:colOff>289719</xdr:colOff>
      <xdr:row>144</xdr:row>
      <xdr:rowOff>357188</xdr:rowOff>
    </xdr:from>
    <xdr:ext cx="1795462" cy="876300"/>
    <mc:AlternateContent xmlns:mc="http://schemas.openxmlformats.org/markup-compatibility/2006" xmlns:a14="http://schemas.microsoft.com/office/drawing/2010/main">
      <mc:Choice Requires="a14">
        <xdr:sp macro="" textlink="">
          <xdr:nvSpPr>
            <xdr:cNvPr id="386" name="CuadroTexto 385">
              <a:extLst>
                <a:ext uri="{FF2B5EF4-FFF2-40B4-BE49-F238E27FC236}">
                  <a16:creationId xmlns:a16="http://schemas.microsoft.com/office/drawing/2014/main" id="{79B1BC96-5E24-4EAC-8064-17CCBE9C12AB}"/>
                </a:ext>
              </a:extLst>
            </xdr:cNvPr>
            <xdr:cNvSpPr txBox="1"/>
          </xdr:nvSpPr>
          <xdr:spPr>
            <a:xfrm>
              <a:off x="12672219" y="128008063"/>
              <a:ext cx="1795462"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𝐶𝑓</m:t>
                    </m:r>
                    <m:r>
                      <a:rPr lang="es-MX" sz="1050" i="1">
                        <a:latin typeface="Cambria Math" panose="02040503050406030204" pitchFamily="18" charset="0"/>
                      </a:rPr>
                      <m:t>=</m:t>
                    </m:r>
                    <m:r>
                      <a:rPr lang="es-MX" sz="1050" b="0" i="0">
                        <a:latin typeface="Cambria Math" panose="02040503050406030204" pitchFamily="18" charset="0"/>
                      </a:rPr>
                      <m:t>8.</m:t>
                    </m:r>
                    <m:r>
                      <a:rPr lang="es-MX" sz="1050" b="0" i="1">
                        <a:latin typeface="Cambria Math" panose="02040503050406030204" pitchFamily="18" charset="0"/>
                      </a:rPr>
                      <m:t>8</m:t>
                    </m:r>
                    <m:f>
                      <m:fPr>
                        <m:ctrlPr>
                          <a:rPr lang="es-MX" sz="1050" b="0" i="1">
                            <a:latin typeface="Cambria Math" panose="02040503050406030204" pitchFamily="18" charset="0"/>
                          </a:rPr>
                        </m:ctrlPr>
                      </m:fPr>
                      <m:num>
                        <m:r>
                          <a:rPr lang="es-MX" sz="1050" b="0" i="1">
                            <a:latin typeface="Cambria Math" panose="02040503050406030204" pitchFamily="18" charset="0"/>
                          </a:rPr>
                          <m:t>𝑐𝑎𝑠𝑎𝑠</m:t>
                        </m:r>
                      </m:num>
                      <m:den>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𝑑𝑒</m:t>
                        </m:r>
                        <m:r>
                          <a:rPr lang="es-MX" sz="1050" b="0" i="1">
                            <a:latin typeface="Cambria Math" panose="02040503050406030204" pitchFamily="18" charset="0"/>
                          </a:rPr>
                          <m:t> </m:t>
                        </m:r>
                        <m:r>
                          <a:rPr lang="es-MX" sz="1050" b="0" i="1">
                            <a:latin typeface="Cambria Math" panose="02040503050406030204" pitchFamily="18" charset="0"/>
                          </a:rPr>
                          <m:t>𝑃𝐸𝐴𝐷</m:t>
                        </m:r>
                      </m:den>
                    </m:f>
                  </m:oMath>
                </m:oMathPara>
              </a14:m>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𝐶𝑓</m:t>
                    </m:r>
                    <m:r>
                      <a:rPr lang="es-MX" sz="110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8</m:t>
                    </m:r>
                    <m:r>
                      <a:rPr lang="es-MX" sz="1100" b="0" i="1">
                        <a:solidFill>
                          <a:schemeClr val="tx1"/>
                        </a:solidFill>
                        <a:effectLst/>
                        <a:latin typeface="Cambria Math" panose="02040503050406030204" pitchFamily="18" charset="0"/>
                        <a:ea typeface="+mn-ea"/>
                        <a:cs typeface="+mn-cs"/>
                      </a:rPr>
                      <m:t>,809</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𝑐𝑎𝑠𝑎𝑠</m:t>
                        </m:r>
                      </m:num>
                      <m:den>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𝑑𝑒</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den>
                    </m:f>
                  </m:oMath>
                </m:oMathPara>
              </a14:m>
              <a:endParaRPr lang="es-MX" sz="1050">
                <a:effectLst/>
              </a:endParaRPr>
            </a:p>
            <a:p>
              <a:endParaRPr lang="es-MX" sz="1050"/>
            </a:p>
          </xdr:txBody>
        </xdr:sp>
      </mc:Choice>
      <mc:Fallback xmlns="">
        <xdr:sp macro="" textlink="">
          <xdr:nvSpPr>
            <xdr:cNvPr id="386" name="CuadroTexto 385">
              <a:extLst>
                <a:ext uri="{FF2B5EF4-FFF2-40B4-BE49-F238E27FC236}">
                  <a16:creationId xmlns:a16="http://schemas.microsoft.com/office/drawing/2014/main" id="{79B1BC96-5E24-4EAC-8064-17CCBE9C12AB}"/>
                </a:ext>
              </a:extLst>
            </xdr:cNvPr>
            <xdr:cNvSpPr txBox="1"/>
          </xdr:nvSpPr>
          <xdr:spPr>
            <a:xfrm>
              <a:off x="12672219" y="128008063"/>
              <a:ext cx="1795462"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𝐶𝑓</a:t>
              </a:r>
              <a:r>
                <a:rPr lang="es-MX" sz="1050" i="0">
                  <a:latin typeface="Cambria Math" panose="02040503050406030204" pitchFamily="18" charset="0"/>
                </a:rPr>
                <a:t>=</a:t>
              </a:r>
              <a:r>
                <a:rPr lang="es-MX" sz="1050" b="0" i="0">
                  <a:latin typeface="Cambria Math" panose="02040503050406030204" pitchFamily="18" charset="0"/>
                </a:rPr>
                <a:t>8.8 𝑐𝑎𝑠𝑎𝑠/(1 𝑘𝑔 𝑑𝑒 𝑃𝐸𝐴𝐷)</a:t>
              </a:r>
              <a:endParaRPr lang="es-MX" sz="1050" b="0"/>
            </a:p>
            <a:p>
              <a:endParaRPr lang="es-MX" sz="105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𝐶𝑓</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8,809 𝑐𝑎𝑠𝑎𝑠/(1 𝑡𝑜𝑛 𝑑𝑒 𝑃𝐸𝐴𝐷)</a:t>
              </a:r>
              <a:endParaRPr lang="es-MX" sz="1050">
                <a:effectLst/>
              </a:endParaRPr>
            </a:p>
            <a:p>
              <a:endParaRPr lang="es-MX" sz="1050"/>
            </a:p>
          </xdr:txBody>
        </xdr:sp>
      </mc:Fallback>
    </mc:AlternateContent>
    <xdr:clientData/>
  </xdr:oneCellAnchor>
  <xdr:oneCellAnchor>
    <xdr:from>
      <xdr:col>3</xdr:col>
      <xdr:colOff>114301</xdr:colOff>
      <xdr:row>151</xdr:row>
      <xdr:rowOff>104775</xdr:rowOff>
    </xdr:from>
    <xdr:ext cx="352424" cy="352424"/>
    <xdr:pic>
      <xdr:nvPicPr>
        <xdr:cNvPr id="389" name="Imagen 388">
          <a:extLst>
            <a:ext uri="{FF2B5EF4-FFF2-40B4-BE49-F238E27FC236}">
              <a16:creationId xmlns:a16="http://schemas.microsoft.com/office/drawing/2014/main" id="{C9C6E4C6-5C06-47B1-93CB-716B957EDCA8}"/>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67176" y="15928181"/>
          <a:ext cx="352424" cy="352424"/>
        </a:xfrm>
        <a:prstGeom prst="rect">
          <a:avLst/>
        </a:prstGeom>
      </xdr:spPr>
    </xdr:pic>
    <xdr:clientData/>
  </xdr:oneCellAnchor>
  <xdr:oneCellAnchor>
    <xdr:from>
      <xdr:col>4</xdr:col>
      <xdr:colOff>114300</xdr:colOff>
      <xdr:row>151</xdr:row>
      <xdr:rowOff>76200</xdr:rowOff>
    </xdr:from>
    <xdr:ext cx="381000" cy="381000"/>
    <xdr:pic>
      <xdr:nvPicPr>
        <xdr:cNvPr id="390" name="Gráfico 389" descr="Botella de agua">
          <a:extLst>
            <a:ext uri="{FF2B5EF4-FFF2-40B4-BE49-F238E27FC236}">
              <a16:creationId xmlns:a16="http://schemas.microsoft.com/office/drawing/2014/main" id="{EC0C4B0E-949B-4C44-B862-DD6727640B2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50581" y="15899606"/>
          <a:ext cx="381000" cy="381000"/>
        </a:xfrm>
        <a:prstGeom prst="rect">
          <a:avLst/>
        </a:prstGeom>
      </xdr:spPr>
    </xdr:pic>
    <xdr:clientData/>
  </xdr:oneCellAnchor>
  <xdr:oneCellAnchor>
    <xdr:from>
      <xdr:col>5</xdr:col>
      <xdr:colOff>85725</xdr:colOff>
      <xdr:row>151</xdr:row>
      <xdr:rowOff>95250</xdr:rowOff>
    </xdr:from>
    <xdr:ext cx="361950" cy="361950"/>
    <xdr:pic>
      <xdr:nvPicPr>
        <xdr:cNvPr id="391" name="Gráfico 390" descr="Manzana">
          <a:extLst>
            <a:ext uri="{FF2B5EF4-FFF2-40B4-BE49-F238E27FC236}">
              <a16:creationId xmlns:a16="http://schemas.microsoft.com/office/drawing/2014/main" id="{10325E03-FC64-4598-A62D-7D4E7F296A5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5413" y="15918656"/>
          <a:ext cx="361950" cy="361950"/>
        </a:xfrm>
        <a:prstGeom prst="rect">
          <a:avLst/>
        </a:prstGeom>
      </xdr:spPr>
    </xdr:pic>
    <xdr:clientData/>
  </xdr:oneCellAnchor>
  <xdr:oneCellAnchor>
    <xdr:from>
      <xdr:col>6</xdr:col>
      <xdr:colOff>95250</xdr:colOff>
      <xdr:row>151</xdr:row>
      <xdr:rowOff>104775</xdr:rowOff>
    </xdr:from>
    <xdr:ext cx="342900" cy="342900"/>
    <xdr:pic>
      <xdr:nvPicPr>
        <xdr:cNvPr id="392" name="Gráfico 391" descr="Buceo">
          <a:extLst>
            <a:ext uri="{FF2B5EF4-FFF2-40B4-BE49-F238E27FC236}">
              <a16:creationId xmlns:a16="http://schemas.microsoft.com/office/drawing/2014/main" id="{D72CA560-116E-48FA-9EF3-AF67ACFF429A}"/>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8344" y="15928181"/>
          <a:ext cx="342900" cy="342900"/>
        </a:xfrm>
        <a:prstGeom prst="rect">
          <a:avLst/>
        </a:prstGeom>
      </xdr:spPr>
    </xdr:pic>
    <xdr:clientData/>
  </xdr:oneCellAnchor>
  <xdr:oneCellAnchor>
    <xdr:from>
      <xdr:col>7</xdr:col>
      <xdr:colOff>114300</xdr:colOff>
      <xdr:row>151</xdr:row>
      <xdr:rowOff>114299</xdr:rowOff>
    </xdr:from>
    <xdr:ext cx="281199" cy="281199"/>
    <xdr:pic>
      <xdr:nvPicPr>
        <xdr:cNvPr id="393" name="Imagen 392">
          <a:extLst>
            <a:ext uri="{FF2B5EF4-FFF2-40B4-BE49-F238E27FC236}">
              <a16:creationId xmlns:a16="http://schemas.microsoft.com/office/drawing/2014/main" id="{8394E6D2-84DA-4991-B424-D42CD6DE2D8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400800" y="15937705"/>
          <a:ext cx="281199" cy="281199"/>
        </a:xfrm>
        <a:prstGeom prst="rect">
          <a:avLst/>
        </a:prstGeom>
      </xdr:spPr>
    </xdr:pic>
    <xdr:clientData/>
  </xdr:oneCellAnchor>
  <xdr:oneCellAnchor>
    <xdr:from>
      <xdr:col>2</xdr:col>
      <xdr:colOff>114301</xdr:colOff>
      <xdr:row>151</xdr:row>
      <xdr:rowOff>95250</xdr:rowOff>
    </xdr:from>
    <xdr:ext cx="315608" cy="315608"/>
    <xdr:pic>
      <xdr:nvPicPr>
        <xdr:cNvPr id="394" name="Imagen 393">
          <a:extLst>
            <a:ext uri="{FF2B5EF4-FFF2-40B4-BE49-F238E27FC236}">
              <a16:creationId xmlns:a16="http://schemas.microsoft.com/office/drawing/2014/main" id="{E13CCB9F-CBD6-4DE3-A6C8-BC1BA4E71F2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83770" y="15918656"/>
          <a:ext cx="315608" cy="315608"/>
        </a:xfrm>
        <a:prstGeom prst="rect">
          <a:avLst/>
        </a:prstGeom>
      </xdr:spPr>
    </xdr:pic>
    <xdr:clientData/>
  </xdr:oneCellAnchor>
  <xdr:oneCellAnchor>
    <xdr:from>
      <xdr:col>9</xdr:col>
      <xdr:colOff>207168</xdr:colOff>
      <xdr:row>163</xdr:row>
      <xdr:rowOff>167481</xdr:rowOff>
    </xdr:from>
    <xdr:ext cx="1973263" cy="1400320"/>
    <mc:AlternateContent xmlns:mc="http://schemas.openxmlformats.org/markup-compatibility/2006" xmlns:a14="http://schemas.microsoft.com/office/drawing/2010/main">
      <mc:Choice Requires="a14">
        <xdr:sp macro="" textlink="">
          <xdr:nvSpPr>
            <xdr:cNvPr id="395" name="CuadroTexto 394">
              <a:extLst>
                <a:ext uri="{FF2B5EF4-FFF2-40B4-BE49-F238E27FC236}">
                  <a16:creationId xmlns:a16="http://schemas.microsoft.com/office/drawing/2014/main" id="{D90C022A-AEBA-4E22-BB4C-59002755740C}"/>
                </a:ext>
              </a:extLst>
            </xdr:cNvPr>
            <xdr:cNvSpPr txBox="1"/>
          </xdr:nvSpPr>
          <xdr:spPr>
            <a:xfrm>
              <a:off x="10033793" y="141375606"/>
              <a:ext cx="1973263" cy="1400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10,577,474  </m:t>
                        </m:r>
                        <m:r>
                          <a:rPr lang="es-MX" sz="800" b="0" i="1">
                            <a:solidFill>
                              <a:schemeClr val="tx1"/>
                            </a:solidFill>
                            <a:effectLst/>
                            <a:latin typeface="Cambria Math" panose="02040503050406030204" pitchFamily="18" charset="0"/>
                            <a:ea typeface="+mn-ea"/>
                            <a:cs typeface="+mn-cs"/>
                          </a:rPr>
                          <m:t>𝑡𝐶𝑂</m:t>
                        </m:r>
                        <m:r>
                          <a:rPr lang="es-MX" sz="800" b="0" i="1">
                            <a:solidFill>
                              <a:schemeClr val="tx1"/>
                            </a:solidFill>
                            <a:effectLst/>
                            <a:latin typeface="Cambria Math" panose="02040503050406030204" pitchFamily="18" charset="0"/>
                            <a:ea typeface="+mn-ea"/>
                            <a:cs typeface="+mn-cs"/>
                          </a:rPr>
                          <m:t>2 </m:t>
                        </m:r>
                      </m:num>
                      <m:den>
                        <m:r>
                          <a:rPr lang="es-MX" sz="800" b="0" i="1">
                            <a:solidFill>
                              <a:schemeClr val="tx1"/>
                            </a:solidFill>
                            <a:effectLst/>
                            <a:latin typeface="Cambria Math" panose="02040503050406030204" pitchFamily="18" charset="0"/>
                            <a:ea typeface="+mn-ea"/>
                            <a:cs typeface="+mn-cs"/>
                          </a:rPr>
                          <m:t>1</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m:t>
                        </m:r>
                        <m:r>
                          <a:rPr lang="es-MX" sz="800" b="0" i="0">
                            <a:solidFill>
                              <a:schemeClr val="tx1"/>
                            </a:solidFill>
                            <a:effectLst/>
                            <a:latin typeface="Cambria Math" panose="02040503050406030204" pitchFamily="18" charset="0"/>
                            <a:ea typeface="+mn-ea"/>
                            <a:cs typeface="+mn-cs"/>
                          </a:rPr>
                          <m:t>74,000,000 á</m:t>
                        </m:r>
                        <m:r>
                          <m:rPr>
                            <m:sty m:val="p"/>
                          </m:rPr>
                          <a:rPr lang="es-MX" sz="800" b="0" i="0">
                            <a:solidFill>
                              <a:schemeClr val="tx1"/>
                            </a:solidFill>
                            <a:effectLst/>
                            <a:latin typeface="Cambria Math" panose="02040503050406030204" pitchFamily="18" charset="0"/>
                            <a:ea typeface="+mn-ea"/>
                            <a:cs typeface="+mn-cs"/>
                          </a:rPr>
                          <m:t>rboles</m:t>
                        </m:r>
                      </m:num>
                      <m:den>
                        <m:r>
                          <a:rPr lang="es-MX" sz="800" b="0" i="0">
                            <a:solidFill>
                              <a:schemeClr val="tx1"/>
                            </a:solidFill>
                            <a:effectLst/>
                            <a:latin typeface="Cambria Math" panose="02040503050406030204" pitchFamily="18" charset="0"/>
                            <a:ea typeface="+mn-ea"/>
                            <a:cs typeface="+mn-cs"/>
                          </a:rPr>
                          <m:t>?(26)</m:t>
                        </m:r>
                      </m:den>
                    </m:f>
                    <m:r>
                      <a:rPr lang="es-MX" sz="800" b="0" i="1">
                        <a:latin typeface="Cambria Math" panose="02040503050406030204" pitchFamily="18" charset="0"/>
                      </a:rPr>
                      <m:t> </m:t>
                    </m:r>
                  </m:oMath>
                </m:oMathPara>
              </a14:m>
              <a:endParaRPr lang="es-MX" sz="800" b="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𝐶𝑂</m:t>
                        </m:r>
                        <m:r>
                          <a:rPr lang="es-MX" sz="800" b="0" i="1">
                            <a:solidFill>
                              <a:schemeClr val="tx1"/>
                            </a:solidFill>
                            <a:effectLst/>
                            <a:latin typeface="Cambria Math" panose="02040503050406030204" pitchFamily="18" charset="0"/>
                            <a:ea typeface="+mn-ea"/>
                            <a:cs typeface="+mn-cs"/>
                          </a:rPr>
                          <m:t>2 </m:t>
                        </m:r>
                      </m:num>
                      <m:den>
                        <m:r>
                          <a:rPr lang="es-MX" sz="800" b="0" i="1">
                            <a:solidFill>
                              <a:schemeClr val="tx1"/>
                            </a:solidFill>
                            <a:effectLst/>
                            <a:latin typeface="Cambria Math" panose="02040503050406030204" pitchFamily="18" charset="0"/>
                            <a:ea typeface="+mn-ea"/>
                            <a:cs typeface="+mn-cs"/>
                          </a:rPr>
                          <m:t>?( 38.46)</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26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den>
                    </m:f>
                  </m:oMath>
                </m:oMathPara>
              </a14:m>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 á</m:t>
                        </m:r>
                        <m:r>
                          <a:rPr lang="es-MX" sz="800" b="0" i="1">
                            <a:solidFill>
                              <a:schemeClr val="tx1"/>
                            </a:solidFill>
                            <a:effectLst/>
                            <a:latin typeface="Cambria Math" panose="02040503050406030204" pitchFamily="18" charset="0"/>
                            <a:ea typeface="+mn-ea"/>
                            <a:cs typeface="+mn-cs"/>
                          </a:rPr>
                          <m:t>𝑟𝑏𝑜𝑙</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?(52)</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38.46 </m:t>
                        </m:r>
                        <m:r>
                          <a:rPr lang="es-MX" sz="800" b="0" i="1">
                            <a:solidFill>
                              <a:schemeClr val="tx1"/>
                            </a:solidFill>
                            <a:effectLst/>
                            <a:latin typeface="Cambria Math" panose="02040503050406030204" pitchFamily="18" charset="0"/>
                            <a:ea typeface="+mn-ea"/>
                            <a:cs typeface="+mn-cs"/>
                          </a:rPr>
                          <m:t>𝑘𝑔𝐶𝑜</m:t>
                        </m:r>
                        <m:r>
                          <a:rPr lang="es-MX" sz="800" b="0" i="1">
                            <a:solidFill>
                              <a:schemeClr val="tx1"/>
                            </a:solidFill>
                            <a:effectLst/>
                            <a:latin typeface="Cambria Math" panose="02040503050406030204" pitchFamily="18" charset="0"/>
                            <a:ea typeface="+mn-ea"/>
                            <a:cs typeface="+mn-cs"/>
                          </a:rPr>
                          <m:t>2 </m:t>
                        </m:r>
                      </m:num>
                      <m:den>
                        <m:r>
                          <a:rPr lang="es-MX" sz="800" b="0" i="0">
                            <a:solidFill>
                              <a:schemeClr val="tx1"/>
                            </a:solidFill>
                            <a:effectLst/>
                            <a:latin typeface="Cambria Math" panose="02040503050406030204" pitchFamily="18" charset="0"/>
                            <a:ea typeface="+mn-ea"/>
                            <a:cs typeface="+mn-cs"/>
                          </a:rPr>
                          <m:t>2,000 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Co</m:t>
                        </m:r>
                        <m:r>
                          <a:rPr lang="es-MX" sz="800" b="0" i="0">
                            <a:solidFill>
                              <a:schemeClr val="tx1"/>
                            </a:solidFill>
                            <a:effectLst/>
                            <a:latin typeface="Cambria Math" panose="02040503050406030204" pitchFamily="18" charset="0"/>
                            <a:ea typeface="+mn-ea"/>
                            <a:cs typeface="+mn-cs"/>
                          </a:rPr>
                          <m:t>2</m:t>
                        </m:r>
                      </m:den>
                    </m:f>
                    <m:r>
                      <a:rPr lang="es-MX" sz="800" b="0" i="1">
                        <a:solidFill>
                          <a:schemeClr val="tx1"/>
                        </a:solidFill>
                        <a:effectLst/>
                        <a:latin typeface="Cambria Math" panose="02040503050406030204" pitchFamily="18" charset="0"/>
                        <a:ea typeface="+mn-ea"/>
                        <a:cs typeface="+mn-cs"/>
                      </a:rPr>
                      <m:t> </m:t>
                    </m:r>
                  </m:oMath>
                </m:oMathPara>
              </a14:m>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52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 .052)</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𝑃𝐸𝐴𝐷</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𝑃𝐸𝐴𝐷</m:t>
                        </m:r>
                      </m:den>
                    </m:f>
                    <m:r>
                      <a:rPr lang="es-MX" sz="8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395" name="CuadroTexto 394">
              <a:extLst>
                <a:ext uri="{FF2B5EF4-FFF2-40B4-BE49-F238E27FC236}">
                  <a16:creationId xmlns:a16="http://schemas.microsoft.com/office/drawing/2014/main" id="{D90C022A-AEBA-4E22-BB4C-59002755740C}"/>
                </a:ext>
              </a:extLst>
            </xdr:cNvPr>
            <xdr:cNvSpPr txBox="1"/>
          </xdr:nvSpPr>
          <xdr:spPr>
            <a:xfrm>
              <a:off x="10033793" y="141375606"/>
              <a:ext cx="1973263" cy="1400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10,577,474  𝑡𝐶𝑂2 )/1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274,000,000 árboles)/(?(26)) </a:t>
              </a:r>
              <a:r>
                <a:rPr lang="es-MX" sz="800" b="0" i="0">
                  <a:latin typeface="Cambria Math" panose="02040503050406030204" pitchFamily="18" charset="0"/>
                </a:rPr>
                <a:t> </a:t>
              </a:r>
              <a:endParaRPr lang="es-MX" sz="800" b="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𝐶𝑂2 )/(?( 38.46))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26 á𝑟𝑏𝑜𝑙𝑒𝑠 )/(1 )</a:t>
              </a:r>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 á𝑟𝑏𝑜𝑙  )/(?(52))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38.46 𝑘𝑔𝐶𝑜2 )/(2,000 kg Co2)  </a:t>
              </a:r>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52 á𝑟𝑏𝑜𝑙𝑒𝑠  )/(?( .052))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𝑃𝐸𝐴𝐷 )/(1 kg 𝑃𝐸𝐴𝐷)  </a:t>
              </a:r>
              <a:endParaRPr lang="es-MX" sz="800"/>
            </a:p>
          </xdr:txBody>
        </xdr:sp>
      </mc:Fallback>
    </mc:AlternateContent>
    <xdr:clientData/>
  </xdr:oneCellAnchor>
  <xdr:oneCellAnchor>
    <xdr:from>
      <xdr:col>10</xdr:col>
      <xdr:colOff>242818</xdr:colOff>
      <xdr:row>163</xdr:row>
      <xdr:rowOff>547017</xdr:rowOff>
    </xdr:from>
    <xdr:ext cx="2014608" cy="591653"/>
    <mc:AlternateContent xmlns:mc="http://schemas.openxmlformats.org/markup-compatibility/2006" xmlns:a14="http://schemas.microsoft.com/office/drawing/2010/main">
      <mc:Choice Requires="a14">
        <xdr:sp macro="" textlink="">
          <xdr:nvSpPr>
            <xdr:cNvPr id="398" name="CuadroTexto 397">
              <a:extLst>
                <a:ext uri="{FF2B5EF4-FFF2-40B4-BE49-F238E27FC236}">
                  <a16:creationId xmlns:a16="http://schemas.microsoft.com/office/drawing/2014/main" id="{93E65F1B-58C5-4C14-B01B-AE65B3E6800F}"/>
                </a:ext>
              </a:extLst>
            </xdr:cNvPr>
            <xdr:cNvSpPr txBox="1"/>
          </xdr:nvSpPr>
          <xdr:spPr>
            <a:xfrm>
              <a:off x="12625318" y="141755142"/>
              <a:ext cx="2014608" cy="591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1000" b="0" i="1">
                  <a:latin typeface="Cambria Math" panose="02040503050406030204" pitchFamily="18" charset="0"/>
                </a:rPr>
                <a:t>1 árbol = 38.46 kg co2</a:t>
              </a:r>
            </a:p>
            <a:p>
              <a:pPr algn="ctr"/>
              <a:r>
                <a:rPr lang="es-MX" sz="1000" b="0" i="1">
                  <a:latin typeface="Cambria Math" panose="02040503050406030204" pitchFamily="18" charset="0"/>
                </a:rPr>
                <a:t>1 tonco2 = 26 árboles</a:t>
              </a:r>
            </a:p>
            <a:p>
              <a:pPr algn="ct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 .052 á</m:t>
                    </m:r>
                    <m:r>
                      <m:rPr>
                        <m:sty m:val="p"/>
                      </m:rPr>
                      <a:rPr lang="es-MX" sz="1000" b="0" i="0">
                        <a:latin typeface="Cambria Math" panose="02040503050406030204" pitchFamily="18" charset="0"/>
                      </a:rPr>
                      <m:t>rboles</m:t>
                    </m:r>
                  </m:oMath>
                </m:oMathPara>
              </a14:m>
              <a:endParaRPr lang="es-MX" sz="1000" b="0"/>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𝑃𝐸𝐴𝐷</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52 á</m:t>
                    </m:r>
                    <m:r>
                      <m:rPr>
                        <m:sty m:val="p"/>
                      </m:rPr>
                      <a:rPr lang="es-MX" sz="1000" b="0" i="0">
                        <a:solidFill>
                          <a:schemeClr val="tx1"/>
                        </a:solidFill>
                        <a:effectLst/>
                        <a:latin typeface="Cambria Math" panose="02040503050406030204" pitchFamily="18" charset="0"/>
                        <a:ea typeface="+mn-ea"/>
                        <a:cs typeface="+mn-cs"/>
                      </a:rPr>
                      <m:t>rboles</m:t>
                    </m:r>
                  </m:oMath>
                </m:oMathPara>
              </a14:m>
              <a:endParaRPr lang="es-MX" sz="10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1">
                  <a:solidFill>
                    <a:schemeClr val="tx1"/>
                  </a:solidFill>
                  <a:effectLst/>
                  <a:latin typeface="+mn-lt"/>
                  <a:ea typeface="+mn-ea"/>
                  <a:cs typeface="+mn-cs"/>
                </a:rPr>
                <a:t> </a:t>
              </a: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algn="ctr"/>
              <a:endParaRPr lang="es-MX" sz="800" b="0"/>
            </a:p>
          </xdr:txBody>
        </xdr:sp>
      </mc:Choice>
      <mc:Fallback xmlns="">
        <xdr:sp macro="" textlink="">
          <xdr:nvSpPr>
            <xdr:cNvPr id="398" name="CuadroTexto 397">
              <a:extLst>
                <a:ext uri="{FF2B5EF4-FFF2-40B4-BE49-F238E27FC236}">
                  <a16:creationId xmlns:a16="http://schemas.microsoft.com/office/drawing/2014/main" id="{93E65F1B-58C5-4C14-B01B-AE65B3E6800F}"/>
                </a:ext>
              </a:extLst>
            </xdr:cNvPr>
            <xdr:cNvSpPr txBox="1"/>
          </xdr:nvSpPr>
          <xdr:spPr>
            <a:xfrm>
              <a:off x="12625318" y="141755142"/>
              <a:ext cx="2014608" cy="591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1000" b="0" i="1">
                  <a:latin typeface="Cambria Math" panose="02040503050406030204" pitchFamily="18" charset="0"/>
                </a:rPr>
                <a:t>1 árbol = 38.46 kg co2</a:t>
              </a:r>
            </a:p>
            <a:p>
              <a:pPr algn="ctr"/>
              <a:r>
                <a:rPr lang="es-MX" sz="1000" b="0" i="1">
                  <a:latin typeface="Cambria Math" panose="02040503050406030204" pitchFamily="18" charset="0"/>
                </a:rPr>
                <a:t>1 tonco2 = 26 árboles</a:t>
              </a:r>
            </a:p>
            <a:p>
              <a:pPr algn="ctr"/>
              <a:r>
                <a:rPr lang="es-MX" sz="1000" b="0" i="0">
                  <a:latin typeface="Cambria Math" panose="02040503050406030204" pitchFamily="18" charset="0"/>
                </a:rPr>
                <a:t>1 𝑘𝑔 𝑃𝐸𝐴𝐷= .052 árboles</a:t>
              </a:r>
              <a:endParaRPr lang="es-MX" sz="1000" b="0"/>
            </a:p>
            <a:p>
              <a:pPr marL="0" marR="0" lvl="0" indent="0" algn="ctr"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𝑃𝐸𝐴𝐷=52 árboles</a:t>
              </a:r>
              <a:endParaRPr lang="es-MX" sz="10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1">
                  <a:solidFill>
                    <a:schemeClr val="tx1"/>
                  </a:solidFill>
                  <a:effectLst/>
                  <a:latin typeface="+mn-lt"/>
                  <a:ea typeface="+mn-ea"/>
                  <a:cs typeface="+mn-cs"/>
                </a:rPr>
                <a:t> </a:t>
              </a: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s-MX" sz="800">
                <a:effectLst/>
              </a:endParaRPr>
            </a:p>
            <a:p>
              <a:pPr algn="ctr"/>
              <a:endParaRPr lang="es-MX" sz="800" b="0"/>
            </a:p>
          </xdr:txBody>
        </xdr:sp>
      </mc:Fallback>
    </mc:AlternateContent>
    <xdr:clientData/>
  </xdr:oneCellAnchor>
  <xdr:oneCellAnchor>
    <xdr:from>
      <xdr:col>9</xdr:col>
      <xdr:colOff>148167</xdr:colOff>
      <xdr:row>164</xdr:row>
      <xdr:rowOff>247650</xdr:rowOff>
    </xdr:from>
    <xdr:ext cx="2180166" cy="1271058"/>
    <mc:AlternateContent xmlns:mc="http://schemas.openxmlformats.org/markup-compatibility/2006" xmlns:a14="http://schemas.microsoft.com/office/drawing/2010/main">
      <mc:Choice Requires="a14">
        <xdr:sp macro="" textlink="">
          <xdr:nvSpPr>
            <xdr:cNvPr id="400" name="CuadroTexto 399">
              <a:extLst>
                <a:ext uri="{FF2B5EF4-FFF2-40B4-BE49-F238E27FC236}">
                  <a16:creationId xmlns:a16="http://schemas.microsoft.com/office/drawing/2014/main" id="{FCAEF424-28C2-48D6-A878-7E9EE8C88589}"/>
                </a:ext>
              </a:extLst>
            </xdr:cNvPr>
            <xdr:cNvSpPr txBox="1"/>
          </xdr:nvSpPr>
          <xdr:spPr>
            <a:xfrm>
              <a:off x="9974792" y="143186150"/>
              <a:ext cx="2180166" cy="127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274,000,000 á</m:t>
                        </m:r>
                        <m:r>
                          <a:rPr lang="es-MX" sz="900" b="0" i="1">
                            <a:solidFill>
                              <a:schemeClr val="tx1"/>
                            </a:solidFill>
                            <a:effectLst/>
                            <a:latin typeface="Cambria Math" panose="02040503050406030204" pitchFamily="18" charset="0"/>
                            <a:ea typeface="+mn-ea"/>
                            <a:cs typeface="+mn-cs"/>
                          </a:rPr>
                          <m:t>𝑟𝑏𝑜𝑙𝑒𝑠</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?(377,410)</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726 </m:t>
                        </m:r>
                        <m:r>
                          <a:rPr lang="es-MX" sz="900" b="0" i="1">
                            <a:solidFill>
                              <a:schemeClr val="tx1"/>
                            </a:solidFill>
                            <a:effectLst/>
                            <a:latin typeface="Cambria Math" panose="02040503050406030204" pitchFamily="18" charset="0"/>
                            <a:ea typeface="+mn-ea"/>
                            <a:cs typeface="+mn-cs"/>
                          </a:rPr>
                          <m:t>𝐵</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𝐶h𝑎𝑝𝑢</m:t>
                        </m:r>
                      </m:num>
                      <m:den>
                        <m:r>
                          <a:rPr lang="es-MX" sz="900" b="0" i="0">
                            <a:solidFill>
                              <a:schemeClr val="tx1"/>
                            </a:solidFill>
                            <a:effectLst/>
                            <a:latin typeface="Cambria Math" panose="02040503050406030204" pitchFamily="18" charset="0"/>
                            <a:ea typeface="+mn-ea"/>
                            <a:cs typeface="+mn-cs"/>
                          </a:rPr>
                          <m:t>1</m:t>
                        </m:r>
                      </m:den>
                    </m:f>
                    <m:r>
                      <a:rPr lang="es-MX" sz="900" b="0" i="1">
                        <a:latin typeface="Cambria Math" panose="02040503050406030204" pitchFamily="18" charset="0"/>
                      </a:rPr>
                      <m:t> </m:t>
                    </m:r>
                  </m:oMath>
                </m:oMathPara>
              </a14:m>
              <a:endParaRPr lang="es-MX" sz="900" b="0"/>
            </a:p>
            <a:p>
              <a:endParaRPr lang="es-MX" sz="900"/>
            </a:p>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377,410 á</m:t>
                        </m:r>
                        <m:r>
                          <a:rPr lang="es-MX" sz="900" b="0" i="1">
                            <a:solidFill>
                              <a:schemeClr val="tx1"/>
                            </a:solidFill>
                            <a:effectLst/>
                            <a:latin typeface="Cambria Math" panose="02040503050406030204" pitchFamily="18" charset="0"/>
                            <a:ea typeface="+mn-ea"/>
                            <a:cs typeface="+mn-cs"/>
                          </a:rPr>
                          <m:t>𝑟𝑏𝑜𝑙𝑒𝑠</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?(.052)</m:t>
                        </m:r>
                      </m:den>
                    </m:f>
                    <m:r>
                      <a:rPr lang="es-MX" sz="900" b="0" i="1">
                        <a:solidFill>
                          <a:schemeClr val="tx1"/>
                        </a:solidFill>
                        <a:effectLst/>
                        <a:latin typeface="Cambria Math" panose="02040503050406030204" pitchFamily="18" charset="0"/>
                        <a:ea typeface="+mn-ea"/>
                        <a:cs typeface="+mn-cs"/>
                      </a:rPr>
                      <m:t> </m:t>
                    </m:r>
                    <m:r>
                      <a:rPr lang="es-MX" sz="900" b="0" i="0">
                        <a:solidFill>
                          <a:schemeClr val="tx1"/>
                        </a:solidFill>
                        <a:effectLst/>
                        <a:latin typeface="Cambria Math" panose="02040503050406030204" pitchFamily="18" charset="0"/>
                        <a:ea typeface="+mn-ea"/>
                        <a:cs typeface="+mn-cs"/>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 1 </m:t>
                        </m:r>
                        <m:r>
                          <a:rPr lang="es-MX" sz="900" b="0" i="1">
                            <a:solidFill>
                              <a:schemeClr val="tx1"/>
                            </a:solidFill>
                            <a:effectLst/>
                            <a:latin typeface="Cambria Math" panose="02040503050406030204" pitchFamily="18" charset="0"/>
                            <a:ea typeface="+mn-ea"/>
                            <a:cs typeface="+mn-cs"/>
                          </a:rPr>
                          <m:t>𝐵</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𝐶h𝑎𝑝𝑢</m:t>
                        </m:r>
                      </m:num>
                      <m:den>
                        <m:r>
                          <a:rPr lang="es-MX" sz="900" b="0" i="0">
                            <a:solidFill>
                              <a:schemeClr val="tx1"/>
                            </a:solidFill>
                            <a:effectLst/>
                            <a:latin typeface="Cambria Math" panose="02040503050406030204" pitchFamily="18" charset="0"/>
                            <a:ea typeface="+mn-ea"/>
                            <a:cs typeface="+mn-cs"/>
                          </a:rPr>
                          <m:t>?()</m:t>
                        </m:r>
                      </m:den>
                    </m:f>
                    <m:r>
                      <a:rPr lang="es-MX" sz="900" b="0" i="1">
                        <a:solidFill>
                          <a:schemeClr val="tx1"/>
                        </a:solidFill>
                        <a:effectLst/>
                        <a:latin typeface="Cambria Math" panose="02040503050406030204" pitchFamily="18" charset="0"/>
                        <a:ea typeface="+mn-ea"/>
                        <a:cs typeface="+mn-cs"/>
                      </a:rPr>
                      <m:t> </m:t>
                    </m:r>
                  </m:oMath>
                </m:oMathPara>
              </a14:m>
              <a:endParaRPr lang="es-MX" sz="900"/>
            </a:p>
          </xdr:txBody>
        </xdr:sp>
      </mc:Choice>
      <mc:Fallback xmlns="">
        <xdr:sp macro="" textlink="">
          <xdr:nvSpPr>
            <xdr:cNvPr id="400" name="CuadroTexto 399">
              <a:extLst>
                <a:ext uri="{FF2B5EF4-FFF2-40B4-BE49-F238E27FC236}">
                  <a16:creationId xmlns:a16="http://schemas.microsoft.com/office/drawing/2014/main" id="{FCAEF424-28C2-48D6-A878-7E9EE8C88589}"/>
                </a:ext>
              </a:extLst>
            </xdr:cNvPr>
            <xdr:cNvSpPr txBox="1"/>
          </xdr:nvSpPr>
          <xdr:spPr>
            <a:xfrm>
              <a:off x="9974792" y="143186150"/>
              <a:ext cx="2180166" cy="127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274,000,000 á𝑟𝑏𝑜𝑙𝑒𝑠 )/(?(377,410))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726 𝐵. 𝐶ℎ𝑎𝑝𝑢)/1 </a:t>
              </a:r>
              <a:r>
                <a:rPr lang="es-MX" sz="900" b="0" i="0">
                  <a:latin typeface="Cambria Math" panose="02040503050406030204" pitchFamily="18" charset="0"/>
                </a:rPr>
                <a:t> </a:t>
              </a:r>
              <a:endParaRPr lang="es-MX" sz="900" b="0"/>
            </a:p>
            <a:p>
              <a:endParaRPr lang="es-MX" sz="900"/>
            </a:p>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377,410 á𝑟𝑏𝑜𝑙𝑒𝑠 )/(?(.052))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 1 𝐵. 𝐶ℎ𝑎𝑝𝑢)/(?())  </a:t>
              </a:r>
              <a:endParaRPr lang="es-MX" sz="900"/>
            </a:p>
          </xdr:txBody>
        </xdr:sp>
      </mc:Fallback>
    </mc:AlternateContent>
    <xdr:clientData/>
  </xdr:oneCellAnchor>
  <xdr:oneCellAnchor>
    <xdr:from>
      <xdr:col>10</xdr:col>
      <xdr:colOff>268288</xdr:colOff>
      <xdr:row>164</xdr:row>
      <xdr:rowOff>362501</xdr:rowOff>
    </xdr:from>
    <xdr:ext cx="1762126" cy="904323"/>
    <mc:AlternateContent xmlns:mc="http://schemas.openxmlformats.org/markup-compatibility/2006" xmlns:a14="http://schemas.microsoft.com/office/drawing/2010/main">
      <mc:Choice Requires="a14">
        <xdr:sp macro="" textlink="">
          <xdr:nvSpPr>
            <xdr:cNvPr id="401" name="CuadroTexto 400">
              <a:extLst>
                <a:ext uri="{FF2B5EF4-FFF2-40B4-BE49-F238E27FC236}">
                  <a16:creationId xmlns:a16="http://schemas.microsoft.com/office/drawing/2014/main" id="{8985D6F6-813B-46DA-B958-5E1533A696B2}"/>
                </a:ext>
              </a:extLst>
            </xdr:cNvPr>
            <xdr:cNvSpPr txBox="1"/>
          </xdr:nvSpPr>
          <xdr:spPr>
            <a:xfrm>
              <a:off x="12650788" y="143301001"/>
              <a:ext cx="1762126" cy="904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𝐵𝑜𝑠𝑞𝑢𝑒</m:t>
                    </m:r>
                    <m:r>
                      <a:rPr lang="es-MX" sz="1000" b="0" i="1">
                        <a:latin typeface="Cambria Math" panose="02040503050406030204" pitchFamily="18" charset="0"/>
                      </a:rPr>
                      <m:t>=377,410 á</m:t>
                    </m:r>
                    <m:r>
                      <a:rPr lang="es-MX" sz="1000" b="0" i="1">
                        <a:latin typeface="Cambria Math" panose="02040503050406030204" pitchFamily="18" charset="0"/>
                      </a:rPr>
                      <m:t>𝑟𝑏𝑜𝑙𝑒𝑠</m:t>
                    </m:r>
                  </m:oMath>
                </m:oMathPara>
              </a14:m>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0 </m:t>
                    </m:r>
                    <m:r>
                      <m:rPr>
                        <m:sty m:val="p"/>
                      </m:rPr>
                      <a:rPr lang="es-MX" sz="1000" b="0" i="0">
                        <a:latin typeface="Cambria Math" panose="02040503050406030204" pitchFamily="18" charset="0"/>
                      </a:rPr>
                      <m:t>B</m:t>
                    </m:r>
                    <m:r>
                      <a:rPr lang="es-MX" sz="1000" b="0" i="0">
                        <a:latin typeface="Cambria Math" panose="02040503050406030204" pitchFamily="18" charset="0"/>
                      </a:rPr>
                      <m:t>. </m:t>
                    </m:r>
                    <m:r>
                      <m:rPr>
                        <m:sty m:val="p"/>
                      </m:rPr>
                      <a:rPr lang="es-MX" sz="1000" b="0" i="0">
                        <a:latin typeface="Cambria Math" panose="02040503050406030204" pitchFamily="18" charset="0"/>
                      </a:rPr>
                      <m:t>Chapu</m:t>
                    </m:r>
                  </m:oMath>
                </m:oMathPara>
              </a14:m>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𝑃𝐸𝐴𝐷</m:t>
                    </m:r>
                    <m:r>
                      <a:rPr lang="es-MX" sz="1000" b="0" i="1">
                        <a:solidFill>
                          <a:schemeClr val="tx1"/>
                        </a:solidFill>
                        <a:effectLst/>
                        <a:latin typeface="Cambria Math" panose="02040503050406030204" pitchFamily="18" charset="0"/>
                        <a:ea typeface="+mn-ea"/>
                        <a:cs typeface="+mn-cs"/>
                      </a:rPr>
                      <m:t>=.00014 </m:t>
                    </m:r>
                    <m:r>
                      <m:rPr>
                        <m:sty m:val="p"/>
                      </m:rPr>
                      <a:rPr lang="es-MX" sz="1000" b="0" i="0">
                        <a:solidFill>
                          <a:schemeClr val="tx1"/>
                        </a:solidFill>
                        <a:effectLst/>
                        <a:latin typeface="Cambria Math" panose="02040503050406030204" pitchFamily="18" charset="0"/>
                        <a:ea typeface="+mn-ea"/>
                        <a:cs typeface="+mn-cs"/>
                      </a:rPr>
                      <m:t>B</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Chap</m:t>
                    </m:r>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401" name="CuadroTexto 400">
              <a:extLst>
                <a:ext uri="{FF2B5EF4-FFF2-40B4-BE49-F238E27FC236}">
                  <a16:creationId xmlns:a16="http://schemas.microsoft.com/office/drawing/2014/main" id="{8985D6F6-813B-46DA-B958-5E1533A696B2}"/>
                </a:ext>
              </a:extLst>
            </xdr:cNvPr>
            <xdr:cNvSpPr txBox="1"/>
          </xdr:nvSpPr>
          <xdr:spPr>
            <a:xfrm>
              <a:off x="12650788" y="143301001"/>
              <a:ext cx="1762126" cy="904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𝐵𝑜𝑠𝑞𝑢𝑒=377,410 á𝑟𝑏𝑜𝑙𝑒𝑠</a:t>
              </a:r>
              <a:endParaRPr lang="es-MX" sz="1000" b="0" i="1">
                <a:latin typeface="Cambria Math" panose="02040503050406030204" pitchFamily="18" charset="0"/>
              </a:endParaRPr>
            </a:p>
            <a:p>
              <a:pPr/>
              <a:r>
                <a:rPr lang="es-MX" sz="1000" b="0" i="0">
                  <a:latin typeface="Cambria Math" panose="02040503050406030204" pitchFamily="18" charset="0"/>
                </a:rPr>
                <a:t>1 𝑘𝑔 𝑃𝐸𝐴𝐷=0 B. Chapu</a:t>
              </a: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𝑃𝐸𝐴𝐷=.00014 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2</xdr:col>
      <xdr:colOff>152400</xdr:colOff>
      <xdr:row>162</xdr:row>
      <xdr:rowOff>76200</xdr:rowOff>
    </xdr:from>
    <xdr:ext cx="323850" cy="323850"/>
    <xdr:pic>
      <xdr:nvPicPr>
        <xdr:cNvPr id="402" name="Gráfico 401" descr="Árbol de hojas podridas">
          <a:extLst>
            <a:ext uri="{FF2B5EF4-FFF2-40B4-BE49-F238E27FC236}">
              <a16:creationId xmlns:a16="http://schemas.microsoft.com/office/drawing/2014/main" id="{D95DAC59-229B-43B6-8AB3-632B112504F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1869" y="30853856"/>
          <a:ext cx="323850" cy="323850"/>
        </a:xfrm>
        <a:prstGeom prst="rect">
          <a:avLst/>
        </a:prstGeom>
      </xdr:spPr>
    </xdr:pic>
    <xdr:clientData/>
  </xdr:oneCellAnchor>
  <xdr:oneCellAnchor>
    <xdr:from>
      <xdr:col>2</xdr:col>
      <xdr:colOff>523874</xdr:colOff>
      <xdr:row>162</xdr:row>
      <xdr:rowOff>95250</xdr:rowOff>
    </xdr:from>
    <xdr:ext cx="700088" cy="285750"/>
    <xdr:pic>
      <xdr:nvPicPr>
        <xdr:cNvPr id="403" name="Imagen 402">
          <a:extLst>
            <a:ext uri="{FF2B5EF4-FFF2-40B4-BE49-F238E27FC236}">
              <a16:creationId xmlns:a16="http://schemas.microsoft.com/office/drawing/2014/main" id="{1B7C2D8B-D066-4639-A7B4-81BB58B06A90}"/>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893343" y="30872906"/>
          <a:ext cx="700088" cy="285750"/>
        </a:xfrm>
        <a:prstGeom prst="rect">
          <a:avLst/>
        </a:prstGeom>
      </xdr:spPr>
    </xdr:pic>
    <xdr:clientData/>
  </xdr:oneCellAnchor>
  <xdr:oneCellAnchor>
    <xdr:from>
      <xdr:col>4</xdr:col>
      <xdr:colOff>127001</xdr:colOff>
      <xdr:row>162</xdr:row>
      <xdr:rowOff>118532</xdr:rowOff>
    </xdr:from>
    <xdr:ext cx="317499" cy="317499"/>
    <xdr:pic>
      <xdr:nvPicPr>
        <xdr:cNvPr id="404" name="Imagen 403">
          <a:extLst>
            <a:ext uri="{FF2B5EF4-FFF2-40B4-BE49-F238E27FC236}">
              <a16:creationId xmlns:a16="http://schemas.microsoft.com/office/drawing/2014/main" id="{3773F70F-08EC-4618-A3F2-464D0D82E11D}"/>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3282" y="30896188"/>
          <a:ext cx="317499" cy="317499"/>
        </a:xfrm>
        <a:prstGeom prst="rect">
          <a:avLst/>
        </a:prstGeom>
      </xdr:spPr>
    </xdr:pic>
    <xdr:clientData/>
  </xdr:oneCellAnchor>
  <xdr:oneCellAnchor>
    <xdr:from>
      <xdr:col>5</xdr:col>
      <xdr:colOff>21167</xdr:colOff>
      <xdr:row>162</xdr:row>
      <xdr:rowOff>57401</xdr:rowOff>
    </xdr:from>
    <xdr:ext cx="539750" cy="378631"/>
    <xdr:pic>
      <xdr:nvPicPr>
        <xdr:cNvPr id="405" name="Imagen 404">
          <a:extLst>
            <a:ext uri="{FF2B5EF4-FFF2-40B4-BE49-F238E27FC236}">
              <a16:creationId xmlns:a16="http://schemas.microsoft.com/office/drawing/2014/main" id="{36A5FE16-B63C-4722-81F7-BE8BCBE99E06}"/>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40855" y="30835057"/>
          <a:ext cx="539750" cy="378631"/>
        </a:xfrm>
        <a:prstGeom prst="rect">
          <a:avLst/>
        </a:prstGeom>
      </xdr:spPr>
    </xdr:pic>
    <xdr:clientData/>
  </xdr:oneCellAnchor>
  <xdr:oneCellAnchor>
    <xdr:from>
      <xdr:col>9</xdr:col>
      <xdr:colOff>242094</xdr:colOff>
      <xdr:row>31</xdr:row>
      <xdr:rowOff>146844</xdr:rowOff>
    </xdr:from>
    <xdr:ext cx="1973263" cy="1400320"/>
    <mc:AlternateContent xmlns:mc="http://schemas.openxmlformats.org/markup-compatibility/2006" xmlns:a14="http://schemas.microsoft.com/office/drawing/2010/main">
      <mc:Choice Requires="a14">
        <xdr:sp macro="" textlink="">
          <xdr:nvSpPr>
            <xdr:cNvPr id="408" name="CuadroTexto 407">
              <a:extLst>
                <a:ext uri="{FF2B5EF4-FFF2-40B4-BE49-F238E27FC236}">
                  <a16:creationId xmlns:a16="http://schemas.microsoft.com/office/drawing/2014/main" id="{21C30639-DC4C-49D4-97EC-B6FE4055537F}"/>
                </a:ext>
              </a:extLst>
            </xdr:cNvPr>
            <xdr:cNvSpPr txBox="1"/>
          </xdr:nvSpPr>
          <xdr:spPr>
            <a:xfrm>
              <a:off x="10068719" y="34500344"/>
              <a:ext cx="1973263" cy="1400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10,577,474  </m:t>
                        </m:r>
                        <m:r>
                          <a:rPr lang="es-MX" sz="800" b="0" i="1">
                            <a:solidFill>
                              <a:schemeClr val="tx1"/>
                            </a:solidFill>
                            <a:effectLst/>
                            <a:latin typeface="Cambria Math" panose="02040503050406030204" pitchFamily="18" charset="0"/>
                            <a:ea typeface="+mn-ea"/>
                            <a:cs typeface="+mn-cs"/>
                          </a:rPr>
                          <m:t>𝑡𝐶𝑂</m:t>
                        </m:r>
                        <m:r>
                          <a:rPr lang="es-MX" sz="800" b="0" i="1">
                            <a:solidFill>
                              <a:schemeClr val="tx1"/>
                            </a:solidFill>
                            <a:effectLst/>
                            <a:latin typeface="Cambria Math" panose="02040503050406030204" pitchFamily="18" charset="0"/>
                            <a:ea typeface="+mn-ea"/>
                            <a:cs typeface="+mn-cs"/>
                          </a:rPr>
                          <m:t>2 </m:t>
                        </m:r>
                      </m:num>
                      <m:den>
                        <m:r>
                          <a:rPr lang="es-MX" sz="800" b="0" i="1">
                            <a:solidFill>
                              <a:schemeClr val="tx1"/>
                            </a:solidFill>
                            <a:effectLst/>
                            <a:latin typeface="Cambria Math" panose="02040503050406030204" pitchFamily="18" charset="0"/>
                            <a:ea typeface="+mn-ea"/>
                            <a:cs typeface="+mn-cs"/>
                          </a:rPr>
                          <m:t>1</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m:t>
                        </m:r>
                        <m:r>
                          <a:rPr lang="es-MX" sz="800" b="0" i="0">
                            <a:solidFill>
                              <a:schemeClr val="tx1"/>
                            </a:solidFill>
                            <a:effectLst/>
                            <a:latin typeface="Cambria Math" panose="02040503050406030204" pitchFamily="18" charset="0"/>
                            <a:ea typeface="+mn-ea"/>
                            <a:cs typeface="+mn-cs"/>
                          </a:rPr>
                          <m:t>74,000,000 á</m:t>
                        </m:r>
                        <m:r>
                          <m:rPr>
                            <m:sty m:val="p"/>
                          </m:rPr>
                          <a:rPr lang="es-MX" sz="800" b="0" i="0">
                            <a:solidFill>
                              <a:schemeClr val="tx1"/>
                            </a:solidFill>
                            <a:effectLst/>
                            <a:latin typeface="Cambria Math" panose="02040503050406030204" pitchFamily="18" charset="0"/>
                            <a:ea typeface="+mn-ea"/>
                            <a:cs typeface="+mn-cs"/>
                          </a:rPr>
                          <m:t>rboles</m:t>
                        </m:r>
                      </m:num>
                      <m:den>
                        <m:r>
                          <a:rPr lang="es-MX" sz="800" b="0" i="0">
                            <a:solidFill>
                              <a:schemeClr val="tx1"/>
                            </a:solidFill>
                            <a:effectLst/>
                            <a:latin typeface="Cambria Math" panose="02040503050406030204" pitchFamily="18" charset="0"/>
                            <a:ea typeface="+mn-ea"/>
                            <a:cs typeface="+mn-cs"/>
                          </a:rPr>
                          <m:t>?(26)</m:t>
                        </m:r>
                      </m:den>
                    </m:f>
                    <m:r>
                      <a:rPr lang="es-MX" sz="800" b="0" i="1">
                        <a:latin typeface="Cambria Math" panose="02040503050406030204" pitchFamily="18" charset="0"/>
                      </a:rPr>
                      <m:t> </m:t>
                    </m:r>
                  </m:oMath>
                </m:oMathPara>
              </a14:m>
              <a:endParaRPr lang="es-MX" sz="800" b="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𝐶𝑂</m:t>
                        </m:r>
                        <m:r>
                          <a:rPr lang="es-MX" sz="800" b="0" i="1">
                            <a:solidFill>
                              <a:schemeClr val="tx1"/>
                            </a:solidFill>
                            <a:effectLst/>
                            <a:latin typeface="Cambria Math" panose="02040503050406030204" pitchFamily="18" charset="0"/>
                            <a:ea typeface="+mn-ea"/>
                            <a:cs typeface="+mn-cs"/>
                          </a:rPr>
                          <m:t>2 </m:t>
                        </m:r>
                      </m:num>
                      <m:den>
                        <m:r>
                          <a:rPr lang="es-MX" sz="800" b="0" i="1">
                            <a:solidFill>
                              <a:schemeClr val="tx1"/>
                            </a:solidFill>
                            <a:effectLst/>
                            <a:latin typeface="Cambria Math" panose="02040503050406030204" pitchFamily="18" charset="0"/>
                            <a:ea typeface="+mn-ea"/>
                            <a:cs typeface="+mn-cs"/>
                          </a:rPr>
                          <m:t>?( 38.46)</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26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den>
                    </m:f>
                  </m:oMath>
                </m:oMathPara>
              </a14:m>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 á</m:t>
                        </m:r>
                        <m:r>
                          <a:rPr lang="es-MX" sz="800" b="0" i="1">
                            <a:solidFill>
                              <a:schemeClr val="tx1"/>
                            </a:solidFill>
                            <a:effectLst/>
                            <a:latin typeface="Cambria Math" panose="02040503050406030204" pitchFamily="18" charset="0"/>
                            <a:ea typeface="+mn-ea"/>
                            <a:cs typeface="+mn-cs"/>
                          </a:rPr>
                          <m:t>𝑟𝑏𝑜𝑙</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?( 86)</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38.46 </m:t>
                        </m:r>
                        <m:r>
                          <a:rPr lang="es-MX" sz="800" b="0" i="1">
                            <a:solidFill>
                              <a:schemeClr val="tx1"/>
                            </a:solidFill>
                            <a:effectLst/>
                            <a:latin typeface="Cambria Math" panose="02040503050406030204" pitchFamily="18" charset="0"/>
                            <a:ea typeface="+mn-ea"/>
                            <a:cs typeface="+mn-cs"/>
                          </a:rPr>
                          <m:t>𝑘𝑔𝐶𝑜</m:t>
                        </m:r>
                        <m:r>
                          <a:rPr lang="es-MX" sz="800" b="0" i="1">
                            <a:solidFill>
                              <a:schemeClr val="tx1"/>
                            </a:solidFill>
                            <a:effectLst/>
                            <a:latin typeface="Cambria Math" panose="02040503050406030204" pitchFamily="18" charset="0"/>
                            <a:ea typeface="+mn-ea"/>
                            <a:cs typeface="+mn-cs"/>
                          </a:rPr>
                          <m:t>2 </m:t>
                        </m:r>
                      </m:num>
                      <m:den>
                        <m:r>
                          <a:rPr lang="es-MX" sz="800" b="0" i="0">
                            <a:solidFill>
                              <a:schemeClr val="tx1"/>
                            </a:solidFill>
                            <a:effectLst/>
                            <a:latin typeface="Cambria Math" panose="02040503050406030204" pitchFamily="18" charset="0"/>
                            <a:ea typeface="+mn-ea"/>
                            <a:cs typeface="+mn-cs"/>
                          </a:rPr>
                          <m:t>3,320 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Co</m:t>
                        </m:r>
                        <m:r>
                          <a:rPr lang="es-MX" sz="800" b="0" i="0">
                            <a:solidFill>
                              <a:schemeClr val="tx1"/>
                            </a:solidFill>
                            <a:effectLst/>
                            <a:latin typeface="Cambria Math" panose="02040503050406030204" pitchFamily="18" charset="0"/>
                            <a:ea typeface="+mn-ea"/>
                            <a:cs typeface="+mn-cs"/>
                          </a:rPr>
                          <m:t>2</m:t>
                        </m:r>
                      </m:den>
                    </m:f>
                    <m:r>
                      <a:rPr lang="es-MX" sz="800" b="0" i="1">
                        <a:solidFill>
                          <a:schemeClr val="tx1"/>
                        </a:solidFill>
                        <a:effectLst/>
                        <a:latin typeface="Cambria Math" panose="02040503050406030204" pitchFamily="18" charset="0"/>
                        <a:ea typeface="+mn-ea"/>
                        <a:cs typeface="+mn-cs"/>
                      </a:rPr>
                      <m:t> </m:t>
                    </m:r>
                  </m:oMath>
                </m:oMathPara>
              </a14:m>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86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 .086)</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𝑃𝐸𝑇</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𝑃𝐸𝑇</m:t>
                        </m:r>
                      </m:den>
                    </m:f>
                    <m:r>
                      <a:rPr lang="es-MX" sz="8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408" name="CuadroTexto 407">
              <a:extLst>
                <a:ext uri="{FF2B5EF4-FFF2-40B4-BE49-F238E27FC236}">
                  <a16:creationId xmlns:a16="http://schemas.microsoft.com/office/drawing/2014/main" id="{21C30639-DC4C-49D4-97EC-B6FE4055537F}"/>
                </a:ext>
              </a:extLst>
            </xdr:cNvPr>
            <xdr:cNvSpPr txBox="1"/>
          </xdr:nvSpPr>
          <xdr:spPr>
            <a:xfrm>
              <a:off x="10068719" y="34500344"/>
              <a:ext cx="1973263" cy="1400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10,577,474  𝑡𝐶𝑂2 )/1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274,000,000 árboles)/(?(26)) </a:t>
              </a:r>
              <a:r>
                <a:rPr lang="es-MX" sz="800" b="0" i="0">
                  <a:latin typeface="Cambria Math" panose="02040503050406030204" pitchFamily="18" charset="0"/>
                </a:rPr>
                <a:t> </a:t>
              </a:r>
              <a:endParaRPr lang="es-MX" sz="800" b="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𝐶𝑂2 )/(?( 38.46))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26 á𝑟𝑏𝑜𝑙𝑒𝑠 )/(1 )</a:t>
              </a:r>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 á𝑟𝑏𝑜𝑙  )/(?( 86))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38.46 𝑘𝑔𝐶𝑜2 )/(3,320 kg Co2)  </a:t>
              </a:r>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86 á𝑟𝑏𝑜𝑙𝑒𝑠  )/(?( .086))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𝑃𝐸𝑇 )/(1 kg 𝑃𝐸𝑇)  </a:t>
              </a:r>
              <a:endParaRPr lang="es-MX" sz="800"/>
            </a:p>
          </xdr:txBody>
        </xdr:sp>
      </mc:Fallback>
    </mc:AlternateContent>
    <xdr:clientData/>
  </xdr:oneCellAnchor>
  <xdr:oneCellAnchor>
    <xdr:from>
      <xdr:col>10</xdr:col>
      <xdr:colOff>71438</xdr:colOff>
      <xdr:row>197</xdr:row>
      <xdr:rowOff>174625</xdr:rowOff>
    </xdr:from>
    <xdr:ext cx="1852084" cy="641779"/>
    <mc:AlternateContent xmlns:mc="http://schemas.openxmlformats.org/markup-compatibility/2006" xmlns:a14="http://schemas.microsoft.com/office/drawing/2010/main">
      <mc:Choice Requires="a14">
        <xdr:sp macro="" textlink="">
          <xdr:nvSpPr>
            <xdr:cNvPr id="411" name="CuadroTexto 410">
              <a:extLst>
                <a:ext uri="{FF2B5EF4-FFF2-40B4-BE49-F238E27FC236}">
                  <a16:creationId xmlns:a16="http://schemas.microsoft.com/office/drawing/2014/main" id="{10F001A7-F9F4-4175-A745-E7F85D6E5FB8}"/>
                </a:ext>
              </a:extLst>
            </xdr:cNvPr>
            <xdr:cNvSpPr txBox="1"/>
          </xdr:nvSpPr>
          <xdr:spPr>
            <a:xfrm>
              <a:off x="10787063" y="48656875"/>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030 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𝑃𝐸𝐴𝐷</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30.488 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411" name="CuadroTexto 410">
              <a:extLst>
                <a:ext uri="{FF2B5EF4-FFF2-40B4-BE49-F238E27FC236}">
                  <a16:creationId xmlns:a16="http://schemas.microsoft.com/office/drawing/2014/main" id="{10F001A7-F9F4-4175-A745-E7F85D6E5FB8}"/>
                </a:ext>
              </a:extLst>
            </xdr:cNvPr>
            <xdr:cNvSpPr txBox="1"/>
          </xdr:nvSpPr>
          <xdr:spPr>
            <a:xfrm>
              <a:off x="10787063" y="48656875"/>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𝑃𝐸𝐴𝐷=.030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𝑃𝐸𝐴𝐷=30.488 m3</a:t>
              </a:r>
              <a:endParaRPr lang="es-MX" sz="1000">
                <a:effectLst/>
              </a:endParaRPr>
            </a:p>
            <a:p>
              <a:endParaRPr lang="es-MX" sz="1000" b="0"/>
            </a:p>
          </xdr:txBody>
        </xdr:sp>
      </mc:Fallback>
    </mc:AlternateContent>
    <xdr:clientData/>
  </xdr:oneCellAnchor>
  <xdr:oneCellAnchor>
    <xdr:from>
      <xdr:col>9</xdr:col>
      <xdr:colOff>111126</xdr:colOff>
      <xdr:row>197</xdr:row>
      <xdr:rowOff>198438</xdr:rowOff>
    </xdr:from>
    <xdr:ext cx="1897062" cy="351443"/>
    <mc:AlternateContent xmlns:mc="http://schemas.openxmlformats.org/markup-compatibility/2006" xmlns:a14="http://schemas.microsoft.com/office/drawing/2010/main">
      <mc:Choice Requires="a14">
        <xdr:sp macro="" textlink="">
          <xdr:nvSpPr>
            <xdr:cNvPr id="412" name="CuadroTexto 411">
              <a:extLst>
                <a:ext uri="{FF2B5EF4-FFF2-40B4-BE49-F238E27FC236}">
                  <a16:creationId xmlns:a16="http://schemas.microsoft.com/office/drawing/2014/main" id="{7BFED663-7021-4F0D-987F-79E4096F7DF2}"/>
                </a:ext>
              </a:extLst>
            </xdr:cNvPr>
            <xdr:cNvSpPr txBox="1"/>
          </xdr:nvSpPr>
          <xdr:spPr>
            <a:xfrm>
              <a:off x="8921751" y="151391938"/>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32.8 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.030)</m:t>
                        </m:r>
                      </m:den>
                    </m:f>
                    <m:r>
                      <a:rPr lang="es-MX" sz="1600" b="0" i="1">
                        <a:latin typeface="Cambria Math" panose="02040503050406030204" pitchFamily="18" charset="0"/>
                      </a:rPr>
                      <m:t> </m:t>
                    </m:r>
                  </m:oMath>
                </m:oMathPara>
              </a14:m>
              <a:endParaRPr lang="es-MX" sz="1600"/>
            </a:p>
          </xdr:txBody>
        </xdr:sp>
      </mc:Choice>
      <mc:Fallback xmlns="">
        <xdr:sp macro="" textlink="">
          <xdr:nvSpPr>
            <xdr:cNvPr id="412" name="CuadroTexto 411">
              <a:extLst>
                <a:ext uri="{FF2B5EF4-FFF2-40B4-BE49-F238E27FC236}">
                  <a16:creationId xmlns:a16="http://schemas.microsoft.com/office/drawing/2014/main" id="{7BFED663-7021-4F0D-987F-79E4096F7DF2}"/>
                </a:ext>
              </a:extLst>
            </xdr:cNvPr>
            <xdr:cNvSpPr txBox="1"/>
          </xdr:nvSpPr>
          <xdr:spPr>
            <a:xfrm>
              <a:off x="8921751" y="151391938"/>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32.8 𝑘𝑔 𝑃𝐸𝐴𝐷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.030))</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198</xdr:row>
      <xdr:rowOff>214842</xdr:rowOff>
    </xdr:from>
    <xdr:ext cx="1852084" cy="125227"/>
    <xdr:sp macro="" textlink="">
      <xdr:nvSpPr>
        <xdr:cNvPr id="413" name="CuadroTexto 412">
          <a:extLst>
            <a:ext uri="{FF2B5EF4-FFF2-40B4-BE49-F238E27FC236}">
              <a16:creationId xmlns:a16="http://schemas.microsoft.com/office/drawing/2014/main" id="{0725930E-6D04-4B0C-A340-F64FCBB2725E}"/>
            </a:ext>
          </a:extLst>
        </xdr:cNvPr>
        <xdr:cNvSpPr txBox="1"/>
      </xdr:nvSpPr>
      <xdr:spPr>
        <a:xfrm>
          <a:off x="7033683" y="5010996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332642</xdr:colOff>
      <xdr:row>198</xdr:row>
      <xdr:rowOff>773968</xdr:rowOff>
    </xdr:from>
    <xdr:ext cx="1868525" cy="375680"/>
    <mc:AlternateContent xmlns:mc="http://schemas.openxmlformats.org/markup-compatibility/2006" xmlns:a14="http://schemas.microsoft.com/office/drawing/2010/main">
      <mc:Choice Requires="a14">
        <xdr:sp macro="" textlink="">
          <xdr:nvSpPr>
            <xdr:cNvPr id="414" name="CuadroTexto 413">
              <a:extLst>
                <a:ext uri="{FF2B5EF4-FFF2-40B4-BE49-F238E27FC236}">
                  <a16:creationId xmlns:a16="http://schemas.microsoft.com/office/drawing/2014/main" id="{D42B5A20-26B2-4820-88FC-F909A30587A7}"/>
                </a:ext>
              </a:extLst>
            </xdr:cNvPr>
            <xdr:cNvSpPr txBox="1"/>
          </xdr:nvSpPr>
          <xdr:spPr>
            <a:xfrm>
              <a:off x="7730392" y="1536343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414" name="CuadroTexto 413">
              <a:extLst>
                <a:ext uri="{FF2B5EF4-FFF2-40B4-BE49-F238E27FC236}">
                  <a16:creationId xmlns:a16="http://schemas.microsoft.com/office/drawing/2014/main" id="{D42B5A20-26B2-4820-88FC-F909A30587A7}"/>
                </a:ext>
              </a:extLst>
            </xdr:cNvPr>
            <xdr:cNvSpPr txBox="1"/>
          </xdr:nvSpPr>
          <xdr:spPr>
            <a:xfrm>
              <a:off x="7730392" y="1536343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325560</xdr:colOff>
      <xdr:row>198</xdr:row>
      <xdr:rowOff>235682</xdr:rowOff>
    </xdr:from>
    <xdr:ext cx="1852084" cy="292196"/>
    <mc:AlternateContent xmlns:mc="http://schemas.openxmlformats.org/markup-compatibility/2006" xmlns:a14="http://schemas.microsoft.com/office/drawing/2010/main">
      <mc:Choice Requires="a14">
        <xdr:sp macro="" textlink="">
          <xdr:nvSpPr>
            <xdr:cNvPr id="415" name="CuadroTexto 414">
              <a:extLst>
                <a:ext uri="{FF2B5EF4-FFF2-40B4-BE49-F238E27FC236}">
                  <a16:creationId xmlns:a16="http://schemas.microsoft.com/office/drawing/2014/main" id="{4D3FFC33-07E4-43DF-A7E4-73C375FEE2FF}"/>
                </a:ext>
              </a:extLst>
            </xdr:cNvPr>
            <xdr:cNvSpPr txBox="1"/>
          </xdr:nvSpPr>
          <xdr:spPr>
            <a:xfrm>
              <a:off x="7723310" y="1530960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415" name="CuadroTexto 414">
              <a:extLst>
                <a:ext uri="{FF2B5EF4-FFF2-40B4-BE49-F238E27FC236}">
                  <a16:creationId xmlns:a16="http://schemas.microsoft.com/office/drawing/2014/main" id="{4D3FFC33-07E4-43DF-A7E4-73C375FEE2FF}"/>
                </a:ext>
              </a:extLst>
            </xdr:cNvPr>
            <xdr:cNvSpPr txBox="1"/>
          </xdr:nvSpPr>
          <xdr:spPr>
            <a:xfrm>
              <a:off x="7723310" y="1530960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117475</xdr:colOff>
      <xdr:row>198</xdr:row>
      <xdr:rowOff>346075</xdr:rowOff>
    </xdr:from>
    <xdr:ext cx="1852084" cy="289246"/>
    <mc:AlternateContent xmlns:mc="http://schemas.openxmlformats.org/markup-compatibility/2006" xmlns:a14="http://schemas.microsoft.com/office/drawing/2010/main">
      <mc:Choice Requires="a14">
        <xdr:sp macro="" textlink="">
          <xdr:nvSpPr>
            <xdr:cNvPr id="416" name="CuadroTexto 415">
              <a:extLst>
                <a:ext uri="{FF2B5EF4-FFF2-40B4-BE49-F238E27FC236}">
                  <a16:creationId xmlns:a16="http://schemas.microsoft.com/office/drawing/2014/main" id="{D47066C9-3E05-42AE-9111-30643F41592A}"/>
                </a:ext>
              </a:extLst>
            </xdr:cNvPr>
            <xdr:cNvSpPr txBox="1"/>
          </xdr:nvSpPr>
          <xdr:spPr>
            <a:xfrm>
              <a:off x="9944100" y="153206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.030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416" name="CuadroTexto 415">
              <a:extLst>
                <a:ext uri="{FF2B5EF4-FFF2-40B4-BE49-F238E27FC236}">
                  <a16:creationId xmlns:a16="http://schemas.microsoft.com/office/drawing/2014/main" id="{D47066C9-3E05-42AE-9111-30643F41592A}"/>
                </a:ext>
              </a:extLst>
            </xdr:cNvPr>
            <xdr:cNvSpPr txBox="1"/>
          </xdr:nvSpPr>
          <xdr:spPr>
            <a:xfrm>
              <a:off x="9944100" y="153206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C𝑏=(.030 𝑚3)/(10 𝑚3)</a:t>
              </a:r>
              <a:endParaRPr lang="es-MX" sz="1000" b="0"/>
            </a:p>
          </xdr:txBody>
        </xdr:sp>
      </mc:Fallback>
    </mc:AlternateContent>
    <xdr:clientData/>
  </xdr:oneCellAnchor>
  <xdr:oneCellAnchor>
    <xdr:from>
      <xdr:col>10</xdr:col>
      <xdr:colOff>413543</xdr:colOff>
      <xdr:row>198</xdr:row>
      <xdr:rowOff>349249</xdr:rowOff>
    </xdr:from>
    <xdr:ext cx="1852084" cy="641779"/>
    <mc:AlternateContent xmlns:mc="http://schemas.openxmlformats.org/markup-compatibility/2006" xmlns:a14="http://schemas.microsoft.com/office/drawing/2010/main">
      <mc:Choice Requires="a14">
        <xdr:sp macro="" textlink="">
          <xdr:nvSpPr>
            <xdr:cNvPr id="417" name="CuadroTexto 416">
              <a:extLst>
                <a:ext uri="{FF2B5EF4-FFF2-40B4-BE49-F238E27FC236}">
                  <a16:creationId xmlns:a16="http://schemas.microsoft.com/office/drawing/2014/main" id="{96B6AEE3-2069-4720-9FE3-5B445A8BA248}"/>
                </a:ext>
              </a:extLst>
            </xdr:cNvPr>
            <xdr:cNvSpPr txBox="1"/>
          </xdr:nvSpPr>
          <xdr:spPr>
            <a:xfrm>
              <a:off x="12796043" y="15320962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003 </m:t>
                    </m:r>
                    <m:r>
                      <m:rPr>
                        <m:sty m:val="p"/>
                      </m:rPr>
                      <a:rPr lang="es-MX" sz="1000" b="0" i="0">
                        <a:latin typeface="Cambria Math" panose="02040503050406030204" pitchFamily="18" charset="0"/>
                      </a:rPr>
                      <m:t>camiones</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3</m:t>
                  </m:r>
                </m:oMath>
              </a14:m>
              <a:r>
                <a:rPr lang="es-MX" sz="1100" b="0">
                  <a:solidFill>
                    <a:schemeClr val="tx1"/>
                  </a:solidFill>
                  <a:effectLst/>
                  <a:latin typeface="+mn-lt"/>
                  <a:ea typeface="+mn-ea"/>
                  <a:cs typeface="+mn-cs"/>
                </a:rPr>
                <a:t> camiones</a:t>
              </a:r>
              <a:endParaRPr lang="es-MX" sz="1000">
                <a:effectLst/>
              </a:endParaRPr>
            </a:p>
            <a:p>
              <a:endParaRPr lang="es-MX" sz="1000" b="0"/>
            </a:p>
          </xdr:txBody>
        </xdr:sp>
      </mc:Choice>
      <mc:Fallback xmlns="">
        <xdr:sp macro="" textlink="">
          <xdr:nvSpPr>
            <xdr:cNvPr id="417" name="CuadroTexto 416">
              <a:extLst>
                <a:ext uri="{FF2B5EF4-FFF2-40B4-BE49-F238E27FC236}">
                  <a16:creationId xmlns:a16="http://schemas.microsoft.com/office/drawing/2014/main" id="{96B6AEE3-2069-4720-9FE3-5B445A8BA248}"/>
                </a:ext>
              </a:extLst>
            </xdr:cNvPr>
            <xdr:cNvSpPr txBox="1"/>
          </xdr:nvSpPr>
          <xdr:spPr>
            <a:xfrm>
              <a:off x="12796043" y="15320962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𝑃𝐸𝐴𝐷=.003 camiones</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𝑃𝐸𝐴𝐷=3</a:t>
              </a:r>
              <a:r>
                <a:rPr lang="es-MX" sz="1100" b="0">
                  <a:solidFill>
                    <a:schemeClr val="tx1"/>
                  </a:solidFill>
                  <a:effectLst/>
                  <a:latin typeface="+mn-lt"/>
                  <a:ea typeface="+mn-ea"/>
                  <a:cs typeface="+mn-cs"/>
                </a:rPr>
                <a:t> camiones</a:t>
              </a:r>
              <a:endParaRPr lang="es-MX" sz="1000">
                <a:effectLst/>
              </a:endParaRPr>
            </a:p>
            <a:p>
              <a:endParaRPr lang="es-MX" sz="1000" b="0"/>
            </a:p>
          </xdr:txBody>
        </xdr:sp>
      </mc:Fallback>
    </mc:AlternateContent>
    <xdr:clientData/>
  </xdr:oneCellAnchor>
  <xdr:oneCellAnchor>
    <xdr:from>
      <xdr:col>2</xdr:col>
      <xdr:colOff>561975</xdr:colOff>
      <xdr:row>196</xdr:row>
      <xdr:rowOff>28575</xdr:rowOff>
    </xdr:from>
    <xdr:ext cx="669925" cy="462224"/>
    <xdr:pic>
      <xdr:nvPicPr>
        <xdr:cNvPr id="421" name="Imagen 420">
          <a:extLst>
            <a:ext uri="{FF2B5EF4-FFF2-40B4-BE49-F238E27FC236}">
              <a16:creationId xmlns:a16="http://schemas.microsoft.com/office/drawing/2014/main" id="{3FA5C9E5-6F6A-45FA-9EB5-A94E89E93959}"/>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27475" y="46589950"/>
          <a:ext cx="669925" cy="462224"/>
        </a:xfrm>
        <a:prstGeom prst="rect">
          <a:avLst/>
        </a:prstGeom>
      </xdr:spPr>
    </xdr:pic>
    <xdr:clientData/>
  </xdr:oneCellAnchor>
  <xdr:oneCellAnchor>
    <xdr:from>
      <xdr:col>2</xdr:col>
      <xdr:colOff>142876</xdr:colOff>
      <xdr:row>196</xdr:row>
      <xdr:rowOff>85725</xdr:rowOff>
    </xdr:from>
    <xdr:ext cx="333376" cy="333376"/>
    <xdr:pic>
      <xdr:nvPicPr>
        <xdr:cNvPr id="422" name="Imagen 421">
          <a:extLst>
            <a:ext uri="{FF2B5EF4-FFF2-40B4-BE49-F238E27FC236}">
              <a16:creationId xmlns:a16="http://schemas.microsoft.com/office/drawing/2014/main" id="{AF3706C7-D95A-47DC-B1D2-28C7C82176D8}"/>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08376" y="46647100"/>
          <a:ext cx="333376" cy="333376"/>
        </a:xfrm>
        <a:prstGeom prst="rect">
          <a:avLst/>
        </a:prstGeom>
      </xdr:spPr>
    </xdr:pic>
    <xdr:clientData/>
  </xdr:oneCellAnchor>
  <xdr:oneCellAnchor>
    <xdr:from>
      <xdr:col>4</xdr:col>
      <xdr:colOff>66675</xdr:colOff>
      <xdr:row>196</xdr:row>
      <xdr:rowOff>128910</xdr:rowOff>
    </xdr:from>
    <xdr:ext cx="504825" cy="282360"/>
    <xdr:pic>
      <xdr:nvPicPr>
        <xdr:cNvPr id="423" name="Imagen 422">
          <a:extLst>
            <a:ext uri="{FF2B5EF4-FFF2-40B4-BE49-F238E27FC236}">
              <a16:creationId xmlns:a16="http://schemas.microsoft.com/office/drawing/2014/main" id="{F40461E3-4FA9-4AC1-ACD5-54A1A53614B9}"/>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6925" y="46690285"/>
          <a:ext cx="504825" cy="282360"/>
        </a:xfrm>
        <a:prstGeom prst="rect">
          <a:avLst/>
        </a:prstGeom>
      </xdr:spPr>
    </xdr:pic>
    <xdr:clientData/>
  </xdr:oneCellAnchor>
  <xdr:oneCellAnchor>
    <xdr:from>
      <xdr:col>8</xdr:col>
      <xdr:colOff>596347</xdr:colOff>
      <xdr:row>199</xdr:row>
      <xdr:rowOff>414128</xdr:rowOff>
    </xdr:from>
    <xdr:ext cx="1225309" cy="223907"/>
    <mc:AlternateContent xmlns:mc="http://schemas.openxmlformats.org/markup-compatibility/2006" xmlns:a14="http://schemas.microsoft.com/office/drawing/2010/main">
      <mc:Choice Requires="a14">
        <xdr:sp macro="" textlink="">
          <xdr:nvSpPr>
            <xdr:cNvPr id="424" name="CuadroTexto 423">
              <a:extLst>
                <a:ext uri="{FF2B5EF4-FFF2-40B4-BE49-F238E27FC236}">
                  <a16:creationId xmlns:a16="http://schemas.microsoft.com/office/drawing/2014/main" id="{18A98BF8-A19E-4AA8-BEF1-D709124DA205}"/>
                </a:ext>
              </a:extLst>
            </xdr:cNvPr>
            <xdr:cNvSpPr txBox="1"/>
          </xdr:nvSpPr>
          <xdr:spPr>
            <a:xfrm>
              <a:off x="7466253" y="153445159"/>
              <a:ext cx="1225309"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EA</a:t>
              </a:r>
              <a14:m>
                <m:oMath xmlns:m="http://schemas.openxmlformats.org/officeDocument/2006/math">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𝑘𝑔𝑚𝑎𝑡𝑒𝑟𝑖𝑎𝑙</m:t>
                      </m:r>
                    </m:num>
                    <m:den>
                      <m:r>
                        <a:rPr lang="es-MX" sz="1000" b="0" i="1">
                          <a:latin typeface="Cambria Math" panose="02040503050406030204" pitchFamily="18" charset="0"/>
                        </a:rPr>
                        <m:t>𝑐𝑒𝑎</m:t>
                      </m:r>
                    </m:den>
                  </m:f>
                </m:oMath>
              </a14:m>
              <a:endParaRPr lang="es-MX" sz="1000" b="0"/>
            </a:p>
          </xdr:txBody>
        </xdr:sp>
      </mc:Choice>
      <mc:Fallback xmlns="">
        <xdr:sp macro="" textlink="">
          <xdr:nvSpPr>
            <xdr:cNvPr id="424" name="CuadroTexto 423">
              <a:extLst>
                <a:ext uri="{FF2B5EF4-FFF2-40B4-BE49-F238E27FC236}">
                  <a16:creationId xmlns:a16="http://schemas.microsoft.com/office/drawing/2014/main" id="{18A98BF8-A19E-4AA8-BEF1-D709124DA205}"/>
                </a:ext>
              </a:extLst>
            </xdr:cNvPr>
            <xdr:cNvSpPr txBox="1"/>
          </xdr:nvSpPr>
          <xdr:spPr>
            <a:xfrm>
              <a:off x="7466253" y="153445159"/>
              <a:ext cx="1225309"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a:t>EA</a:t>
              </a:r>
              <a:r>
                <a:rPr lang="es-MX" sz="1000" b="0" i="0">
                  <a:latin typeface="Cambria Math" panose="02040503050406030204" pitchFamily="18" charset="0"/>
                </a:rPr>
                <a:t>=𝑘𝑔𝑚𝑎𝑡𝑒𝑟𝑖𝑎𝑙/𝑐𝑒𝑎</a:t>
              </a:r>
              <a:endParaRPr lang="es-MX" sz="1000" b="0"/>
            </a:p>
          </xdr:txBody>
        </xdr:sp>
      </mc:Fallback>
    </mc:AlternateContent>
    <xdr:clientData/>
  </xdr:oneCellAnchor>
  <xdr:oneCellAnchor>
    <xdr:from>
      <xdr:col>8</xdr:col>
      <xdr:colOff>243302</xdr:colOff>
      <xdr:row>199</xdr:row>
      <xdr:rowOff>869674</xdr:rowOff>
    </xdr:from>
    <xdr:ext cx="1819985" cy="370743"/>
    <mc:AlternateContent xmlns:mc="http://schemas.openxmlformats.org/markup-compatibility/2006" xmlns:a14="http://schemas.microsoft.com/office/drawing/2010/main">
      <mc:Choice Requires="a14">
        <xdr:sp macro="" textlink="">
          <xdr:nvSpPr>
            <xdr:cNvPr id="425" name="CuadroTexto 424">
              <a:extLst>
                <a:ext uri="{FF2B5EF4-FFF2-40B4-BE49-F238E27FC236}">
                  <a16:creationId xmlns:a16="http://schemas.microsoft.com/office/drawing/2014/main" id="{65CCB0D2-B618-4776-B0B0-C62DE9A88B32}"/>
                </a:ext>
              </a:extLst>
            </xdr:cNvPr>
            <xdr:cNvSpPr txBox="1"/>
          </xdr:nvSpPr>
          <xdr:spPr>
            <a:xfrm>
              <a:off x="7641052" y="155142924"/>
              <a:ext cx="1819985" cy="3707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m:t>
                    </m:r>
                  </m:oMath>
                </m:oMathPara>
              </a14:m>
              <a:endParaRPr lang="es-MX" sz="800" b="0" i="1">
                <a:latin typeface="Cambria Math" panose="02040503050406030204" pitchFamily="18" charset="0"/>
              </a:endParaRPr>
            </a:p>
            <a:p>
              <a14:m>
                <m:oMath xmlns:m="http://schemas.openxmlformats.org/officeDocument/2006/math">
                  <m:r>
                    <m:rPr>
                      <m:sty m:val="p"/>
                    </m:rPr>
                    <a:rPr lang="es-MX" sz="800" b="0" i="0">
                      <a:latin typeface="Cambria Math" panose="02040503050406030204" pitchFamily="18" charset="0"/>
                    </a:rPr>
                    <m:t>kgMat</m:t>
                  </m:r>
                </m:oMath>
              </a14:m>
              <a:r>
                <a:rPr lang="es-MX" sz="800" b="0"/>
                <a:t> representa número de kilos de</a:t>
              </a:r>
              <a:r>
                <a:rPr lang="es-MX" sz="800" b="0" baseline="0"/>
                <a:t>  mat</a:t>
              </a:r>
              <a:endParaRPr lang="es-MX" sz="800" b="0"/>
            </a:p>
            <a:p>
              <a:r>
                <a:rPr lang="es-MX" sz="800" b="0"/>
                <a:t>Ea representa</a:t>
              </a:r>
              <a:r>
                <a:rPr lang="es-MX" sz="800" b="0" baseline="0"/>
                <a:t>  capacidad del Estadio </a:t>
              </a:r>
              <a:endParaRPr lang="es-MX" sz="800" b="0"/>
            </a:p>
          </xdr:txBody>
        </xdr:sp>
      </mc:Choice>
      <mc:Fallback xmlns="">
        <xdr:sp macro="" textlink="">
          <xdr:nvSpPr>
            <xdr:cNvPr id="425" name="CuadroTexto 424">
              <a:extLst>
                <a:ext uri="{FF2B5EF4-FFF2-40B4-BE49-F238E27FC236}">
                  <a16:creationId xmlns:a16="http://schemas.microsoft.com/office/drawing/2014/main" id="{65CCB0D2-B618-4776-B0B0-C62DE9A88B32}"/>
                </a:ext>
              </a:extLst>
            </xdr:cNvPr>
            <xdr:cNvSpPr txBox="1"/>
          </xdr:nvSpPr>
          <xdr:spPr>
            <a:xfrm>
              <a:off x="7641052" y="155142924"/>
              <a:ext cx="1819985" cy="3707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a:t>
              </a:r>
              <a:endParaRPr lang="es-MX" sz="800" b="0" i="1">
                <a:latin typeface="Cambria Math" panose="02040503050406030204" pitchFamily="18" charset="0"/>
              </a:endParaRPr>
            </a:p>
            <a:p>
              <a:r>
                <a:rPr lang="es-MX" sz="800" b="0" i="0">
                  <a:latin typeface="Cambria Math" panose="02040503050406030204" pitchFamily="18" charset="0"/>
                </a:rPr>
                <a:t>kgMat</a:t>
              </a:r>
              <a:r>
                <a:rPr lang="es-MX" sz="800" b="0"/>
                <a:t> representa número de kilos de</a:t>
              </a:r>
              <a:r>
                <a:rPr lang="es-MX" sz="800" b="0" baseline="0"/>
                <a:t>  mat</a:t>
              </a:r>
              <a:endParaRPr lang="es-MX" sz="800" b="0"/>
            </a:p>
            <a:p>
              <a:r>
                <a:rPr lang="es-MX" sz="800" b="0"/>
                <a:t>Ea representa</a:t>
              </a:r>
              <a:r>
                <a:rPr lang="es-MX" sz="800" b="0" baseline="0"/>
                <a:t>  capacidad del Estadio </a:t>
              </a:r>
              <a:endParaRPr lang="es-MX" sz="800" b="0"/>
            </a:p>
          </xdr:txBody>
        </xdr:sp>
      </mc:Fallback>
    </mc:AlternateContent>
    <xdr:clientData/>
  </xdr:oneCellAnchor>
  <xdr:oneCellAnchor>
    <xdr:from>
      <xdr:col>9</xdr:col>
      <xdr:colOff>260351</xdr:colOff>
      <xdr:row>224</xdr:row>
      <xdr:rowOff>436563</xdr:rowOff>
    </xdr:from>
    <xdr:ext cx="1897062" cy="351443"/>
    <mc:AlternateContent xmlns:mc="http://schemas.openxmlformats.org/markup-compatibility/2006" xmlns:a14="http://schemas.microsoft.com/office/drawing/2010/main">
      <mc:Choice Requires="a14">
        <xdr:sp macro="" textlink="">
          <xdr:nvSpPr>
            <xdr:cNvPr id="428" name="CuadroTexto 427">
              <a:extLst>
                <a:ext uri="{FF2B5EF4-FFF2-40B4-BE49-F238E27FC236}">
                  <a16:creationId xmlns:a16="http://schemas.microsoft.com/office/drawing/2014/main" id="{1A7ADDC7-6C96-42E8-817F-1C26ED5D0DF4}"/>
                </a:ext>
              </a:extLst>
            </xdr:cNvPr>
            <xdr:cNvSpPr txBox="1"/>
          </xdr:nvSpPr>
          <xdr:spPr>
            <a:xfrm>
              <a:off x="10086976" y="1674098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4.44 </m:t>
                        </m:r>
                        <m:r>
                          <a:rPr lang="es-MX" sz="1100" b="0" i="1">
                            <a:solidFill>
                              <a:schemeClr val="tx1"/>
                            </a:solidFill>
                            <a:effectLst/>
                            <a:latin typeface="Cambria Math" panose="02040503050406030204" pitchFamily="18" charset="0"/>
                            <a:ea typeface="+mn-ea"/>
                            <a:cs typeface="+mn-cs"/>
                          </a:rPr>
                          <m:t>𝐵𝑃</m:t>
                        </m:r>
                      </m:num>
                      <m:den>
                        <m:r>
                          <a:rPr lang="es-MX" sz="1100" b="0" i="0">
                            <a:solidFill>
                              <a:schemeClr val="tx1"/>
                            </a:solidFill>
                            <a:effectLst/>
                            <a:latin typeface="Cambria Math" panose="02040503050406030204" pitchFamily="18" charset="0"/>
                            <a:ea typeface="+mn-ea"/>
                            <a:cs typeface="+mn-cs"/>
                          </a:rPr>
                          <m:t>?( .00444)</m:t>
                        </m:r>
                      </m:den>
                    </m:f>
                    <m:r>
                      <a:rPr lang="es-MX" sz="1600" b="0" i="1">
                        <a:latin typeface="Cambria Math" panose="02040503050406030204" pitchFamily="18" charset="0"/>
                      </a:rPr>
                      <m:t> </m:t>
                    </m:r>
                  </m:oMath>
                </m:oMathPara>
              </a14:m>
              <a:endParaRPr lang="es-MX" sz="1600"/>
            </a:p>
          </xdr:txBody>
        </xdr:sp>
      </mc:Choice>
      <mc:Fallback xmlns="">
        <xdr:sp macro="" textlink="">
          <xdr:nvSpPr>
            <xdr:cNvPr id="428" name="CuadroTexto 427">
              <a:extLst>
                <a:ext uri="{FF2B5EF4-FFF2-40B4-BE49-F238E27FC236}">
                  <a16:creationId xmlns:a16="http://schemas.microsoft.com/office/drawing/2014/main" id="{1A7ADDC7-6C96-42E8-817F-1C26ED5D0DF4}"/>
                </a:ext>
              </a:extLst>
            </xdr:cNvPr>
            <xdr:cNvSpPr txBox="1"/>
          </xdr:nvSpPr>
          <xdr:spPr>
            <a:xfrm>
              <a:off x="10086976" y="1674098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4.44 𝐵𝑃)/(?( .00444))</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95250</xdr:colOff>
      <xdr:row>224</xdr:row>
      <xdr:rowOff>413808</xdr:rowOff>
    </xdr:from>
    <xdr:ext cx="2261659" cy="628650"/>
    <mc:AlternateContent xmlns:mc="http://schemas.openxmlformats.org/markup-compatibility/2006" xmlns:a14="http://schemas.microsoft.com/office/drawing/2010/main">
      <mc:Choice Requires="a14">
        <xdr:sp macro="" textlink="">
          <xdr:nvSpPr>
            <xdr:cNvPr id="429" name="CuadroTexto 428">
              <a:extLst>
                <a:ext uri="{FF2B5EF4-FFF2-40B4-BE49-F238E27FC236}">
                  <a16:creationId xmlns:a16="http://schemas.microsoft.com/office/drawing/2014/main" id="{767AFAFC-0384-4C97-958E-76CF4CA1218E}"/>
                </a:ext>
              </a:extLst>
            </xdr:cNvPr>
            <xdr:cNvSpPr txBox="1"/>
          </xdr:nvSpPr>
          <xdr:spPr>
            <a:xfrm>
              <a:off x="12477750" y="167387058"/>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 .0044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4.44 </m:t>
                    </m:r>
                    <m:r>
                      <m:rPr>
                        <m:sty m:val="p"/>
                      </m:rPr>
                      <a:rPr lang="es-MX" sz="1050" b="0" i="0">
                        <a:solidFill>
                          <a:schemeClr val="tx1"/>
                        </a:solidFill>
                        <a:effectLst/>
                        <a:latin typeface="Cambria Math" panose="02040503050406030204" pitchFamily="18" charset="0"/>
                        <a:ea typeface="+mn-ea"/>
                        <a:cs typeface="+mn-cs"/>
                      </a:rPr>
                      <m:t>BP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429" name="CuadroTexto 428">
              <a:extLst>
                <a:ext uri="{FF2B5EF4-FFF2-40B4-BE49-F238E27FC236}">
                  <a16:creationId xmlns:a16="http://schemas.microsoft.com/office/drawing/2014/main" id="{767AFAFC-0384-4C97-958E-76CF4CA1218E}"/>
                </a:ext>
              </a:extLst>
            </xdr:cNvPr>
            <xdr:cNvSpPr txBox="1"/>
          </xdr:nvSpPr>
          <xdr:spPr>
            <a:xfrm>
              <a:off x="12477750" y="167387058"/>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𝑃𝐸𝐴𝐷= .0044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𝑃𝐸𝐴𝐷=4.44 BP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2</xdr:col>
      <xdr:colOff>85725</xdr:colOff>
      <xdr:row>223</xdr:row>
      <xdr:rowOff>63500</xdr:rowOff>
    </xdr:from>
    <xdr:ext cx="431682" cy="429683"/>
    <xdr:pic>
      <xdr:nvPicPr>
        <xdr:cNvPr id="430" name="Gráfico 429" descr="Barril de petróleo">
          <a:extLst>
            <a:ext uri="{FF2B5EF4-FFF2-40B4-BE49-F238E27FC236}">
              <a16:creationId xmlns:a16="http://schemas.microsoft.com/office/drawing/2014/main" id="{C3C70408-F06D-4C40-9BA8-BE7946C1068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55194" y="61702156"/>
          <a:ext cx="431682" cy="429683"/>
        </a:xfrm>
        <a:prstGeom prst="rect">
          <a:avLst/>
        </a:prstGeom>
      </xdr:spPr>
    </xdr:pic>
    <xdr:clientData/>
  </xdr:oneCellAnchor>
  <xdr:oneCellAnchor>
    <xdr:from>
      <xdr:col>3</xdr:col>
      <xdr:colOff>104775</xdr:colOff>
      <xdr:row>223</xdr:row>
      <xdr:rowOff>133350</xdr:rowOff>
    </xdr:from>
    <xdr:ext cx="332318" cy="315504"/>
    <xdr:pic>
      <xdr:nvPicPr>
        <xdr:cNvPr id="431" name="Imagen 430">
          <a:extLst>
            <a:ext uri="{FF2B5EF4-FFF2-40B4-BE49-F238E27FC236}">
              <a16:creationId xmlns:a16="http://schemas.microsoft.com/office/drawing/2014/main" id="{46583B0C-6636-4997-8562-7E155DFE5412}"/>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57650" y="61772006"/>
          <a:ext cx="332318" cy="315504"/>
        </a:xfrm>
        <a:prstGeom prst="rect">
          <a:avLst/>
        </a:prstGeom>
      </xdr:spPr>
    </xdr:pic>
    <xdr:clientData/>
  </xdr:oneCellAnchor>
  <xdr:oneCellAnchor>
    <xdr:from>
      <xdr:col>4</xdr:col>
      <xdr:colOff>216958</xdr:colOff>
      <xdr:row>223</xdr:row>
      <xdr:rowOff>151302</xdr:rowOff>
    </xdr:from>
    <xdr:ext cx="259291" cy="272028"/>
    <xdr:pic>
      <xdr:nvPicPr>
        <xdr:cNvPr id="432" name="Imagen 431">
          <a:extLst>
            <a:ext uri="{FF2B5EF4-FFF2-40B4-BE49-F238E27FC236}">
              <a16:creationId xmlns:a16="http://schemas.microsoft.com/office/drawing/2014/main" id="{A6927933-6CFD-4C1B-8CD7-2FAD4A537AE7}"/>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3239" y="61789958"/>
          <a:ext cx="259291" cy="272028"/>
        </a:xfrm>
        <a:prstGeom prst="rect">
          <a:avLst/>
        </a:prstGeom>
      </xdr:spPr>
    </xdr:pic>
    <xdr:clientData/>
  </xdr:oneCellAnchor>
  <xdr:oneCellAnchor>
    <xdr:from>
      <xdr:col>6</xdr:col>
      <xdr:colOff>76200</xdr:colOff>
      <xdr:row>223</xdr:row>
      <xdr:rowOff>69850</xdr:rowOff>
    </xdr:from>
    <xdr:ext cx="457200" cy="448468"/>
    <xdr:pic>
      <xdr:nvPicPr>
        <xdr:cNvPr id="433" name="Gráfico 432" descr="Convertible">
          <a:extLst>
            <a:ext uri="{FF2B5EF4-FFF2-40B4-BE49-F238E27FC236}">
              <a16:creationId xmlns:a16="http://schemas.microsoft.com/office/drawing/2014/main" id="{B07CA07A-2876-426C-884A-B8F29E2C818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9294" y="61708506"/>
          <a:ext cx="457200" cy="448468"/>
        </a:xfrm>
        <a:prstGeom prst="rect">
          <a:avLst/>
        </a:prstGeom>
      </xdr:spPr>
    </xdr:pic>
    <xdr:clientData/>
  </xdr:oneCellAnchor>
  <xdr:oneCellAnchor>
    <xdr:from>
      <xdr:col>9</xdr:col>
      <xdr:colOff>185208</xdr:colOff>
      <xdr:row>226</xdr:row>
      <xdr:rowOff>428625</xdr:rowOff>
    </xdr:from>
    <xdr:ext cx="1529291" cy="255519"/>
    <mc:AlternateContent xmlns:mc="http://schemas.openxmlformats.org/markup-compatibility/2006" xmlns:a14="http://schemas.microsoft.com/office/drawing/2010/main">
      <mc:Choice Requires="a14">
        <xdr:sp macro="" textlink="">
          <xdr:nvSpPr>
            <xdr:cNvPr id="434" name="CuadroTexto 433">
              <a:extLst>
                <a:ext uri="{FF2B5EF4-FFF2-40B4-BE49-F238E27FC236}">
                  <a16:creationId xmlns:a16="http://schemas.microsoft.com/office/drawing/2014/main" id="{1C599C2F-0ECE-4F29-BA5F-9E69ED56F24A}"/>
                </a:ext>
              </a:extLst>
            </xdr:cNvPr>
            <xdr:cNvSpPr txBox="1"/>
          </xdr:nvSpPr>
          <xdr:spPr>
            <a:xfrm>
              <a:off x="8972021" y="168854438"/>
              <a:ext cx="1529291" cy="255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P</m:t>
                        </m:r>
                        <m:r>
                          <a:rPr lang="es-MX" sz="800" b="0" i="1">
                            <a:solidFill>
                              <a:schemeClr val="tx1"/>
                            </a:solidFill>
                            <a:effectLst/>
                            <a:latin typeface="Cambria Math" panose="02040503050406030204" pitchFamily="18" charset="0"/>
                            <a:ea typeface="+mn-ea"/>
                            <a:cs typeface="+mn-cs"/>
                          </a:rPr>
                          <m:t>𝐸𝐴𝐷</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837.6 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𝑎h𝑜𝑟𝑟𝑎𝑑𝑜</m:t>
                        </m:r>
                      </m:num>
                      <m:den>
                        <m:r>
                          <a:rPr lang="es-MX" sz="800" b="0" i="0">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.8376)</m:t>
                        </m:r>
                      </m:den>
                    </m:f>
                    <m:r>
                      <a:rPr lang="es-MX" sz="800" b="0" i="1">
                        <a:latin typeface="Cambria Math" panose="02040503050406030204" pitchFamily="18" charset="0"/>
                      </a:rPr>
                      <m:t> </m:t>
                    </m:r>
                  </m:oMath>
                </m:oMathPara>
              </a14:m>
              <a:endParaRPr lang="es-MX" sz="800"/>
            </a:p>
          </xdr:txBody>
        </xdr:sp>
      </mc:Choice>
      <mc:Fallback xmlns="">
        <xdr:sp macro="" textlink="">
          <xdr:nvSpPr>
            <xdr:cNvPr id="434" name="CuadroTexto 433">
              <a:extLst>
                <a:ext uri="{FF2B5EF4-FFF2-40B4-BE49-F238E27FC236}">
                  <a16:creationId xmlns:a16="http://schemas.microsoft.com/office/drawing/2014/main" id="{1C599C2F-0ECE-4F29-BA5F-9E69ED56F24A}"/>
                </a:ext>
              </a:extLst>
            </xdr:cNvPr>
            <xdr:cNvSpPr txBox="1"/>
          </xdr:nvSpPr>
          <xdr:spPr>
            <a:xfrm>
              <a:off x="8972021" y="168854438"/>
              <a:ext cx="1529291" cy="255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)/(1 kg P𝐸𝐴𝐷)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837.6 𝑘𝑔 𝑎ℎ𝑜𝑟𝑟𝑎𝑑𝑜)/(?( .8376)) </a:t>
              </a:r>
              <a:r>
                <a:rPr lang="es-MX" sz="800" b="0" i="0">
                  <a:latin typeface="Cambria Math" panose="02040503050406030204" pitchFamily="18" charset="0"/>
                </a:rPr>
                <a:t> </a:t>
              </a:r>
              <a:endParaRPr lang="es-MX" sz="800"/>
            </a:p>
          </xdr:txBody>
        </xdr:sp>
      </mc:Fallback>
    </mc:AlternateContent>
    <xdr:clientData/>
  </xdr:oneCellAnchor>
  <xdr:oneCellAnchor>
    <xdr:from>
      <xdr:col>10</xdr:col>
      <xdr:colOff>95251</xdr:colOff>
      <xdr:row>226</xdr:row>
      <xdr:rowOff>403488</xdr:rowOff>
    </xdr:from>
    <xdr:ext cx="1866900" cy="628650"/>
    <mc:AlternateContent xmlns:mc="http://schemas.openxmlformats.org/markup-compatibility/2006" xmlns:a14="http://schemas.microsoft.com/office/drawing/2010/main">
      <mc:Choice Requires="a14">
        <xdr:sp macro="" textlink="">
          <xdr:nvSpPr>
            <xdr:cNvPr id="435" name="CuadroTexto 434">
              <a:extLst>
                <a:ext uri="{FF2B5EF4-FFF2-40B4-BE49-F238E27FC236}">
                  <a16:creationId xmlns:a16="http://schemas.microsoft.com/office/drawing/2014/main" id="{FDBC3355-939D-49EE-A584-DCF9D1CFD387}"/>
                </a:ext>
              </a:extLst>
            </xdr:cNvPr>
            <xdr:cNvSpPr txBox="1"/>
          </xdr:nvSpPr>
          <xdr:spPr>
            <a:xfrm>
              <a:off x="10772776" y="160537788"/>
              <a:ext cx="186690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.8376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837.3</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435" name="CuadroTexto 434">
              <a:extLst>
                <a:ext uri="{FF2B5EF4-FFF2-40B4-BE49-F238E27FC236}">
                  <a16:creationId xmlns:a16="http://schemas.microsoft.com/office/drawing/2014/main" id="{FDBC3355-939D-49EE-A584-DCF9D1CFD387}"/>
                </a:ext>
              </a:extLst>
            </xdr:cNvPr>
            <xdr:cNvSpPr txBox="1"/>
          </xdr:nvSpPr>
          <xdr:spPr>
            <a:xfrm>
              <a:off x="10772776" y="160537788"/>
              <a:ext cx="186690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𝑃𝐸𝐴𝐷=.8376  kg Mat </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𝑃𝐸𝐴𝐷=837.3</a:t>
              </a:r>
              <a:r>
                <a:rPr lang="es-MX" sz="1100" b="0" i="0">
                  <a:solidFill>
                    <a:schemeClr val="tx1"/>
                  </a:solidFill>
                  <a:effectLst/>
                  <a:latin typeface="Cambria Math" panose="02040503050406030204" pitchFamily="18" charset="0"/>
                  <a:ea typeface="+mn-ea"/>
                  <a:cs typeface="+mn-cs"/>
                </a:rPr>
                <a:t> kg "Mat </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275168</xdr:colOff>
      <xdr:row>227</xdr:row>
      <xdr:rowOff>592666</xdr:rowOff>
    </xdr:from>
    <xdr:ext cx="1645707" cy="319511"/>
    <mc:AlternateContent xmlns:mc="http://schemas.openxmlformats.org/markup-compatibility/2006" xmlns:a14="http://schemas.microsoft.com/office/drawing/2010/main">
      <mc:Choice Requires="a14">
        <xdr:sp macro="" textlink="">
          <xdr:nvSpPr>
            <xdr:cNvPr id="436" name="CuadroTexto 435">
              <a:extLst>
                <a:ext uri="{FF2B5EF4-FFF2-40B4-BE49-F238E27FC236}">
                  <a16:creationId xmlns:a16="http://schemas.microsoft.com/office/drawing/2014/main" id="{754AA669-93E1-4B2C-8C2D-958D6CFC4254}"/>
                </a:ext>
              </a:extLst>
            </xdr:cNvPr>
            <xdr:cNvSpPr txBox="1"/>
          </xdr:nvSpPr>
          <xdr:spPr>
            <a:xfrm>
              <a:off x="7672918" y="171804541"/>
              <a:ext cx="1645707"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barriles</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36" name="CuadroTexto 435">
              <a:extLst>
                <a:ext uri="{FF2B5EF4-FFF2-40B4-BE49-F238E27FC236}">
                  <a16:creationId xmlns:a16="http://schemas.microsoft.com/office/drawing/2014/main" id="{754AA669-93E1-4B2C-8C2D-958D6CFC4254}"/>
                </a:ext>
              </a:extLst>
            </xdr:cNvPr>
            <xdr:cNvSpPr txBox="1"/>
          </xdr:nvSpPr>
          <xdr:spPr>
            <a:xfrm>
              <a:off x="7672918" y="171804541"/>
              <a:ext cx="1645707"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)/(n barriles)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 </a:t>
              </a:r>
              <a:r>
                <a:rPr lang="es-MX" sz="1000" b="0" i="0">
                  <a:latin typeface="Cambria Math" panose="02040503050406030204" pitchFamily="18" charset="0"/>
                </a:rPr>
                <a:t> </a:t>
              </a:r>
              <a:endParaRPr lang="es-MX" sz="1000"/>
            </a:p>
          </xdr:txBody>
        </xdr:sp>
      </mc:Fallback>
    </mc:AlternateContent>
    <xdr:clientData/>
  </xdr:oneCellAnchor>
  <xdr:oneCellAnchor>
    <xdr:from>
      <xdr:col>8</xdr:col>
      <xdr:colOff>143933</xdr:colOff>
      <xdr:row>227</xdr:row>
      <xdr:rowOff>214842</xdr:rowOff>
    </xdr:from>
    <xdr:ext cx="1852084" cy="125227"/>
    <xdr:sp macro="" textlink="">
      <xdr:nvSpPr>
        <xdr:cNvPr id="437" name="CuadroTexto 436">
          <a:extLst>
            <a:ext uri="{FF2B5EF4-FFF2-40B4-BE49-F238E27FC236}">
              <a16:creationId xmlns:a16="http://schemas.microsoft.com/office/drawing/2014/main" id="{52B0CE01-6A40-4465-9632-2FD46DDDCBED}"/>
            </a:ext>
          </a:extLst>
        </xdr:cNvPr>
        <xdr:cNvSpPr txBox="1"/>
      </xdr:nvSpPr>
      <xdr:spPr>
        <a:xfrm>
          <a:off x="7013839" y="66580280"/>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9</xdr:col>
      <xdr:colOff>232833</xdr:colOff>
      <xdr:row>227</xdr:row>
      <xdr:rowOff>709083</xdr:rowOff>
    </xdr:from>
    <xdr:ext cx="1587499" cy="316497"/>
    <mc:AlternateContent xmlns:mc="http://schemas.openxmlformats.org/markup-compatibility/2006" xmlns:a14="http://schemas.microsoft.com/office/drawing/2010/main">
      <mc:Choice Requires="a14">
        <xdr:sp macro="" textlink="">
          <xdr:nvSpPr>
            <xdr:cNvPr id="438" name="CuadroTexto 437">
              <a:extLst>
                <a:ext uri="{FF2B5EF4-FFF2-40B4-BE49-F238E27FC236}">
                  <a16:creationId xmlns:a16="http://schemas.microsoft.com/office/drawing/2014/main" id="{82EB8BFA-1BEC-4722-B7AD-F0F17CCB03F1}"/>
                </a:ext>
              </a:extLst>
            </xdr:cNvPr>
            <xdr:cNvSpPr txBox="1"/>
          </xdr:nvSpPr>
          <xdr:spPr>
            <a:xfrm>
              <a:off x="9019646" y="67074521"/>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4.44 </m:t>
                        </m:r>
                        <m:r>
                          <m:rPr>
                            <m:sty m:val="p"/>
                          </m:rPr>
                          <a:rPr lang="es-MX" sz="1000" b="0" i="0">
                            <a:solidFill>
                              <a:schemeClr val="tx1"/>
                            </a:solidFill>
                            <a:effectLst/>
                            <a:latin typeface="Cambria Math" panose="02040503050406030204" pitchFamily="18" charset="0"/>
                            <a:ea typeface="+mn-ea"/>
                            <a:cs typeface="+mn-cs"/>
                          </a:rPr>
                          <m:t>BP</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?( 29</m:t>
                        </m:r>
                        <m:r>
                          <a:rPr lang="es-MX" sz="1000" b="0" i="1">
                            <a:solidFill>
                              <a:schemeClr val="tx1"/>
                            </a:solidFill>
                            <a:effectLst/>
                            <a:latin typeface="Cambria Math" panose="02040503050406030204" pitchFamily="18" charset="0"/>
                            <a:ea typeface="+mn-ea"/>
                            <a:cs typeface="+mn-cs"/>
                          </a:rPr>
                          <m:t>3)</m:t>
                        </m:r>
                      </m:den>
                    </m:f>
                    <m:r>
                      <a:rPr lang="es-MX" sz="1000" b="0" i="1">
                        <a:latin typeface="Cambria Math" panose="02040503050406030204" pitchFamily="18" charset="0"/>
                      </a:rPr>
                      <m:t> </m:t>
                    </m:r>
                  </m:oMath>
                </m:oMathPara>
              </a14:m>
              <a:endParaRPr lang="es-MX" sz="1000"/>
            </a:p>
          </xdr:txBody>
        </xdr:sp>
      </mc:Choice>
      <mc:Fallback xmlns="">
        <xdr:sp macro="" textlink="">
          <xdr:nvSpPr>
            <xdr:cNvPr id="438" name="CuadroTexto 437">
              <a:extLst>
                <a:ext uri="{FF2B5EF4-FFF2-40B4-BE49-F238E27FC236}">
                  <a16:creationId xmlns:a16="http://schemas.microsoft.com/office/drawing/2014/main" id="{82EB8BFA-1BEC-4722-B7AD-F0F17CCB03F1}"/>
                </a:ext>
              </a:extLst>
            </xdr:cNvPr>
            <xdr:cNvSpPr txBox="1"/>
          </xdr:nvSpPr>
          <xdr:spPr>
            <a:xfrm>
              <a:off x="9019646" y="67074521"/>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)/(4.44 BP)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𝑔𝑎𝑠𝑜𝑙𝑖𝑛𝑎)/(?( 293))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233097</xdr:colOff>
      <xdr:row>227</xdr:row>
      <xdr:rowOff>241829</xdr:rowOff>
    </xdr:from>
    <xdr:ext cx="2053167" cy="977372"/>
    <mc:AlternateContent xmlns:mc="http://schemas.openxmlformats.org/markup-compatibility/2006" xmlns:a14="http://schemas.microsoft.com/office/drawing/2010/main">
      <mc:Choice Requires="a14">
        <xdr:sp macro="" textlink="">
          <xdr:nvSpPr>
            <xdr:cNvPr id="439" name="CuadroTexto 438">
              <a:extLst>
                <a:ext uri="{FF2B5EF4-FFF2-40B4-BE49-F238E27FC236}">
                  <a16:creationId xmlns:a16="http://schemas.microsoft.com/office/drawing/2014/main" id="{0E26DA8C-E0C4-48C4-A19C-B91FC10C8037}"/>
                </a:ext>
              </a:extLst>
            </xdr:cNvPr>
            <xdr:cNvSpPr txBox="1"/>
          </xdr:nvSpPr>
          <xdr:spPr>
            <a:xfrm>
              <a:off x="12587022" y="170577404"/>
              <a:ext cx="2053167" cy="9773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 .293 </m:t>
                    </m:r>
                    <m:r>
                      <m:rPr>
                        <m:sty m:val="p"/>
                      </m:rPr>
                      <a:rPr lang="es-MX" sz="1050" b="0" i="0">
                        <a:latin typeface="Cambria Math" panose="02040503050406030204" pitchFamily="18" charset="0"/>
                      </a:rPr>
                      <m:t>Litros</m:t>
                    </m:r>
                    <m:r>
                      <a:rPr lang="es-MX" sz="1050" b="0" i="0">
                        <a:latin typeface="Cambria Math" panose="02040503050406030204" pitchFamily="18" charset="0"/>
                      </a:rPr>
                      <m:t> </m:t>
                    </m:r>
                    <m:r>
                      <m:rPr>
                        <m:sty m:val="p"/>
                      </m:rPr>
                      <a:rPr lang="es-MX" sz="1050" b="0" i="0">
                        <a:latin typeface="Cambria Math" panose="02040503050406030204" pitchFamily="18" charset="0"/>
                      </a:rPr>
                      <m:t>de</m:t>
                    </m:r>
                    <m:r>
                      <a:rPr lang="es-MX" sz="1050" b="0" i="0">
                        <a:latin typeface="Cambria Math" panose="02040503050406030204" pitchFamily="18" charset="0"/>
                      </a:rPr>
                      <m:t> </m:t>
                    </m:r>
                    <m:r>
                      <m:rPr>
                        <m:sty m:val="p"/>
                      </m:rPr>
                      <a:rPr lang="es-MX" sz="1050" b="0" i="0">
                        <a:latin typeface="Cambria Math" panose="02040503050406030204" pitchFamily="18" charset="0"/>
                      </a:rPr>
                      <m:t>g</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293 Litros de g </a:t>
              </a:r>
            </a:p>
            <a:p>
              <a:pPr algn="l"/>
              <a:endParaRPr lang="es-MX"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a:effectLst/>
                </a:rPr>
                <a:t>1 botella- .0172 L gasolina</a:t>
              </a:r>
            </a:p>
            <a:p>
              <a:pPr algn="l"/>
              <a:endParaRPr lang="es-MX" sz="1100" b="0"/>
            </a:p>
          </xdr:txBody>
        </xdr:sp>
      </mc:Choice>
      <mc:Fallback xmlns="">
        <xdr:sp macro="" textlink="">
          <xdr:nvSpPr>
            <xdr:cNvPr id="439" name="CuadroTexto 438">
              <a:extLst>
                <a:ext uri="{FF2B5EF4-FFF2-40B4-BE49-F238E27FC236}">
                  <a16:creationId xmlns:a16="http://schemas.microsoft.com/office/drawing/2014/main" id="{0E26DA8C-E0C4-48C4-A19C-B91FC10C8037}"/>
                </a:ext>
              </a:extLst>
            </xdr:cNvPr>
            <xdr:cNvSpPr txBox="1"/>
          </xdr:nvSpPr>
          <xdr:spPr>
            <a:xfrm>
              <a:off x="12587022" y="170577404"/>
              <a:ext cx="2053167" cy="9773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 .293 Litros de g</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293 Litros de g </a:t>
              </a:r>
            </a:p>
            <a:p>
              <a:pPr algn="l"/>
              <a:endParaRPr lang="es-MX"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a:effectLst/>
                </a:rPr>
                <a:t>1 botella- .0172 L gasolina</a:t>
              </a:r>
            </a:p>
            <a:p>
              <a:pPr algn="l"/>
              <a:endParaRPr lang="es-MX" sz="1100" b="0"/>
            </a:p>
          </xdr:txBody>
        </xdr:sp>
      </mc:Fallback>
    </mc:AlternateContent>
    <xdr:clientData/>
  </xdr:oneCellAnchor>
  <xdr:oneCellAnchor>
    <xdr:from>
      <xdr:col>5</xdr:col>
      <xdr:colOff>105834</xdr:colOff>
      <xdr:row>223</xdr:row>
      <xdr:rowOff>74083</xdr:rowOff>
    </xdr:from>
    <xdr:ext cx="414685" cy="414685"/>
    <xdr:pic>
      <xdr:nvPicPr>
        <xdr:cNvPr id="441" name="Imagen 440">
          <a:extLst>
            <a:ext uri="{FF2B5EF4-FFF2-40B4-BE49-F238E27FC236}">
              <a16:creationId xmlns:a16="http://schemas.microsoft.com/office/drawing/2014/main" id="{ED29C808-FA47-42B5-8E13-840B188DCD1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5522" y="61712739"/>
          <a:ext cx="414685" cy="414685"/>
        </a:xfrm>
        <a:prstGeom prst="rect">
          <a:avLst/>
        </a:prstGeom>
      </xdr:spPr>
    </xdr:pic>
    <xdr:clientData/>
  </xdr:oneCellAnchor>
  <xdr:oneCellAnchor>
    <xdr:from>
      <xdr:col>8</xdr:col>
      <xdr:colOff>228602</xdr:colOff>
      <xdr:row>228</xdr:row>
      <xdr:rowOff>627591</xdr:rowOff>
    </xdr:from>
    <xdr:ext cx="1746249" cy="316497"/>
    <mc:AlternateContent xmlns:mc="http://schemas.openxmlformats.org/markup-compatibility/2006" xmlns:a14="http://schemas.microsoft.com/office/drawing/2010/main">
      <mc:Choice Requires="a14">
        <xdr:sp macro="" textlink="">
          <xdr:nvSpPr>
            <xdr:cNvPr id="442" name="CuadroTexto 441">
              <a:extLst>
                <a:ext uri="{FF2B5EF4-FFF2-40B4-BE49-F238E27FC236}">
                  <a16:creationId xmlns:a16="http://schemas.microsoft.com/office/drawing/2014/main" id="{1B656FA1-B5E1-47F1-B669-EFA60356F3F8}"/>
                </a:ext>
              </a:extLst>
            </xdr:cNvPr>
            <xdr:cNvSpPr txBox="1"/>
          </xdr:nvSpPr>
          <xdr:spPr>
            <a:xfrm>
              <a:off x="7626352" y="173252341"/>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𝑝𝑒𝑡𝑟</m:t>
                        </m:r>
                        <m:r>
                          <a:rPr lang="es-MX" sz="1000" b="0" i="1">
                            <a:solidFill>
                              <a:schemeClr val="tx1"/>
                            </a:solidFill>
                            <a:effectLst/>
                            <a:latin typeface="Cambria Math" panose="02040503050406030204" pitchFamily="18" charset="0"/>
                            <a:ea typeface="+mn-ea"/>
                            <a:cs typeface="+mn-cs"/>
                          </a:rPr>
                          <m:t>ó</m:t>
                        </m:r>
                        <m:r>
                          <a:rPr lang="es-MX" sz="1000" b="0" i="1">
                            <a:solidFill>
                              <a:schemeClr val="tx1"/>
                            </a:solidFill>
                            <a:effectLst/>
                            <a:latin typeface="Cambria Math" panose="02040503050406030204" pitchFamily="18" charset="0"/>
                            <a:ea typeface="+mn-ea"/>
                            <a:cs typeface="+mn-cs"/>
                          </a:rPr>
                          <m:t>𝑙𝑒𝑜</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42" name="CuadroTexto 441">
              <a:extLst>
                <a:ext uri="{FF2B5EF4-FFF2-40B4-BE49-F238E27FC236}">
                  <a16:creationId xmlns:a16="http://schemas.microsoft.com/office/drawing/2014/main" id="{1B656FA1-B5E1-47F1-B669-EFA60356F3F8}"/>
                </a:ext>
              </a:extLst>
            </xdr:cNvPr>
            <xdr:cNvSpPr txBox="1"/>
          </xdr:nvSpPr>
          <xdr:spPr>
            <a:xfrm>
              <a:off x="7626352" y="173252341"/>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)/(n 𝐿 𝑝𝑒𝑡𝑟ó𝑙𝑒𝑜)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153459</xdr:colOff>
      <xdr:row>228</xdr:row>
      <xdr:rowOff>608542</xdr:rowOff>
    </xdr:from>
    <xdr:ext cx="1862666" cy="319511"/>
    <mc:AlternateContent xmlns:mc="http://schemas.openxmlformats.org/markup-compatibility/2006" xmlns:a14="http://schemas.microsoft.com/office/drawing/2010/main">
      <mc:Choice Requires="a14">
        <xdr:sp macro="" textlink="">
          <xdr:nvSpPr>
            <xdr:cNvPr id="443" name="CuadroTexto 442">
              <a:extLst>
                <a:ext uri="{FF2B5EF4-FFF2-40B4-BE49-F238E27FC236}">
                  <a16:creationId xmlns:a16="http://schemas.microsoft.com/office/drawing/2014/main" id="{49498EC1-D72A-468F-BBAE-41AA6EFFEEF0}"/>
                </a:ext>
              </a:extLst>
            </xdr:cNvPr>
            <xdr:cNvSpPr txBox="1"/>
          </xdr:nvSpPr>
          <xdr:spPr>
            <a:xfrm>
              <a:off x="9980084" y="1732332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7059 </m:t>
                        </m:r>
                        <m:r>
                          <m:rPr>
                            <m:sty m:val="p"/>
                          </m:rPr>
                          <a:rPr lang="es-MX" sz="1000" b="0" i="0">
                            <a:solidFill>
                              <a:schemeClr val="tx1"/>
                            </a:solidFill>
                            <a:effectLst/>
                            <a:latin typeface="Cambria Math" panose="02040503050406030204" pitchFamily="18" charset="0"/>
                            <a:ea typeface="+mn-ea"/>
                            <a:cs typeface="+mn-cs"/>
                          </a:rPr>
                          <m:t>L</m:t>
                        </m:r>
                        <m:r>
                          <a:rPr lang="es-MX" sz="1000" b="0" i="0">
                            <a:solidFill>
                              <a:schemeClr val="tx1"/>
                            </a:solidFill>
                            <a:effectLst/>
                            <a:latin typeface="Cambria Math" panose="02040503050406030204" pitchFamily="18" charset="0"/>
                            <a:ea typeface="+mn-ea"/>
                            <a:cs typeface="+mn-cs"/>
                          </a:rPr>
                          <m:t>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?(.000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43" name="CuadroTexto 442">
              <a:extLst>
                <a:ext uri="{FF2B5EF4-FFF2-40B4-BE49-F238E27FC236}">
                  <a16:creationId xmlns:a16="http://schemas.microsoft.com/office/drawing/2014/main" id="{49498EC1-D72A-468F-BBAE-41AA6EFFEEF0}"/>
                </a:ext>
              </a:extLst>
            </xdr:cNvPr>
            <xdr:cNvSpPr txBox="1"/>
          </xdr:nvSpPr>
          <xdr:spPr>
            <a:xfrm>
              <a:off x="9980084" y="1732332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a:t>
              </a:r>
              <a:r>
                <a:rPr lang="es-MX" sz="1100" b="0" i="0">
                  <a:solidFill>
                    <a:schemeClr val="tx1"/>
                  </a:solidFill>
                  <a:effectLst/>
                  <a:latin typeface="Cambria Math" panose="02040503050406030204" pitchFamily="18" charset="0"/>
                  <a:ea typeface="+mn-ea"/>
                  <a:cs typeface="+mn-cs"/>
                </a:rPr>
                <a:t>7059 </a:t>
              </a:r>
              <a:r>
                <a:rPr lang="es-MX" sz="1000" b="0" i="0">
                  <a:solidFill>
                    <a:schemeClr val="tx1"/>
                  </a:solidFill>
                  <a:effectLst/>
                  <a:latin typeface="Cambria Math" panose="02040503050406030204" pitchFamily="18" charset="0"/>
                  <a:ea typeface="+mn-ea"/>
                  <a:cs typeface="+mn-cs"/>
                </a:rPr>
                <a:t>L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𝑝𝑖𝑝𝑎)/(?(.000 ))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173590</xdr:colOff>
      <xdr:row>228</xdr:row>
      <xdr:rowOff>254000</xdr:rowOff>
    </xdr:from>
    <xdr:ext cx="2251316" cy="792076"/>
    <mc:AlternateContent xmlns:mc="http://schemas.openxmlformats.org/markup-compatibility/2006" xmlns:a14="http://schemas.microsoft.com/office/drawing/2010/main">
      <mc:Choice Requires="a14">
        <xdr:sp macro="" textlink="">
          <xdr:nvSpPr>
            <xdr:cNvPr id="444" name="CuadroTexto 443">
              <a:extLst>
                <a:ext uri="{FF2B5EF4-FFF2-40B4-BE49-F238E27FC236}">
                  <a16:creationId xmlns:a16="http://schemas.microsoft.com/office/drawing/2014/main" id="{A4EF943A-71A6-4C07-B873-2D44782EDF44}"/>
                </a:ext>
              </a:extLst>
            </xdr:cNvPr>
            <xdr:cNvSpPr txBox="1"/>
          </xdr:nvSpPr>
          <xdr:spPr>
            <a:xfrm>
              <a:off x="12556090" y="172878750"/>
              <a:ext cx="2251316"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0 </m:t>
                    </m:r>
                    <m:r>
                      <m:rPr>
                        <m:sty m:val="p"/>
                      </m:rPr>
                      <a:rPr lang="es-MX" sz="1100" b="0" i="0">
                        <a:solidFill>
                          <a:schemeClr val="tx1"/>
                        </a:solidFill>
                        <a:effectLst/>
                        <a:latin typeface="Cambria Math" panose="02040503050406030204" pitchFamily="18" charset="0"/>
                        <a:ea typeface="+mn-ea"/>
                        <a:cs typeface="+mn-cs"/>
                      </a:rPr>
                      <m:t>Pipas</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de</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g</m:t>
                    </m:r>
                  </m:oMath>
                </m:oMathPara>
              </a14:m>
              <a:endParaRPr lang="es-MX" sz="1000">
                <a:effectLst/>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.0353 </m:t>
                    </m:r>
                    <m:r>
                      <m:rPr>
                        <m:sty m:val="p"/>
                      </m:rPr>
                      <a:rPr lang="es-MX" sz="1000" b="0" i="0">
                        <a:latin typeface="Cambria Math" panose="02040503050406030204" pitchFamily="18" charset="0"/>
                      </a:rPr>
                      <m:t>Pipas</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g</m:t>
                    </m:r>
                  </m:oMath>
                </m:oMathPara>
              </a14:m>
              <a:endParaRPr lang="es-MX" sz="1000" b="0"/>
            </a:p>
            <a:p>
              <a:endParaRPr lang="es-MX" sz="1000" b="0"/>
            </a:p>
            <a:p>
              <a:endParaRPr lang="es-MX" sz="1000" b="0"/>
            </a:p>
          </xdr:txBody>
        </xdr:sp>
      </mc:Choice>
      <mc:Fallback xmlns="">
        <xdr:sp macro="" textlink="">
          <xdr:nvSpPr>
            <xdr:cNvPr id="444" name="CuadroTexto 443">
              <a:extLst>
                <a:ext uri="{FF2B5EF4-FFF2-40B4-BE49-F238E27FC236}">
                  <a16:creationId xmlns:a16="http://schemas.microsoft.com/office/drawing/2014/main" id="{A4EF943A-71A6-4C07-B873-2D44782EDF44}"/>
                </a:ext>
              </a:extLst>
            </xdr:cNvPr>
            <xdr:cNvSpPr txBox="1"/>
          </xdr:nvSpPr>
          <xdr:spPr>
            <a:xfrm>
              <a:off x="12556090" y="172878750"/>
              <a:ext cx="2251316"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𝑘𝑔 𝑃𝐸𝐴𝐷=0 Pipas de g</a:t>
              </a:r>
              <a:endParaRPr lang="es-MX" sz="1000">
                <a:effectLst/>
              </a:endParaRPr>
            </a:p>
            <a:p>
              <a:endParaRPr lang="es-MX" sz="1000" b="0" i="1">
                <a:latin typeface="Cambria Math" panose="02040503050406030204" pitchFamily="18" charset="0"/>
              </a:endParaRPr>
            </a:p>
            <a:p>
              <a:pPr/>
              <a:r>
                <a:rPr lang="es-MX" sz="1000" b="0" i="0">
                  <a:latin typeface="Cambria Math" panose="02040503050406030204" pitchFamily="18" charset="0"/>
                </a:rPr>
                <a:t>1 𝑇𝑜𝑛 𝑃𝐸𝐴𝐷=.0353 Pipas de g</a:t>
              </a:r>
              <a:endParaRPr lang="es-MX" sz="1000" b="0"/>
            </a:p>
            <a:p>
              <a:endParaRPr lang="es-MX" sz="1000" b="0"/>
            </a:p>
            <a:p>
              <a:endParaRPr lang="es-MX" sz="1000" b="0"/>
            </a:p>
          </xdr:txBody>
        </xdr:sp>
      </mc:Fallback>
    </mc:AlternateContent>
    <xdr:clientData/>
  </xdr:oneCellAnchor>
  <xdr:oneCellAnchor>
    <xdr:from>
      <xdr:col>9</xdr:col>
      <xdr:colOff>137583</xdr:colOff>
      <xdr:row>229</xdr:row>
      <xdr:rowOff>84666</xdr:rowOff>
    </xdr:from>
    <xdr:ext cx="1795992" cy="319511"/>
    <mc:AlternateContent xmlns:mc="http://schemas.openxmlformats.org/markup-compatibility/2006" xmlns:a14="http://schemas.microsoft.com/office/drawing/2010/main">
      <mc:Choice Requires="a14">
        <xdr:sp macro="" textlink="">
          <xdr:nvSpPr>
            <xdr:cNvPr id="446" name="CuadroTexto 445">
              <a:extLst>
                <a:ext uri="{FF2B5EF4-FFF2-40B4-BE49-F238E27FC236}">
                  <a16:creationId xmlns:a16="http://schemas.microsoft.com/office/drawing/2014/main" id="{B84059EA-3BC1-49BA-AEC2-3C61E28A3BC3}"/>
                </a:ext>
              </a:extLst>
            </xdr:cNvPr>
            <xdr:cNvSpPr txBox="1"/>
          </xdr:nvSpPr>
          <xdr:spPr>
            <a:xfrm>
              <a:off x="8924396" y="69259979"/>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.293</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5.887)</m:t>
                        </m:r>
                      </m:den>
                    </m:f>
                    <m:r>
                      <a:rPr lang="es-MX" sz="1000" b="0" i="1">
                        <a:latin typeface="Cambria Math" panose="02040503050406030204" pitchFamily="18" charset="0"/>
                      </a:rPr>
                      <m:t> </m:t>
                    </m:r>
                  </m:oMath>
                </m:oMathPara>
              </a14:m>
              <a:endParaRPr lang="es-MX" sz="1000"/>
            </a:p>
          </xdr:txBody>
        </xdr:sp>
      </mc:Choice>
      <mc:Fallback xmlns="">
        <xdr:sp macro="" textlink="">
          <xdr:nvSpPr>
            <xdr:cNvPr id="446" name="CuadroTexto 445">
              <a:extLst>
                <a:ext uri="{FF2B5EF4-FFF2-40B4-BE49-F238E27FC236}">
                  <a16:creationId xmlns:a16="http://schemas.microsoft.com/office/drawing/2014/main" id="{B84059EA-3BC1-49BA-AEC2-3C61E28A3BC3}"/>
                </a:ext>
              </a:extLst>
            </xdr:cNvPr>
            <xdr:cNvSpPr txBox="1"/>
          </xdr:nvSpPr>
          <xdr:spPr>
            <a:xfrm>
              <a:off x="8924396" y="69259979"/>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)/.293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𝑘𝑚)/(?( 5.887))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262467</xdr:colOff>
      <xdr:row>229</xdr:row>
      <xdr:rowOff>558800</xdr:rowOff>
    </xdr:from>
    <xdr:ext cx="1418167" cy="319511"/>
    <mc:AlternateContent xmlns:mc="http://schemas.openxmlformats.org/markup-compatibility/2006" xmlns:a14="http://schemas.microsoft.com/office/drawing/2010/main">
      <mc:Choice Requires="a14">
        <xdr:sp macro="" textlink="">
          <xdr:nvSpPr>
            <xdr:cNvPr id="447" name="CuadroTexto 446">
              <a:extLst>
                <a:ext uri="{FF2B5EF4-FFF2-40B4-BE49-F238E27FC236}">
                  <a16:creationId xmlns:a16="http://schemas.microsoft.com/office/drawing/2014/main" id="{D33DE1B9-288B-435E-AE05-8E6AA884183A}"/>
                </a:ext>
              </a:extLst>
            </xdr:cNvPr>
            <xdr:cNvSpPr txBox="1"/>
          </xdr:nvSpPr>
          <xdr:spPr>
            <a:xfrm>
              <a:off x="9049280" y="69734113"/>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110 </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5.886 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?(3. 210</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47" name="CuadroTexto 446">
              <a:extLst>
                <a:ext uri="{FF2B5EF4-FFF2-40B4-BE49-F238E27FC236}">
                  <a16:creationId xmlns:a16="http://schemas.microsoft.com/office/drawing/2014/main" id="{D33DE1B9-288B-435E-AE05-8E6AA884183A}"/>
                </a:ext>
              </a:extLst>
            </xdr:cNvPr>
            <xdr:cNvSpPr txBox="1"/>
          </xdr:nvSpPr>
          <xdr:spPr>
            <a:xfrm>
              <a:off x="9049280" y="69734113"/>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 𝑘𝑚 )/(5.886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𝑚𝑖𝑛)/(?(3. 210))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223630</xdr:colOff>
      <xdr:row>229</xdr:row>
      <xdr:rowOff>368575</xdr:rowOff>
    </xdr:from>
    <xdr:ext cx="2053167" cy="994833"/>
    <mc:AlternateContent xmlns:mc="http://schemas.openxmlformats.org/markup-compatibility/2006" xmlns:a14="http://schemas.microsoft.com/office/drawing/2010/main">
      <mc:Choice Requires="a14">
        <xdr:sp macro="" textlink="">
          <xdr:nvSpPr>
            <xdr:cNvPr id="448" name="CuadroTexto 447">
              <a:extLst>
                <a:ext uri="{FF2B5EF4-FFF2-40B4-BE49-F238E27FC236}">
                  <a16:creationId xmlns:a16="http://schemas.microsoft.com/office/drawing/2014/main" id="{76ED534C-3B00-4CE6-B872-D5C68FA0254A}"/>
                </a:ext>
              </a:extLst>
            </xdr:cNvPr>
            <xdr:cNvSpPr txBox="1"/>
          </xdr:nvSpPr>
          <xdr:spPr>
            <a:xfrm>
              <a:off x="12606130" y="174406200"/>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5.887 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3. 211</m:t>
                    </m:r>
                    <m:r>
                      <m:rPr>
                        <m:sty m:val="p"/>
                      </m:rPr>
                      <a:rPr lang="es-MX" sz="1050" b="0" i="0">
                        <a:latin typeface="Cambria Math" panose="02040503050406030204" pitchFamily="18" charset="0"/>
                      </a:rPr>
                      <m:t>minutos</m:t>
                    </m:r>
                    <m:r>
                      <a:rPr lang="es-MX" sz="1050" b="0" i="0">
                        <a:latin typeface="Cambria Math" panose="02040503050406030204" pitchFamily="18" charset="0"/>
                      </a:rPr>
                      <m:t>  </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5,887 km en coche o 3,211minutos</a:t>
              </a:r>
              <a:endParaRPr lang="es-MX" sz="1100" b="0"/>
            </a:p>
          </xdr:txBody>
        </xdr:sp>
      </mc:Choice>
      <mc:Fallback xmlns="">
        <xdr:sp macro="" textlink="">
          <xdr:nvSpPr>
            <xdr:cNvPr id="448" name="CuadroTexto 447">
              <a:extLst>
                <a:ext uri="{FF2B5EF4-FFF2-40B4-BE49-F238E27FC236}">
                  <a16:creationId xmlns:a16="http://schemas.microsoft.com/office/drawing/2014/main" id="{76ED534C-3B00-4CE6-B872-D5C68FA0254A}"/>
                </a:ext>
              </a:extLst>
            </xdr:cNvPr>
            <xdr:cNvSpPr txBox="1"/>
          </xdr:nvSpPr>
          <xdr:spPr>
            <a:xfrm>
              <a:off x="12606130" y="174406200"/>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𝑃𝐸𝐴𝐷=5.887 km en coche o 3. 211minutos  </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5,887 km en coche o 3,211minutos</a:t>
              </a:r>
              <a:endParaRPr lang="es-MX" sz="1100" b="0"/>
            </a:p>
          </xdr:txBody>
        </xdr:sp>
      </mc:Fallback>
    </mc:AlternateContent>
    <xdr:clientData/>
  </xdr:oneCellAnchor>
  <xdr:oneCellAnchor>
    <xdr:from>
      <xdr:col>10</xdr:col>
      <xdr:colOff>274108</xdr:colOff>
      <xdr:row>230</xdr:row>
      <xdr:rowOff>276226</xdr:rowOff>
    </xdr:from>
    <xdr:ext cx="1852083" cy="829732"/>
    <mc:AlternateContent xmlns:mc="http://schemas.openxmlformats.org/markup-compatibility/2006" xmlns:a14="http://schemas.microsoft.com/office/drawing/2010/main">
      <mc:Choice Requires="a14">
        <xdr:sp macro="" textlink="">
          <xdr:nvSpPr>
            <xdr:cNvPr id="450" name="CuadroTexto 449">
              <a:extLst>
                <a:ext uri="{FF2B5EF4-FFF2-40B4-BE49-F238E27FC236}">
                  <a16:creationId xmlns:a16="http://schemas.microsoft.com/office/drawing/2014/main" id="{23A1CB75-5D31-45CC-B9EB-5E0E4F9113B4}"/>
                </a:ext>
              </a:extLst>
            </xdr:cNvPr>
            <xdr:cNvSpPr txBox="1"/>
          </xdr:nvSpPr>
          <xdr:spPr>
            <a:xfrm>
              <a:off x="12656608" y="178107976"/>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oMath>
              </a14:m>
              <a:r>
                <a:rPr lang="es-MX" sz="1050" b="0" i="0">
                  <a:latin typeface="Cambria Math" panose="02040503050406030204" pitchFamily="18" charset="0"/>
                </a:rPr>
                <a:t>.007 tanques con gasolina</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7.918</a:t>
              </a:r>
              <a:r>
                <a:rPr lang="es-MX" sz="1050" baseline="0">
                  <a:effectLst/>
                </a:rPr>
                <a:t> tanques con gasolina</a:t>
              </a:r>
              <a:endParaRPr lang="es-MX" sz="1100" b="0"/>
            </a:p>
          </xdr:txBody>
        </xdr:sp>
      </mc:Choice>
      <mc:Fallback xmlns="">
        <xdr:sp macro="" textlink="">
          <xdr:nvSpPr>
            <xdr:cNvPr id="450" name="CuadroTexto 449">
              <a:extLst>
                <a:ext uri="{FF2B5EF4-FFF2-40B4-BE49-F238E27FC236}">
                  <a16:creationId xmlns:a16="http://schemas.microsoft.com/office/drawing/2014/main" id="{23A1CB75-5D31-45CC-B9EB-5E0E4F9113B4}"/>
                </a:ext>
              </a:extLst>
            </xdr:cNvPr>
            <xdr:cNvSpPr txBox="1"/>
          </xdr:nvSpPr>
          <xdr:spPr>
            <a:xfrm>
              <a:off x="12656608" y="178107976"/>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𝑃𝐸𝐴𝐷=.007 tanques con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7.918</a:t>
              </a:r>
              <a:r>
                <a:rPr lang="es-MX" sz="1050" baseline="0">
                  <a:effectLst/>
                </a:rPr>
                <a:t> tanques con gasolina</a:t>
              </a:r>
              <a:endParaRPr lang="es-MX" sz="1100" b="0"/>
            </a:p>
          </xdr:txBody>
        </xdr:sp>
      </mc:Fallback>
    </mc:AlternateContent>
    <xdr:clientData/>
  </xdr:oneCellAnchor>
  <xdr:oneCellAnchor>
    <xdr:from>
      <xdr:col>9</xdr:col>
      <xdr:colOff>196850</xdr:colOff>
      <xdr:row>230</xdr:row>
      <xdr:rowOff>412750</xdr:rowOff>
    </xdr:from>
    <xdr:ext cx="2076450" cy="319511"/>
    <mc:AlternateContent xmlns:mc="http://schemas.openxmlformats.org/markup-compatibility/2006" xmlns:a14="http://schemas.microsoft.com/office/drawing/2010/main">
      <mc:Choice Requires="a14">
        <xdr:sp macro="" textlink="">
          <xdr:nvSpPr>
            <xdr:cNvPr id="451" name="CuadroTexto 450">
              <a:extLst>
                <a:ext uri="{FF2B5EF4-FFF2-40B4-BE49-F238E27FC236}">
                  <a16:creationId xmlns:a16="http://schemas.microsoft.com/office/drawing/2014/main" id="{5AF7CB38-372A-4806-A18E-CECC674F7A34}"/>
                </a:ext>
              </a:extLst>
            </xdr:cNvPr>
            <xdr:cNvSpPr txBox="1"/>
          </xdr:nvSpPr>
          <xdr:spPr>
            <a:xfrm>
              <a:off x="10023475" y="178244500"/>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37 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d>
                          <m:dPr>
                            <m:ctrlPr>
                              <a:rPr lang="es-MX" sz="1000" b="0" i="1">
                                <a:solidFill>
                                  <a:schemeClr val="tx1"/>
                                </a:solidFill>
                                <a:effectLst/>
                                <a:latin typeface="Cambria Math" panose="02040503050406030204" pitchFamily="18" charset="0"/>
                                <a:ea typeface="+mn-ea"/>
                                <a:cs typeface="+mn-cs"/>
                              </a:rPr>
                            </m:ctrlPr>
                          </m:dPr>
                          <m:e>
                            <m:r>
                              <a:rPr lang="es-MX" sz="1000" b="0" i="0">
                                <a:solidFill>
                                  <a:schemeClr val="tx1"/>
                                </a:solidFill>
                                <a:effectLst/>
                                <a:latin typeface="Cambria Math" panose="02040503050406030204" pitchFamily="18" charset="0"/>
                                <a:ea typeface="+mn-ea"/>
                                <a:cs typeface="+mn-cs"/>
                              </a:rPr>
                              <m:t>.293</m:t>
                            </m:r>
                          </m:e>
                        </m:d>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𝑇𝑎𝑛𝑞𝑢𝑒</m:t>
                        </m:r>
                      </m:num>
                      <m:den>
                        <m:r>
                          <a:rPr lang="es-MX" sz="1000" b="0" i="0">
                            <a:solidFill>
                              <a:schemeClr val="tx1"/>
                            </a:solidFill>
                            <a:effectLst/>
                            <a:latin typeface="Cambria Math" panose="02040503050406030204" pitchFamily="18" charset="0"/>
                            <a:ea typeface="+mn-ea"/>
                            <a:cs typeface="+mn-cs"/>
                          </a:rPr>
                          <m:t>?( .007</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51" name="CuadroTexto 450">
              <a:extLst>
                <a:ext uri="{FF2B5EF4-FFF2-40B4-BE49-F238E27FC236}">
                  <a16:creationId xmlns:a16="http://schemas.microsoft.com/office/drawing/2014/main" id="{5AF7CB38-372A-4806-A18E-CECC674F7A34}"/>
                </a:ext>
              </a:extLst>
            </xdr:cNvPr>
            <xdr:cNvSpPr txBox="1"/>
          </xdr:nvSpPr>
          <xdr:spPr>
            <a:xfrm>
              <a:off x="10023475" y="178244500"/>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37 𝐿 𝑔𝑎𝑠𝑜𝑙𝑖𝑛𝑎  )/((.293)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𝑇𝑎𝑛𝑞𝑢𝑒)/(?( .007))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371475</xdr:colOff>
      <xdr:row>225</xdr:row>
      <xdr:rowOff>219075</xdr:rowOff>
    </xdr:from>
    <xdr:ext cx="1352550" cy="351443"/>
    <mc:AlternateContent xmlns:mc="http://schemas.openxmlformats.org/markup-compatibility/2006" xmlns:a14="http://schemas.microsoft.com/office/drawing/2010/main">
      <mc:Choice Requires="a14">
        <xdr:sp macro="" textlink="">
          <xdr:nvSpPr>
            <xdr:cNvPr id="452" name="CuadroTexto 451">
              <a:extLst>
                <a:ext uri="{FF2B5EF4-FFF2-40B4-BE49-F238E27FC236}">
                  <a16:creationId xmlns:a16="http://schemas.microsoft.com/office/drawing/2014/main" id="{79FB8F8C-4ED2-4C7C-8A07-7EC4FB3BEFFB}"/>
                </a:ext>
              </a:extLst>
            </xdr:cNvPr>
            <xdr:cNvSpPr txBox="1"/>
          </xdr:nvSpPr>
          <xdr:spPr>
            <a:xfrm>
              <a:off x="9158288" y="63774638"/>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.00444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.705)</m:t>
                        </m:r>
                      </m:den>
                    </m:f>
                    <m:r>
                      <a:rPr lang="es-MX" sz="1600" b="0" i="1">
                        <a:latin typeface="Cambria Math" panose="02040503050406030204" pitchFamily="18" charset="0"/>
                      </a:rPr>
                      <m:t> </m:t>
                    </m:r>
                  </m:oMath>
                </m:oMathPara>
              </a14:m>
              <a:endParaRPr lang="es-MX" sz="1600"/>
            </a:p>
          </xdr:txBody>
        </xdr:sp>
      </mc:Choice>
      <mc:Fallback xmlns="">
        <xdr:sp macro="" textlink="">
          <xdr:nvSpPr>
            <xdr:cNvPr id="452" name="CuadroTexto 451">
              <a:extLst>
                <a:ext uri="{FF2B5EF4-FFF2-40B4-BE49-F238E27FC236}">
                  <a16:creationId xmlns:a16="http://schemas.microsoft.com/office/drawing/2014/main" id="{79FB8F8C-4ED2-4C7C-8A07-7EC4FB3BEFFB}"/>
                </a:ext>
              </a:extLst>
            </xdr:cNvPr>
            <xdr:cNvSpPr txBox="1"/>
          </xdr:nvSpPr>
          <xdr:spPr>
            <a:xfrm>
              <a:off x="9158288" y="63774638"/>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)/(.00444 )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.705))</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323850</xdr:colOff>
      <xdr:row>225</xdr:row>
      <xdr:rowOff>257175</xdr:rowOff>
    </xdr:from>
    <xdr:ext cx="1537759" cy="628650"/>
    <mc:AlternateContent xmlns:mc="http://schemas.openxmlformats.org/markup-compatibility/2006" xmlns:a14="http://schemas.microsoft.com/office/drawing/2010/main">
      <mc:Choice Requires="a14">
        <xdr:sp macro="" textlink="">
          <xdr:nvSpPr>
            <xdr:cNvPr id="453" name="CuadroTexto 452">
              <a:extLst>
                <a:ext uri="{FF2B5EF4-FFF2-40B4-BE49-F238E27FC236}">
                  <a16:creationId xmlns:a16="http://schemas.microsoft.com/office/drawing/2014/main" id="{367B0721-C3C9-452D-A25F-1F937EC7EC12}"/>
                </a:ext>
              </a:extLst>
            </xdr:cNvPr>
            <xdr:cNvSpPr txBox="1"/>
          </xdr:nvSpPr>
          <xdr:spPr>
            <a:xfrm>
              <a:off x="11015663" y="63812738"/>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 .7059 </m:t>
                    </m:r>
                    <m:r>
                      <m:rPr>
                        <m:sty m:val="p"/>
                      </m:rPr>
                      <a:rPr lang="es-MX" sz="1050" b="0" i="0">
                        <a:latin typeface="Cambria Math" panose="02040503050406030204" pitchFamily="18" charset="0"/>
                      </a:rPr>
                      <m:t>Lp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705.9 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453" name="CuadroTexto 452">
              <a:extLst>
                <a:ext uri="{FF2B5EF4-FFF2-40B4-BE49-F238E27FC236}">
                  <a16:creationId xmlns:a16="http://schemas.microsoft.com/office/drawing/2014/main" id="{367B0721-C3C9-452D-A25F-1F937EC7EC12}"/>
                </a:ext>
              </a:extLst>
            </xdr:cNvPr>
            <xdr:cNvSpPr txBox="1"/>
          </xdr:nvSpPr>
          <xdr:spPr>
            <a:xfrm>
              <a:off x="11015663" y="63812738"/>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𝑃𝐸𝐴𝐷= .7059 Lp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𝑃𝐸𝐴𝐷=705.9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2556934</xdr:colOff>
      <xdr:row>229</xdr:row>
      <xdr:rowOff>466725</xdr:rowOff>
    </xdr:from>
    <xdr:ext cx="295276" cy="295276"/>
    <xdr:pic>
      <xdr:nvPicPr>
        <xdr:cNvPr id="458" name="Gráfico 457" descr="Inalámbrico">
          <a:hlinkClick xmlns:r="http://schemas.openxmlformats.org/officeDocument/2006/relationships" r:id="rId58"/>
          <a:extLst>
            <a:ext uri="{FF2B5EF4-FFF2-40B4-BE49-F238E27FC236}">
              <a16:creationId xmlns:a16="http://schemas.microsoft.com/office/drawing/2014/main" id="{575F29DE-3EE8-4FB1-B335-A22782842B6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37340" y="69642038"/>
          <a:ext cx="295276" cy="295276"/>
        </a:xfrm>
        <a:prstGeom prst="rect">
          <a:avLst/>
        </a:prstGeom>
      </xdr:spPr>
    </xdr:pic>
    <xdr:clientData/>
  </xdr:oneCellAnchor>
  <xdr:oneCellAnchor>
    <xdr:from>
      <xdr:col>12</xdr:col>
      <xdr:colOff>2324100</xdr:colOff>
      <xdr:row>229</xdr:row>
      <xdr:rowOff>504825</xdr:rowOff>
    </xdr:from>
    <xdr:ext cx="228600" cy="228600"/>
    <xdr:pic>
      <xdr:nvPicPr>
        <xdr:cNvPr id="459" name="Gráfico 458" descr="Hogar">
          <a:hlinkClick xmlns:r="http://schemas.openxmlformats.org/officeDocument/2006/relationships" r:id="rId59"/>
          <a:extLst>
            <a:ext uri="{FF2B5EF4-FFF2-40B4-BE49-F238E27FC236}">
              <a16:creationId xmlns:a16="http://schemas.microsoft.com/office/drawing/2014/main" id="{BA68FA24-20FE-4610-8350-A903819D35C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04506" y="69680138"/>
          <a:ext cx="228600" cy="228600"/>
        </a:xfrm>
        <a:prstGeom prst="rect">
          <a:avLst/>
        </a:prstGeom>
      </xdr:spPr>
    </xdr:pic>
    <xdr:clientData/>
  </xdr:oneCellAnchor>
  <xdr:oneCellAnchor>
    <xdr:from>
      <xdr:col>12</xdr:col>
      <xdr:colOff>2556934</xdr:colOff>
      <xdr:row>229</xdr:row>
      <xdr:rowOff>742950</xdr:rowOff>
    </xdr:from>
    <xdr:ext cx="295276" cy="295276"/>
    <xdr:pic>
      <xdr:nvPicPr>
        <xdr:cNvPr id="460" name="Gráfico 459" descr="Inalámbrico">
          <a:hlinkClick xmlns:r="http://schemas.openxmlformats.org/officeDocument/2006/relationships" r:id="rId60"/>
          <a:extLst>
            <a:ext uri="{FF2B5EF4-FFF2-40B4-BE49-F238E27FC236}">
              <a16:creationId xmlns:a16="http://schemas.microsoft.com/office/drawing/2014/main" id="{52FB89DA-AEE9-4803-AF32-CBB436CA919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37340" y="69918263"/>
          <a:ext cx="295276" cy="295276"/>
        </a:xfrm>
        <a:prstGeom prst="rect">
          <a:avLst/>
        </a:prstGeom>
      </xdr:spPr>
    </xdr:pic>
    <xdr:clientData/>
  </xdr:oneCellAnchor>
  <xdr:oneCellAnchor>
    <xdr:from>
      <xdr:col>12</xdr:col>
      <xdr:colOff>2324100</xdr:colOff>
      <xdr:row>229</xdr:row>
      <xdr:rowOff>781050</xdr:rowOff>
    </xdr:from>
    <xdr:ext cx="228600" cy="228600"/>
    <xdr:pic>
      <xdr:nvPicPr>
        <xdr:cNvPr id="461" name="Gráfico 460" descr="Hogar">
          <a:hlinkClick xmlns:r="http://schemas.openxmlformats.org/officeDocument/2006/relationships" r:id="rId61"/>
          <a:extLst>
            <a:ext uri="{FF2B5EF4-FFF2-40B4-BE49-F238E27FC236}">
              <a16:creationId xmlns:a16="http://schemas.microsoft.com/office/drawing/2014/main" id="{FA8B8DA3-AC19-4FB0-8C9F-3CC71463395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04506" y="69956363"/>
          <a:ext cx="228600" cy="228600"/>
        </a:xfrm>
        <a:prstGeom prst="rect">
          <a:avLst/>
        </a:prstGeom>
      </xdr:spPr>
    </xdr:pic>
    <xdr:clientData/>
  </xdr:oneCellAnchor>
  <xdr:oneCellAnchor>
    <xdr:from>
      <xdr:col>12</xdr:col>
      <xdr:colOff>2566459</xdr:colOff>
      <xdr:row>229</xdr:row>
      <xdr:rowOff>1276350</xdr:rowOff>
    </xdr:from>
    <xdr:ext cx="295276" cy="295276"/>
    <xdr:pic>
      <xdr:nvPicPr>
        <xdr:cNvPr id="462" name="Gráfico 461" descr="Inalámbrico">
          <a:hlinkClick xmlns:r="http://schemas.openxmlformats.org/officeDocument/2006/relationships" r:id="rId62"/>
          <a:extLst>
            <a:ext uri="{FF2B5EF4-FFF2-40B4-BE49-F238E27FC236}">
              <a16:creationId xmlns:a16="http://schemas.microsoft.com/office/drawing/2014/main" id="{ED09F487-AC3D-466C-BDC7-C89538D56BC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46865" y="70451663"/>
          <a:ext cx="295276" cy="295276"/>
        </a:xfrm>
        <a:prstGeom prst="rect">
          <a:avLst/>
        </a:prstGeom>
      </xdr:spPr>
    </xdr:pic>
    <xdr:clientData/>
  </xdr:oneCellAnchor>
  <xdr:oneCellAnchor>
    <xdr:from>
      <xdr:col>12</xdr:col>
      <xdr:colOff>2333625</xdr:colOff>
      <xdr:row>229</xdr:row>
      <xdr:rowOff>1314450</xdr:rowOff>
    </xdr:from>
    <xdr:ext cx="228600" cy="228600"/>
    <xdr:pic>
      <xdr:nvPicPr>
        <xdr:cNvPr id="463" name="Gráfico 462" descr="Hogar">
          <a:hlinkClick xmlns:r="http://schemas.openxmlformats.org/officeDocument/2006/relationships" r:id="rId63"/>
          <a:extLst>
            <a:ext uri="{FF2B5EF4-FFF2-40B4-BE49-F238E27FC236}">
              <a16:creationId xmlns:a16="http://schemas.microsoft.com/office/drawing/2014/main" id="{3BB4D53B-576E-475F-97E3-E4BCEAEE964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14031" y="70489763"/>
          <a:ext cx="228600" cy="228600"/>
        </a:xfrm>
        <a:prstGeom prst="rect">
          <a:avLst/>
        </a:prstGeom>
      </xdr:spPr>
    </xdr:pic>
    <xdr:clientData/>
  </xdr:oneCellAnchor>
  <xdr:oneCellAnchor>
    <xdr:from>
      <xdr:col>12</xdr:col>
      <xdr:colOff>2533650</xdr:colOff>
      <xdr:row>229</xdr:row>
      <xdr:rowOff>1943100</xdr:rowOff>
    </xdr:from>
    <xdr:ext cx="295276" cy="295276"/>
    <xdr:pic>
      <xdr:nvPicPr>
        <xdr:cNvPr id="464" name="Gráfico 463" descr="Inalámbrico">
          <a:hlinkClick xmlns:r="http://schemas.openxmlformats.org/officeDocument/2006/relationships" r:id="rId64"/>
          <a:extLst>
            <a:ext uri="{FF2B5EF4-FFF2-40B4-BE49-F238E27FC236}">
              <a16:creationId xmlns:a16="http://schemas.microsoft.com/office/drawing/2014/main" id="{4B16C301-11BB-438D-ACAC-F188CF0EB5E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4056" y="71118413"/>
          <a:ext cx="295276" cy="295276"/>
        </a:xfrm>
        <a:prstGeom prst="rect">
          <a:avLst/>
        </a:prstGeom>
      </xdr:spPr>
    </xdr:pic>
    <xdr:clientData/>
  </xdr:oneCellAnchor>
  <xdr:oneCellAnchor>
    <xdr:from>
      <xdr:col>12</xdr:col>
      <xdr:colOff>2305050</xdr:colOff>
      <xdr:row>229</xdr:row>
      <xdr:rowOff>2000250</xdr:rowOff>
    </xdr:from>
    <xdr:ext cx="228600" cy="228600"/>
    <xdr:pic>
      <xdr:nvPicPr>
        <xdr:cNvPr id="465" name="Gráfico 464" descr="Hogar">
          <a:hlinkClick xmlns:r="http://schemas.openxmlformats.org/officeDocument/2006/relationships" r:id="rId65"/>
          <a:extLst>
            <a:ext uri="{FF2B5EF4-FFF2-40B4-BE49-F238E27FC236}">
              <a16:creationId xmlns:a16="http://schemas.microsoft.com/office/drawing/2014/main" id="{B89E25FB-5D29-4DE7-A550-50F779000D4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5456" y="71175563"/>
          <a:ext cx="228600" cy="228600"/>
        </a:xfrm>
        <a:prstGeom prst="rect">
          <a:avLst/>
        </a:prstGeom>
      </xdr:spPr>
    </xdr:pic>
    <xdr:clientData/>
  </xdr:oneCellAnchor>
  <xdr:oneCellAnchor>
    <xdr:from>
      <xdr:col>12</xdr:col>
      <xdr:colOff>2552700</xdr:colOff>
      <xdr:row>229</xdr:row>
      <xdr:rowOff>2600325</xdr:rowOff>
    </xdr:from>
    <xdr:ext cx="295276" cy="295276"/>
    <xdr:pic>
      <xdr:nvPicPr>
        <xdr:cNvPr id="466" name="Gráfico 465" descr="Inalámbrico">
          <a:hlinkClick xmlns:r="http://schemas.openxmlformats.org/officeDocument/2006/relationships" r:id="rId66"/>
          <a:extLst>
            <a:ext uri="{FF2B5EF4-FFF2-40B4-BE49-F238E27FC236}">
              <a16:creationId xmlns:a16="http://schemas.microsoft.com/office/drawing/2014/main" id="{048360FF-2F4E-4A3A-A5F4-9EC4D575FE3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33106" y="71775638"/>
          <a:ext cx="295276" cy="295276"/>
        </a:xfrm>
        <a:prstGeom prst="rect">
          <a:avLst/>
        </a:prstGeom>
      </xdr:spPr>
    </xdr:pic>
    <xdr:clientData/>
  </xdr:oneCellAnchor>
  <xdr:oneCellAnchor>
    <xdr:from>
      <xdr:col>8</xdr:col>
      <xdr:colOff>416719</xdr:colOff>
      <xdr:row>57</xdr:row>
      <xdr:rowOff>627062</xdr:rowOff>
    </xdr:from>
    <xdr:ext cx="1746249" cy="316497"/>
    <mc:AlternateContent xmlns:mc="http://schemas.openxmlformats.org/markup-compatibility/2006" xmlns:a14="http://schemas.microsoft.com/office/drawing/2010/main">
      <mc:Choice Requires="a14">
        <xdr:sp macro="" textlink="">
          <xdr:nvSpPr>
            <xdr:cNvPr id="469" name="CuadroTexto 468">
              <a:extLst>
                <a:ext uri="{FF2B5EF4-FFF2-40B4-BE49-F238E27FC236}">
                  <a16:creationId xmlns:a16="http://schemas.microsoft.com/office/drawing/2014/main" id="{8F736922-5223-4038-9C9A-5511034BC580}"/>
                </a:ext>
              </a:extLst>
            </xdr:cNvPr>
            <xdr:cNvSpPr txBox="1"/>
          </xdr:nvSpPr>
          <xdr:spPr>
            <a:xfrm>
              <a:off x="7814469" y="62730062"/>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𝑝𝑒𝑡𝑟</m:t>
                        </m:r>
                        <m:r>
                          <a:rPr lang="es-MX" sz="1000" b="0" i="1">
                            <a:solidFill>
                              <a:schemeClr val="tx1"/>
                            </a:solidFill>
                            <a:effectLst/>
                            <a:latin typeface="Cambria Math" panose="02040503050406030204" pitchFamily="18" charset="0"/>
                            <a:ea typeface="+mn-ea"/>
                            <a:cs typeface="+mn-cs"/>
                          </a:rPr>
                          <m:t>ó</m:t>
                        </m:r>
                        <m:r>
                          <a:rPr lang="es-MX" sz="1000" b="0" i="1">
                            <a:solidFill>
                              <a:schemeClr val="tx1"/>
                            </a:solidFill>
                            <a:effectLst/>
                            <a:latin typeface="Cambria Math" panose="02040503050406030204" pitchFamily="18" charset="0"/>
                            <a:ea typeface="+mn-ea"/>
                            <a:cs typeface="+mn-cs"/>
                          </a:rPr>
                          <m:t>𝑙𝑒𝑜</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69" name="CuadroTexto 468">
              <a:extLst>
                <a:ext uri="{FF2B5EF4-FFF2-40B4-BE49-F238E27FC236}">
                  <a16:creationId xmlns:a16="http://schemas.microsoft.com/office/drawing/2014/main" id="{8F736922-5223-4038-9C9A-5511034BC580}"/>
                </a:ext>
              </a:extLst>
            </xdr:cNvPr>
            <xdr:cNvSpPr txBox="1"/>
          </xdr:nvSpPr>
          <xdr:spPr>
            <a:xfrm>
              <a:off x="7814469" y="62730062"/>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)/(n 𝐿 𝑝𝑒𝑡𝑟ó𝑙𝑒𝑜)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27781</xdr:colOff>
      <xdr:row>234</xdr:row>
      <xdr:rowOff>441855</xdr:rowOff>
    </xdr:from>
    <xdr:ext cx="2333625" cy="319511"/>
    <mc:AlternateContent xmlns:mc="http://schemas.openxmlformats.org/markup-compatibility/2006" xmlns:a14="http://schemas.microsoft.com/office/drawing/2010/main">
      <mc:Choice Requires="a14">
        <xdr:sp macro="" textlink="">
          <xdr:nvSpPr>
            <xdr:cNvPr id="470" name="CuadroTexto 469">
              <a:extLst>
                <a:ext uri="{FF2B5EF4-FFF2-40B4-BE49-F238E27FC236}">
                  <a16:creationId xmlns:a16="http://schemas.microsoft.com/office/drawing/2014/main" id="{BEE899E5-8AF8-4EB6-A66A-A01563CE34F1}"/>
                </a:ext>
              </a:extLst>
            </xdr:cNvPr>
            <xdr:cNvSpPr txBox="1"/>
          </xdr:nvSpPr>
          <xdr:spPr>
            <a:xfrm>
              <a:off x="9854406" y="181813730"/>
              <a:ext cx="233362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𝑃𝐸𝐴𝐷</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𝐶𝑂</m:t>
                        </m:r>
                        <m:r>
                          <a:rPr lang="es-MX" sz="1000" b="0" i="1">
                            <a:solidFill>
                              <a:schemeClr val="tx1"/>
                            </a:solidFill>
                            <a:effectLst/>
                            <a:latin typeface="Cambria Math" panose="02040503050406030204" pitchFamily="18" charset="0"/>
                            <a:ea typeface="+mn-ea"/>
                            <a:cs typeface="+mn-cs"/>
                          </a:rPr>
                          <m:t>2</m:t>
                        </m:r>
                      </m:num>
                      <m:den>
                        <m:r>
                          <a:rPr lang="es-MX" sz="1000" b="0" i="0">
                            <a:solidFill>
                              <a:schemeClr val="tx1"/>
                            </a:solidFill>
                            <a:effectLst/>
                            <a:latin typeface="Cambria Math" panose="02040503050406030204" pitchFamily="18" charset="0"/>
                            <a:ea typeface="+mn-ea"/>
                            <a:cs typeface="+mn-cs"/>
                          </a:rPr>
                          <m:t>?( 2)</m:t>
                        </m:r>
                      </m:den>
                    </m:f>
                    <m:r>
                      <a:rPr lang="es-MX" sz="1000" b="0" i="1">
                        <a:latin typeface="Cambria Math" panose="02040503050406030204" pitchFamily="18" charset="0"/>
                      </a:rPr>
                      <m:t> </m:t>
                    </m:r>
                  </m:oMath>
                </m:oMathPara>
              </a14:m>
              <a:endParaRPr lang="es-MX" sz="1000"/>
            </a:p>
          </xdr:txBody>
        </xdr:sp>
      </mc:Choice>
      <mc:Fallback xmlns="">
        <xdr:sp macro="" textlink="">
          <xdr:nvSpPr>
            <xdr:cNvPr id="470" name="CuadroTexto 469">
              <a:extLst>
                <a:ext uri="{FF2B5EF4-FFF2-40B4-BE49-F238E27FC236}">
                  <a16:creationId xmlns:a16="http://schemas.microsoft.com/office/drawing/2014/main" id="{BEE899E5-8AF8-4EB6-A66A-A01563CE34F1}"/>
                </a:ext>
              </a:extLst>
            </xdr:cNvPr>
            <xdr:cNvSpPr txBox="1"/>
          </xdr:nvSpPr>
          <xdr:spPr>
            <a:xfrm>
              <a:off x="9854406" y="181813730"/>
              <a:ext cx="233362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𝑃𝐸𝐴𝐷 )/(1 )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 𝑘𝑔 𝐶𝑂2)/(?( 2))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232833</xdr:colOff>
      <xdr:row>234</xdr:row>
      <xdr:rowOff>429683</xdr:rowOff>
    </xdr:from>
    <xdr:ext cx="1610784" cy="628650"/>
    <mc:AlternateContent xmlns:mc="http://schemas.openxmlformats.org/markup-compatibility/2006" xmlns:a14="http://schemas.microsoft.com/office/drawing/2010/main">
      <mc:Choice Requires="a14">
        <xdr:sp macro="" textlink="">
          <xdr:nvSpPr>
            <xdr:cNvPr id="471" name="CuadroTexto 470">
              <a:extLst>
                <a:ext uri="{FF2B5EF4-FFF2-40B4-BE49-F238E27FC236}">
                  <a16:creationId xmlns:a16="http://schemas.microsoft.com/office/drawing/2014/main" id="{460FBD49-8C6E-43F6-B9D0-FDA21AC18312}"/>
                </a:ext>
              </a:extLst>
            </xdr:cNvPr>
            <xdr:cNvSpPr txBox="1"/>
          </xdr:nvSpPr>
          <xdr:spPr>
            <a:xfrm>
              <a:off x="10924646" y="76927339"/>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2</m:t>
                  </m:r>
                </m:oMath>
              </a14:m>
              <a:r>
                <a:rPr lang="es-MX" sz="1050" b="0" i="0">
                  <a:latin typeface="Cambria Math" panose="02040503050406030204" pitchFamily="18" charset="0"/>
                </a:rPr>
                <a:t>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2,000 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471" name="CuadroTexto 470">
              <a:extLst>
                <a:ext uri="{FF2B5EF4-FFF2-40B4-BE49-F238E27FC236}">
                  <a16:creationId xmlns:a16="http://schemas.microsoft.com/office/drawing/2014/main" id="{460FBD49-8C6E-43F6-B9D0-FDA21AC18312}"/>
                </a:ext>
              </a:extLst>
            </xdr:cNvPr>
            <xdr:cNvSpPr txBox="1"/>
          </xdr:nvSpPr>
          <xdr:spPr>
            <a:xfrm>
              <a:off x="10924646" y="76927339"/>
              <a:ext cx="1610784"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𝑃𝐸𝐴𝐷=2 kg CO2</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𝑃𝐸𝑇=2,000 </a:t>
              </a:r>
              <a:r>
                <a:rPr lang="es-MX" sz="1100" b="0" i="0">
                  <a:solidFill>
                    <a:schemeClr val="tx1"/>
                  </a:solidFill>
                  <a:effectLst/>
                  <a:latin typeface="Cambria Math" panose="02040503050406030204" pitchFamily="18" charset="0"/>
                  <a:ea typeface="+mn-ea"/>
                  <a:cs typeface="+mn-cs"/>
                </a:rPr>
                <a:t>"kg CO2</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9</xdr:col>
      <xdr:colOff>312208</xdr:colOff>
      <xdr:row>237</xdr:row>
      <xdr:rowOff>269875</xdr:rowOff>
    </xdr:from>
    <xdr:ext cx="1589614" cy="287515"/>
    <mc:AlternateContent xmlns:mc="http://schemas.openxmlformats.org/markup-compatibility/2006" xmlns:a14="http://schemas.microsoft.com/office/drawing/2010/main">
      <mc:Choice Requires="a14">
        <xdr:sp macro="" textlink="">
          <xdr:nvSpPr>
            <xdr:cNvPr id="477" name="CuadroTexto 476">
              <a:extLst>
                <a:ext uri="{FF2B5EF4-FFF2-40B4-BE49-F238E27FC236}">
                  <a16:creationId xmlns:a16="http://schemas.microsoft.com/office/drawing/2014/main" id="{9CFB7013-E414-4A0A-A7AB-7AD588599F0F}"/>
                </a:ext>
              </a:extLst>
            </xdr:cNvPr>
            <xdr:cNvSpPr txBox="1"/>
          </xdr:nvSpPr>
          <xdr:spPr>
            <a:xfrm>
              <a:off x="10138833" y="1860073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?(.554)</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2.4 </m:t>
                        </m:r>
                        <m:r>
                          <a:rPr lang="es-MX" sz="900" b="0" i="1">
                            <a:solidFill>
                              <a:schemeClr val="tx1"/>
                            </a:solidFill>
                            <a:effectLst/>
                            <a:latin typeface="Cambria Math" panose="02040503050406030204" pitchFamily="18" charset="0"/>
                            <a:ea typeface="+mn-ea"/>
                            <a:cs typeface="+mn-cs"/>
                          </a:rPr>
                          <m:t>𝑘𝑔𝐶𝑂</m:t>
                        </m:r>
                        <m:r>
                          <a:rPr lang="es-MX" sz="900" b="0" i="1">
                            <a:solidFill>
                              <a:schemeClr val="tx1"/>
                            </a:solidFill>
                            <a:effectLst/>
                            <a:latin typeface="Cambria Math" panose="02040503050406030204" pitchFamily="18" charset="0"/>
                            <a:ea typeface="+mn-ea"/>
                            <a:cs typeface="+mn-cs"/>
                          </a:rPr>
                          <m:t>2</m:t>
                        </m:r>
                      </m:num>
                      <m:den>
                        <m:r>
                          <a:rPr lang="es-MX" sz="900" b="0" i="0">
                            <a:solidFill>
                              <a:schemeClr val="tx1"/>
                            </a:solidFill>
                            <a:effectLst/>
                            <a:latin typeface="Cambria Math" panose="02040503050406030204" pitchFamily="18" charset="0"/>
                            <a:ea typeface="+mn-ea"/>
                            <a:cs typeface="+mn-cs"/>
                          </a:rPr>
                          <m:t>1.33</m:t>
                        </m:r>
                      </m:den>
                    </m:f>
                    <m:r>
                      <a:rPr lang="es-MX" sz="900" b="0" i="1">
                        <a:latin typeface="Cambria Math" panose="02040503050406030204" pitchFamily="18" charset="0"/>
                      </a:rPr>
                      <m:t> </m:t>
                    </m:r>
                  </m:oMath>
                </m:oMathPara>
              </a14:m>
              <a:endParaRPr lang="es-MX" sz="900"/>
            </a:p>
          </xdr:txBody>
        </xdr:sp>
      </mc:Choice>
      <mc:Fallback xmlns="">
        <xdr:sp macro="" textlink="">
          <xdr:nvSpPr>
            <xdr:cNvPr id="477" name="CuadroTexto 476">
              <a:extLst>
                <a:ext uri="{FF2B5EF4-FFF2-40B4-BE49-F238E27FC236}">
                  <a16:creationId xmlns:a16="http://schemas.microsoft.com/office/drawing/2014/main" id="{9CFB7013-E414-4A0A-A7AB-7AD588599F0F}"/>
                </a:ext>
              </a:extLst>
            </xdr:cNvPr>
            <xdr:cNvSpPr txBox="1"/>
          </xdr:nvSpPr>
          <xdr:spPr>
            <a:xfrm>
              <a:off x="10138833" y="1860073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)/(?(.554))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2.4 𝑘𝑔𝐶𝑂2)/1.33 </a:t>
              </a:r>
              <a:r>
                <a:rPr lang="es-MX" sz="900" b="0" i="0">
                  <a:latin typeface="Cambria Math" panose="02040503050406030204" pitchFamily="18" charset="0"/>
                </a:rPr>
                <a:t> </a:t>
              </a:r>
              <a:endParaRPr lang="es-MX" sz="900"/>
            </a:p>
          </xdr:txBody>
        </xdr:sp>
      </mc:Fallback>
    </mc:AlternateContent>
    <xdr:clientData/>
  </xdr:oneCellAnchor>
  <xdr:oneCellAnchor>
    <xdr:from>
      <xdr:col>10</xdr:col>
      <xdr:colOff>172553</xdr:colOff>
      <xdr:row>237</xdr:row>
      <xdr:rowOff>441567</xdr:rowOff>
    </xdr:from>
    <xdr:ext cx="2228540" cy="628650"/>
    <mc:AlternateContent xmlns:mc="http://schemas.openxmlformats.org/markup-compatibility/2006" xmlns:a14="http://schemas.microsoft.com/office/drawing/2010/main">
      <mc:Choice Requires="a14">
        <xdr:sp macro="" textlink="">
          <xdr:nvSpPr>
            <xdr:cNvPr id="478" name="CuadroTexto 477">
              <a:extLst>
                <a:ext uri="{FF2B5EF4-FFF2-40B4-BE49-F238E27FC236}">
                  <a16:creationId xmlns:a16="http://schemas.microsoft.com/office/drawing/2014/main" id="{7A69E0D1-FE05-4AFB-B4F2-DD7C402C7E52}"/>
                </a:ext>
              </a:extLst>
            </xdr:cNvPr>
            <xdr:cNvSpPr txBox="1"/>
          </xdr:nvSpPr>
          <xdr:spPr>
            <a:xfrm>
              <a:off x="12555053" y="186179067"/>
              <a:ext cx="222854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.554</m:t>
                  </m:r>
                </m:oMath>
              </a14:m>
              <a:r>
                <a:rPr lang="es-MX" sz="1050" b="0" i="0">
                  <a:latin typeface="Cambria Math" panose="02040503050406030204" pitchFamily="18" charset="0"/>
                </a:rPr>
                <a:t>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0">
                        <a:solidFill>
                          <a:schemeClr val="tx1"/>
                        </a:solidFill>
                        <a:effectLst/>
                        <a:latin typeface="Cambria Math" panose="02040503050406030204" pitchFamily="18" charset="0"/>
                        <a:ea typeface="+mn-ea"/>
                        <a:cs typeface="+mn-cs"/>
                      </a:rPr>
                      <m:t>=554 </m:t>
                    </m:r>
                    <m:r>
                      <m:rPr>
                        <m:sty m:val="p"/>
                      </m:rPr>
                      <a:rPr lang="es-MX" sz="1050" b="0" i="0">
                        <a:solidFill>
                          <a:schemeClr val="tx1"/>
                        </a:solidFill>
                        <a:effectLst/>
                        <a:latin typeface="Cambria Math" panose="02040503050406030204" pitchFamily="18" charset="0"/>
                        <a:ea typeface="+mn-ea"/>
                        <a:cs typeface="+mn-cs"/>
                      </a:rPr>
                      <m:t>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gasolina</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478" name="CuadroTexto 477">
              <a:extLst>
                <a:ext uri="{FF2B5EF4-FFF2-40B4-BE49-F238E27FC236}">
                  <a16:creationId xmlns:a16="http://schemas.microsoft.com/office/drawing/2014/main" id="{7A69E0D1-FE05-4AFB-B4F2-DD7C402C7E52}"/>
                </a:ext>
              </a:extLst>
            </xdr:cNvPr>
            <xdr:cNvSpPr txBox="1"/>
          </xdr:nvSpPr>
          <xdr:spPr>
            <a:xfrm>
              <a:off x="12555053" y="186179067"/>
              <a:ext cx="222854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𝑃𝐸𝐴𝐷=.554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𝑃𝐸𝐴𝐷=554 L gasolina</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243417</xdr:colOff>
      <xdr:row>238</xdr:row>
      <xdr:rowOff>227541</xdr:rowOff>
    </xdr:from>
    <xdr:ext cx="1947333" cy="319511"/>
    <mc:AlternateContent xmlns:mc="http://schemas.openxmlformats.org/markup-compatibility/2006" xmlns:a14="http://schemas.microsoft.com/office/drawing/2010/main">
      <mc:Choice Requires="a14">
        <xdr:sp macro="" textlink="">
          <xdr:nvSpPr>
            <xdr:cNvPr id="479" name="CuadroTexto 478">
              <a:extLst>
                <a:ext uri="{FF2B5EF4-FFF2-40B4-BE49-F238E27FC236}">
                  <a16:creationId xmlns:a16="http://schemas.microsoft.com/office/drawing/2014/main" id="{953E2A62-2E30-45A8-A03F-839D89B26D7D}"/>
                </a:ext>
              </a:extLst>
            </xdr:cNvPr>
            <xdr:cNvSpPr txBox="1"/>
          </xdr:nvSpPr>
          <xdr:spPr>
            <a:xfrm>
              <a:off x="7641167" y="18737791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L</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79" name="CuadroTexto 478">
              <a:extLst>
                <a:ext uri="{FF2B5EF4-FFF2-40B4-BE49-F238E27FC236}">
                  <a16:creationId xmlns:a16="http://schemas.microsoft.com/office/drawing/2014/main" id="{953E2A62-2E30-45A8-A03F-839D89B26D7D}"/>
                </a:ext>
              </a:extLst>
            </xdr:cNvPr>
            <xdr:cNvSpPr txBox="1"/>
          </xdr:nvSpPr>
          <xdr:spPr>
            <a:xfrm>
              <a:off x="7641167" y="18737791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)/(n  L)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423333</xdr:colOff>
      <xdr:row>238</xdr:row>
      <xdr:rowOff>148166</xdr:rowOff>
    </xdr:from>
    <xdr:ext cx="1418167" cy="287515"/>
    <mc:AlternateContent xmlns:mc="http://schemas.openxmlformats.org/markup-compatibility/2006" xmlns:a14="http://schemas.microsoft.com/office/drawing/2010/main">
      <mc:Choice Requires="a14">
        <xdr:sp macro="" textlink="">
          <xdr:nvSpPr>
            <xdr:cNvPr id="480" name="CuadroTexto 479">
              <a:extLst>
                <a:ext uri="{FF2B5EF4-FFF2-40B4-BE49-F238E27FC236}">
                  <a16:creationId xmlns:a16="http://schemas.microsoft.com/office/drawing/2014/main" id="{65D7C510-9938-440A-9A7E-B9BA510DDA15}"/>
                </a:ext>
              </a:extLst>
            </xdr:cNvPr>
            <xdr:cNvSpPr txBox="1"/>
          </xdr:nvSpPr>
          <xdr:spPr>
            <a:xfrm>
              <a:off x="10249958" y="1872985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0">
                            <a:solidFill>
                              <a:schemeClr val="tx1"/>
                            </a:solidFill>
                            <a:effectLst/>
                            <a:latin typeface="Cambria Math" panose="02040503050406030204" pitchFamily="18" charset="0"/>
                            <a:ea typeface="+mn-ea"/>
                            <a:cs typeface="+mn-cs"/>
                          </a:rPr>
                          <m:t>.833</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20.09 </m:t>
                        </m:r>
                        <m:r>
                          <a:rPr lang="es-MX" sz="900" b="0" i="1">
                            <a:solidFill>
                              <a:schemeClr val="tx1"/>
                            </a:solidFill>
                            <a:effectLst/>
                            <a:latin typeface="Cambria Math" panose="02040503050406030204" pitchFamily="18" charset="0"/>
                            <a:ea typeface="+mn-ea"/>
                            <a:cs typeface="+mn-cs"/>
                          </a:rPr>
                          <m:t>𝑘𝑚</m:t>
                        </m:r>
                      </m:num>
                      <m:den>
                        <m:r>
                          <a:rPr lang="es-MX" sz="900" b="0" i="0">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16.742)</m:t>
                        </m:r>
                      </m:den>
                    </m:f>
                    <m:r>
                      <a:rPr lang="es-MX" sz="900" b="0" i="1">
                        <a:latin typeface="Cambria Math" panose="02040503050406030204" pitchFamily="18" charset="0"/>
                      </a:rPr>
                      <m:t> </m:t>
                    </m:r>
                  </m:oMath>
                </m:oMathPara>
              </a14:m>
              <a:endParaRPr lang="es-MX" sz="900"/>
            </a:p>
          </xdr:txBody>
        </xdr:sp>
      </mc:Choice>
      <mc:Fallback xmlns="">
        <xdr:sp macro="" textlink="">
          <xdr:nvSpPr>
            <xdr:cNvPr id="480" name="CuadroTexto 479">
              <a:extLst>
                <a:ext uri="{FF2B5EF4-FFF2-40B4-BE49-F238E27FC236}">
                  <a16:creationId xmlns:a16="http://schemas.microsoft.com/office/drawing/2014/main" id="{65D7C510-9938-440A-9A7E-B9BA510DDA15}"/>
                </a:ext>
              </a:extLst>
            </xdr:cNvPr>
            <xdr:cNvSpPr txBox="1"/>
          </xdr:nvSpPr>
          <xdr:spPr>
            <a:xfrm>
              <a:off x="10249958" y="1872985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)/.833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20.09 𝑘𝑚)/(?( 16.742)) </a:t>
              </a:r>
              <a:r>
                <a:rPr lang="es-MX" sz="900" b="0" i="0">
                  <a:latin typeface="Cambria Math" panose="02040503050406030204" pitchFamily="18" charset="0"/>
                </a:rPr>
                <a:t> </a:t>
              </a:r>
              <a:endParaRPr lang="es-MX" sz="900"/>
            </a:p>
          </xdr:txBody>
        </xdr:sp>
      </mc:Fallback>
    </mc:AlternateContent>
    <xdr:clientData/>
  </xdr:oneCellAnchor>
  <xdr:oneCellAnchor>
    <xdr:from>
      <xdr:col>8</xdr:col>
      <xdr:colOff>592667</xdr:colOff>
      <xdr:row>238</xdr:row>
      <xdr:rowOff>841375</xdr:rowOff>
    </xdr:from>
    <xdr:ext cx="1418167" cy="329770"/>
    <mc:AlternateContent xmlns:mc="http://schemas.openxmlformats.org/markup-compatibility/2006" xmlns:a14="http://schemas.microsoft.com/office/drawing/2010/main">
      <mc:Choice Requires="a14">
        <xdr:sp macro="" textlink="">
          <xdr:nvSpPr>
            <xdr:cNvPr id="481" name="CuadroTexto 480">
              <a:extLst>
                <a:ext uri="{FF2B5EF4-FFF2-40B4-BE49-F238E27FC236}">
                  <a16:creationId xmlns:a16="http://schemas.microsoft.com/office/drawing/2014/main" id="{8CDD783F-2072-4B15-8F7C-C3F6B45D2025}"/>
                </a:ext>
              </a:extLst>
            </xdr:cNvPr>
            <xdr:cNvSpPr txBox="1"/>
          </xdr:nvSpPr>
          <xdr:spPr>
            <a:xfrm>
              <a:off x="7990417" y="1879917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𝑘𝑚</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81" name="CuadroTexto 480">
              <a:extLst>
                <a:ext uri="{FF2B5EF4-FFF2-40B4-BE49-F238E27FC236}">
                  <a16:creationId xmlns:a16="http://schemas.microsoft.com/office/drawing/2014/main" id="{8CDD783F-2072-4B15-8F7C-C3F6B45D2025}"/>
                </a:ext>
              </a:extLst>
            </xdr:cNvPr>
            <xdr:cNvSpPr txBox="1"/>
          </xdr:nvSpPr>
          <xdr:spPr>
            <a:xfrm>
              <a:off x="7990417" y="1879917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)/(n  𝑘𝑚)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433227</xdr:colOff>
      <xdr:row>238</xdr:row>
      <xdr:rowOff>785467</xdr:rowOff>
    </xdr:from>
    <xdr:ext cx="1418167" cy="319511"/>
    <mc:AlternateContent xmlns:mc="http://schemas.openxmlformats.org/markup-compatibility/2006" xmlns:a14="http://schemas.microsoft.com/office/drawing/2010/main">
      <mc:Choice Requires="a14">
        <xdr:sp macro="" textlink="">
          <xdr:nvSpPr>
            <xdr:cNvPr id="482" name="CuadroTexto 481">
              <a:extLst>
                <a:ext uri="{FF2B5EF4-FFF2-40B4-BE49-F238E27FC236}">
                  <a16:creationId xmlns:a16="http://schemas.microsoft.com/office/drawing/2014/main" id="{85678A11-125B-4F6F-BA81-1C5A569244F7}"/>
                </a:ext>
              </a:extLst>
            </xdr:cNvPr>
            <xdr:cNvSpPr txBox="1"/>
          </xdr:nvSpPr>
          <xdr:spPr>
            <a:xfrm>
              <a:off x="10259852" y="18793584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16.742 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?(9.13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482" name="CuadroTexto 481">
              <a:extLst>
                <a:ext uri="{FF2B5EF4-FFF2-40B4-BE49-F238E27FC236}">
                  <a16:creationId xmlns:a16="http://schemas.microsoft.com/office/drawing/2014/main" id="{85678A11-125B-4F6F-BA81-1C5A569244F7}"/>
                </a:ext>
              </a:extLst>
            </xdr:cNvPr>
            <xdr:cNvSpPr txBox="1"/>
          </xdr:nvSpPr>
          <xdr:spPr>
            <a:xfrm>
              <a:off x="10259852" y="18793584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)/(16.742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𝑚𝑖𝑛)/(?(9.13 ))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190500</xdr:colOff>
      <xdr:row>238</xdr:row>
      <xdr:rowOff>269874</xdr:rowOff>
    </xdr:from>
    <xdr:ext cx="2053167" cy="994833"/>
    <mc:AlternateContent xmlns:mc="http://schemas.openxmlformats.org/markup-compatibility/2006" xmlns:a14="http://schemas.microsoft.com/office/drawing/2010/main">
      <mc:Choice Requires="a14">
        <xdr:sp macro="" textlink="">
          <xdr:nvSpPr>
            <xdr:cNvPr id="483" name="CuadroTexto 482">
              <a:extLst>
                <a:ext uri="{FF2B5EF4-FFF2-40B4-BE49-F238E27FC236}">
                  <a16:creationId xmlns:a16="http://schemas.microsoft.com/office/drawing/2014/main" id="{84BB1D83-2AEF-4B9C-AC4F-4EA6869E1AD4}"/>
                </a:ext>
              </a:extLst>
            </xdr:cNvPr>
            <xdr:cNvSpPr txBox="1"/>
          </xdr:nvSpPr>
          <xdr:spPr>
            <a:xfrm>
              <a:off x="12573000" y="187420249"/>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16.742 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9</m:t>
                  </m:r>
                </m:oMath>
              </a14:m>
              <a:r>
                <a:rPr lang="es-MX" sz="1050" b="0" i="0">
                  <a:latin typeface="Cambria Math" panose="02040503050406030204" pitchFamily="18" charset="0"/>
                </a:rPr>
                <a:t> minutos manejando /.152 horas</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16,742 km en coche o 152 horas manejando </a:t>
              </a:r>
              <a:endParaRPr lang="es-MX" sz="1100" b="0"/>
            </a:p>
          </xdr:txBody>
        </xdr:sp>
      </mc:Choice>
      <mc:Fallback xmlns="">
        <xdr:sp macro="" textlink="">
          <xdr:nvSpPr>
            <xdr:cNvPr id="483" name="CuadroTexto 482">
              <a:extLst>
                <a:ext uri="{FF2B5EF4-FFF2-40B4-BE49-F238E27FC236}">
                  <a16:creationId xmlns:a16="http://schemas.microsoft.com/office/drawing/2014/main" id="{84BB1D83-2AEF-4B9C-AC4F-4EA6869E1AD4}"/>
                </a:ext>
              </a:extLst>
            </xdr:cNvPr>
            <xdr:cNvSpPr txBox="1"/>
          </xdr:nvSpPr>
          <xdr:spPr>
            <a:xfrm>
              <a:off x="12573000" y="187420249"/>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𝑃𝐸𝐴𝐷=16.742 km en coche  o 9 minutos manejando /.152 horas</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16,742 km en coche o 152 horas manejando </a:t>
              </a:r>
              <a:endParaRPr lang="es-MX" sz="1100" b="0"/>
            </a:p>
          </xdr:txBody>
        </xdr:sp>
      </mc:Fallback>
    </mc:AlternateContent>
    <xdr:clientData/>
  </xdr:oneCellAnchor>
  <xdr:oneCellAnchor>
    <xdr:from>
      <xdr:col>12</xdr:col>
      <xdr:colOff>1277408</xdr:colOff>
      <xdr:row>237</xdr:row>
      <xdr:rowOff>618067</xdr:rowOff>
    </xdr:from>
    <xdr:ext cx="295276" cy="295276"/>
    <xdr:pic>
      <xdr:nvPicPr>
        <xdr:cNvPr id="486" name="Gráfico 485" descr="Inalámbrico">
          <a:hlinkClick xmlns:r="http://schemas.openxmlformats.org/officeDocument/2006/relationships" r:id="rId64"/>
          <a:extLst>
            <a:ext uri="{FF2B5EF4-FFF2-40B4-BE49-F238E27FC236}">
              <a16:creationId xmlns:a16="http://schemas.microsoft.com/office/drawing/2014/main" id="{54105E7D-3633-457C-AC2C-022E4CF271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926858" y="181935967"/>
          <a:ext cx="295276" cy="295276"/>
        </a:xfrm>
        <a:prstGeom prst="rect">
          <a:avLst/>
        </a:prstGeom>
      </xdr:spPr>
    </xdr:pic>
    <xdr:clientData/>
  </xdr:oneCellAnchor>
  <xdr:oneCellAnchor>
    <xdr:from>
      <xdr:col>12</xdr:col>
      <xdr:colOff>2518834</xdr:colOff>
      <xdr:row>238</xdr:row>
      <xdr:rowOff>455084</xdr:rowOff>
    </xdr:from>
    <xdr:ext cx="295276" cy="295276"/>
    <xdr:pic>
      <xdr:nvPicPr>
        <xdr:cNvPr id="488" name="Gráfico 487" descr="Inalámbrico">
          <a:hlinkClick xmlns:r="http://schemas.openxmlformats.org/officeDocument/2006/relationships" r:id="rId62"/>
          <a:extLst>
            <a:ext uri="{FF2B5EF4-FFF2-40B4-BE49-F238E27FC236}">
              <a16:creationId xmlns:a16="http://schemas.microsoft.com/office/drawing/2014/main" id="{4214E666-179A-4C4E-8E59-2F37B7F617C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9240" y="81167553"/>
          <a:ext cx="295276" cy="295276"/>
        </a:xfrm>
        <a:prstGeom prst="rect">
          <a:avLst/>
        </a:prstGeom>
      </xdr:spPr>
    </xdr:pic>
    <xdr:clientData/>
  </xdr:oneCellAnchor>
  <xdr:oneCellAnchor>
    <xdr:from>
      <xdr:col>12</xdr:col>
      <xdr:colOff>2286000</xdr:colOff>
      <xdr:row>238</xdr:row>
      <xdr:rowOff>493184</xdr:rowOff>
    </xdr:from>
    <xdr:ext cx="228600" cy="228600"/>
    <xdr:pic>
      <xdr:nvPicPr>
        <xdr:cNvPr id="489" name="Gráfico 488" descr="Hogar">
          <a:hlinkClick xmlns:r="http://schemas.openxmlformats.org/officeDocument/2006/relationships" r:id="rId63"/>
          <a:extLst>
            <a:ext uri="{FF2B5EF4-FFF2-40B4-BE49-F238E27FC236}">
              <a16:creationId xmlns:a16="http://schemas.microsoft.com/office/drawing/2014/main" id="{3B86B8E8-8C46-418A-91A3-087643B372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6406" y="81205653"/>
          <a:ext cx="228600" cy="228600"/>
        </a:xfrm>
        <a:prstGeom prst="rect">
          <a:avLst/>
        </a:prstGeom>
      </xdr:spPr>
    </xdr:pic>
    <xdr:clientData/>
  </xdr:oneCellAnchor>
  <xdr:oneCellAnchor>
    <xdr:from>
      <xdr:col>12</xdr:col>
      <xdr:colOff>2579158</xdr:colOff>
      <xdr:row>238</xdr:row>
      <xdr:rowOff>1165225</xdr:rowOff>
    </xdr:from>
    <xdr:ext cx="295276" cy="295276"/>
    <xdr:pic>
      <xdr:nvPicPr>
        <xdr:cNvPr id="490" name="Gráfico 489" descr="Inalámbrico">
          <a:hlinkClick xmlns:r="http://schemas.openxmlformats.org/officeDocument/2006/relationships" r:id="rId66"/>
          <a:extLst>
            <a:ext uri="{FF2B5EF4-FFF2-40B4-BE49-F238E27FC236}">
              <a16:creationId xmlns:a16="http://schemas.microsoft.com/office/drawing/2014/main" id="{A685A7B6-0835-4D60-A643-9EFA97D6D03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59564" y="81877694"/>
          <a:ext cx="295276" cy="295276"/>
        </a:xfrm>
        <a:prstGeom prst="rect">
          <a:avLst/>
        </a:prstGeom>
      </xdr:spPr>
    </xdr:pic>
    <xdr:clientData/>
  </xdr:oneCellAnchor>
  <xdr:oneCellAnchor>
    <xdr:from>
      <xdr:col>2</xdr:col>
      <xdr:colOff>59531</xdr:colOff>
      <xdr:row>233</xdr:row>
      <xdr:rowOff>83344</xdr:rowOff>
    </xdr:from>
    <xdr:ext cx="391901" cy="366338"/>
    <xdr:pic>
      <xdr:nvPicPr>
        <xdr:cNvPr id="491" name="Imagen 490">
          <a:extLst>
            <a:ext uri="{FF2B5EF4-FFF2-40B4-BE49-F238E27FC236}">
              <a16:creationId xmlns:a16="http://schemas.microsoft.com/office/drawing/2014/main" id="{9CAC595F-0077-40D2-AA4D-BE62B520266E}"/>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29000" y="76069032"/>
          <a:ext cx="391901" cy="366338"/>
        </a:xfrm>
        <a:prstGeom prst="rect">
          <a:avLst/>
        </a:prstGeom>
      </xdr:spPr>
    </xdr:pic>
    <xdr:clientData/>
  </xdr:oneCellAnchor>
  <xdr:oneCellAnchor>
    <xdr:from>
      <xdr:col>3</xdr:col>
      <xdr:colOff>178591</xdr:colOff>
      <xdr:row>233</xdr:row>
      <xdr:rowOff>107155</xdr:rowOff>
    </xdr:from>
    <xdr:ext cx="309563" cy="309563"/>
    <xdr:pic>
      <xdr:nvPicPr>
        <xdr:cNvPr id="492" name="Imagen 491">
          <a:extLst>
            <a:ext uri="{FF2B5EF4-FFF2-40B4-BE49-F238E27FC236}">
              <a16:creationId xmlns:a16="http://schemas.microsoft.com/office/drawing/2014/main" id="{4F3A7C7E-34D7-4069-A8B6-6650F2D879BD}"/>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76092843"/>
          <a:ext cx="309563" cy="309563"/>
        </a:xfrm>
        <a:prstGeom prst="rect">
          <a:avLst/>
        </a:prstGeom>
      </xdr:spPr>
    </xdr:pic>
    <xdr:clientData/>
  </xdr:oneCellAnchor>
  <xdr:oneCellAnchor>
    <xdr:from>
      <xdr:col>4</xdr:col>
      <xdr:colOff>59531</xdr:colOff>
      <xdr:row>233</xdr:row>
      <xdr:rowOff>83343</xdr:rowOff>
    </xdr:from>
    <xdr:ext cx="457200" cy="448468"/>
    <xdr:pic>
      <xdr:nvPicPr>
        <xdr:cNvPr id="493" name="Gráfico 492" descr="Convertible">
          <a:extLst>
            <a:ext uri="{FF2B5EF4-FFF2-40B4-BE49-F238E27FC236}">
              <a16:creationId xmlns:a16="http://schemas.microsoft.com/office/drawing/2014/main" id="{ED518C77-3199-4A7F-95CD-35620FEF3A0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5812" y="76069031"/>
          <a:ext cx="457200" cy="448468"/>
        </a:xfrm>
        <a:prstGeom prst="rect">
          <a:avLst/>
        </a:prstGeom>
      </xdr:spPr>
    </xdr:pic>
    <xdr:clientData/>
  </xdr:oneCellAnchor>
  <xdr:oneCellAnchor>
    <xdr:from>
      <xdr:col>1</xdr:col>
      <xdr:colOff>688398</xdr:colOff>
      <xdr:row>235</xdr:row>
      <xdr:rowOff>785092</xdr:rowOff>
    </xdr:from>
    <xdr:ext cx="1016578" cy="684068"/>
    <mc:AlternateContent xmlns:mc="http://schemas.openxmlformats.org/markup-compatibility/2006" xmlns:a14="http://schemas.microsoft.com/office/drawing/2010/main">
      <mc:Choice Requires="a14">
        <xdr:sp macro="" textlink="">
          <xdr:nvSpPr>
            <xdr:cNvPr id="497" name="CuadroTexto 496">
              <a:extLst>
                <a:ext uri="{FF2B5EF4-FFF2-40B4-BE49-F238E27FC236}">
                  <a16:creationId xmlns:a16="http://schemas.microsoft.com/office/drawing/2014/main" id="{A124553F-CAEB-4138-8CF0-D495B766974A}"/>
                </a:ext>
              </a:extLst>
            </xdr:cNvPr>
            <xdr:cNvSpPr txBox="1"/>
          </xdr:nvSpPr>
          <xdr:spPr>
            <a:xfrm>
              <a:off x="1402773" y="183553967"/>
              <a:ext cx="1016578" cy="684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900" b="0" i="0">
                      <a:latin typeface="Cambria Math" panose="02040503050406030204" pitchFamily="18" charset="0"/>
                    </a:rPr>
                    <m:t>PEAD</m:t>
                  </m:r>
                  <m:r>
                    <a:rPr lang="es-MX" sz="900" b="0" i="0">
                      <a:latin typeface="Cambria Math" panose="02040503050406030204" pitchFamily="18" charset="0"/>
                    </a:rPr>
                    <m:t> </m:t>
                  </m:r>
                  <m:r>
                    <m:rPr>
                      <m:sty m:val="p"/>
                    </m:rPr>
                    <a:rPr lang="es-MX" sz="900" b="0" i="0">
                      <a:latin typeface="Cambria Math" panose="02040503050406030204" pitchFamily="18" charset="0"/>
                    </a:rPr>
                    <m:t>V</m:t>
                  </m:r>
                  <m:r>
                    <a:rPr lang="es-MX" sz="900" b="0" i="0">
                      <a:latin typeface="Cambria Math" panose="02040503050406030204" pitchFamily="18" charset="0"/>
                    </a:rPr>
                    <m:t> </m:t>
                  </m:r>
                  <m:r>
                    <a:rPr lang="es-MX" sz="900" b="0" i="1">
                      <a:latin typeface="Cambria Math" panose="02040503050406030204" pitchFamily="18" charset="0"/>
                    </a:rPr>
                    <m:t>1.478</m:t>
                  </m:r>
                  <m:f>
                    <m:fPr>
                      <m:ctrlPr>
                        <a:rPr lang="es-MX" sz="900" i="1">
                          <a:latin typeface="Cambria Math" panose="02040503050406030204" pitchFamily="18" charset="0"/>
                        </a:rPr>
                      </m:ctrlPr>
                    </m:fPr>
                    <m:num>
                      <m:r>
                        <m:rPr>
                          <m:sty m:val="p"/>
                        </m:rPr>
                        <a:rPr lang="es-MX" sz="900" b="0" i="0">
                          <a:latin typeface="Cambria Math" panose="02040503050406030204" pitchFamily="18" charset="0"/>
                        </a:rPr>
                        <m:t>kg</m:t>
                      </m:r>
                      <m:r>
                        <a:rPr lang="es-MX" sz="900" b="0" i="1">
                          <a:latin typeface="Cambria Math" panose="02040503050406030204" pitchFamily="18" charset="0"/>
                        </a:rPr>
                        <m:t>𝐶𝑂</m:t>
                      </m:r>
                      <m:r>
                        <a:rPr lang="es-MX" sz="900" b="0" i="1">
                          <a:latin typeface="Cambria Math" panose="02040503050406030204" pitchFamily="18" charset="0"/>
                        </a:rPr>
                        <m:t>2</m:t>
                      </m:r>
                      <m:r>
                        <a:rPr lang="es-MX" sz="900" b="0" i="1">
                          <a:latin typeface="Cambria Math" panose="02040503050406030204" pitchFamily="18" charset="0"/>
                        </a:rPr>
                        <m:t>𝑒</m:t>
                      </m:r>
                    </m:num>
                    <m:den>
                      <m:r>
                        <m:rPr>
                          <m:sty m:val="p"/>
                        </m:rPr>
                        <a:rPr lang="es-MX" sz="900" b="0" i="0">
                          <a:latin typeface="Cambria Math" panose="02040503050406030204" pitchFamily="18" charset="0"/>
                        </a:rPr>
                        <m:t>kg</m:t>
                      </m:r>
                    </m:den>
                  </m:f>
                </m:oMath>
              </a14:m>
              <a:r>
                <a:rPr lang="es-MX" sz="900" i="0">
                  <a:latin typeface="+mn-lt"/>
                  <a:cs typeface="Arial" panose="020B0604020202020204" pitchFamily="34" charset="0"/>
                </a:rPr>
                <a:t> </a:t>
              </a:r>
            </a:p>
            <a:p>
              <a:endParaRPr lang="es-MX" sz="9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900" b="0" i="0">
                        <a:solidFill>
                          <a:schemeClr val="tx1"/>
                        </a:solidFill>
                        <a:effectLst/>
                        <a:latin typeface="Cambria Math" panose="02040503050406030204" pitchFamily="18" charset="0"/>
                        <a:ea typeface="+mn-ea"/>
                        <a:cs typeface="+mn-cs"/>
                      </a:rPr>
                      <m:t>PEAD</m:t>
                    </m:r>
                    <m:r>
                      <a:rPr lang="es-MX" sz="900" b="0" i="0">
                        <a:solidFill>
                          <a:schemeClr val="tx1"/>
                        </a:solidFill>
                        <a:effectLst/>
                        <a:latin typeface="Cambria Math" panose="02040503050406030204" pitchFamily="18" charset="0"/>
                        <a:ea typeface="+mn-ea"/>
                        <a:cs typeface="+mn-cs"/>
                      </a:rPr>
                      <m:t> </m:t>
                    </m:r>
                    <m:r>
                      <m:rPr>
                        <m:sty m:val="p"/>
                      </m:rPr>
                      <a:rPr lang="es-MX" sz="900" b="0" i="0">
                        <a:solidFill>
                          <a:schemeClr val="tx1"/>
                        </a:solidFill>
                        <a:effectLst/>
                        <a:latin typeface="Cambria Math" panose="02040503050406030204" pitchFamily="18" charset="0"/>
                        <a:ea typeface="+mn-ea"/>
                        <a:cs typeface="+mn-cs"/>
                      </a:rPr>
                      <m:t>R</m:t>
                    </m:r>
                    <m:r>
                      <a:rPr lang="es-MX" sz="900" b="0" i="0">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.183</m:t>
                    </m:r>
                    <m:f>
                      <m:fPr>
                        <m:ctrlPr>
                          <a:rPr lang="es-MX" sz="900" i="1">
                            <a:solidFill>
                              <a:schemeClr val="tx1"/>
                            </a:solidFill>
                            <a:effectLst/>
                            <a:latin typeface="Cambria Math" panose="02040503050406030204" pitchFamily="18" charset="0"/>
                            <a:ea typeface="+mn-ea"/>
                            <a:cs typeface="+mn-cs"/>
                          </a:rPr>
                        </m:ctrlPr>
                      </m:fPr>
                      <m:num>
                        <m:r>
                          <m:rPr>
                            <m:sty m:val="p"/>
                          </m:rPr>
                          <a:rPr lang="es-MX" sz="900" b="0" i="0">
                            <a:solidFill>
                              <a:schemeClr val="tx1"/>
                            </a:solidFill>
                            <a:effectLst/>
                            <a:latin typeface="Cambria Math" panose="02040503050406030204" pitchFamily="18" charset="0"/>
                            <a:ea typeface="+mn-ea"/>
                            <a:cs typeface="+mn-cs"/>
                          </a:rPr>
                          <m:t>kg</m:t>
                        </m:r>
                        <m:r>
                          <a:rPr lang="es-MX" sz="900" b="0" i="1">
                            <a:solidFill>
                              <a:schemeClr val="tx1"/>
                            </a:solidFill>
                            <a:effectLst/>
                            <a:latin typeface="Cambria Math" panose="02040503050406030204" pitchFamily="18" charset="0"/>
                            <a:ea typeface="+mn-ea"/>
                            <a:cs typeface="+mn-cs"/>
                          </a:rPr>
                          <m:t>𝐶𝑂</m:t>
                        </m:r>
                        <m:r>
                          <a:rPr lang="es-MX" sz="900" b="0" i="1">
                            <a:solidFill>
                              <a:schemeClr val="tx1"/>
                            </a:solidFill>
                            <a:effectLst/>
                            <a:latin typeface="Cambria Math" panose="02040503050406030204" pitchFamily="18" charset="0"/>
                            <a:ea typeface="+mn-ea"/>
                            <a:cs typeface="+mn-cs"/>
                          </a:rPr>
                          <m:t>2</m:t>
                        </m:r>
                        <m:r>
                          <a:rPr lang="es-MX" sz="900" b="0" i="1">
                            <a:solidFill>
                              <a:schemeClr val="tx1"/>
                            </a:solidFill>
                            <a:effectLst/>
                            <a:latin typeface="Cambria Math" panose="02040503050406030204" pitchFamily="18" charset="0"/>
                            <a:ea typeface="+mn-ea"/>
                            <a:cs typeface="+mn-cs"/>
                          </a:rPr>
                          <m:t>𝑒</m:t>
                        </m:r>
                      </m:num>
                      <m:den>
                        <m:r>
                          <m:rPr>
                            <m:sty m:val="p"/>
                          </m:rPr>
                          <a:rPr lang="es-MX" sz="900" b="0" i="0">
                            <a:solidFill>
                              <a:schemeClr val="tx1"/>
                            </a:solidFill>
                            <a:effectLst/>
                            <a:latin typeface="Cambria Math" panose="02040503050406030204" pitchFamily="18" charset="0"/>
                            <a:ea typeface="+mn-ea"/>
                            <a:cs typeface="+mn-cs"/>
                          </a:rPr>
                          <m:t>kg</m:t>
                        </m:r>
                      </m:den>
                    </m:f>
                    <m:r>
                      <m:rPr>
                        <m:nor/>
                      </m:rPr>
                      <a:rPr lang="es-MX" sz="900" i="0">
                        <a:solidFill>
                          <a:schemeClr val="tx1"/>
                        </a:solidFill>
                        <a:effectLst/>
                        <a:latin typeface="+mn-lt"/>
                        <a:ea typeface="+mn-ea"/>
                        <a:cs typeface="+mn-cs"/>
                      </a:rPr>
                      <m:t> </m:t>
                    </m:r>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497" name="CuadroTexto 496">
              <a:extLst>
                <a:ext uri="{FF2B5EF4-FFF2-40B4-BE49-F238E27FC236}">
                  <a16:creationId xmlns:a16="http://schemas.microsoft.com/office/drawing/2014/main" id="{A124553F-CAEB-4138-8CF0-D495B766974A}"/>
                </a:ext>
              </a:extLst>
            </xdr:cNvPr>
            <xdr:cNvSpPr txBox="1"/>
          </xdr:nvSpPr>
          <xdr:spPr>
            <a:xfrm>
              <a:off x="1402773" y="183553967"/>
              <a:ext cx="1016578" cy="684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900" b="0" i="0">
                  <a:latin typeface="Cambria Math" panose="02040503050406030204" pitchFamily="18" charset="0"/>
                </a:rPr>
                <a:t>PEAD V 1.478 kg𝐶𝑂2𝑒/kg</a:t>
              </a:r>
              <a:r>
                <a:rPr lang="es-MX" sz="900" i="0">
                  <a:latin typeface="+mn-lt"/>
                  <a:cs typeface="Arial" panose="020B0604020202020204" pitchFamily="34" charset="0"/>
                </a:rPr>
                <a:t> </a:t>
              </a:r>
            </a:p>
            <a:p>
              <a:endParaRPr lang="es-MX" sz="9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900" b="0" i="0">
                  <a:solidFill>
                    <a:schemeClr val="tx1"/>
                  </a:solidFill>
                  <a:effectLst/>
                  <a:latin typeface="Cambria Math" panose="02040503050406030204" pitchFamily="18" charset="0"/>
                  <a:ea typeface="+mn-ea"/>
                  <a:cs typeface="+mn-cs"/>
                </a:rPr>
                <a:t>PEAD R .183 kg𝐶𝑂2𝑒/kg</a:t>
              </a:r>
              <a:r>
                <a:rPr lang="es-MX" sz="900" b="0" i="0">
                  <a:solidFill>
                    <a:schemeClr val="tx1"/>
                  </a:solidFill>
                  <a:effectLst/>
                  <a:latin typeface="+mn-lt"/>
                  <a:ea typeface="+mn-ea"/>
                  <a:cs typeface="+mn-cs"/>
                </a:rPr>
                <a:t> </a:t>
              </a:r>
              <a:r>
                <a:rPr lang="es-MX" sz="900" b="0" i="0">
                  <a:solidFill>
                    <a:schemeClr val="tx1"/>
                  </a:solidFill>
                  <a:effectLst/>
                  <a:latin typeface="Cambria Math" panose="02040503050406030204" pitchFamily="18" charset="0"/>
                  <a:ea typeface="+mn-ea"/>
                  <a:cs typeface="+mn-cs"/>
                </a:rPr>
                <a:t>"</a:t>
              </a:r>
              <a:r>
                <a:rPr lang="es-MX" sz="900" i="0">
                  <a:solidFill>
                    <a:schemeClr val="tx1"/>
                  </a:solidFill>
                  <a:effectLst/>
                  <a:latin typeface="Cambria Math" panose="02040503050406030204" pitchFamily="18" charset="0"/>
                  <a:ea typeface="+mn-ea"/>
                  <a:cs typeface="+mn-cs"/>
                </a:rPr>
                <a:t> </a:t>
              </a:r>
              <a:r>
                <a:rPr lang="es-MX" sz="900" i="0">
                  <a:solidFill>
                    <a:schemeClr val="tx1"/>
                  </a:solidFill>
                  <a:effectLst/>
                  <a:latin typeface="+mn-lt"/>
                  <a:ea typeface="+mn-ea"/>
                  <a:cs typeface="+mn-cs"/>
                </a:rPr>
                <a:t>"</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8</xdr:col>
      <xdr:colOff>597477</xdr:colOff>
      <xdr:row>235</xdr:row>
      <xdr:rowOff>415638</xdr:rowOff>
    </xdr:from>
    <xdr:ext cx="976415" cy="176461"/>
    <mc:AlternateContent xmlns:mc="http://schemas.openxmlformats.org/markup-compatibility/2006" xmlns:a14="http://schemas.microsoft.com/office/drawing/2010/main">
      <mc:Choice Requires="a14">
        <xdr:sp macro="" textlink="">
          <xdr:nvSpPr>
            <xdr:cNvPr id="498" name="CuadroTexto 497">
              <a:extLst>
                <a:ext uri="{FF2B5EF4-FFF2-40B4-BE49-F238E27FC236}">
                  <a16:creationId xmlns:a16="http://schemas.microsoft.com/office/drawing/2014/main" id="{35F6F08C-E366-4057-8963-0B524F8770D0}"/>
                </a:ext>
              </a:extLst>
            </xdr:cNvPr>
            <xdr:cNvSpPr txBox="1"/>
          </xdr:nvSpPr>
          <xdr:spPr>
            <a:xfrm>
              <a:off x="7455477" y="182005433"/>
              <a:ext cx="976415" cy="1764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𝑣</m:t>
                  </m:r>
                  <m:r>
                    <a:rPr lang="es-MX" sz="1100" b="0" i="1">
                      <a:latin typeface="Cambria Math" panose="02040503050406030204" pitchFamily="18" charset="0"/>
                    </a:rPr>
                    <m:t> −</m:t>
                  </m:r>
                  <m:r>
                    <a:rPr lang="es-MX" sz="1100" b="0" i="1">
                      <a:latin typeface="Cambria Math" panose="02040503050406030204" pitchFamily="18" charset="0"/>
                    </a:rPr>
                    <m:t>𝑟</m:t>
                  </m:r>
                  <m:r>
                    <a:rPr lang="es-MX" sz="1100" b="0" i="1">
                      <a:latin typeface="Cambria Math" panose="02040503050406030204" pitchFamily="18" charset="0"/>
                    </a:rPr>
                    <m:t> </m:t>
                  </m:r>
                </m:oMath>
              </a14:m>
              <a:endParaRPr lang="es-MX" sz="1100"/>
            </a:p>
          </xdr:txBody>
        </xdr:sp>
      </mc:Choice>
      <mc:Fallback xmlns="">
        <xdr:sp macro="" textlink="">
          <xdr:nvSpPr>
            <xdr:cNvPr id="498" name="CuadroTexto 497">
              <a:extLst>
                <a:ext uri="{FF2B5EF4-FFF2-40B4-BE49-F238E27FC236}">
                  <a16:creationId xmlns:a16="http://schemas.microsoft.com/office/drawing/2014/main" id="{35F6F08C-E366-4057-8963-0B524F8770D0}"/>
                </a:ext>
              </a:extLst>
            </xdr:cNvPr>
            <xdr:cNvSpPr txBox="1"/>
          </xdr:nvSpPr>
          <xdr:spPr>
            <a:xfrm>
              <a:off x="7455477" y="182005433"/>
              <a:ext cx="976415" cy="1764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CO2e</a:t>
              </a:r>
              <a:r>
                <a:rPr lang="es-MX" sz="1100" i="0">
                  <a:latin typeface="Cambria Math" panose="02040503050406030204" pitchFamily="18" charset="0"/>
                </a:rPr>
                <a:t>=</a:t>
              </a:r>
              <a:r>
                <a:rPr lang="es-MX" sz="1100" b="0" i="0">
                  <a:latin typeface="Cambria Math" panose="02040503050406030204" pitchFamily="18" charset="0"/>
                </a:rPr>
                <a:t>𝑣 −𝑟 </a:t>
              </a:r>
              <a:endParaRPr lang="es-MX" sz="1100"/>
            </a:p>
          </xdr:txBody>
        </xdr:sp>
      </mc:Fallback>
    </mc:AlternateContent>
    <xdr:clientData/>
  </xdr:oneCellAnchor>
  <xdr:oneCellAnchor>
    <xdr:from>
      <xdr:col>8</xdr:col>
      <xdr:colOff>284691</xdr:colOff>
      <xdr:row>235</xdr:row>
      <xdr:rowOff>836275</xdr:rowOff>
    </xdr:from>
    <xdr:ext cx="1579856" cy="375680"/>
    <mc:AlternateContent xmlns:mc="http://schemas.openxmlformats.org/markup-compatibility/2006" xmlns:a14="http://schemas.microsoft.com/office/drawing/2010/main">
      <mc:Choice Requires="a14">
        <xdr:sp macro="" textlink="">
          <xdr:nvSpPr>
            <xdr:cNvPr id="499" name="CuadroTexto 498">
              <a:extLst>
                <a:ext uri="{FF2B5EF4-FFF2-40B4-BE49-F238E27FC236}">
                  <a16:creationId xmlns:a16="http://schemas.microsoft.com/office/drawing/2014/main" id="{A1810D88-6F58-4366-AE05-9FEB41E6462A}"/>
                </a:ext>
              </a:extLst>
            </xdr:cNvPr>
            <xdr:cNvSpPr txBox="1"/>
          </xdr:nvSpPr>
          <xdr:spPr>
            <a:xfrm>
              <a:off x="7682441" y="183605150"/>
              <a:ext cx="157985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latin typeface="+mn-lt"/>
              </a:endParaRPr>
            </a:p>
            <a:p>
              <a:r>
                <a:rPr lang="es-MX" sz="800" b="0">
                  <a:latin typeface="+mn-lt"/>
                </a:rPr>
                <a:t>v representa</a:t>
              </a:r>
              <a:r>
                <a:rPr lang="es-MX" sz="800" b="0" baseline="0">
                  <a:latin typeface="+mn-lt"/>
                </a:rPr>
                <a:t> lo emitido por virgen</a:t>
              </a:r>
            </a:p>
            <a:p>
              <a:r>
                <a:rPr lang="es-MX" sz="800" b="0" baseline="0">
                  <a:latin typeface="+mn-lt"/>
                </a:rPr>
                <a:t>Er representa lo emitido por reciclado</a:t>
              </a:r>
              <a:endParaRPr lang="es-MX" sz="800" b="0">
                <a:latin typeface="+mn-lt"/>
              </a:endParaRPr>
            </a:p>
          </xdr:txBody>
        </xdr:sp>
      </mc:Choice>
      <mc:Fallback xmlns="">
        <xdr:sp macro="" textlink="">
          <xdr:nvSpPr>
            <xdr:cNvPr id="499" name="CuadroTexto 498">
              <a:extLst>
                <a:ext uri="{FF2B5EF4-FFF2-40B4-BE49-F238E27FC236}">
                  <a16:creationId xmlns:a16="http://schemas.microsoft.com/office/drawing/2014/main" id="{A1810D88-6F58-4366-AE05-9FEB41E6462A}"/>
                </a:ext>
              </a:extLst>
            </xdr:cNvPr>
            <xdr:cNvSpPr txBox="1"/>
          </xdr:nvSpPr>
          <xdr:spPr>
            <a:xfrm>
              <a:off x="7682441" y="183605150"/>
              <a:ext cx="157985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latin typeface="+mn-lt"/>
              </a:endParaRPr>
            </a:p>
            <a:p>
              <a:r>
                <a:rPr lang="es-MX" sz="800" b="0">
                  <a:latin typeface="+mn-lt"/>
                </a:rPr>
                <a:t>v representa</a:t>
              </a:r>
              <a:r>
                <a:rPr lang="es-MX" sz="800" b="0" baseline="0">
                  <a:latin typeface="+mn-lt"/>
                </a:rPr>
                <a:t> lo emitido por virgen</a:t>
              </a:r>
            </a:p>
            <a:p>
              <a:r>
                <a:rPr lang="es-MX" sz="800" b="0" baseline="0">
                  <a:latin typeface="+mn-lt"/>
                </a:rPr>
                <a:t>Er representa lo emitido por reciclado</a:t>
              </a:r>
              <a:endParaRPr lang="es-MX" sz="800" b="0">
                <a:latin typeface="+mn-lt"/>
              </a:endParaRPr>
            </a:p>
          </xdr:txBody>
        </xdr:sp>
      </mc:Fallback>
    </mc:AlternateContent>
    <xdr:clientData/>
  </xdr:oneCellAnchor>
  <xdr:oneCellAnchor>
    <xdr:from>
      <xdr:col>9</xdr:col>
      <xdr:colOff>109491</xdr:colOff>
      <xdr:row>235</xdr:row>
      <xdr:rowOff>270164</xdr:rowOff>
    </xdr:from>
    <xdr:ext cx="2063750" cy="261738"/>
    <mc:AlternateContent xmlns:mc="http://schemas.openxmlformats.org/markup-compatibility/2006" xmlns:a14="http://schemas.microsoft.com/office/drawing/2010/main">
      <mc:Choice Requires="a14">
        <xdr:sp macro="" textlink="">
          <xdr:nvSpPr>
            <xdr:cNvPr id="500" name="CuadroTexto 499">
              <a:extLst>
                <a:ext uri="{FF2B5EF4-FFF2-40B4-BE49-F238E27FC236}">
                  <a16:creationId xmlns:a16="http://schemas.microsoft.com/office/drawing/2014/main" id="{4057AA52-008E-4D05-9B9A-C4329752B980}"/>
                </a:ext>
              </a:extLst>
            </xdr:cNvPr>
            <xdr:cNvSpPr txBox="1"/>
          </xdr:nvSpPr>
          <xdr:spPr>
            <a:xfrm>
              <a:off x="8881150" y="181859959"/>
              <a:ext cx="2063750" cy="261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14:m>
                <m:oMath xmlns:m="http://schemas.openxmlformats.org/officeDocument/2006/math">
                  <m:r>
                    <a:rPr lang="es-MX" sz="1100" i="1">
                      <a:latin typeface="Cambria Math" panose="02040503050406030204" pitchFamily="18" charset="0"/>
                    </a:rPr>
                    <m:t>=</m:t>
                  </m:r>
                  <m:r>
                    <a:rPr lang="es-MX" sz="1100" b="0" i="0">
                      <a:latin typeface="Cambria Math" panose="02040503050406030204" pitchFamily="18" charset="0"/>
                    </a:rPr>
                    <m:t>1.478</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𝑐𝑜</m:t>
                      </m:r>
                      <m:r>
                        <a:rPr lang="es-MX" sz="1100" b="0" i="1">
                          <a:solidFill>
                            <a:schemeClr val="tx1"/>
                          </a:solidFill>
                          <a:effectLst/>
                          <a:latin typeface="Cambria Math" panose="02040503050406030204" pitchFamily="18" charset="0"/>
                          <a:ea typeface="+mn-ea"/>
                          <a:cs typeface="+mn-cs"/>
                        </a:rPr>
                        <m:t>2</m:t>
                      </m:r>
                      <m:r>
                        <a:rPr lang="es-MX" sz="1100" b="0" i="1">
                          <a:solidFill>
                            <a:schemeClr val="tx1"/>
                          </a:solidFill>
                          <a:effectLst/>
                          <a:latin typeface="Cambria Math" panose="02040503050406030204" pitchFamily="18" charset="0"/>
                          <a:ea typeface="+mn-ea"/>
                          <a:cs typeface="+mn-cs"/>
                        </a:rPr>
                        <m:t>𝑒</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−.183</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co</m:t>
                      </m:r>
                      <m:r>
                        <a:rPr lang="es-MX" sz="1100" b="0" i="0">
                          <a:solidFill>
                            <a:schemeClr val="tx1"/>
                          </a:solidFill>
                          <a:effectLst/>
                          <a:latin typeface="Cambria Math" panose="02040503050406030204" pitchFamily="18" charset="0"/>
                          <a:ea typeface="+mn-ea"/>
                          <a:cs typeface="+mn-cs"/>
                        </a:rPr>
                        <m:t>2</m:t>
                      </m:r>
                      <m:r>
                        <m:rPr>
                          <m:sty m:val="p"/>
                        </m:rPr>
                        <a:rPr lang="es-MX" sz="1100" b="0" i="0">
                          <a:solidFill>
                            <a:schemeClr val="tx1"/>
                          </a:solidFill>
                          <a:effectLst/>
                          <a:latin typeface="Cambria Math" panose="02040503050406030204" pitchFamily="18" charset="0"/>
                          <a:ea typeface="+mn-ea"/>
                          <a:cs typeface="+mn-cs"/>
                        </a:rPr>
                        <m:t>e</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a14:m>
              <a:endParaRPr lang="es-MX" sz="1100"/>
            </a:p>
          </xdr:txBody>
        </xdr:sp>
      </mc:Choice>
      <mc:Fallback xmlns="">
        <xdr:sp macro="" textlink="">
          <xdr:nvSpPr>
            <xdr:cNvPr id="500" name="CuadroTexto 499">
              <a:extLst>
                <a:ext uri="{FF2B5EF4-FFF2-40B4-BE49-F238E27FC236}">
                  <a16:creationId xmlns:a16="http://schemas.microsoft.com/office/drawing/2014/main" id="{4057AA52-008E-4D05-9B9A-C4329752B980}"/>
                </a:ext>
              </a:extLst>
            </xdr:cNvPr>
            <xdr:cNvSpPr txBox="1"/>
          </xdr:nvSpPr>
          <xdr:spPr>
            <a:xfrm>
              <a:off x="8881150" y="181859959"/>
              <a:ext cx="2063750" cy="261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CO2e</a:t>
              </a:r>
              <a:r>
                <a:rPr lang="es-MX" sz="1100" i="0">
                  <a:latin typeface="Cambria Math" panose="02040503050406030204" pitchFamily="18" charset="0"/>
                </a:rPr>
                <a:t>=</a:t>
              </a:r>
              <a:r>
                <a:rPr lang="es-MX" sz="1100" b="0" i="0">
                  <a:latin typeface="Cambria Math" panose="02040503050406030204" pitchFamily="18" charset="0"/>
                </a:rPr>
                <a:t>1.478</a:t>
              </a:r>
              <a:r>
                <a:rPr lang="es-MX" sz="1100" b="0" i="0">
                  <a:solidFill>
                    <a:schemeClr val="tx1"/>
                  </a:solidFill>
                  <a:effectLst/>
                  <a:latin typeface="Cambria Math" panose="02040503050406030204" pitchFamily="18" charset="0"/>
                  <a:ea typeface="+mn-ea"/>
                  <a:cs typeface="+mn-cs"/>
                </a:rPr>
                <a:t> 𝑐𝑜2𝑒/kg </a:t>
              </a:r>
              <a:r>
                <a:rPr lang="es-MX" sz="1100" b="0" i="0">
                  <a:latin typeface="Cambria Math" panose="02040503050406030204" pitchFamily="18" charset="0"/>
                </a:rPr>
                <a:t> −.183</a:t>
              </a:r>
              <a:r>
                <a:rPr lang="es-MX" sz="1100" b="0" i="0">
                  <a:solidFill>
                    <a:schemeClr val="tx1"/>
                  </a:solidFill>
                  <a:effectLst/>
                  <a:latin typeface="Cambria Math" panose="02040503050406030204" pitchFamily="18" charset="0"/>
                  <a:ea typeface="+mn-ea"/>
                  <a:cs typeface="+mn-cs"/>
                </a:rPr>
                <a:t> co2e/kg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140759</xdr:colOff>
      <xdr:row>235</xdr:row>
      <xdr:rowOff>130174</xdr:rowOff>
    </xdr:from>
    <xdr:ext cx="1459441" cy="261738"/>
    <mc:AlternateContent xmlns:mc="http://schemas.openxmlformats.org/markup-compatibility/2006" xmlns:a14="http://schemas.microsoft.com/office/drawing/2010/main">
      <mc:Choice Requires="a14">
        <xdr:sp macro="" textlink="">
          <xdr:nvSpPr>
            <xdr:cNvPr id="501" name="CuadroTexto 500">
              <a:extLst>
                <a:ext uri="{FF2B5EF4-FFF2-40B4-BE49-F238E27FC236}">
                  <a16:creationId xmlns:a16="http://schemas.microsoft.com/office/drawing/2014/main" id="{039CF786-3764-42BF-8FC0-591AF4A91AEE}"/>
                </a:ext>
              </a:extLst>
            </xdr:cNvPr>
            <xdr:cNvSpPr txBox="1"/>
          </xdr:nvSpPr>
          <xdr:spPr>
            <a:xfrm>
              <a:off x="10817418" y="181719969"/>
              <a:ext cx="1459441" cy="261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1.295</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𝑐𝑜</m:t>
                      </m:r>
                      <m:r>
                        <a:rPr lang="es-MX" sz="1100" b="0" i="1">
                          <a:solidFill>
                            <a:schemeClr val="tx1"/>
                          </a:solidFill>
                          <a:effectLst/>
                          <a:latin typeface="Cambria Math" panose="02040503050406030204" pitchFamily="18" charset="0"/>
                          <a:ea typeface="+mn-ea"/>
                          <a:cs typeface="+mn-cs"/>
                        </a:rPr>
                        <m:t>2</m:t>
                      </m:r>
                      <m:r>
                        <a:rPr lang="es-MX" sz="1100" b="0" i="1">
                          <a:solidFill>
                            <a:schemeClr val="tx1"/>
                          </a:solidFill>
                          <a:effectLst/>
                          <a:latin typeface="Cambria Math" panose="02040503050406030204" pitchFamily="18" charset="0"/>
                          <a:ea typeface="+mn-ea"/>
                          <a:cs typeface="+mn-cs"/>
                        </a:rPr>
                        <m:t>𝑒</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a14:m>
              <a:endParaRPr lang="es-MX" sz="1100"/>
            </a:p>
          </xdr:txBody>
        </xdr:sp>
      </mc:Choice>
      <mc:Fallback xmlns="">
        <xdr:sp macro="" textlink="">
          <xdr:nvSpPr>
            <xdr:cNvPr id="501" name="CuadroTexto 500">
              <a:extLst>
                <a:ext uri="{FF2B5EF4-FFF2-40B4-BE49-F238E27FC236}">
                  <a16:creationId xmlns:a16="http://schemas.microsoft.com/office/drawing/2014/main" id="{039CF786-3764-42BF-8FC0-591AF4A91AEE}"/>
                </a:ext>
              </a:extLst>
            </xdr:cNvPr>
            <xdr:cNvSpPr txBox="1"/>
          </xdr:nvSpPr>
          <xdr:spPr>
            <a:xfrm>
              <a:off x="10817418" y="181719969"/>
              <a:ext cx="1459441" cy="261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CO2e</a:t>
              </a:r>
              <a:r>
                <a:rPr lang="es-MX" sz="1100" i="0">
                  <a:latin typeface="Cambria Math" panose="02040503050406030204" pitchFamily="18" charset="0"/>
                </a:rPr>
                <a:t>=</a:t>
              </a:r>
              <a:r>
                <a:rPr lang="es-MX" sz="1100" b="0" i="0">
                  <a:latin typeface="Cambria Math" panose="02040503050406030204" pitchFamily="18" charset="0"/>
                </a:rPr>
                <a:t>1.295</a:t>
              </a:r>
              <a:r>
                <a:rPr lang="es-MX" sz="1100" b="0" i="0">
                  <a:solidFill>
                    <a:schemeClr val="tx1"/>
                  </a:solidFill>
                  <a:effectLst/>
                  <a:latin typeface="Cambria Math" panose="02040503050406030204" pitchFamily="18" charset="0"/>
                  <a:ea typeface="+mn-ea"/>
                  <a:cs typeface="+mn-cs"/>
                </a:rPr>
                <a:t> 𝑐𝑜2𝑒/kg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121227</xdr:colOff>
      <xdr:row>235</xdr:row>
      <xdr:rowOff>562841</xdr:rowOff>
    </xdr:from>
    <xdr:ext cx="1459441" cy="239361"/>
    <mc:AlternateContent xmlns:mc="http://schemas.openxmlformats.org/markup-compatibility/2006" xmlns:a14="http://schemas.microsoft.com/office/drawing/2010/main">
      <mc:Choice Requires="a14">
        <xdr:sp macro="" textlink="">
          <xdr:nvSpPr>
            <xdr:cNvPr id="503" name="CuadroTexto 502">
              <a:extLst>
                <a:ext uri="{FF2B5EF4-FFF2-40B4-BE49-F238E27FC236}">
                  <a16:creationId xmlns:a16="http://schemas.microsoft.com/office/drawing/2014/main" id="{B66DD0BD-221E-494E-B8E8-04CA798B9EE1}"/>
                </a:ext>
              </a:extLst>
            </xdr:cNvPr>
            <xdr:cNvSpPr txBox="1"/>
          </xdr:nvSpPr>
          <xdr:spPr>
            <a:xfrm>
              <a:off x="10797886" y="182152636"/>
              <a:ext cx="1459441" cy="239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1,295</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𝑐𝑜</m:t>
                      </m:r>
                      <m:r>
                        <a:rPr lang="es-MX" sz="1100" b="0" i="1">
                          <a:solidFill>
                            <a:schemeClr val="tx1"/>
                          </a:solidFill>
                          <a:effectLst/>
                          <a:latin typeface="Cambria Math" panose="02040503050406030204" pitchFamily="18" charset="0"/>
                          <a:ea typeface="+mn-ea"/>
                          <a:cs typeface="+mn-cs"/>
                        </a:rPr>
                        <m:t>2</m:t>
                      </m:r>
                      <m:r>
                        <a:rPr lang="es-MX" sz="1100" b="0" i="1">
                          <a:solidFill>
                            <a:schemeClr val="tx1"/>
                          </a:solidFill>
                          <a:effectLst/>
                          <a:latin typeface="Cambria Math" panose="02040503050406030204" pitchFamily="18" charset="0"/>
                          <a:ea typeface="+mn-ea"/>
                          <a:cs typeface="+mn-cs"/>
                        </a:rPr>
                        <m:t>𝑒</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a14:m>
              <a:endParaRPr lang="es-MX" sz="1100"/>
            </a:p>
          </xdr:txBody>
        </xdr:sp>
      </mc:Choice>
      <mc:Fallback xmlns="">
        <xdr:sp macro="" textlink="">
          <xdr:nvSpPr>
            <xdr:cNvPr id="503" name="CuadroTexto 502">
              <a:extLst>
                <a:ext uri="{FF2B5EF4-FFF2-40B4-BE49-F238E27FC236}">
                  <a16:creationId xmlns:a16="http://schemas.microsoft.com/office/drawing/2014/main" id="{B66DD0BD-221E-494E-B8E8-04CA798B9EE1}"/>
                </a:ext>
              </a:extLst>
            </xdr:cNvPr>
            <xdr:cNvSpPr txBox="1"/>
          </xdr:nvSpPr>
          <xdr:spPr>
            <a:xfrm>
              <a:off x="10797886" y="182152636"/>
              <a:ext cx="1459441" cy="239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CO2e</a:t>
              </a:r>
              <a:r>
                <a:rPr lang="es-MX" sz="1100" i="0">
                  <a:latin typeface="Cambria Math" panose="02040503050406030204" pitchFamily="18" charset="0"/>
                </a:rPr>
                <a:t>=</a:t>
              </a:r>
              <a:r>
                <a:rPr lang="es-MX" sz="1100" b="0" i="0">
                  <a:latin typeface="Cambria Math" panose="02040503050406030204" pitchFamily="18" charset="0"/>
                </a:rPr>
                <a:t>1,295</a:t>
              </a:r>
              <a:r>
                <a:rPr lang="es-MX" sz="1100" b="0" i="0">
                  <a:solidFill>
                    <a:schemeClr val="tx1"/>
                  </a:solidFill>
                  <a:effectLst/>
                  <a:latin typeface="Cambria Math" panose="02040503050406030204" pitchFamily="18" charset="0"/>
                  <a:ea typeface="+mn-ea"/>
                  <a:cs typeface="+mn-cs"/>
                </a:rPr>
                <a:t> 𝑐𝑜2𝑒/ton </a:t>
              </a:r>
              <a:r>
                <a:rPr lang="es-MX" sz="1100" b="0" i="0">
                  <a:latin typeface="Cambria Math" panose="02040503050406030204" pitchFamily="18" charset="0"/>
                </a:rPr>
                <a:t> </a:t>
              </a:r>
              <a:endParaRPr lang="es-MX" sz="1100"/>
            </a:p>
          </xdr:txBody>
        </xdr:sp>
      </mc:Fallback>
    </mc:AlternateContent>
    <xdr:clientData/>
  </xdr:oneCellAnchor>
  <xdr:oneCellAnchor>
    <xdr:from>
      <xdr:col>4</xdr:col>
      <xdr:colOff>119743</xdr:colOff>
      <xdr:row>247</xdr:row>
      <xdr:rowOff>70758</xdr:rowOff>
    </xdr:from>
    <xdr:ext cx="360000" cy="360000"/>
    <xdr:pic>
      <xdr:nvPicPr>
        <xdr:cNvPr id="476" name="Gráfico 475" descr="Hogar">
          <a:extLst>
            <a:ext uri="{FF2B5EF4-FFF2-40B4-BE49-F238E27FC236}">
              <a16:creationId xmlns:a16="http://schemas.microsoft.com/office/drawing/2014/main" id="{A1525FBB-CB36-46E8-AB89-92377BDE32A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7107" y="320690917"/>
          <a:ext cx="360000" cy="360000"/>
        </a:xfrm>
        <a:prstGeom prst="rect">
          <a:avLst/>
        </a:prstGeom>
      </xdr:spPr>
    </xdr:pic>
    <xdr:clientData/>
  </xdr:oneCellAnchor>
  <xdr:oneCellAnchor>
    <xdr:from>
      <xdr:col>3</xdr:col>
      <xdr:colOff>73330</xdr:colOff>
      <xdr:row>247</xdr:row>
      <xdr:rowOff>67651</xdr:rowOff>
    </xdr:from>
    <xdr:ext cx="358941" cy="367560"/>
    <xdr:pic>
      <xdr:nvPicPr>
        <xdr:cNvPr id="484" name="Gráfico 483" descr="Bombilla fluorescente">
          <a:extLst>
            <a:ext uri="{FF2B5EF4-FFF2-40B4-BE49-F238E27FC236}">
              <a16:creationId xmlns:a16="http://schemas.microsoft.com/office/drawing/2014/main" id="{250F6F73-D30B-4A76-8525-A4AC3EDD8AE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30535" y="320687810"/>
          <a:ext cx="358941" cy="367560"/>
        </a:xfrm>
        <a:prstGeom prst="rect">
          <a:avLst/>
        </a:prstGeom>
      </xdr:spPr>
    </xdr:pic>
    <xdr:clientData/>
  </xdr:oneCellAnchor>
  <xdr:oneCellAnchor>
    <xdr:from>
      <xdr:col>6</xdr:col>
      <xdr:colOff>133350</xdr:colOff>
      <xdr:row>247</xdr:row>
      <xdr:rowOff>77256</xdr:rowOff>
    </xdr:from>
    <xdr:ext cx="284694" cy="284694"/>
    <xdr:pic>
      <xdr:nvPicPr>
        <xdr:cNvPr id="485" name="Imagen 484">
          <a:extLst>
            <a:ext uri="{FF2B5EF4-FFF2-40B4-BE49-F238E27FC236}">
              <a16:creationId xmlns:a16="http://schemas.microsoft.com/office/drawing/2014/main" id="{B491DD67-FBB5-42B2-97EA-ADDDD457784A}"/>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831032" y="320697415"/>
          <a:ext cx="284694" cy="284694"/>
        </a:xfrm>
        <a:prstGeom prst="rect">
          <a:avLst/>
        </a:prstGeom>
      </xdr:spPr>
    </xdr:pic>
    <xdr:clientData/>
  </xdr:oneCellAnchor>
  <xdr:oneCellAnchor>
    <xdr:from>
      <xdr:col>7</xdr:col>
      <xdr:colOff>202407</xdr:colOff>
      <xdr:row>247</xdr:row>
      <xdr:rowOff>171450</xdr:rowOff>
    </xdr:from>
    <xdr:ext cx="159543" cy="144653"/>
    <xdr:pic>
      <xdr:nvPicPr>
        <xdr:cNvPr id="495" name="Imagen 494">
          <a:extLst>
            <a:ext uri="{FF2B5EF4-FFF2-40B4-BE49-F238E27FC236}">
              <a16:creationId xmlns:a16="http://schemas.microsoft.com/office/drawing/2014/main" id="{E545AB3B-E619-40F4-B7A2-B1FBEB9379B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480248" y="320791609"/>
          <a:ext cx="159543" cy="144653"/>
        </a:xfrm>
        <a:prstGeom prst="rect">
          <a:avLst/>
        </a:prstGeom>
      </xdr:spPr>
    </xdr:pic>
    <xdr:clientData/>
  </xdr:oneCellAnchor>
  <xdr:oneCellAnchor>
    <xdr:from>
      <xdr:col>4</xdr:col>
      <xdr:colOff>400050</xdr:colOff>
      <xdr:row>247</xdr:row>
      <xdr:rowOff>77007</xdr:rowOff>
    </xdr:from>
    <xdr:ext cx="200025" cy="204828"/>
    <xdr:pic>
      <xdr:nvPicPr>
        <xdr:cNvPr id="496" name="Gráfico 495" descr="Bombilla fluorescente">
          <a:extLst>
            <a:ext uri="{FF2B5EF4-FFF2-40B4-BE49-F238E27FC236}">
              <a16:creationId xmlns:a16="http://schemas.microsoft.com/office/drawing/2014/main" id="{81B9DF6D-376D-4C34-A8D8-DBFA4E05A09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7414" y="320697166"/>
          <a:ext cx="200025" cy="204828"/>
        </a:xfrm>
        <a:prstGeom prst="rect">
          <a:avLst/>
        </a:prstGeom>
      </xdr:spPr>
    </xdr:pic>
    <xdr:clientData/>
  </xdr:oneCellAnchor>
  <xdr:oneCellAnchor>
    <xdr:from>
      <xdr:col>3</xdr:col>
      <xdr:colOff>114301</xdr:colOff>
      <xdr:row>253</xdr:row>
      <xdr:rowOff>104775</xdr:rowOff>
    </xdr:from>
    <xdr:ext cx="352424" cy="352424"/>
    <xdr:pic>
      <xdr:nvPicPr>
        <xdr:cNvPr id="502" name="Imagen 501">
          <a:extLst>
            <a:ext uri="{FF2B5EF4-FFF2-40B4-BE49-F238E27FC236}">
              <a16:creationId xmlns:a16="http://schemas.microsoft.com/office/drawing/2014/main" id="{CA18DE2F-629D-488B-AB83-4DFDFB548266}"/>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71506" y="15994207"/>
          <a:ext cx="352424" cy="352424"/>
        </a:xfrm>
        <a:prstGeom prst="rect">
          <a:avLst/>
        </a:prstGeom>
      </xdr:spPr>
    </xdr:pic>
    <xdr:clientData/>
  </xdr:oneCellAnchor>
  <xdr:oneCellAnchor>
    <xdr:from>
      <xdr:col>4</xdr:col>
      <xdr:colOff>114300</xdr:colOff>
      <xdr:row>253</xdr:row>
      <xdr:rowOff>76200</xdr:rowOff>
    </xdr:from>
    <xdr:ext cx="381000" cy="381000"/>
    <xdr:pic>
      <xdr:nvPicPr>
        <xdr:cNvPr id="506" name="Gráfico 505" descr="Botella de agua">
          <a:extLst>
            <a:ext uri="{FF2B5EF4-FFF2-40B4-BE49-F238E27FC236}">
              <a16:creationId xmlns:a16="http://schemas.microsoft.com/office/drawing/2014/main" id="{7E456861-BFE3-4563-8AE9-3869B49265C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51664" y="15965632"/>
          <a:ext cx="381000" cy="381000"/>
        </a:xfrm>
        <a:prstGeom prst="rect">
          <a:avLst/>
        </a:prstGeom>
      </xdr:spPr>
    </xdr:pic>
    <xdr:clientData/>
  </xdr:oneCellAnchor>
  <xdr:oneCellAnchor>
    <xdr:from>
      <xdr:col>5</xdr:col>
      <xdr:colOff>85725</xdr:colOff>
      <xdr:row>253</xdr:row>
      <xdr:rowOff>95250</xdr:rowOff>
    </xdr:from>
    <xdr:ext cx="361950" cy="361950"/>
    <xdr:pic>
      <xdr:nvPicPr>
        <xdr:cNvPr id="507" name="Gráfico 506" descr="Manzana">
          <a:extLst>
            <a:ext uri="{FF2B5EF4-FFF2-40B4-BE49-F238E27FC236}">
              <a16:creationId xmlns:a16="http://schemas.microsoft.com/office/drawing/2014/main" id="{1C928075-A013-400B-A6B2-8DB25117021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3248" y="15984682"/>
          <a:ext cx="361950" cy="361950"/>
        </a:xfrm>
        <a:prstGeom prst="rect">
          <a:avLst/>
        </a:prstGeom>
      </xdr:spPr>
    </xdr:pic>
    <xdr:clientData/>
  </xdr:oneCellAnchor>
  <xdr:oneCellAnchor>
    <xdr:from>
      <xdr:col>6</xdr:col>
      <xdr:colOff>95250</xdr:colOff>
      <xdr:row>253</xdr:row>
      <xdr:rowOff>104775</xdr:rowOff>
    </xdr:from>
    <xdr:ext cx="342900" cy="342900"/>
    <xdr:pic>
      <xdr:nvPicPr>
        <xdr:cNvPr id="508" name="Gráfico 507" descr="Buceo">
          <a:extLst>
            <a:ext uri="{FF2B5EF4-FFF2-40B4-BE49-F238E27FC236}">
              <a16:creationId xmlns:a16="http://schemas.microsoft.com/office/drawing/2014/main" id="{A7C1ED89-E0C4-418F-BA7E-D1B237FB342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2932" y="15994207"/>
          <a:ext cx="342900" cy="342900"/>
        </a:xfrm>
        <a:prstGeom prst="rect">
          <a:avLst/>
        </a:prstGeom>
      </xdr:spPr>
    </xdr:pic>
    <xdr:clientData/>
  </xdr:oneCellAnchor>
  <xdr:oneCellAnchor>
    <xdr:from>
      <xdr:col>7</xdr:col>
      <xdr:colOff>114300</xdr:colOff>
      <xdr:row>253</xdr:row>
      <xdr:rowOff>114299</xdr:rowOff>
    </xdr:from>
    <xdr:ext cx="281199" cy="281199"/>
    <xdr:pic>
      <xdr:nvPicPr>
        <xdr:cNvPr id="509" name="Imagen 508">
          <a:extLst>
            <a:ext uri="{FF2B5EF4-FFF2-40B4-BE49-F238E27FC236}">
              <a16:creationId xmlns:a16="http://schemas.microsoft.com/office/drawing/2014/main" id="{AD3ABACD-A015-4235-82DA-943F0C06C2C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2141" y="16003731"/>
          <a:ext cx="281199" cy="281199"/>
        </a:xfrm>
        <a:prstGeom prst="rect">
          <a:avLst/>
        </a:prstGeom>
      </xdr:spPr>
    </xdr:pic>
    <xdr:clientData/>
  </xdr:oneCellAnchor>
  <xdr:oneCellAnchor>
    <xdr:from>
      <xdr:col>2</xdr:col>
      <xdr:colOff>114301</xdr:colOff>
      <xdr:row>253</xdr:row>
      <xdr:rowOff>95250</xdr:rowOff>
    </xdr:from>
    <xdr:ext cx="315608" cy="315608"/>
    <xdr:pic>
      <xdr:nvPicPr>
        <xdr:cNvPr id="510" name="Imagen 509">
          <a:extLst>
            <a:ext uri="{FF2B5EF4-FFF2-40B4-BE49-F238E27FC236}">
              <a16:creationId xmlns:a16="http://schemas.microsoft.com/office/drawing/2014/main" id="{89F047D3-0F98-4BB3-A887-B720E5EABB4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91346" y="15984682"/>
          <a:ext cx="315608" cy="315608"/>
        </a:xfrm>
        <a:prstGeom prst="rect">
          <a:avLst/>
        </a:prstGeom>
      </xdr:spPr>
    </xdr:pic>
    <xdr:clientData/>
  </xdr:oneCellAnchor>
  <xdr:oneCellAnchor>
    <xdr:from>
      <xdr:col>2</xdr:col>
      <xdr:colOff>152400</xdr:colOff>
      <xdr:row>258</xdr:row>
      <xdr:rowOff>76200</xdr:rowOff>
    </xdr:from>
    <xdr:ext cx="323850" cy="323850"/>
    <xdr:pic>
      <xdr:nvPicPr>
        <xdr:cNvPr id="511" name="Gráfico 510" descr="Árbol de hojas podridas">
          <a:extLst>
            <a:ext uri="{FF2B5EF4-FFF2-40B4-BE49-F238E27FC236}">
              <a16:creationId xmlns:a16="http://schemas.microsoft.com/office/drawing/2014/main" id="{DE5280DF-C8E1-4395-928F-871EFA9845D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9445" y="30980495"/>
          <a:ext cx="323850" cy="323850"/>
        </a:xfrm>
        <a:prstGeom prst="rect">
          <a:avLst/>
        </a:prstGeom>
      </xdr:spPr>
    </xdr:pic>
    <xdr:clientData/>
  </xdr:oneCellAnchor>
  <xdr:oneCellAnchor>
    <xdr:from>
      <xdr:col>2</xdr:col>
      <xdr:colOff>523874</xdr:colOff>
      <xdr:row>258</xdr:row>
      <xdr:rowOff>95250</xdr:rowOff>
    </xdr:from>
    <xdr:ext cx="693595" cy="285750"/>
    <xdr:pic>
      <xdr:nvPicPr>
        <xdr:cNvPr id="512" name="Imagen 511">
          <a:extLst>
            <a:ext uri="{FF2B5EF4-FFF2-40B4-BE49-F238E27FC236}">
              <a16:creationId xmlns:a16="http://schemas.microsoft.com/office/drawing/2014/main" id="{988D2496-B271-42C7-AB49-9F9F25F024C8}"/>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900919" y="30999545"/>
          <a:ext cx="693595" cy="285750"/>
        </a:xfrm>
        <a:prstGeom prst="rect">
          <a:avLst/>
        </a:prstGeom>
      </xdr:spPr>
    </xdr:pic>
    <xdr:clientData/>
  </xdr:oneCellAnchor>
  <xdr:oneCellAnchor>
    <xdr:from>
      <xdr:col>4</xdr:col>
      <xdr:colOff>127001</xdr:colOff>
      <xdr:row>258</xdr:row>
      <xdr:rowOff>118532</xdr:rowOff>
    </xdr:from>
    <xdr:ext cx="317499" cy="317499"/>
    <xdr:pic>
      <xdr:nvPicPr>
        <xdr:cNvPr id="513" name="Imagen 512">
          <a:extLst>
            <a:ext uri="{FF2B5EF4-FFF2-40B4-BE49-F238E27FC236}">
              <a16:creationId xmlns:a16="http://schemas.microsoft.com/office/drawing/2014/main" id="{CC7895BE-A5EB-438D-BF7E-7E6D98CAAB21}"/>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4365" y="31022827"/>
          <a:ext cx="317499" cy="317499"/>
        </a:xfrm>
        <a:prstGeom prst="rect">
          <a:avLst/>
        </a:prstGeom>
      </xdr:spPr>
    </xdr:pic>
    <xdr:clientData/>
  </xdr:oneCellAnchor>
  <xdr:oneCellAnchor>
    <xdr:from>
      <xdr:col>5</xdr:col>
      <xdr:colOff>21167</xdr:colOff>
      <xdr:row>258</xdr:row>
      <xdr:rowOff>57401</xdr:rowOff>
    </xdr:from>
    <xdr:ext cx="539750" cy="378631"/>
    <xdr:pic>
      <xdr:nvPicPr>
        <xdr:cNvPr id="514" name="Imagen 513">
          <a:extLst>
            <a:ext uri="{FF2B5EF4-FFF2-40B4-BE49-F238E27FC236}">
              <a16:creationId xmlns:a16="http://schemas.microsoft.com/office/drawing/2014/main" id="{125B64C5-9075-4536-8D20-4EBAA4A11E7E}"/>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38690" y="30961696"/>
          <a:ext cx="539750" cy="378631"/>
        </a:xfrm>
        <a:prstGeom prst="rect">
          <a:avLst/>
        </a:prstGeom>
      </xdr:spPr>
    </xdr:pic>
    <xdr:clientData/>
  </xdr:oneCellAnchor>
  <xdr:oneCellAnchor>
    <xdr:from>
      <xdr:col>2</xdr:col>
      <xdr:colOff>561975</xdr:colOff>
      <xdr:row>263</xdr:row>
      <xdr:rowOff>28575</xdr:rowOff>
    </xdr:from>
    <xdr:ext cx="669925" cy="462224"/>
    <xdr:pic>
      <xdr:nvPicPr>
        <xdr:cNvPr id="515" name="Imagen 514">
          <a:extLst>
            <a:ext uri="{FF2B5EF4-FFF2-40B4-BE49-F238E27FC236}">
              <a16:creationId xmlns:a16="http://schemas.microsoft.com/office/drawing/2014/main" id="{62766891-341F-42E3-B93F-BEE2C083A595}"/>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9020" y="149934757"/>
          <a:ext cx="669925" cy="462224"/>
        </a:xfrm>
        <a:prstGeom prst="rect">
          <a:avLst/>
        </a:prstGeom>
      </xdr:spPr>
    </xdr:pic>
    <xdr:clientData/>
  </xdr:oneCellAnchor>
  <xdr:oneCellAnchor>
    <xdr:from>
      <xdr:col>2</xdr:col>
      <xdr:colOff>142876</xdr:colOff>
      <xdr:row>263</xdr:row>
      <xdr:rowOff>85725</xdr:rowOff>
    </xdr:from>
    <xdr:ext cx="333376" cy="333376"/>
    <xdr:pic>
      <xdr:nvPicPr>
        <xdr:cNvPr id="516" name="Imagen 515">
          <a:extLst>
            <a:ext uri="{FF2B5EF4-FFF2-40B4-BE49-F238E27FC236}">
              <a16:creationId xmlns:a16="http://schemas.microsoft.com/office/drawing/2014/main" id="{35FB3197-25B4-4266-A034-216A2AAB163F}"/>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9921" y="149991907"/>
          <a:ext cx="333376" cy="333376"/>
        </a:xfrm>
        <a:prstGeom prst="rect">
          <a:avLst/>
        </a:prstGeom>
      </xdr:spPr>
    </xdr:pic>
    <xdr:clientData/>
  </xdr:oneCellAnchor>
  <xdr:oneCellAnchor>
    <xdr:from>
      <xdr:col>4</xdr:col>
      <xdr:colOff>66675</xdr:colOff>
      <xdr:row>263</xdr:row>
      <xdr:rowOff>128910</xdr:rowOff>
    </xdr:from>
    <xdr:ext cx="504825" cy="282360"/>
    <xdr:pic>
      <xdr:nvPicPr>
        <xdr:cNvPr id="517" name="Imagen 516">
          <a:extLst>
            <a:ext uri="{FF2B5EF4-FFF2-40B4-BE49-F238E27FC236}">
              <a16:creationId xmlns:a16="http://schemas.microsoft.com/office/drawing/2014/main" id="{F1DD6ACB-7407-4C17-ACE3-7DE8C1A213DC}"/>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4039" y="150035092"/>
          <a:ext cx="504825" cy="282360"/>
        </a:xfrm>
        <a:prstGeom prst="rect">
          <a:avLst/>
        </a:prstGeom>
      </xdr:spPr>
    </xdr:pic>
    <xdr:clientData/>
  </xdr:oneCellAnchor>
  <xdr:oneCellAnchor>
    <xdr:from>
      <xdr:col>2</xdr:col>
      <xdr:colOff>59531</xdr:colOff>
      <xdr:row>284</xdr:row>
      <xdr:rowOff>83344</xdr:rowOff>
    </xdr:from>
    <xdr:ext cx="391901" cy="366338"/>
    <xdr:pic>
      <xdr:nvPicPr>
        <xdr:cNvPr id="518" name="Imagen 517">
          <a:extLst>
            <a:ext uri="{FF2B5EF4-FFF2-40B4-BE49-F238E27FC236}">
              <a16:creationId xmlns:a16="http://schemas.microsoft.com/office/drawing/2014/main" id="{10B6C542-0610-48D5-A640-A4AA5276DEF8}"/>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36576" y="179759480"/>
          <a:ext cx="391901" cy="366338"/>
        </a:xfrm>
        <a:prstGeom prst="rect">
          <a:avLst/>
        </a:prstGeom>
      </xdr:spPr>
    </xdr:pic>
    <xdr:clientData/>
  </xdr:oneCellAnchor>
  <xdr:oneCellAnchor>
    <xdr:from>
      <xdr:col>3</xdr:col>
      <xdr:colOff>178591</xdr:colOff>
      <xdr:row>284</xdr:row>
      <xdr:rowOff>107155</xdr:rowOff>
    </xdr:from>
    <xdr:ext cx="309563" cy="309563"/>
    <xdr:pic>
      <xdr:nvPicPr>
        <xdr:cNvPr id="519" name="Imagen 518">
          <a:extLst>
            <a:ext uri="{FF2B5EF4-FFF2-40B4-BE49-F238E27FC236}">
              <a16:creationId xmlns:a16="http://schemas.microsoft.com/office/drawing/2014/main" id="{A8F6F51C-ECBB-4F0C-A08B-A63548E872A9}"/>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5796" y="179783291"/>
          <a:ext cx="309563" cy="309563"/>
        </a:xfrm>
        <a:prstGeom prst="rect">
          <a:avLst/>
        </a:prstGeom>
      </xdr:spPr>
    </xdr:pic>
    <xdr:clientData/>
  </xdr:oneCellAnchor>
  <xdr:oneCellAnchor>
    <xdr:from>
      <xdr:col>4</xdr:col>
      <xdr:colOff>59531</xdr:colOff>
      <xdr:row>284</xdr:row>
      <xdr:rowOff>83343</xdr:rowOff>
    </xdr:from>
    <xdr:ext cx="457200" cy="448468"/>
    <xdr:pic>
      <xdr:nvPicPr>
        <xdr:cNvPr id="520" name="Gráfico 519" descr="Convertible">
          <a:extLst>
            <a:ext uri="{FF2B5EF4-FFF2-40B4-BE49-F238E27FC236}">
              <a16:creationId xmlns:a16="http://schemas.microsoft.com/office/drawing/2014/main" id="{071F17CB-1BA4-4539-940B-554C1B16D65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6895" y="179759479"/>
          <a:ext cx="457200" cy="448468"/>
        </a:xfrm>
        <a:prstGeom prst="rect">
          <a:avLst/>
        </a:prstGeom>
      </xdr:spPr>
    </xdr:pic>
    <xdr:clientData/>
  </xdr:oneCellAnchor>
  <xdr:oneCellAnchor>
    <xdr:from>
      <xdr:col>2</xdr:col>
      <xdr:colOff>85725</xdr:colOff>
      <xdr:row>271</xdr:row>
      <xdr:rowOff>63500</xdr:rowOff>
    </xdr:from>
    <xdr:ext cx="431682" cy="429683"/>
    <xdr:pic>
      <xdr:nvPicPr>
        <xdr:cNvPr id="526" name="Gráfico 525" descr="Barril de petróleo">
          <a:extLst>
            <a:ext uri="{FF2B5EF4-FFF2-40B4-BE49-F238E27FC236}">
              <a16:creationId xmlns:a16="http://schemas.microsoft.com/office/drawing/2014/main" id="{EB80B2E3-5199-4A83-AF8A-DF7E723E88BF}"/>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62770" y="165348227"/>
          <a:ext cx="431682" cy="429683"/>
        </a:xfrm>
        <a:prstGeom prst="rect">
          <a:avLst/>
        </a:prstGeom>
      </xdr:spPr>
    </xdr:pic>
    <xdr:clientData/>
  </xdr:oneCellAnchor>
  <xdr:oneCellAnchor>
    <xdr:from>
      <xdr:col>3</xdr:col>
      <xdr:colOff>104775</xdr:colOff>
      <xdr:row>271</xdr:row>
      <xdr:rowOff>133350</xdr:rowOff>
    </xdr:from>
    <xdr:ext cx="332318" cy="315504"/>
    <xdr:pic>
      <xdr:nvPicPr>
        <xdr:cNvPr id="527" name="Imagen 526">
          <a:extLst>
            <a:ext uri="{FF2B5EF4-FFF2-40B4-BE49-F238E27FC236}">
              <a16:creationId xmlns:a16="http://schemas.microsoft.com/office/drawing/2014/main" id="{3F155D75-652F-476A-88AF-2DD1B5AAB496}"/>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61980" y="165418077"/>
          <a:ext cx="332318" cy="315504"/>
        </a:xfrm>
        <a:prstGeom prst="rect">
          <a:avLst/>
        </a:prstGeom>
      </xdr:spPr>
    </xdr:pic>
    <xdr:clientData/>
  </xdr:oneCellAnchor>
  <xdr:oneCellAnchor>
    <xdr:from>
      <xdr:col>4</xdr:col>
      <xdr:colOff>216958</xdr:colOff>
      <xdr:row>271</xdr:row>
      <xdr:rowOff>151302</xdr:rowOff>
    </xdr:from>
    <xdr:ext cx="259291" cy="272028"/>
    <xdr:pic>
      <xdr:nvPicPr>
        <xdr:cNvPr id="528" name="Imagen 527">
          <a:extLst>
            <a:ext uri="{FF2B5EF4-FFF2-40B4-BE49-F238E27FC236}">
              <a16:creationId xmlns:a16="http://schemas.microsoft.com/office/drawing/2014/main" id="{B3D0A6AC-9F79-49FF-B1B2-98722D40C01E}"/>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4322" y="165436029"/>
          <a:ext cx="259291" cy="272028"/>
        </a:xfrm>
        <a:prstGeom prst="rect">
          <a:avLst/>
        </a:prstGeom>
      </xdr:spPr>
    </xdr:pic>
    <xdr:clientData/>
  </xdr:oneCellAnchor>
  <xdr:oneCellAnchor>
    <xdr:from>
      <xdr:col>6</xdr:col>
      <xdr:colOff>76200</xdr:colOff>
      <xdr:row>271</xdr:row>
      <xdr:rowOff>69850</xdr:rowOff>
    </xdr:from>
    <xdr:ext cx="457200" cy="448468"/>
    <xdr:pic>
      <xdr:nvPicPr>
        <xdr:cNvPr id="529" name="Gráfico 528" descr="Convertible">
          <a:extLst>
            <a:ext uri="{FF2B5EF4-FFF2-40B4-BE49-F238E27FC236}">
              <a16:creationId xmlns:a16="http://schemas.microsoft.com/office/drawing/2014/main" id="{76A38176-37D0-48DF-A7A9-B16B84F9D68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3882" y="165354577"/>
          <a:ext cx="457200" cy="448468"/>
        </a:xfrm>
        <a:prstGeom prst="rect">
          <a:avLst/>
        </a:prstGeom>
      </xdr:spPr>
    </xdr:pic>
    <xdr:clientData/>
  </xdr:oneCellAnchor>
  <xdr:oneCellAnchor>
    <xdr:from>
      <xdr:col>5</xdr:col>
      <xdr:colOff>105834</xdr:colOff>
      <xdr:row>271</xdr:row>
      <xdr:rowOff>74083</xdr:rowOff>
    </xdr:from>
    <xdr:ext cx="414685" cy="414685"/>
    <xdr:pic>
      <xdr:nvPicPr>
        <xdr:cNvPr id="530" name="Imagen 529">
          <a:extLst>
            <a:ext uri="{FF2B5EF4-FFF2-40B4-BE49-F238E27FC236}">
              <a16:creationId xmlns:a16="http://schemas.microsoft.com/office/drawing/2014/main" id="{55259C49-BE21-453A-B855-E1643BE17B4A}"/>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3357" y="165358810"/>
          <a:ext cx="414685" cy="414685"/>
        </a:xfrm>
        <a:prstGeom prst="rect">
          <a:avLst/>
        </a:prstGeom>
      </xdr:spPr>
    </xdr:pic>
    <xdr:clientData/>
  </xdr:oneCellAnchor>
  <xdr:oneCellAnchor>
    <xdr:from>
      <xdr:col>6</xdr:col>
      <xdr:colOff>76200</xdr:colOff>
      <xdr:row>284</xdr:row>
      <xdr:rowOff>69850</xdr:rowOff>
    </xdr:from>
    <xdr:ext cx="457200" cy="448468"/>
    <xdr:pic>
      <xdr:nvPicPr>
        <xdr:cNvPr id="531" name="Gráfico 530" descr="Convertible">
          <a:extLst>
            <a:ext uri="{FF2B5EF4-FFF2-40B4-BE49-F238E27FC236}">
              <a16:creationId xmlns:a16="http://schemas.microsoft.com/office/drawing/2014/main" id="{91F4C9ED-EE9B-4ECF-87EF-10D5DC7E00B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3882" y="201281145"/>
          <a:ext cx="457200" cy="448468"/>
        </a:xfrm>
        <a:prstGeom prst="rect">
          <a:avLst/>
        </a:prstGeom>
      </xdr:spPr>
    </xdr:pic>
    <xdr:clientData/>
  </xdr:oneCellAnchor>
  <xdr:oneCellAnchor>
    <xdr:from>
      <xdr:col>1</xdr:col>
      <xdr:colOff>213109</xdr:colOff>
      <xdr:row>285</xdr:row>
      <xdr:rowOff>586893</xdr:rowOff>
    </xdr:from>
    <xdr:ext cx="2518834" cy="656169"/>
    <mc:AlternateContent xmlns:mc="http://schemas.openxmlformats.org/markup-compatibility/2006" xmlns:a14="http://schemas.microsoft.com/office/drawing/2010/main">
      <mc:Choice Requires="a14">
        <xdr:sp macro="" textlink="">
          <xdr:nvSpPr>
            <xdr:cNvPr id="532" name="CuadroTexto 531">
              <a:extLst>
                <a:ext uri="{FF2B5EF4-FFF2-40B4-BE49-F238E27FC236}">
                  <a16:creationId xmlns:a16="http://schemas.microsoft.com/office/drawing/2014/main" id="{60C2CCE6-EE8A-401D-825C-838F7CDDE625}"/>
                </a:ext>
              </a:extLst>
            </xdr:cNvPr>
            <xdr:cNvSpPr txBox="1"/>
          </xdr:nvSpPr>
          <xdr:spPr>
            <a:xfrm>
              <a:off x="927484" y="232457143"/>
              <a:ext cx="2518834" cy="6561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000" b="0" i="0">
                      <a:latin typeface="Cambria Math" panose="02040503050406030204" pitchFamily="18" charset="0"/>
                    </a:rPr>
                    <m:t>Emisi</m:t>
                  </m:r>
                  <m:r>
                    <a:rPr lang="es-MX" sz="1000" b="0" i="0">
                      <a:latin typeface="Cambria Math" panose="02040503050406030204" pitchFamily="18" charset="0"/>
                    </a:rPr>
                    <m:t>ó</m:t>
                  </m:r>
                  <m:r>
                    <m:rPr>
                      <m:sty m:val="p"/>
                    </m:rPr>
                    <a:rPr lang="es-MX" sz="1000" b="0" i="0">
                      <a:latin typeface="Cambria Math" panose="02040503050406030204" pitchFamily="18" charset="0"/>
                    </a:rPr>
                    <m:t>n</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CO</m:t>
                  </m:r>
                  <m:r>
                    <a:rPr lang="es-MX" sz="1000" b="0" i="0">
                      <a:latin typeface="Cambria Math" panose="02040503050406030204" pitchFamily="18" charset="0"/>
                    </a:rPr>
                    <m:t>2 </m:t>
                  </m:r>
                  <m:r>
                    <m:rPr>
                      <m:sty m:val="p"/>
                    </m:rPr>
                    <a:rPr lang="es-MX" sz="1000" b="0" i="0">
                      <a:latin typeface="Cambria Math" panose="02040503050406030204" pitchFamily="18" charset="0"/>
                    </a:rPr>
                    <m:t>con</m:t>
                  </m:r>
                  <m:r>
                    <a:rPr lang="es-MX" sz="1000" b="0" i="0">
                      <a:latin typeface="Cambria Math" panose="02040503050406030204" pitchFamily="18" charset="0"/>
                    </a:rPr>
                    <m:t> </m:t>
                  </m:r>
                  <m:r>
                    <m:rPr>
                      <m:sty m:val="p"/>
                    </m:rPr>
                    <a:rPr lang="es-MX" sz="1000" b="0" i="0">
                      <a:latin typeface="Cambria Math" panose="02040503050406030204" pitchFamily="18" charset="0"/>
                    </a:rPr>
                    <m:t>PEBD</m:t>
                  </m:r>
                  <m:r>
                    <a:rPr lang="es-MX" sz="1000" b="0" i="0">
                      <a:latin typeface="Cambria Math" panose="02040503050406030204" pitchFamily="18" charset="0"/>
                    </a:rPr>
                    <m:t> </m:t>
                  </m:r>
                  <m:r>
                    <m:rPr>
                      <m:sty m:val="p"/>
                    </m:rPr>
                    <a:rPr lang="es-MX" sz="1000" b="0" i="0">
                      <a:latin typeface="Cambria Math" panose="02040503050406030204" pitchFamily="18" charset="0"/>
                    </a:rPr>
                    <m:t>V</m:t>
                  </m:r>
                  <m:r>
                    <a:rPr lang="es-MX" sz="1000" b="0" i="0">
                      <a:latin typeface="Cambria Math" panose="02040503050406030204" pitchFamily="18" charset="0"/>
                    </a:rPr>
                    <m:t> 1.</m:t>
                  </m:r>
                  <m:r>
                    <a:rPr lang="es-MX" sz="1000" b="0" i="1">
                      <a:latin typeface="Cambria Math" panose="02040503050406030204" pitchFamily="18" charset="0"/>
                    </a:rPr>
                    <m:t>477</m:t>
                  </m:r>
                  <m:f>
                    <m:fPr>
                      <m:ctrlPr>
                        <a:rPr lang="es-MX" sz="1000" i="1">
                          <a:latin typeface="Cambria Math" panose="02040503050406030204" pitchFamily="18" charset="0"/>
                        </a:rPr>
                      </m:ctrlPr>
                    </m:fPr>
                    <m:num>
                      <m:r>
                        <m:rPr>
                          <m:sty m:val="p"/>
                        </m:rPr>
                        <a:rPr lang="es-MX" sz="1000" b="0" i="0">
                          <a:latin typeface="Cambria Math" panose="02040503050406030204" pitchFamily="18" charset="0"/>
                        </a:rPr>
                        <m:t>kg</m:t>
                      </m:r>
                      <m:r>
                        <a:rPr lang="es-MX" sz="1000" b="0" i="1">
                          <a:latin typeface="Cambria Math" panose="02040503050406030204" pitchFamily="18" charset="0"/>
                        </a:rPr>
                        <m:t>𝐶𝑂</m:t>
                      </m:r>
                      <m:r>
                        <a:rPr lang="es-MX" sz="1000" b="0" i="1">
                          <a:latin typeface="Cambria Math" panose="02040503050406030204" pitchFamily="18" charset="0"/>
                        </a:rPr>
                        <m:t>2</m:t>
                      </m:r>
                      <m:r>
                        <a:rPr lang="es-MX" sz="1000" b="0" i="1">
                          <a:latin typeface="Cambria Math" panose="02040503050406030204" pitchFamily="18" charset="0"/>
                        </a:rPr>
                        <m:t>𝑒</m:t>
                      </m:r>
                    </m:num>
                    <m:den>
                      <m:r>
                        <m:rPr>
                          <m:sty m:val="p"/>
                        </m:rPr>
                        <a:rPr lang="es-MX" sz="1000" b="0" i="0">
                          <a:latin typeface="Cambria Math" panose="02040503050406030204" pitchFamily="18" charset="0"/>
                        </a:rPr>
                        <m:t>kg</m:t>
                      </m:r>
                    </m:den>
                  </m:f>
                </m:oMath>
              </a14:m>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Emisi</m:t>
                  </m:r>
                  <m:r>
                    <a:rPr lang="es-MX" sz="1000" b="0" i="0">
                      <a:solidFill>
                        <a:schemeClr val="tx1"/>
                      </a:solidFill>
                      <a:effectLst/>
                      <a:latin typeface="Cambria Math" panose="02040503050406030204" pitchFamily="18" charset="0"/>
                      <a:ea typeface="+mn-ea"/>
                      <a:cs typeface="+mn-cs"/>
                    </a:rPr>
                    <m:t>ó</m:t>
                  </m:r>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de</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CO</m:t>
                  </m:r>
                  <m:r>
                    <a:rPr lang="es-MX" sz="1000" b="0" i="0">
                      <a:solidFill>
                        <a:schemeClr val="tx1"/>
                      </a:solidFill>
                      <a:effectLst/>
                      <a:latin typeface="Cambria Math" panose="02040503050406030204" pitchFamily="18" charset="0"/>
                      <a:ea typeface="+mn-ea"/>
                      <a:cs typeface="+mn-cs"/>
                    </a:rPr>
                    <m:t>2 </m:t>
                  </m:r>
                  <m:r>
                    <m:rPr>
                      <m:sty m:val="p"/>
                    </m:rPr>
                    <a:rPr lang="es-MX" sz="1000" b="0" i="0">
                      <a:solidFill>
                        <a:schemeClr val="tx1"/>
                      </a:solidFill>
                      <a:effectLst/>
                      <a:latin typeface="Cambria Math" panose="02040503050406030204" pitchFamily="18" charset="0"/>
                      <a:ea typeface="+mn-ea"/>
                      <a:cs typeface="+mn-cs"/>
                    </a:rPr>
                    <m:t>con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PEBD</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m:t>
                  </m:r>
                  <m:r>
                    <a:rPr lang="es-MX" sz="1000" b="0" i="0">
                      <a:solidFill>
                        <a:schemeClr val="tx1"/>
                      </a:solidFill>
                      <a:effectLst/>
                      <a:latin typeface="Cambria Math" panose="02040503050406030204" pitchFamily="18" charset="0"/>
                      <a:ea typeface="+mn-ea"/>
                      <a:cs typeface="+mn-cs"/>
                    </a:rPr>
                    <m:t> . 183</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𝑘𝑔𝐶𝑂</m:t>
                      </m:r>
                      <m:r>
                        <a:rPr lang="es-MX" sz="1000" b="0" i="1">
                          <a:solidFill>
                            <a:schemeClr val="tx1"/>
                          </a:solidFill>
                          <a:effectLst/>
                          <a:latin typeface="Cambria Math" panose="02040503050406030204" pitchFamily="18" charset="0"/>
                          <a:ea typeface="+mn-ea"/>
                          <a:cs typeface="+mn-cs"/>
                        </a:rPr>
                        <m:t>2</m:t>
                      </m:r>
                      <m:r>
                        <a:rPr lang="es-MX" sz="1000" b="0" i="1">
                          <a:solidFill>
                            <a:schemeClr val="tx1"/>
                          </a:solidFill>
                          <a:effectLst/>
                          <a:latin typeface="Cambria Math" panose="02040503050406030204" pitchFamily="18" charset="0"/>
                          <a:ea typeface="+mn-ea"/>
                          <a:cs typeface="+mn-cs"/>
                        </a:rPr>
                        <m:t>𝑒</m:t>
                      </m:r>
                    </m:num>
                    <m:den>
                      <m:r>
                        <m:rPr>
                          <m:sty m:val="p"/>
                        </m:rPr>
                        <a:rPr lang="es-MX" sz="1000" b="0" i="0">
                          <a:solidFill>
                            <a:schemeClr val="tx1"/>
                          </a:solidFill>
                          <a:effectLst/>
                          <a:latin typeface="Cambria Math" panose="02040503050406030204" pitchFamily="18" charset="0"/>
                          <a:ea typeface="+mn-ea"/>
                          <a:cs typeface="+mn-cs"/>
                        </a:rPr>
                        <m:t>kg</m:t>
                      </m:r>
                    </m:den>
                  </m:f>
                </m:oMath>
              </a14:m>
              <a:r>
                <a:rPr lang="es-MX" sz="1000" i="0">
                  <a:solidFill>
                    <a:schemeClr val="tx1"/>
                  </a:solidFill>
                  <a:effectLst/>
                  <a:latin typeface="+mn-lt"/>
                  <a:ea typeface="+mn-ea"/>
                  <a:cs typeface="Arial" panose="020B0604020202020204" pitchFamily="34" charset="0"/>
                </a:rPr>
                <a:t> </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532" name="CuadroTexto 531">
              <a:extLst>
                <a:ext uri="{FF2B5EF4-FFF2-40B4-BE49-F238E27FC236}">
                  <a16:creationId xmlns:a16="http://schemas.microsoft.com/office/drawing/2014/main" id="{60C2CCE6-EE8A-401D-825C-838F7CDDE625}"/>
                </a:ext>
              </a:extLst>
            </xdr:cNvPr>
            <xdr:cNvSpPr txBox="1"/>
          </xdr:nvSpPr>
          <xdr:spPr>
            <a:xfrm>
              <a:off x="927484" y="232457143"/>
              <a:ext cx="2518834" cy="6561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Emisión de CO2 con PEBD V 1.477 kg𝐶𝑂2𝑒/kg</a:t>
              </a:r>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Emisión de CO2 con PEBD R . 183 𝑘𝑔𝐶𝑂2𝑒/kg</a:t>
              </a:r>
              <a:r>
                <a:rPr lang="es-MX" sz="1000" i="0">
                  <a:solidFill>
                    <a:schemeClr val="tx1"/>
                  </a:solidFill>
                  <a:effectLst/>
                  <a:latin typeface="+mn-lt"/>
                  <a:ea typeface="+mn-ea"/>
                  <a:cs typeface="Arial" panose="020B0604020202020204" pitchFamily="34" charset="0"/>
                </a:rPr>
                <a:t> </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8</xdr:col>
      <xdr:colOff>301137</xdr:colOff>
      <xdr:row>285</xdr:row>
      <xdr:rowOff>453065</xdr:rowOff>
    </xdr:from>
    <xdr:ext cx="1590255" cy="172227"/>
    <mc:AlternateContent xmlns:mc="http://schemas.openxmlformats.org/markup-compatibility/2006" xmlns:a14="http://schemas.microsoft.com/office/drawing/2010/main">
      <mc:Choice Requires="a14">
        <xdr:sp macro="" textlink="">
          <xdr:nvSpPr>
            <xdr:cNvPr id="533" name="CuadroTexto 532">
              <a:extLst>
                <a:ext uri="{FF2B5EF4-FFF2-40B4-BE49-F238E27FC236}">
                  <a16:creationId xmlns:a16="http://schemas.microsoft.com/office/drawing/2014/main" id="{38CD55B7-B385-4EF7-996E-107CF14F257F}"/>
                </a:ext>
              </a:extLst>
            </xdr:cNvPr>
            <xdr:cNvSpPr txBox="1"/>
          </xdr:nvSpPr>
          <xdr:spPr>
            <a:xfrm>
              <a:off x="7698887" y="2323233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𝑃𝑣</m:t>
                  </m:r>
                  <m:r>
                    <a:rPr lang="es-MX" sz="1100" b="0" i="1">
                      <a:latin typeface="Cambria Math" panose="02040503050406030204" pitchFamily="18" charset="0"/>
                    </a:rPr>
                    <m:t> −</m:t>
                  </m:r>
                  <m:r>
                    <a:rPr lang="es-MX" sz="1100" b="0" i="1">
                      <a:latin typeface="Cambria Math" panose="02040503050406030204" pitchFamily="18" charset="0"/>
                    </a:rPr>
                    <m:t>𝑃𝑟</m:t>
                  </m:r>
                  <m:r>
                    <a:rPr lang="es-MX" sz="1100" b="0" i="1">
                      <a:latin typeface="Cambria Math" panose="02040503050406030204" pitchFamily="18" charset="0"/>
                    </a:rPr>
                    <m:t> </m:t>
                  </m:r>
                </m:oMath>
              </a14:m>
              <a:endParaRPr lang="es-MX" sz="1100"/>
            </a:p>
          </xdr:txBody>
        </xdr:sp>
      </mc:Choice>
      <mc:Fallback xmlns="">
        <xdr:sp macro="" textlink="">
          <xdr:nvSpPr>
            <xdr:cNvPr id="533" name="CuadroTexto 532">
              <a:extLst>
                <a:ext uri="{FF2B5EF4-FFF2-40B4-BE49-F238E27FC236}">
                  <a16:creationId xmlns:a16="http://schemas.microsoft.com/office/drawing/2014/main" id="{38CD55B7-B385-4EF7-996E-107CF14F257F}"/>
                </a:ext>
              </a:extLst>
            </xdr:cNvPr>
            <xdr:cNvSpPr txBox="1"/>
          </xdr:nvSpPr>
          <xdr:spPr>
            <a:xfrm>
              <a:off x="7698887" y="23232331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r>
                <a:rPr lang="es-MX" sz="1100" i="0">
                  <a:latin typeface="Cambria Math" panose="02040503050406030204" pitchFamily="18" charset="0"/>
                </a:rPr>
                <a:t>=</a:t>
              </a:r>
              <a:r>
                <a:rPr lang="es-MX" sz="1100" b="0" i="0">
                  <a:latin typeface="Cambria Math" panose="02040503050406030204" pitchFamily="18" charset="0"/>
                </a:rPr>
                <a:t>𝑃𝑣 −𝑃𝑟 </a:t>
              </a:r>
              <a:endParaRPr lang="es-MX" sz="1100"/>
            </a:p>
          </xdr:txBody>
        </xdr:sp>
      </mc:Fallback>
    </mc:AlternateContent>
    <xdr:clientData/>
  </xdr:oneCellAnchor>
  <xdr:oneCellAnchor>
    <xdr:from>
      <xdr:col>8</xdr:col>
      <xdr:colOff>184150</xdr:colOff>
      <xdr:row>285</xdr:row>
      <xdr:rowOff>906991</xdr:rowOff>
    </xdr:from>
    <xdr:ext cx="1691104" cy="375680"/>
    <mc:AlternateContent xmlns:mc="http://schemas.openxmlformats.org/markup-compatibility/2006" xmlns:a14="http://schemas.microsoft.com/office/drawing/2010/main">
      <mc:Choice Requires="a14">
        <xdr:sp macro="" textlink="">
          <xdr:nvSpPr>
            <xdr:cNvPr id="534" name="CuadroTexto 533">
              <a:extLst>
                <a:ext uri="{FF2B5EF4-FFF2-40B4-BE49-F238E27FC236}">
                  <a16:creationId xmlns:a16="http://schemas.microsoft.com/office/drawing/2014/main" id="{BFF72AC8-A33F-46BA-8343-CCD8B28F6ECF}"/>
                </a:ext>
              </a:extLst>
            </xdr:cNvPr>
            <xdr:cNvSpPr txBox="1"/>
          </xdr:nvSpPr>
          <xdr:spPr>
            <a:xfrm>
              <a:off x="7581900" y="232777241"/>
              <a:ext cx="1691104"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Pv representa</a:t>
              </a:r>
              <a:r>
                <a:rPr lang="es-MX" sz="800" b="0" baseline="0"/>
                <a:t> emisión de PEBDvirgen</a:t>
              </a:r>
            </a:p>
            <a:p>
              <a:r>
                <a:rPr lang="es-MX" sz="800" b="0" baseline="0"/>
                <a:t>Er representa emisión de PEBD reciclado</a:t>
              </a:r>
              <a:endParaRPr lang="es-MX" sz="800" b="0"/>
            </a:p>
          </xdr:txBody>
        </xdr:sp>
      </mc:Choice>
      <mc:Fallback xmlns="">
        <xdr:sp macro="" textlink="">
          <xdr:nvSpPr>
            <xdr:cNvPr id="534" name="CuadroTexto 533">
              <a:extLst>
                <a:ext uri="{FF2B5EF4-FFF2-40B4-BE49-F238E27FC236}">
                  <a16:creationId xmlns:a16="http://schemas.microsoft.com/office/drawing/2014/main" id="{BFF72AC8-A33F-46BA-8343-CCD8B28F6ECF}"/>
                </a:ext>
              </a:extLst>
            </xdr:cNvPr>
            <xdr:cNvSpPr txBox="1"/>
          </xdr:nvSpPr>
          <xdr:spPr>
            <a:xfrm>
              <a:off x="7581900" y="232777241"/>
              <a:ext cx="1691104"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Pv representa</a:t>
              </a:r>
              <a:r>
                <a:rPr lang="es-MX" sz="800" b="0" baseline="0"/>
                <a:t> emisión de PEBDvirgen</a:t>
              </a:r>
            </a:p>
            <a:p>
              <a:r>
                <a:rPr lang="es-MX" sz="800" b="0" baseline="0"/>
                <a:t>Er representa emisión de PEBD reciclado</a:t>
              </a:r>
              <a:endParaRPr lang="es-MX" sz="800" b="0"/>
            </a:p>
          </xdr:txBody>
        </xdr:sp>
      </mc:Fallback>
    </mc:AlternateContent>
    <xdr:clientData/>
  </xdr:oneCellAnchor>
  <xdr:oneCellAnchor>
    <xdr:from>
      <xdr:col>9</xdr:col>
      <xdr:colOff>386292</xdr:colOff>
      <xdr:row>285</xdr:row>
      <xdr:rowOff>541865</xdr:rowOff>
    </xdr:from>
    <xdr:ext cx="1655233" cy="196336"/>
    <mc:AlternateContent xmlns:mc="http://schemas.openxmlformats.org/markup-compatibility/2006" xmlns:a14="http://schemas.microsoft.com/office/drawing/2010/main">
      <mc:Choice Requires="a14">
        <xdr:sp macro="" textlink="">
          <xdr:nvSpPr>
            <xdr:cNvPr id="535" name="CuadroTexto 534">
              <a:extLst>
                <a:ext uri="{FF2B5EF4-FFF2-40B4-BE49-F238E27FC236}">
                  <a16:creationId xmlns:a16="http://schemas.microsoft.com/office/drawing/2014/main" id="{D1FC104C-95F1-40AF-AB1D-807E7A72DF7E}"/>
                </a:ext>
              </a:extLst>
            </xdr:cNvPr>
            <xdr:cNvSpPr txBox="1"/>
          </xdr:nvSpPr>
          <xdr:spPr>
            <a:xfrm>
              <a:off x="10212917" y="232412115"/>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14:m>
                <m:oMath xmlns:m="http://schemas.openxmlformats.org/officeDocument/2006/math">
                  <m:r>
                    <a:rPr lang="es-MX" sz="800" i="1">
                      <a:latin typeface="Cambria Math" panose="02040503050406030204" pitchFamily="18" charset="0"/>
                    </a:rPr>
                    <m:t>=</m:t>
                  </m:r>
                  <m:r>
                    <a:rPr lang="es-MX" sz="800" b="0" i="0">
                      <a:latin typeface="Cambria Math" panose="02040503050406030204" pitchFamily="18" charset="0"/>
                    </a:rPr>
                    <m:t>1.477</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m:t>
                      </m:r>
                      <m:r>
                        <a:rPr lang="es-MX" sz="800" b="0" i="1">
                          <a:solidFill>
                            <a:schemeClr val="tx1"/>
                          </a:solidFill>
                          <a:effectLst/>
                          <a:latin typeface="Cambria Math" panose="02040503050406030204" pitchFamily="18" charset="0"/>
                          <a:ea typeface="+mn-ea"/>
                          <a:cs typeface="+mn-cs"/>
                        </a:rPr>
                        <m:t>𝑔𝐶𝑂</m:t>
                      </m:r>
                      <m:r>
                        <a:rPr lang="es-MX" sz="800" b="0" i="1">
                          <a:solidFill>
                            <a:schemeClr val="tx1"/>
                          </a:solidFill>
                          <a:effectLst/>
                          <a:latin typeface="Cambria Math" panose="02040503050406030204" pitchFamily="18" charset="0"/>
                          <a:ea typeface="+mn-ea"/>
                          <a:cs typeface="+mn-cs"/>
                        </a:rPr>
                        <m:t>2</m:t>
                      </m:r>
                      <m:r>
                        <a:rPr lang="es-MX" sz="800" b="0" i="1">
                          <a:solidFill>
                            <a:schemeClr val="tx1"/>
                          </a:solidFill>
                          <a:effectLst/>
                          <a:latin typeface="Cambria Math" panose="02040503050406030204" pitchFamily="18" charset="0"/>
                          <a:ea typeface="+mn-ea"/>
                          <a:cs typeface="+mn-cs"/>
                        </a:rPr>
                        <m:t>𝑒</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.183</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r>
                        <m:rPr>
                          <m:sty m:val="p"/>
                        </m:rPr>
                        <a:rPr lang="es-MX" sz="800" b="0" i="0">
                          <a:solidFill>
                            <a:schemeClr val="tx1"/>
                          </a:solidFill>
                          <a:effectLst/>
                          <a:latin typeface="Cambria Math" panose="02040503050406030204" pitchFamily="18" charset="0"/>
                          <a:ea typeface="+mn-ea"/>
                          <a:cs typeface="+mn-cs"/>
                        </a:rPr>
                        <m:t>e</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oMath>
              </a14:m>
              <a:endParaRPr lang="es-MX" sz="800"/>
            </a:p>
          </xdr:txBody>
        </xdr:sp>
      </mc:Choice>
      <mc:Fallback xmlns="">
        <xdr:sp macro="" textlink="">
          <xdr:nvSpPr>
            <xdr:cNvPr id="535" name="CuadroTexto 534">
              <a:extLst>
                <a:ext uri="{FF2B5EF4-FFF2-40B4-BE49-F238E27FC236}">
                  <a16:creationId xmlns:a16="http://schemas.microsoft.com/office/drawing/2014/main" id="{D1FC104C-95F1-40AF-AB1D-807E7A72DF7E}"/>
                </a:ext>
              </a:extLst>
            </xdr:cNvPr>
            <xdr:cNvSpPr txBox="1"/>
          </xdr:nvSpPr>
          <xdr:spPr>
            <a:xfrm>
              <a:off x="10212917" y="232412115"/>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r>
                <a:rPr lang="es-MX" sz="800" i="0">
                  <a:latin typeface="Cambria Math" panose="02040503050406030204" pitchFamily="18" charset="0"/>
                </a:rPr>
                <a:t>=</a:t>
              </a:r>
              <a:r>
                <a:rPr lang="es-MX" sz="800" b="0" i="0">
                  <a:latin typeface="Cambria Math" panose="02040503050406030204" pitchFamily="18" charset="0"/>
                </a:rPr>
                <a:t>1.477</a:t>
              </a:r>
              <a:r>
                <a:rPr lang="es-MX" sz="800" b="0" i="0">
                  <a:solidFill>
                    <a:schemeClr val="tx1"/>
                  </a:solidFill>
                  <a:effectLst/>
                  <a:latin typeface="Cambria Math" panose="02040503050406030204" pitchFamily="18" charset="0"/>
                  <a:ea typeface="+mn-ea"/>
                  <a:cs typeface="+mn-cs"/>
                </a:rPr>
                <a:t> k𝑔𝐶𝑂2𝑒/kg </a:t>
              </a:r>
              <a:r>
                <a:rPr lang="es-MX" sz="800" b="0" i="0">
                  <a:latin typeface="Cambria Math" panose="02040503050406030204" pitchFamily="18" charset="0"/>
                </a:rPr>
                <a:t> −.183</a:t>
              </a:r>
              <a:r>
                <a:rPr lang="es-MX" sz="800" b="0" i="0">
                  <a:solidFill>
                    <a:schemeClr val="tx1"/>
                  </a:solidFill>
                  <a:effectLst/>
                  <a:latin typeface="Cambria Math" panose="02040503050406030204" pitchFamily="18" charset="0"/>
                  <a:ea typeface="+mn-ea"/>
                  <a:cs typeface="+mn-cs"/>
                </a:rPr>
                <a:t> kgCO2e/kg </a:t>
              </a:r>
              <a:r>
                <a:rPr lang="es-MX" sz="800" b="0" i="0">
                  <a:latin typeface="Cambria Math" panose="02040503050406030204" pitchFamily="18" charset="0"/>
                </a:rPr>
                <a:t> </a:t>
              </a:r>
              <a:endParaRPr lang="es-MX" sz="800"/>
            </a:p>
          </xdr:txBody>
        </xdr:sp>
      </mc:Fallback>
    </mc:AlternateContent>
    <xdr:clientData/>
  </xdr:oneCellAnchor>
  <xdr:oneCellAnchor>
    <xdr:from>
      <xdr:col>12</xdr:col>
      <xdr:colOff>2371725</xdr:colOff>
      <xdr:row>285</xdr:row>
      <xdr:rowOff>962025</xdr:rowOff>
    </xdr:from>
    <xdr:ext cx="539751" cy="539751"/>
    <xdr:pic>
      <xdr:nvPicPr>
        <xdr:cNvPr id="536" name="Gráfico 535" descr="Inalámbrico">
          <a:hlinkClick xmlns:r="http://schemas.openxmlformats.org/officeDocument/2006/relationships" r:id="rId42"/>
          <a:extLst>
            <a:ext uri="{FF2B5EF4-FFF2-40B4-BE49-F238E27FC236}">
              <a16:creationId xmlns:a16="http://schemas.microsoft.com/office/drawing/2014/main" id="{E9B3C506-5739-42D0-8BA9-FCEA31AED7F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79153616"/>
          <a:ext cx="539751" cy="539751"/>
        </a:xfrm>
        <a:prstGeom prst="rect">
          <a:avLst/>
        </a:prstGeom>
      </xdr:spPr>
    </xdr:pic>
    <xdr:clientData/>
  </xdr:oneCellAnchor>
  <xdr:oneCellAnchor>
    <xdr:from>
      <xdr:col>10</xdr:col>
      <xdr:colOff>318189</xdr:colOff>
      <xdr:row>285</xdr:row>
      <xdr:rowOff>463826</xdr:rowOff>
    </xdr:from>
    <xdr:ext cx="1836481" cy="628650"/>
    <mc:AlternateContent xmlns:mc="http://schemas.openxmlformats.org/markup-compatibility/2006" xmlns:a14="http://schemas.microsoft.com/office/drawing/2010/main">
      <mc:Choice Requires="a14">
        <xdr:sp macro="" textlink="">
          <xdr:nvSpPr>
            <xdr:cNvPr id="537" name="CuadroTexto 536">
              <a:extLst>
                <a:ext uri="{FF2B5EF4-FFF2-40B4-BE49-F238E27FC236}">
                  <a16:creationId xmlns:a16="http://schemas.microsoft.com/office/drawing/2014/main" id="{25328836-EA1F-4AAA-9449-A08A3165A475}"/>
                </a:ext>
              </a:extLst>
            </xdr:cNvPr>
            <xdr:cNvSpPr txBox="1"/>
          </xdr:nvSpPr>
          <xdr:spPr>
            <a:xfrm>
              <a:off x="12700689" y="232334076"/>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𝑃𝐸𝐵𝐷</m:t>
                  </m:r>
                  <m:r>
                    <a:rPr lang="es-MX" sz="1050" b="0" i="1">
                      <a:latin typeface="Cambria Math" panose="02040503050406030204" pitchFamily="18" charset="0"/>
                    </a:rPr>
                    <m:t>=</m:t>
                  </m:r>
                  <m:r>
                    <a:rPr lang="es-MX" sz="1050" b="0" i="0">
                      <a:latin typeface="Cambria Math" panose="02040503050406030204" pitchFamily="18" charset="0"/>
                    </a:rPr>
                    <m:t>1.294</m:t>
                  </m:r>
                </m:oMath>
              </a14:m>
              <a:r>
                <a:rPr lang="es-MX" sz="1050" b="0" i="0">
                  <a:latin typeface="Cambria Math" panose="02040503050406030204" pitchFamily="18" charset="0"/>
                </a:rPr>
                <a:t>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𝑃𝐸𝐵𝐷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1,294 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r>
                      <m:rPr>
                        <m:nor/>
                      </m:rPr>
                      <a:rPr lang="es-MX" sz="1100" b="0" i="0">
                        <a:solidFill>
                          <a:schemeClr val="tx1"/>
                        </a:solidFill>
                        <a:effectLst/>
                        <a:latin typeface="+mn-lt"/>
                        <a:ea typeface="+mn-ea"/>
                        <a:cs typeface="+mn-cs"/>
                      </a:rPr>
                      <m:t>e</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Choice>
      <mc:Fallback xmlns="">
        <xdr:sp macro="" textlink="">
          <xdr:nvSpPr>
            <xdr:cNvPr id="537" name="CuadroTexto 536">
              <a:extLst>
                <a:ext uri="{FF2B5EF4-FFF2-40B4-BE49-F238E27FC236}">
                  <a16:creationId xmlns:a16="http://schemas.microsoft.com/office/drawing/2014/main" id="{25328836-EA1F-4AAA-9449-A08A3165A475}"/>
                </a:ext>
              </a:extLst>
            </xdr:cNvPr>
            <xdr:cNvSpPr txBox="1"/>
          </xdr:nvSpPr>
          <xdr:spPr>
            <a:xfrm>
              <a:off x="12700689" y="232334076"/>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𝑃𝐸𝐵𝐷=1.294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𝑃𝐸𝐵𝐷=1,294 </a:t>
              </a:r>
              <a:r>
                <a:rPr lang="es-MX" sz="1100" b="0" i="0">
                  <a:solidFill>
                    <a:schemeClr val="tx1"/>
                  </a:solidFill>
                  <a:effectLst/>
                  <a:latin typeface="Cambria Math" panose="02040503050406030204" pitchFamily="18" charset="0"/>
                  <a:ea typeface="+mn-ea"/>
                  <a:cs typeface="+mn-cs"/>
                </a:rPr>
                <a:t>"kg CO2e</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Fallback>
    </mc:AlternateContent>
    <xdr:clientData/>
  </xdr:oneCellAnchor>
  <xdr:oneCellAnchor>
    <xdr:from>
      <xdr:col>12</xdr:col>
      <xdr:colOff>2053167</xdr:colOff>
      <xdr:row>285</xdr:row>
      <xdr:rowOff>1062566</xdr:rowOff>
    </xdr:from>
    <xdr:ext cx="391583" cy="395432"/>
    <xdr:pic>
      <xdr:nvPicPr>
        <xdr:cNvPr id="538" name="Gráfico 537" descr="Hogar">
          <a:hlinkClick xmlns:r="http://schemas.openxmlformats.org/officeDocument/2006/relationships" r:id="rId75"/>
          <a:extLst>
            <a:ext uri="{FF2B5EF4-FFF2-40B4-BE49-F238E27FC236}">
              <a16:creationId xmlns:a16="http://schemas.microsoft.com/office/drawing/2014/main" id="{77A6712A-D546-4092-B64D-D433A26AC3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79254157"/>
          <a:ext cx="391583" cy="395432"/>
        </a:xfrm>
        <a:prstGeom prst="rect">
          <a:avLst/>
        </a:prstGeom>
      </xdr:spPr>
    </xdr:pic>
    <xdr:clientData/>
  </xdr:oneCellAnchor>
  <xdr:oneCellAnchor>
    <xdr:from>
      <xdr:col>10</xdr:col>
      <xdr:colOff>71438</xdr:colOff>
      <xdr:row>264</xdr:row>
      <xdr:rowOff>174625</xdr:rowOff>
    </xdr:from>
    <xdr:ext cx="1852084" cy="641779"/>
    <mc:AlternateContent xmlns:mc="http://schemas.openxmlformats.org/markup-compatibility/2006" xmlns:a14="http://schemas.microsoft.com/office/drawing/2010/main">
      <mc:Choice Requires="a14">
        <xdr:sp macro="" textlink="">
          <xdr:nvSpPr>
            <xdr:cNvPr id="541" name="CuadroTexto 540">
              <a:extLst>
                <a:ext uri="{FF2B5EF4-FFF2-40B4-BE49-F238E27FC236}">
                  <a16:creationId xmlns:a16="http://schemas.microsoft.com/office/drawing/2014/main" id="{D59A5A88-C5D7-4316-BE91-42985528DA29}"/>
                </a:ext>
              </a:extLst>
            </xdr:cNvPr>
            <xdr:cNvSpPr txBox="1"/>
          </xdr:nvSpPr>
          <xdr:spPr>
            <a:xfrm>
              <a:off x="10748097" y="15058303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𝑃𝐸𝐵𝐷</m:t>
                    </m:r>
                    <m:r>
                      <a:rPr lang="es-MX" sz="1000" b="0" i="1">
                        <a:latin typeface="Cambria Math" panose="02040503050406030204" pitchFamily="18" charset="0"/>
                      </a:rPr>
                      <m:t>=.</m:t>
                    </m:r>
                    <m:r>
                      <a:rPr lang="es-MX" sz="1000" b="0" i="0">
                        <a:latin typeface="Cambria Math" panose="02040503050406030204" pitchFamily="18" charset="0"/>
                      </a:rPr>
                      <m:t>023 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𝑃𝐸𝐵𝐷</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23.753 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541" name="CuadroTexto 540">
              <a:extLst>
                <a:ext uri="{FF2B5EF4-FFF2-40B4-BE49-F238E27FC236}">
                  <a16:creationId xmlns:a16="http://schemas.microsoft.com/office/drawing/2014/main" id="{D59A5A88-C5D7-4316-BE91-42985528DA29}"/>
                </a:ext>
              </a:extLst>
            </xdr:cNvPr>
            <xdr:cNvSpPr txBox="1"/>
          </xdr:nvSpPr>
          <xdr:spPr>
            <a:xfrm>
              <a:off x="10748097" y="15058303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𝑃𝐸𝐵𝐷=.023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𝑃𝐸𝐵𝐷=23.753 m3</a:t>
              </a:r>
              <a:endParaRPr lang="es-MX" sz="1000">
                <a:effectLst/>
              </a:endParaRPr>
            </a:p>
            <a:p>
              <a:endParaRPr lang="es-MX" sz="1000" b="0"/>
            </a:p>
          </xdr:txBody>
        </xdr:sp>
      </mc:Fallback>
    </mc:AlternateContent>
    <xdr:clientData/>
  </xdr:oneCellAnchor>
  <xdr:oneCellAnchor>
    <xdr:from>
      <xdr:col>9</xdr:col>
      <xdr:colOff>111126</xdr:colOff>
      <xdr:row>264</xdr:row>
      <xdr:rowOff>198438</xdr:rowOff>
    </xdr:from>
    <xdr:ext cx="1897062" cy="351443"/>
    <mc:AlternateContent xmlns:mc="http://schemas.openxmlformats.org/markup-compatibility/2006" xmlns:a14="http://schemas.microsoft.com/office/drawing/2010/main">
      <mc:Choice Requires="a14">
        <xdr:sp macro="" textlink="">
          <xdr:nvSpPr>
            <xdr:cNvPr id="542" name="CuadroTexto 541">
              <a:extLst>
                <a:ext uri="{FF2B5EF4-FFF2-40B4-BE49-F238E27FC236}">
                  <a16:creationId xmlns:a16="http://schemas.microsoft.com/office/drawing/2014/main" id="{64D68DFA-978A-486F-9097-7C318DB3F20F}"/>
                </a:ext>
              </a:extLst>
            </xdr:cNvPr>
            <xdr:cNvSpPr txBox="1"/>
          </xdr:nvSpPr>
          <xdr:spPr>
            <a:xfrm>
              <a:off x="8882785" y="15060684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42.1 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𝑃𝐸𝐵𝐷</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.023)</m:t>
                        </m:r>
                      </m:den>
                    </m:f>
                    <m:r>
                      <a:rPr lang="es-MX" sz="1600" b="0" i="1">
                        <a:latin typeface="Cambria Math" panose="02040503050406030204" pitchFamily="18" charset="0"/>
                      </a:rPr>
                      <m:t> </m:t>
                    </m:r>
                  </m:oMath>
                </m:oMathPara>
              </a14:m>
              <a:endParaRPr lang="es-MX" sz="1600"/>
            </a:p>
          </xdr:txBody>
        </xdr:sp>
      </mc:Choice>
      <mc:Fallback xmlns="">
        <xdr:sp macro="" textlink="">
          <xdr:nvSpPr>
            <xdr:cNvPr id="542" name="CuadroTexto 541">
              <a:extLst>
                <a:ext uri="{FF2B5EF4-FFF2-40B4-BE49-F238E27FC236}">
                  <a16:creationId xmlns:a16="http://schemas.microsoft.com/office/drawing/2014/main" id="{64D68DFA-978A-486F-9097-7C318DB3F20F}"/>
                </a:ext>
              </a:extLst>
            </xdr:cNvPr>
            <xdr:cNvSpPr txBox="1"/>
          </xdr:nvSpPr>
          <xdr:spPr>
            <a:xfrm>
              <a:off x="8882785" y="15060684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42.1 𝑘𝑔 𝑃𝐸𝐵𝐷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.023))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71438</xdr:colOff>
      <xdr:row>266</xdr:row>
      <xdr:rowOff>174625</xdr:rowOff>
    </xdr:from>
    <xdr:ext cx="1852084" cy="641779"/>
    <mc:AlternateContent xmlns:mc="http://schemas.openxmlformats.org/markup-compatibility/2006" xmlns:a14="http://schemas.microsoft.com/office/drawing/2010/main">
      <mc:Choice Requires="a14">
        <xdr:sp macro="" textlink="">
          <xdr:nvSpPr>
            <xdr:cNvPr id="543" name="CuadroTexto 542">
              <a:extLst>
                <a:ext uri="{FF2B5EF4-FFF2-40B4-BE49-F238E27FC236}">
                  <a16:creationId xmlns:a16="http://schemas.microsoft.com/office/drawing/2014/main" id="{F5140C80-A183-42D7-968F-E7ACCBA74373}"/>
                </a:ext>
              </a:extLst>
            </xdr:cNvPr>
            <xdr:cNvSpPr txBox="1"/>
          </xdr:nvSpPr>
          <xdr:spPr>
            <a:xfrm>
              <a:off x="10748097" y="20058928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𝐵𝑂𝑃𝑃</m:t>
                    </m:r>
                    <m:r>
                      <a:rPr lang="es-MX" sz="1000" b="0" i="1">
                        <a:latin typeface="Cambria Math" panose="02040503050406030204" pitchFamily="18" charset="0"/>
                      </a:rPr>
                      <m:t>=.</m:t>
                    </m:r>
                    <m:r>
                      <a:rPr lang="es-MX" sz="1000" b="0" i="0">
                        <a:latin typeface="Cambria Math" panose="02040503050406030204" pitchFamily="18" charset="0"/>
                      </a:rPr>
                      <m:t>036 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𝐵𝑂𝑃𝑃</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36.63 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543" name="CuadroTexto 542">
              <a:extLst>
                <a:ext uri="{FF2B5EF4-FFF2-40B4-BE49-F238E27FC236}">
                  <a16:creationId xmlns:a16="http://schemas.microsoft.com/office/drawing/2014/main" id="{F5140C80-A183-42D7-968F-E7ACCBA74373}"/>
                </a:ext>
              </a:extLst>
            </xdr:cNvPr>
            <xdr:cNvSpPr txBox="1"/>
          </xdr:nvSpPr>
          <xdr:spPr>
            <a:xfrm>
              <a:off x="10748097" y="20058928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𝐵𝑂𝑃𝑃=.036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𝐵𝑂𝑃𝑃=36.63 m3</a:t>
              </a:r>
              <a:endParaRPr lang="es-MX" sz="1000">
                <a:effectLst/>
              </a:endParaRPr>
            </a:p>
            <a:p>
              <a:endParaRPr lang="es-MX" sz="1000" b="0"/>
            </a:p>
          </xdr:txBody>
        </xdr:sp>
      </mc:Fallback>
    </mc:AlternateContent>
    <xdr:clientData/>
  </xdr:oneCellAnchor>
  <xdr:oneCellAnchor>
    <xdr:from>
      <xdr:col>9</xdr:col>
      <xdr:colOff>111126</xdr:colOff>
      <xdr:row>266</xdr:row>
      <xdr:rowOff>198438</xdr:rowOff>
    </xdr:from>
    <xdr:ext cx="1897062" cy="351443"/>
    <mc:AlternateContent xmlns:mc="http://schemas.openxmlformats.org/markup-compatibility/2006" xmlns:a14="http://schemas.microsoft.com/office/drawing/2010/main">
      <mc:Choice Requires="a14">
        <xdr:sp macro="" textlink="">
          <xdr:nvSpPr>
            <xdr:cNvPr id="544" name="CuadroTexto 543">
              <a:extLst>
                <a:ext uri="{FF2B5EF4-FFF2-40B4-BE49-F238E27FC236}">
                  <a16:creationId xmlns:a16="http://schemas.microsoft.com/office/drawing/2014/main" id="{3E283F15-CCFF-484E-B7E4-78D3DCB093E8}"/>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 27.3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𝐵𝑂𝑃𝑃</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.036)</m:t>
                        </m:r>
                      </m:den>
                    </m:f>
                    <m:r>
                      <a:rPr lang="es-MX" sz="1600" b="0" i="1">
                        <a:latin typeface="Cambria Math" panose="02040503050406030204" pitchFamily="18" charset="0"/>
                      </a:rPr>
                      <m:t> </m:t>
                    </m:r>
                  </m:oMath>
                </m:oMathPara>
              </a14:m>
              <a:endParaRPr lang="es-MX" sz="1600"/>
            </a:p>
          </xdr:txBody>
        </xdr:sp>
      </mc:Choice>
      <mc:Fallback xmlns="">
        <xdr:sp macro="" textlink="">
          <xdr:nvSpPr>
            <xdr:cNvPr id="544" name="CuadroTexto 543">
              <a:extLst>
                <a:ext uri="{FF2B5EF4-FFF2-40B4-BE49-F238E27FC236}">
                  <a16:creationId xmlns:a16="http://schemas.microsoft.com/office/drawing/2014/main" id="{3E283F15-CCFF-484E-B7E4-78D3DCB093E8}"/>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 27.3 𝑘𝑔 𝐵𝑂𝑃𝑃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.036))</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71438</xdr:colOff>
      <xdr:row>268</xdr:row>
      <xdr:rowOff>174625</xdr:rowOff>
    </xdr:from>
    <xdr:ext cx="1852084" cy="641779"/>
    <mc:AlternateContent xmlns:mc="http://schemas.openxmlformats.org/markup-compatibility/2006" xmlns:a14="http://schemas.microsoft.com/office/drawing/2010/main">
      <mc:Choice Requires="a14">
        <xdr:sp macro="" textlink="">
          <xdr:nvSpPr>
            <xdr:cNvPr id="545" name="CuadroTexto 544">
              <a:extLst>
                <a:ext uri="{FF2B5EF4-FFF2-40B4-BE49-F238E27FC236}">
                  <a16:creationId xmlns:a16="http://schemas.microsoft.com/office/drawing/2014/main" id="{97C9D7CE-6229-44F6-A574-C27104D17DA1}"/>
                </a:ext>
              </a:extLst>
            </xdr:cNvPr>
            <xdr:cNvSpPr txBox="1"/>
          </xdr:nvSpPr>
          <xdr:spPr>
            <a:xfrm>
              <a:off x="10748097" y="20058928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𝑃𝑃</m:t>
                    </m:r>
                    <m:r>
                      <a:rPr lang="es-MX" sz="1000" b="0" i="1">
                        <a:latin typeface="Cambria Math" panose="02040503050406030204" pitchFamily="18" charset="0"/>
                      </a:rPr>
                      <m:t>=.</m:t>
                    </m:r>
                    <m:r>
                      <a:rPr lang="es-MX" sz="1000" b="0" i="0">
                        <a:latin typeface="Cambria Math" panose="02040503050406030204" pitchFamily="18" charset="0"/>
                      </a:rPr>
                      <m:t>033 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𝑃𝑃</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33.33 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545" name="CuadroTexto 544">
              <a:extLst>
                <a:ext uri="{FF2B5EF4-FFF2-40B4-BE49-F238E27FC236}">
                  <a16:creationId xmlns:a16="http://schemas.microsoft.com/office/drawing/2014/main" id="{97C9D7CE-6229-44F6-A574-C27104D17DA1}"/>
                </a:ext>
              </a:extLst>
            </xdr:cNvPr>
            <xdr:cNvSpPr txBox="1"/>
          </xdr:nvSpPr>
          <xdr:spPr>
            <a:xfrm>
              <a:off x="10748097" y="200589284"/>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𝑃𝑃=.033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𝑃𝑃=33.33 m3</a:t>
              </a:r>
              <a:endParaRPr lang="es-MX" sz="1000">
                <a:effectLst/>
              </a:endParaRPr>
            </a:p>
            <a:p>
              <a:endParaRPr lang="es-MX" sz="1000" b="0"/>
            </a:p>
          </xdr:txBody>
        </xdr:sp>
      </mc:Fallback>
    </mc:AlternateContent>
    <xdr:clientData/>
  </xdr:oneCellAnchor>
  <xdr:oneCellAnchor>
    <xdr:from>
      <xdr:col>9</xdr:col>
      <xdr:colOff>111126</xdr:colOff>
      <xdr:row>268</xdr:row>
      <xdr:rowOff>198438</xdr:rowOff>
    </xdr:from>
    <xdr:ext cx="1897062" cy="351443"/>
    <mc:AlternateContent xmlns:mc="http://schemas.openxmlformats.org/markup-compatibility/2006" xmlns:a14="http://schemas.microsoft.com/office/drawing/2010/main">
      <mc:Choice Requires="a14">
        <xdr:sp macro="" textlink="">
          <xdr:nvSpPr>
            <xdr:cNvPr id="546" name="CuadroTexto 545">
              <a:extLst>
                <a:ext uri="{FF2B5EF4-FFF2-40B4-BE49-F238E27FC236}">
                  <a16:creationId xmlns:a16="http://schemas.microsoft.com/office/drawing/2014/main" id="{6947E75B-C195-47AC-AADF-3A464DC2F1F8}"/>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𝑃𝑃</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.033)</m:t>
                        </m:r>
                      </m:den>
                    </m:f>
                    <m:r>
                      <a:rPr lang="es-MX" sz="1600" b="0" i="1">
                        <a:latin typeface="Cambria Math" panose="02040503050406030204" pitchFamily="18" charset="0"/>
                      </a:rPr>
                      <m:t> </m:t>
                    </m:r>
                  </m:oMath>
                </m:oMathPara>
              </a14:m>
              <a:endParaRPr lang="es-MX" sz="1600"/>
            </a:p>
          </xdr:txBody>
        </xdr:sp>
      </mc:Choice>
      <mc:Fallback xmlns="">
        <xdr:sp macro="" textlink="">
          <xdr:nvSpPr>
            <xdr:cNvPr id="546" name="CuadroTexto 545">
              <a:extLst>
                <a:ext uri="{FF2B5EF4-FFF2-40B4-BE49-F238E27FC236}">
                  <a16:creationId xmlns:a16="http://schemas.microsoft.com/office/drawing/2014/main" id="{6947E75B-C195-47AC-AADF-3A464DC2F1F8}"/>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30 𝑘𝑔 𝑃𝑃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.033))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265</xdr:row>
      <xdr:rowOff>214842</xdr:rowOff>
    </xdr:from>
    <xdr:ext cx="1852084" cy="125227"/>
    <xdr:sp macro="" textlink="">
      <xdr:nvSpPr>
        <xdr:cNvPr id="548" name="CuadroTexto 547">
          <a:extLst>
            <a:ext uri="{FF2B5EF4-FFF2-40B4-BE49-F238E27FC236}">
              <a16:creationId xmlns:a16="http://schemas.microsoft.com/office/drawing/2014/main" id="{C919F3E0-3902-467B-9309-0C97121C0809}"/>
            </a:ext>
          </a:extLst>
        </xdr:cNvPr>
        <xdr:cNvSpPr txBox="1"/>
      </xdr:nvSpPr>
      <xdr:spPr>
        <a:xfrm>
          <a:off x="7001933" y="49995956"/>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94517</xdr:colOff>
      <xdr:row>265</xdr:row>
      <xdr:rowOff>646968</xdr:rowOff>
    </xdr:from>
    <xdr:ext cx="1868525" cy="375680"/>
    <mc:AlternateContent xmlns:mc="http://schemas.openxmlformats.org/markup-compatibility/2006" xmlns:a14="http://schemas.microsoft.com/office/drawing/2010/main">
      <mc:Choice Requires="a14">
        <xdr:sp macro="" textlink="">
          <xdr:nvSpPr>
            <xdr:cNvPr id="549" name="CuadroTexto 548">
              <a:extLst>
                <a:ext uri="{FF2B5EF4-FFF2-40B4-BE49-F238E27FC236}">
                  <a16:creationId xmlns:a16="http://schemas.microsoft.com/office/drawing/2014/main" id="{872B5DC8-3E22-4D45-99B0-CE0C60D25CC2}"/>
                </a:ext>
              </a:extLst>
            </xdr:cNvPr>
            <xdr:cNvSpPr txBox="1"/>
          </xdr:nvSpPr>
          <xdr:spPr>
            <a:xfrm>
              <a:off x="6952517" y="50428082"/>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549" name="CuadroTexto 548">
              <a:extLst>
                <a:ext uri="{FF2B5EF4-FFF2-40B4-BE49-F238E27FC236}">
                  <a16:creationId xmlns:a16="http://schemas.microsoft.com/office/drawing/2014/main" id="{872B5DC8-3E22-4D45-99B0-CE0C60D25CC2}"/>
                </a:ext>
              </a:extLst>
            </xdr:cNvPr>
            <xdr:cNvSpPr txBox="1"/>
          </xdr:nvSpPr>
          <xdr:spPr>
            <a:xfrm>
              <a:off x="6952517" y="50428082"/>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246185</xdr:colOff>
      <xdr:row>265</xdr:row>
      <xdr:rowOff>330932</xdr:rowOff>
    </xdr:from>
    <xdr:ext cx="1852084" cy="292196"/>
    <mc:AlternateContent xmlns:mc="http://schemas.openxmlformats.org/markup-compatibility/2006" xmlns:a14="http://schemas.microsoft.com/office/drawing/2010/main">
      <mc:Choice Requires="a14">
        <xdr:sp macro="" textlink="">
          <xdr:nvSpPr>
            <xdr:cNvPr id="550" name="CuadroTexto 549">
              <a:extLst>
                <a:ext uri="{FF2B5EF4-FFF2-40B4-BE49-F238E27FC236}">
                  <a16:creationId xmlns:a16="http://schemas.microsoft.com/office/drawing/2014/main" id="{0CE40E47-0C59-4B9E-A1B7-C5CECE9F37A1}"/>
                </a:ext>
              </a:extLst>
            </xdr:cNvPr>
            <xdr:cNvSpPr txBox="1"/>
          </xdr:nvSpPr>
          <xdr:spPr>
            <a:xfrm>
              <a:off x="7643935" y="207642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550" name="CuadroTexto 549">
              <a:extLst>
                <a:ext uri="{FF2B5EF4-FFF2-40B4-BE49-F238E27FC236}">
                  <a16:creationId xmlns:a16="http://schemas.microsoft.com/office/drawing/2014/main" id="{0CE40E47-0C59-4B9E-A1B7-C5CECE9F37A1}"/>
                </a:ext>
              </a:extLst>
            </xdr:cNvPr>
            <xdr:cNvSpPr txBox="1"/>
          </xdr:nvSpPr>
          <xdr:spPr>
            <a:xfrm>
              <a:off x="7643935" y="207642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450850</xdr:colOff>
      <xdr:row>265</xdr:row>
      <xdr:rowOff>266700</xdr:rowOff>
    </xdr:from>
    <xdr:ext cx="1852084" cy="289246"/>
    <mc:AlternateContent xmlns:mc="http://schemas.openxmlformats.org/markup-compatibility/2006" xmlns:a14="http://schemas.microsoft.com/office/drawing/2010/main">
      <mc:Choice Requires="a14">
        <xdr:sp macro="" textlink="">
          <xdr:nvSpPr>
            <xdr:cNvPr id="551" name="CuadroTexto 550">
              <a:extLst>
                <a:ext uri="{FF2B5EF4-FFF2-40B4-BE49-F238E27FC236}">
                  <a16:creationId xmlns:a16="http://schemas.microsoft.com/office/drawing/2014/main" id="{569AD4C2-0251-4505-A869-157B5A596E9A}"/>
                </a:ext>
              </a:extLst>
            </xdr:cNvPr>
            <xdr:cNvSpPr txBox="1"/>
          </xdr:nvSpPr>
          <xdr:spPr>
            <a:xfrm>
              <a:off x="10277475" y="20757832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.023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551" name="CuadroTexto 550">
              <a:extLst>
                <a:ext uri="{FF2B5EF4-FFF2-40B4-BE49-F238E27FC236}">
                  <a16:creationId xmlns:a16="http://schemas.microsoft.com/office/drawing/2014/main" id="{569AD4C2-0251-4505-A869-157B5A596E9A}"/>
                </a:ext>
              </a:extLst>
            </xdr:cNvPr>
            <xdr:cNvSpPr txBox="1"/>
          </xdr:nvSpPr>
          <xdr:spPr>
            <a:xfrm>
              <a:off x="10277475" y="20757832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C𝑏=(.023 𝑚3)/(10 𝑚3)</a:t>
              </a:r>
              <a:endParaRPr lang="es-MX" sz="1000" b="0"/>
            </a:p>
          </xdr:txBody>
        </xdr:sp>
      </mc:Fallback>
    </mc:AlternateContent>
    <xdr:clientData/>
  </xdr:oneCellAnchor>
  <xdr:oneCellAnchor>
    <xdr:from>
      <xdr:col>10</xdr:col>
      <xdr:colOff>234950</xdr:colOff>
      <xdr:row>265</xdr:row>
      <xdr:rowOff>174625</xdr:rowOff>
    </xdr:from>
    <xdr:ext cx="1852084" cy="156518"/>
    <mc:AlternateContent xmlns:mc="http://schemas.openxmlformats.org/markup-compatibility/2006" xmlns:a14="http://schemas.microsoft.com/office/drawing/2010/main">
      <mc:Choice Requires="a14">
        <xdr:sp macro="" textlink="">
          <xdr:nvSpPr>
            <xdr:cNvPr id="552" name="CuadroTexto 551">
              <a:extLst>
                <a:ext uri="{FF2B5EF4-FFF2-40B4-BE49-F238E27FC236}">
                  <a16:creationId xmlns:a16="http://schemas.microsoft.com/office/drawing/2014/main" id="{AF2A0443-F652-4BA2-9BE0-3B9AC75F4947}"/>
                </a:ext>
              </a:extLst>
            </xdr:cNvPr>
            <xdr:cNvSpPr txBox="1"/>
          </xdr:nvSpPr>
          <xdr:spPr>
            <a:xfrm>
              <a:off x="12617450" y="20748625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𝑃𝐸𝐵𝐷</m:t>
                    </m:r>
                    <m:r>
                      <a:rPr lang="es-MX" sz="1000" b="0" i="1">
                        <a:latin typeface="Cambria Math" panose="02040503050406030204" pitchFamily="18" charset="0"/>
                      </a:rPr>
                      <m:t>=.</m:t>
                    </m:r>
                    <m:r>
                      <a:rPr lang="es-MX" sz="1000" b="0" i="0">
                        <a:latin typeface="Cambria Math" panose="02040503050406030204" pitchFamily="18" charset="0"/>
                      </a:rPr>
                      <m:t>0023 </m:t>
                    </m:r>
                    <m:r>
                      <m:rPr>
                        <m:sty m:val="p"/>
                      </m:rPr>
                      <a:rPr lang="es-MX" sz="1000" b="0" i="0">
                        <a:latin typeface="Cambria Math" panose="02040503050406030204" pitchFamily="18" charset="0"/>
                      </a:rPr>
                      <m:t>camiones</m:t>
                    </m:r>
                  </m:oMath>
                </m:oMathPara>
              </a14:m>
              <a:endParaRPr lang="es-MX" sz="1000" b="0"/>
            </a:p>
          </xdr:txBody>
        </xdr:sp>
      </mc:Choice>
      <mc:Fallback xmlns="">
        <xdr:sp macro="" textlink="">
          <xdr:nvSpPr>
            <xdr:cNvPr id="552" name="CuadroTexto 551">
              <a:extLst>
                <a:ext uri="{FF2B5EF4-FFF2-40B4-BE49-F238E27FC236}">
                  <a16:creationId xmlns:a16="http://schemas.microsoft.com/office/drawing/2014/main" id="{AF2A0443-F652-4BA2-9BE0-3B9AC75F4947}"/>
                </a:ext>
              </a:extLst>
            </xdr:cNvPr>
            <xdr:cNvSpPr txBox="1"/>
          </xdr:nvSpPr>
          <xdr:spPr>
            <a:xfrm>
              <a:off x="12617450" y="20748625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𝑃𝐸𝐵𝐷=.0023 camiones</a:t>
              </a:r>
              <a:endParaRPr lang="es-MX" sz="1000" b="0"/>
            </a:p>
          </xdr:txBody>
        </xdr:sp>
      </mc:Fallback>
    </mc:AlternateContent>
    <xdr:clientData/>
  </xdr:oneCellAnchor>
  <xdr:oneCellAnchor>
    <xdr:from>
      <xdr:col>10</xdr:col>
      <xdr:colOff>238125</xdr:colOff>
      <xdr:row>265</xdr:row>
      <xdr:rowOff>495300</xdr:rowOff>
    </xdr:from>
    <xdr:ext cx="1852084" cy="156518"/>
    <mc:AlternateContent xmlns:mc="http://schemas.openxmlformats.org/markup-compatibility/2006" xmlns:a14="http://schemas.microsoft.com/office/drawing/2010/main">
      <mc:Choice Requires="a14">
        <xdr:sp macro="" textlink="">
          <xdr:nvSpPr>
            <xdr:cNvPr id="553" name="CuadroTexto 552">
              <a:extLst>
                <a:ext uri="{FF2B5EF4-FFF2-40B4-BE49-F238E27FC236}">
                  <a16:creationId xmlns:a16="http://schemas.microsoft.com/office/drawing/2014/main" id="{F41DCBB7-863D-4D1E-BCF3-9CCFF466ED84}"/>
                </a:ext>
              </a:extLst>
            </xdr:cNvPr>
            <xdr:cNvSpPr txBox="1"/>
          </xdr:nvSpPr>
          <xdr:spPr>
            <a:xfrm>
              <a:off x="10914784" y="50276414"/>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𝑃𝐸𝐵𝐷</m:t>
                  </m:r>
                  <m:r>
                    <a:rPr lang="es-MX" sz="1000" b="0" i="1">
                      <a:latin typeface="Cambria Math" panose="02040503050406030204" pitchFamily="18" charset="0"/>
                    </a:rPr>
                    <m:t>=</m:t>
                  </m:r>
                  <m:r>
                    <a:rPr lang="es-MX" sz="1000" b="0" i="0">
                      <a:latin typeface="Cambria Math" panose="02040503050406030204" pitchFamily="18" charset="0"/>
                    </a:rPr>
                    <m:t>2.3</m:t>
                  </m:r>
                </m:oMath>
              </a14:m>
              <a:r>
                <a:rPr lang="es-MX" sz="1000" b="0"/>
                <a:t> camiones</a:t>
              </a:r>
            </a:p>
          </xdr:txBody>
        </xdr:sp>
      </mc:Choice>
      <mc:Fallback xmlns="">
        <xdr:sp macro="" textlink="">
          <xdr:nvSpPr>
            <xdr:cNvPr id="553" name="CuadroTexto 552">
              <a:extLst>
                <a:ext uri="{FF2B5EF4-FFF2-40B4-BE49-F238E27FC236}">
                  <a16:creationId xmlns:a16="http://schemas.microsoft.com/office/drawing/2014/main" id="{F41DCBB7-863D-4D1E-BCF3-9CCFF466ED84}"/>
                </a:ext>
              </a:extLst>
            </xdr:cNvPr>
            <xdr:cNvSpPr txBox="1"/>
          </xdr:nvSpPr>
          <xdr:spPr>
            <a:xfrm>
              <a:off x="10914784" y="50276414"/>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Cambria Math" panose="02040503050406030204" pitchFamily="18" charset="0"/>
                </a:rPr>
                <a:t>1 𝑇𝑜𝑛 𝑃𝐸𝐵𝐷=2.3</a:t>
              </a:r>
              <a:r>
                <a:rPr lang="es-MX" sz="1000" b="0"/>
                <a:t> camiones</a:t>
              </a:r>
            </a:p>
          </xdr:txBody>
        </xdr:sp>
      </mc:Fallback>
    </mc:AlternateContent>
    <xdr:clientData/>
  </xdr:oneCellAnchor>
  <xdr:oneCellAnchor>
    <xdr:from>
      <xdr:col>8</xdr:col>
      <xdr:colOff>143933</xdr:colOff>
      <xdr:row>267</xdr:row>
      <xdr:rowOff>214842</xdr:rowOff>
    </xdr:from>
    <xdr:ext cx="1852084" cy="125227"/>
    <xdr:sp macro="" textlink="">
      <xdr:nvSpPr>
        <xdr:cNvPr id="555" name="CuadroTexto 554">
          <a:extLst>
            <a:ext uri="{FF2B5EF4-FFF2-40B4-BE49-F238E27FC236}">
              <a16:creationId xmlns:a16="http://schemas.microsoft.com/office/drawing/2014/main" id="{EB8A62E4-156F-4299-9D2C-7A33DBE5253B}"/>
            </a:ext>
          </a:extLst>
        </xdr:cNvPr>
        <xdr:cNvSpPr txBox="1"/>
      </xdr:nvSpPr>
      <xdr:spPr>
        <a:xfrm>
          <a:off x="7001933" y="20142613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269142</xdr:colOff>
      <xdr:row>267</xdr:row>
      <xdr:rowOff>821593</xdr:rowOff>
    </xdr:from>
    <xdr:ext cx="1868525" cy="375680"/>
    <mc:AlternateContent xmlns:mc="http://schemas.openxmlformats.org/markup-compatibility/2006" xmlns:a14="http://schemas.microsoft.com/office/drawing/2010/main">
      <mc:Choice Requires="a14">
        <xdr:sp macro="" textlink="">
          <xdr:nvSpPr>
            <xdr:cNvPr id="556" name="CuadroTexto 555">
              <a:extLst>
                <a:ext uri="{FF2B5EF4-FFF2-40B4-BE49-F238E27FC236}">
                  <a16:creationId xmlns:a16="http://schemas.microsoft.com/office/drawing/2014/main" id="{D4B93BFC-6010-4AEE-BBD9-AADB4B2FC684}"/>
                </a:ext>
              </a:extLst>
            </xdr:cNvPr>
            <xdr:cNvSpPr txBox="1"/>
          </xdr:nvSpPr>
          <xdr:spPr>
            <a:xfrm>
              <a:off x="7666892" y="210958968"/>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556" name="CuadroTexto 555">
              <a:extLst>
                <a:ext uri="{FF2B5EF4-FFF2-40B4-BE49-F238E27FC236}">
                  <a16:creationId xmlns:a16="http://schemas.microsoft.com/office/drawing/2014/main" id="{D4B93BFC-6010-4AEE-BBD9-AADB4B2FC684}"/>
                </a:ext>
              </a:extLst>
            </xdr:cNvPr>
            <xdr:cNvSpPr txBox="1"/>
          </xdr:nvSpPr>
          <xdr:spPr>
            <a:xfrm>
              <a:off x="7666892" y="210958968"/>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182685</xdr:colOff>
      <xdr:row>267</xdr:row>
      <xdr:rowOff>330932</xdr:rowOff>
    </xdr:from>
    <xdr:ext cx="1852084" cy="292196"/>
    <mc:AlternateContent xmlns:mc="http://schemas.openxmlformats.org/markup-compatibility/2006" xmlns:a14="http://schemas.microsoft.com/office/drawing/2010/main">
      <mc:Choice Requires="a14">
        <xdr:sp macro="" textlink="">
          <xdr:nvSpPr>
            <xdr:cNvPr id="557" name="CuadroTexto 556">
              <a:extLst>
                <a:ext uri="{FF2B5EF4-FFF2-40B4-BE49-F238E27FC236}">
                  <a16:creationId xmlns:a16="http://schemas.microsoft.com/office/drawing/2014/main" id="{A8AC00A5-85F4-44F0-9B9D-0CA0112C0A16}"/>
                </a:ext>
              </a:extLst>
            </xdr:cNvPr>
            <xdr:cNvSpPr txBox="1"/>
          </xdr:nvSpPr>
          <xdr:spPr>
            <a:xfrm>
              <a:off x="7580435" y="21046830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557" name="CuadroTexto 556">
              <a:extLst>
                <a:ext uri="{FF2B5EF4-FFF2-40B4-BE49-F238E27FC236}">
                  <a16:creationId xmlns:a16="http://schemas.microsoft.com/office/drawing/2014/main" id="{A8AC00A5-85F4-44F0-9B9D-0CA0112C0A16}"/>
                </a:ext>
              </a:extLst>
            </xdr:cNvPr>
            <xdr:cNvSpPr txBox="1"/>
          </xdr:nvSpPr>
          <xdr:spPr>
            <a:xfrm>
              <a:off x="7580435" y="21046830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196850</xdr:colOff>
      <xdr:row>267</xdr:row>
      <xdr:rowOff>330200</xdr:rowOff>
    </xdr:from>
    <xdr:ext cx="1852084" cy="289246"/>
    <mc:AlternateContent xmlns:mc="http://schemas.openxmlformats.org/markup-compatibility/2006" xmlns:a14="http://schemas.microsoft.com/office/drawing/2010/main">
      <mc:Choice Requires="a14">
        <xdr:sp macro="" textlink="">
          <xdr:nvSpPr>
            <xdr:cNvPr id="558" name="CuadroTexto 557">
              <a:extLst>
                <a:ext uri="{FF2B5EF4-FFF2-40B4-BE49-F238E27FC236}">
                  <a16:creationId xmlns:a16="http://schemas.microsoft.com/office/drawing/2014/main" id="{7FA953AE-8286-4C55-BD48-3671E798A6A8}"/>
                </a:ext>
              </a:extLst>
            </xdr:cNvPr>
            <xdr:cNvSpPr txBox="1"/>
          </xdr:nvSpPr>
          <xdr:spPr>
            <a:xfrm>
              <a:off x="10023475" y="2104675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.036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558" name="CuadroTexto 557">
              <a:extLst>
                <a:ext uri="{FF2B5EF4-FFF2-40B4-BE49-F238E27FC236}">
                  <a16:creationId xmlns:a16="http://schemas.microsoft.com/office/drawing/2014/main" id="{7FA953AE-8286-4C55-BD48-3671E798A6A8}"/>
                </a:ext>
              </a:extLst>
            </xdr:cNvPr>
            <xdr:cNvSpPr txBox="1"/>
          </xdr:nvSpPr>
          <xdr:spPr>
            <a:xfrm>
              <a:off x="10023475" y="2104675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C𝑏=(.036 𝑚3)/(10 𝑚3)</a:t>
              </a:r>
              <a:endParaRPr lang="es-MX" sz="1000" b="0"/>
            </a:p>
          </xdr:txBody>
        </xdr:sp>
      </mc:Fallback>
    </mc:AlternateContent>
    <xdr:clientData/>
  </xdr:oneCellAnchor>
  <xdr:oneCellAnchor>
    <xdr:from>
      <xdr:col>10</xdr:col>
      <xdr:colOff>76200</xdr:colOff>
      <xdr:row>267</xdr:row>
      <xdr:rowOff>142875</xdr:rowOff>
    </xdr:from>
    <xdr:ext cx="1852084" cy="156518"/>
    <mc:AlternateContent xmlns:mc="http://schemas.openxmlformats.org/markup-compatibility/2006" xmlns:a14="http://schemas.microsoft.com/office/drawing/2010/main">
      <mc:Choice Requires="a14">
        <xdr:sp macro="" textlink="">
          <xdr:nvSpPr>
            <xdr:cNvPr id="559" name="CuadroTexto 558">
              <a:extLst>
                <a:ext uri="{FF2B5EF4-FFF2-40B4-BE49-F238E27FC236}">
                  <a16:creationId xmlns:a16="http://schemas.microsoft.com/office/drawing/2014/main" id="{DDC6A329-6AEA-44F2-A1BD-47E1286FD5D7}"/>
                </a:ext>
              </a:extLst>
            </xdr:cNvPr>
            <xdr:cNvSpPr txBox="1"/>
          </xdr:nvSpPr>
          <xdr:spPr>
            <a:xfrm>
              <a:off x="10752859" y="20135417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𝐵𝑂𝑃𝑃</m:t>
                    </m:r>
                    <m:r>
                      <a:rPr lang="es-MX" sz="1000" b="0" i="1">
                        <a:latin typeface="Cambria Math" panose="02040503050406030204" pitchFamily="18" charset="0"/>
                      </a:rPr>
                      <m:t>=.</m:t>
                    </m:r>
                    <m:r>
                      <a:rPr lang="es-MX" sz="1000" b="0" i="0">
                        <a:latin typeface="Cambria Math" panose="02040503050406030204" pitchFamily="18" charset="0"/>
                      </a:rPr>
                      <m:t>0036 </m:t>
                    </m:r>
                    <m:r>
                      <m:rPr>
                        <m:sty m:val="p"/>
                      </m:rPr>
                      <a:rPr lang="es-MX" sz="1000" b="0" i="0">
                        <a:latin typeface="Cambria Math" panose="02040503050406030204" pitchFamily="18" charset="0"/>
                      </a:rPr>
                      <m:t>camiones</m:t>
                    </m:r>
                  </m:oMath>
                </m:oMathPara>
              </a14:m>
              <a:endParaRPr lang="es-MX" sz="1000" b="0"/>
            </a:p>
          </xdr:txBody>
        </xdr:sp>
      </mc:Choice>
      <mc:Fallback xmlns="">
        <xdr:sp macro="" textlink="">
          <xdr:nvSpPr>
            <xdr:cNvPr id="559" name="CuadroTexto 558">
              <a:extLst>
                <a:ext uri="{FF2B5EF4-FFF2-40B4-BE49-F238E27FC236}">
                  <a16:creationId xmlns:a16="http://schemas.microsoft.com/office/drawing/2014/main" id="{DDC6A329-6AEA-44F2-A1BD-47E1286FD5D7}"/>
                </a:ext>
              </a:extLst>
            </xdr:cNvPr>
            <xdr:cNvSpPr txBox="1"/>
          </xdr:nvSpPr>
          <xdr:spPr>
            <a:xfrm>
              <a:off x="10752859" y="20135417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𝐵𝑂𝑃𝑃=.0036 camiones</a:t>
              </a:r>
              <a:endParaRPr lang="es-MX" sz="1000" b="0"/>
            </a:p>
          </xdr:txBody>
        </xdr:sp>
      </mc:Fallback>
    </mc:AlternateContent>
    <xdr:clientData/>
  </xdr:oneCellAnchor>
  <xdr:oneCellAnchor>
    <xdr:from>
      <xdr:col>10</xdr:col>
      <xdr:colOff>238125</xdr:colOff>
      <xdr:row>267</xdr:row>
      <xdr:rowOff>495300</xdr:rowOff>
    </xdr:from>
    <xdr:ext cx="1852084" cy="156518"/>
    <mc:AlternateContent xmlns:mc="http://schemas.openxmlformats.org/markup-compatibility/2006" xmlns:a14="http://schemas.microsoft.com/office/drawing/2010/main">
      <mc:Choice Requires="a14">
        <xdr:sp macro="" textlink="">
          <xdr:nvSpPr>
            <xdr:cNvPr id="560" name="CuadroTexto 559">
              <a:extLst>
                <a:ext uri="{FF2B5EF4-FFF2-40B4-BE49-F238E27FC236}">
                  <a16:creationId xmlns:a16="http://schemas.microsoft.com/office/drawing/2014/main" id="{D4937C70-26B7-487D-860D-79F745B072CB}"/>
                </a:ext>
              </a:extLst>
            </xdr:cNvPr>
            <xdr:cNvSpPr txBox="1"/>
          </xdr:nvSpPr>
          <xdr:spPr>
            <a:xfrm>
              <a:off x="10914784" y="20170659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𝐵𝑂𝑃𝑃</m:t>
                  </m:r>
                  <m:r>
                    <a:rPr lang="es-MX" sz="1000" b="0" i="1">
                      <a:latin typeface="Cambria Math" panose="02040503050406030204" pitchFamily="18" charset="0"/>
                    </a:rPr>
                    <m:t>=</m:t>
                  </m:r>
                  <m:r>
                    <a:rPr lang="es-MX" sz="1000" b="0" i="0">
                      <a:latin typeface="Cambria Math" panose="02040503050406030204" pitchFamily="18" charset="0"/>
                    </a:rPr>
                    <m:t>3.6</m:t>
                  </m:r>
                </m:oMath>
              </a14:m>
              <a:r>
                <a:rPr lang="es-MX" sz="1000" b="0"/>
                <a:t> camiones</a:t>
              </a:r>
            </a:p>
          </xdr:txBody>
        </xdr:sp>
      </mc:Choice>
      <mc:Fallback xmlns="">
        <xdr:sp macro="" textlink="">
          <xdr:nvSpPr>
            <xdr:cNvPr id="560" name="CuadroTexto 559">
              <a:extLst>
                <a:ext uri="{FF2B5EF4-FFF2-40B4-BE49-F238E27FC236}">
                  <a16:creationId xmlns:a16="http://schemas.microsoft.com/office/drawing/2014/main" id="{D4937C70-26B7-487D-860D-79F745B072CB}"/>
                </a:ext>
              </a:extLst>
            </xdr:cNvPr>
            <xdr:cNvSpPr txBox="1"/>
          </xdr:nvSpPr>
          <xdr:spPr>
            <a:xfrm>
              <a:off x="10914784" y="20170659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Cambria Math" panose="02040503050406030204" pitchFamily="18" charset="0"/>
                </a:rPr>
                <a:t>1 𝑇𝑜𝑛 𝐵𝑂𝑃𝑃=3.6</a:t>
              </a:r>
              <a:r>
                <a:rPr lang="es-MX" sz="1000" b="0"/>
                <a:t> camiones</a:t>
              </a:r>
            </a:p>
          </xdr:txBody>
        </xdr:sp>
      </mc:Fallback>
    </mc:AlternateContent>
    <xdr:clientData/>
  </xdr:oneCellAnchor>
  <xdr:oneCellAnchor>
    <xdr:from>
      <xdr:col>8</xdr:col>
      <xdr:colOff>143933</xdr:colOff>
      <xdr:row>269</xdr:row>
      <xdr:rowOff>214842</xdr:rowOff>
    </xdr:from>
    <xdr:ext cx="1852084" cy="125227"/>
    <xdr:sp macro="" textlink="">
      <xdr:nvSpPr>
        <xdr:cNvPr id="562" name="CuadroTexto 561">
          <a:extLst>
            <a:ext uri="{FF2B5EF4-FFF2-40B4-BE49-F238E27FC236}">
              <a16:creationId xmlns:a16="http://schemas.microsoft.com/office/drawing/2014/main" id="{9E1441F9-4AC9-4AC0-8E80-E5F2A532D0AD}"/>
            </a:ext>
          </a:extLst>
        </xdr:cNvPr>
        <xdr:cNvSpPr txBox="1"/>
      </xdr:nvSpPr>
      <xdr:spPr>
        <a:xfrm>
          <a:off x="7001933" y="20362554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94517</xdr:colOff>
      <xdr:row>269</xdr:row>
      <xdr:rowOff>646968</xdr:rowOff>
    </xdr:from>
    <xdr:ext cx="1868525" cy="375680"/>
    <mc:AlternateContent xmlns:mc="http://schemas.openxmlformats.org/markup-compatibility/2006" xmlns:a14="http://schemas.microsoft.com/office/drawing/2010/main">
      <mc:Choice Requires="a14">
        <xdr:sp macro="" textlink="">
          <xdr:nvSpPr>
            <xdr:cNvPr id="563" name="CuadroTexto 562">
              <a:extLst>
                <a:ext uri="{FF2B5EF4-FFF2-40B4-BE49-F238E27FC236}">
                  <a16:creationId xmlns:a16="http://schemas.microsoft.com/office/drawing/2014/main" id="{4690C048-2709-4012-9A0F-01E22E40DAC7}"/>
                </a:ext>
              </a:extLst>
            </xdr:cNvPr>
            <xdr:cNvSpPr txBox="1"/>
          </xdr:nvSpPr>
          <xdr:spPr>
            <a:xfrm>
              <a:off x="6952517" y="20405767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563" name="CuadroTexto 562">
              <a:extLst>
                <a:ext uri="{FF2B5EF4-FFF2-40B4-BE49-F238E27FC236}">
                  <a16:creationId xmlns:a16="http://schemas.microsoft.com/office/drawing/2014/main" id="{4690C048-2709-4012-9A0F-01E22E40DAC7}"/>
                </a:ext>
              </a:extLst>
            </xdr:cNvPr>
            <xdr:cNvSpPr txBox="1"/>
          </xdr:nvSpPr>
          <xdr:spPr>
            <a:xfrm>
              <a:off x="6952517" y="20405767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484310</xdr:colOff>
      <xdr:row>269</xdr:row>
      <xdr:rowOff>267432</xdr:rowOff>
    </xdr:from>
    <xdr:ext cx="801565" cy="289246"/>
    <mc:AlternateContent xmlns:mc="http://schemas.openxmlformats.org/markup-compatibility/2006" xmlns:a14="http://schemas.microsoft.com/office/drawing/2010/main">
      <mc:Choice Requires="a14">
        <xdr:sp macro="" textlink="">
          <xdr:nvSpPr>
            <xdr:cNvPr id="564" name="CuadroTexto 563">
              <a:extLst>
                <a:ext uri="{FF2B5EF4-FFF2-40B4-BE49-F238E27FC236}">
                  <a16:creationId xmlns:a16="http://schemas.microsoft.com/office/drawing/2014/main" id="{918DD83F-49BB-47BE-8FD3-7C3C0F40569D}"/>
                </a:ext>
              </a:extLst>
            </xdr:cNvPr>
            <xdr:cNvSpPr txBox="1"/>
          </xdr:nvSpPr>
          <xdr:spPr>
            <a:xfrm>
              <a:off x="7882060" y="213230557"/>
              <a:ext cx="801565"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564" name="CuadroTexto 563">
              <a:extLst>
                <a:ext uri="{FF2B5EF4-FFF2-40B4-BE49-F238E27FC236}">
                  <a16:creationId xmlns:a16="http://schemas.microsoft.com/office/drawing/2014/main" id="{918DD83F-49BB-47BE-8FD3-7C3C0F40569D}"/>
                </a:ext>
              </a:extLst>
            </xdr:cNvPr>
            <xdr:cNvSpPr txBox="1"/>
          </xdr:nvSpPr>
          <xdr:spPr>
            <a:xfrm>
              <a:off x="7882060" y="213230557"/>
              <a:ext cx="801565"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714375</xdr:colOff>
      <xdr:row>269</xdr:row>
      <xdr:rowOff>425450</xdr:rowOff>
    </xdr:from>
    <xdr:ext cx="905934" cy="289182"/>
    <mc:AlternateContent xmlns:mc="http://schemas.openxmlformats.org/markup-compatibility/2006" xmlns:a14="http://schemas.microsoft.com/office/drawing/2010/main">
      <mc:Choice Requires="a14">
        <xdr:sp macro="" textlink="">
          <xdr:nvSpPr>
            <xdr:cNvPr id="565" name="CuadroTexto 564">
              <a:extLst>
                <a:ext uri="{FF2B5EF4-FFF2-40B4-BE49-F238E27FC236}">
                  <a16:creationId xmlns:a16="http://schemas.microsoft.com/office/drawing/2014/main" id="{DB7E2BB2-1979-40F1-8675-9DEEB539DB7E}"/>
                </a:ext>
              </a:extLst>
            </xdr:cNvPr>
            <xdr:cNvSpPr txBox="1"/>
          </xdr:nvSpPr>
          <xdr:spPr>
            <a:xfrm>
              <a:off x="10541000" y="213388575"/>
              <a:ext cx="905934" cy="289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.033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565" name="CuadroTexto 564">
              <a:extLst>
                <a:ext uri="{FF2B5EF4-FFF2-40B4-BE49-F238E27FC236}">
                  <a16:creationId xmlns:a16="http://schemas.microsoft.com/office/drawing/2014/main" id="{DB7E2BB2-1979-40F1-8675-9DEEB539DB7E}"/>
                </a:ext>
              </a:extLst>
            </xdr:cNvPr>
            <xdr:cNvSpPr txBox="1"/>
          </xdr:nvSpPr>
          <xdr:spPr>
            <a:xfrm>
              <a:off x="10541000" y="213388575"/>
              <a:ext cx="905934" cy="289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C𝑏=(.033 𝑚3)/(10 𝑚3)</a:t>
              </a:r>
              <a:endParaRPr lang="es-MX" sz="1000" b="0"/>
            </a:p>
          </xdr:txBody>
        </xdr:sp>
      </mc:Fallback>
    </mc:AlternateContent>
    <xdr:clientData/>
  </xdr:oneCellAnchor>
  <xdr:oneCellAnchor>
    <xdr:from>
      <xdr:col>10</xdr:col>
      <xdr:colOff>76200</xdr:colOff>
      <xdr:row>269</xdr:row>
      <xdr:rowOff>142875</xdr:rowOff>
    </xdr:from>
    <xdr:ext cx="1852084" cy="156518"/>
    <mc:AlternateContent xmlns:mc="http://schemas.openxmlformats.org/markup-compatibility/2006" xmlns:a14="http://schemas.microsoft.com/office/drawing/2010/main">
      <mc:Choice Requires="a14">
        <xdr:sp macro="" textlink="">
          <xdr:nvSpPr>
            <xdr:cNvPr id="566" name="CuadroTexto 565">
              <a:extLst>
                <a:ext uri="{FF2B5EF4-FFF2-40B4-BE49-F238E27FC236}">
                  <a16:creationId xmlns:a16="http://schemas.microsoft.com/office/drawing/2014/main" id="{B377211A-964C-4B6A-A78E-AF7538F9A7DE}"/>
                </a:ext>
              </a:extLst>
            </xdr:cNvPr>
            <xdr:cNvSpPr txBox="1"/>
          </xdr:nvSpPr>
          <xdr:spPr>
            <a:xfrm>
              <a:off x="10752859" y="20355358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𝑃𝑃</m:t>
                    </m:r>
                    <m:r>
                      <a:rPr lang="es-MX" sz="1000" b="0" i="1">
                        <a:latin typeface="Cambria Math" panose="02040503050406030204" pitchFamily="18" charset="0"/>
                      </a:rPr>
                      <m:t>=.</m:t>
                    </m:r>
                    <m:r>
                      <a:rPr lang="es-MX" sz="1000" b="0" i="0">
                        <a:latin typeface="Cambria Math" panose="02040503050406030204" pitchFamily="18" charset="0"/>
                      </a:rPr>
                      <m:t>0033 </m:t>
                    </m:r>
                    <m:r>
                      <m:rPr>
                        <m:sty m:val="p"/>
                      </m:rPr>
                      <a:rPr lang="es-MX" sz="1000" b="0" i="0">
                        <a:latin typeface="Cambria Math" panose="02040503050406030204" pitchFamily="18" charset="0"/>
                      </a:rPr>
                      <m:t>camiones</m:t>
                    </m:r>
                  </m:oMath>
                </m:oMathPara>
              </a14:m>
              <a:endParaRPr lang="es-MX" sz="1000" b="0"/>
            </a:p>
          </xdr:txBody>
        </xdr:sp>
      </mc:Choice>
      <mc:Fallback xmlns="">
        <xdr:sp macro="" textlink="">
          <xdr:nvSpPr>
            <xdr:cNvPr id="566" name="CuadroTexto 565">
              <a:extLst>
                <a:ext uri="{FF2B5EF4-FFF2-40B4-BE49-F238E27FC236}">
                  <a16:creationId xmlns:a16="http://schemas.microsoft.com/office/drawing/2014/main" id="{B377211A-964C-4B6A-A78E-AF7538F9A7DE}"/>
                </a:ext>
              </a:extLst>
            </xdr:cNvPr>
            <xdr:cNvSpPr txBox="1"/>
          </xdr:nvSpPr>
          <xdr:spPr>
            <a:xfrm>
              <a:off x="10752859" y="203553580"/>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𝑃𝑃=.0033 camiones</a:t>
              </a:r>
              <a:endParaRPr lang="es-MX" sz="1000" b="0"/>
            </a:p>
          </xdr:txBody>
        </xdr:sp>
      </mc:Fallback>
    </mc:AlternateContent>
    <xdr:clientData/>
  </xdr:oneCellAnchor>
  <xdr:oneCellAnchor>
    <xdr:from>
      <xdr:col>10</xdr:col>
      <xdr:colOff>238125</xdr:colOff>
      <xdr:row>269</xdr:row>
      <xdr:rowOff>495300</xdr:rowOff>
    </xdr:from>
    <xdr:ext cx="1852084" cy="156518"/>
    <mc:AlternateContent xmlns:mc="http://schemas.openxmlformats.org/markup-compatibility/2006" xmlns:a14="http://schemas.microsoft.com/office/drawing/2010/main">
      <mc:Choice Requires="a14">
        <xdr:sp macro="" textlink="">
          <xdr:nvSpPr>
            <xdr:cNvPr id="567" name="CuadroTexto 566">
              <a:extLst>
                <a:ext uri="{FF2B5EF4-FFF2-40B4-BE49-F238E27FC236}">
                  <a16:creationId xmlns:a16="http://schemas.microsoft.com/office/drawing/2014/main" id="{79FF31B9-235F-4482-BD22-339D52FFF66B}"/>
                </a:ext>
              </a:extLst>
            </xdr:cNvPr>
            <xdr:cNvSpPr txBox="1"/>
          </xdr:nvSpPr>
          <xdr:spPr>
            <a:xfrm>
              <a:off x="10914784" y="20390600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𝑃𝑃</m:t>
                  </m:r>
                  <m:r>
                    <a:rPr lang="es-MX" sz="1000" b="0" i="1">
                      <a:latin typeface="Cambria Math" panose="02040503050406030204" pitchFamily="18" charset="0"/>
                    </a:rPr>
                    <m:t>=</m:t>
                  </m:r>
                  <m:r>
                    <a:rPr lang="es-MX" sz="1000" b="0" i="0">
                      <a:latin typeface="Cambria Math" panose="02040503050406030204" pitchFamily="18" charset="0"/>
                    </a:rPr>
                    <m:t>3.3</m:t>
                  </m:r>
                </m:oMath>
              </a14:m>
              <a:r>
                <a:rPr lang="es-MX" sz="1000" b="0"/>
                <a:t> camiones</a:t>
              </a:r>
            </a:p>
          </xdr:txBody>
        </xdr:sp>
      </mc:Choice>
      <mc:Fallback xmlns="">
        <xdr:sp macro="" textlink="">
          <xdr:nvSpPr>
            <xdr:cNvPr id="567" name="CuadroTexto 566">
              <a:extLst>
                <a:ext uri="{FF2B5EF4-FFF2-40B4-BE49-F238E27FC236}">
                  <a16:creationId xmlns:a16="http://schemas.microsoft.com/office/drawing/2014/main" id="{79FF31B9-235F-4482-BD22-339D52FFF66B}"/>
                </a:ext>
              </a:extLst>
            </xdr:cNvPr>
            <xdr:cNvSpPr txBox="1"/>
          </xdr:nvSpPr>
          <xdr:spPr>
            <a:xfrm>
              <a:off x="10914784" y="20390600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Cambria Math" panose="02040503050406030204" pitchFamily="18" charset="0"/>
                </a:rPr>
                <a:t>1 𝑇𝑜𝑛 𝑃𝑃=3.3</a:t>
              </a:r>
              <a:r>
                <a:rPr lang="es-MX" sz="1000" b="0"/>
                <a:t> camiones</a:t>
              </a:r>
            </a:p>
          </xdr:txBody>
        </xdr:sp>
      </mc:Fallback>
    </mc:AlternateContent>
    <xdr:clientData/>
  </xdr:oneCellAnchor>
  <xdr:oneCellAnchor>
    <xdr:from>
      <xdr:col>9</xdr:col>
      <xdr:colOff>180976</xdr:colOff>
      <xdr:row>272</xdr:row>
      <xdr:rowOff>436563</xdr:rowOff>
    </xdr:from>
    <xdr:ext cx="1897062" cy="351443"/>
    <mc:AlternateContent xmlns:mc="http://schemas.openxmlformats.org/markup-compatibility/2006" xmlns:a14="http://schemas.microsoft.com/office/drawing/2010/main">
      <mc:Choice Requires="a14">
        <xdr:sp macro="" textlink="">
          <xdr:nvSpPr>
            <xdr:cNvPr id="568" name="CuadroTexto 567">
              <a:extLst>
                <a:ext uri="{FF2B5EF4-FFF2-40B4-BE49-F238E27FC236}">
                  <a16:creationId xmlns:a16="http://schemas.microsoft.com/office/drawing/2014/main" id="{330CF480-EF59-4A74-95FD-EF358C7A1D4C}"/>
                </a:ext>
              </a:extLst>
            </xdr:cNvPr>
            <xdr:cNvSpPr txBox="1"/>
          </xdr:nvSpPr>
          <xdr:spPr>
            <a:xfrm>
              <a:off x="10007601" y="215526938"/>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4.44 </m:t>
                        </m:r>
                        <m:r>
                          <a:rPr lang="es-MX" sz="1100" b="0" i="1">
                            <a:solidFill>
                              <a:schemeClr val="tx1"/>
                            </a:solidFill>
                            <a:effectLst/>
                            <a:latin typeface="Cambria Math" panose="02040503050406030204" pitchFamily="18" charset="0"/>
                            <a:ea typeface="+mn-ea"/>
                            <a:cs typeface="+mn-cs"/>
                          </a:rPr>
                          <m:t>𝐵𝑃</m:t>
                        </m:r>
                      </m:num>
                      <m:den>
                        <m:r>
                          <a:rPr lang="es-MX" sz="1100" b="0" i="0">
                            <a:solidFill>
                              <a:schemeClr val="tx1"/>
                            </a:solidFill>
                            <a:effectLst/>
                            <a:latin typeface="Cambria Math" panose="02040503050406030204" pitchFamily="18" charset="0"/>
                            <a:ea typeface="+mn-ea"/>
                            <a:cs typeface="+mn-cs"/>
                          </a:rPr>
                          <m:t>?( .00444)</m:t>
                        </m:r>
                      </m:den>
                    </m:f>
                    <m:r>
                      <a:rPr lang="es-MX" sz="1600" b="0" i="1">
                        <a:latin typeface="Cambria Math" panose="02040503050406030204" pitchFamily="18" charset="0"/>
                      </a:rPr>
                      <m:t> </m:t>
                    </m:r>
                  </m:oMath>
                </m:oMathPara>
              </a14:m>
              <a:endParaRPr lang="es-MX" sz="1600"/>
            </a:p>
          </xdr:txBody>
        </xdr:sp>
      </mc:Choice>
      <mc:Fallback xmlns="">
        <xdr:sp macro="" textlink="">
          <xdr:nvSpPr>
            <xdr:cNvPr id="568" name="CuadroTexto 567">
              <a:extLst>
                <a:ext uri="{FF2B5EF4-FFF2-40B4-BE49-F238E27FC236}">
                  <a16:creationId xmlns:a16="http://schemas.microsoft.com/office/drawing/2014/main" id="{330CF480-EF59-4A74-95FD-EF358C7A1D4C}"/>
                </a:ext>
              </a:extLst>
            </xdr:cNvPr>
            <xdr:cNvSpPr txBox="1"/>
          </xdr:nvSpPr>
          <xdr:spPr>
            <a:xfrm>
              <a:off x="10007601" y="215526938"/>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𝑃𝐸𝑇 )/(1 )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4.44 𝐵𝑃)/(?( .00444))</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238125</xdr:colOff>
      <xdr:row>272</xdr:row>
      <xdr:rowOff>445558</xdr:rowOff>
    </xdr:from>
    <xdr:ext cx="1730375" cy="665692"/>
    <mc:AlternateContent xmlns:mc="http://schemas.openxmlformats.org/markup-compatibility/2006" xmlns:a14="http://schemas.microsoft.com/office/drawing/2010/main">
      <mc:Choice Requires="a14">
        <xdr:sp macro="" textlink="">
          <xdr:nvSpPr>
            <xdr:cNvPr id="569" name="CuadroTexto 568">
              <a:extLst>
                <a:ext uri="{FF2B5EF4-FFF2-40B4-BE49-F238E27FC236}">
                  <a16:creationId xmlns:a16="http://schemas.microsoft.com/office/drawing/2014/main" id="{4346BB58-8724-4EF3-BB3A-B8F1AC052297}"/>
                </a:ext>
              </a:extLst>
            </xdr:cNvPr>
            <xdr:cNvSpPr txBox="1"/>
          </xdr:nvSpPr>
          <xdr:spPr>
            <a:xfrm>
              <a:off x="12620625" y="215535933"/>
              <a:ext cx="1730375" cy="665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m:t>
                    </m:r>
                    <m:r>
                      <a:rPr lang="es-MX" sz="1050" b="0" i="1">
                        <a:latin typeface="Cambria Math" panose="02040503050406030204" pitchFamily="18" charset="0"/>
                      </a:rPr>
                      <m:t>=</m:t>
                    </m:r>
                    <m:r>
                      <a:rPr lang="es-MX" sz="1050" b="0" i="0">
                        <a:latin typeface="Cambria Math" panose="02040503050406030204" pitchFamily="18" charset="0"/>
                      </a:rPr>
                      <m:t> .0044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4.44 </m:t>
                    </m:r>
                    <m:r>
                      <m:rPr>
                        <m:sty m:val="p"/>
                      </m:rPr>
                      <a:rPr lang="es-MX" sz="1050" b="0" i="0">
                        <a:solidFill>
                          <a:schemeClr val="tx1"/>
                        </a:solidFill>
                        <a:effectLst/>
                        <a:latin typeface="Cambria Math" panose="02040503050406030204" pitchFamily="18" charset="0"/>
                        <a:ea typeface="+mn-ea"/>
                        <a:cs typeface="+mn-cs"/>
                      </a:rPr>
                      <m:t>BP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569" name="CuadroTexto 568">
              <a:extLst>
                <a:ext uri="{FF2B5EF4-FFF2-40B4-BE49-F238E27FC236}">
                  <a16:creationId xmlns:a16="http://schemas.microsoft.com/office/drawing/2014/main" id="{4346BB58-8724-4EF3-BB3A-B8F1AC052297}"/>
                </a:ext>
              </a:extLst>
            </xdr:cNvPr>
            <xdr:cNvSpPr txBox="1"/>
          </xdr:nvSpPr>
          <xdr:spPr>
            <a:xfrm>
              <a:off x="12620625" y="215535933"/>
              <a:ext cx="1730375" cy="665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 .0044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𝑃𝐸𝑇=4.44 BP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6</xdr:col>
      <xdr:colOff>76200</xdr:colOff>
      <xdr:row>271</xdr:row>
      <xdr:rowOff>69850</xdr:rowOff>
    </xdr:from>
    <xdr:ext cx="457200" cy="447385"/>
    <xdr:pic>
      <xdr:nvPicPr>
        <xdr:cNvPr id="570" name="Gráfico 569" descr="Convertible">
          <a:extLst>
            <a:ext uri="{FF2B5EF4-FFF2-40B4-BE49-F238E27FC236}">
              <a16:creationId xmlns:a16="http://schemas.microsoft.com/office/drawing/2014/main" id="{B75D547B-98C8-4E7E-A755-503FC571EDD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3882" y="61956373"/>
          <a:ext cx="457200" cy="447385"/>
        </a:xfrm>
        <a:prstGeom prst="rect">
          <a:avLst/>
        </a:prstGeom>
      </xdr:spPr>
    </xdr:pic>
    <xdr:clientData/>
  </xdr:oneCellAnchor>
  <xdr:oneCellAnchor>
    <xdr:from>
      <xdr:col>12</xdr:col>
      <xdr:colOff>2500312</xdr:colOff>
      <xdr:row>272</xdr:row>
      <xdr:rowOff>1071563</xdr:rowOff>
    </xdr:from>
    <xdr:ext cx="352425" cy="352425"/>
    <xdr:pic>
      <xdr:nvPicPr>
        <xdr:cNvPr id="571" name="Gráfico 570" descr="Hogar">
          <a:hlinkClick xmlns:r="http://schemas.openxmlformats.org/officeDocument/2006/relationships" r:id="rId76"/>
          <a:extLst>
            <a:ext uri="{FF2B5EF4-FFF2-40B4-BE49-F238E27FC236}">
              <a16:creationId xmlns:a16="http://schemas.microsoft.com/office/drawing/2014/main" id="{C9DCA662-1F33-4412-9710-E13138482F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60153" y="63468972"/>
          <a:ext cx="352425" cy="352425"/>
        </a:xfrm>
        <a:prstGeom prst="rect">
          <a:avLst/>
        </a:prstGeom>
      </xdr:spPr>
    </xdr:pic>
    <xdr:clientData/>
  </xdr:oneCellAnchor>
  <xdr:oneCellAnchor>
    <xdr:from>
      <xdr:col>8</xdr:col>
      <xdr:colOff>143933</xdr:colOff>
      <xdr:row>276</xdr:row>
      <xdr:rowOff>214842</xdr:rowOff>
    </xdr:from>
    <xdr:ext cx="1852084" cy="125227"/>
    <xdr:sp macro="" textlink="">
      <xdr:nvSpPr>
        <xdr:cNvPr id="572" name="CuadroTexto 571">
          <a:extLst>
            <a:ext uri="{FF2B5EF4-FFF2-40B4-BE49-F238E27FC236}">
              <a16:creationId xmlns:a16="http://schemas.microsoft.com/office/drawing/2014/main" id="{8E18E83E-7760-459E-B956-9707DDFAE8F0}"/>
            </a:ext>
          </a:extLst>
        </xdr:cNvPr>
        <xdr:cNvSpPr txBox="1"/>
      </xdr:nvSpPr>
      <xdr:spPr>
        <a:xfrm>
          <a:off x="7001933" y="207686660"/>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207087</xdr:colOff>
      <xdr:row>276</xdr:row>
      <xdr:rowOff>421831</xdr:rowOff>
    </xdr:from>
    <xdr:ext cx="1663278" cy="478715"/>
    <mc:AlternateContent xmlns:mc="http://schemas.openxmlformats.org/markup-compatibility/2006" xmlns:a14="http://schemas.microsoft.com/office/drawing/2010/main">
      <mc:Choice Requires="a14">
        <xdr:sp macro="" textlink="">
          <xdr:nvSpPr>
            <xdr:cNvPr id="573" name="CuadroTexto 572">
              <a:extLst>
                <a:ext uri="{FF2B5EF4-FFF2-40B4-BE49-F238E27FC236}">
                  <a16:creationId xmlns:a16="http://schemas.microsoft.com/office/drawing/2014/main" id="{78C37ABB-7DC1-4D86-A76D-8D9563F8009C}"/>
                </a:ext>
              </a:extLst>
            </xdr:cNvPr>
            <xdr:cNvSpPr txBox="1"/>
          </xdr:nvSpPr>
          <xdr:spPr>
            <a:xfrm>
              <a:off x="7065087" y="211426558"/>
              <a:ext cx="1663278" cy="4787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Peso especifico del petroleo  .870kg/L</a:t>
              </a:r>
            </a:p>
            <a:p>
              <a:r>
                <a:rPr lang="es-MX" sz="800" b="0"/>
                <a:t>Capcidad</a:t>
              </a:r>
              <a:r>
                <a:rPr lang="es-MX" sz="800" b="0" baseline="0"/>
                <a:t> del barril</a:t>
              </a:r>
              <a:r>
                <a:rPr lang="es-MX" sz="800" b="0"/>
                <a:t> =159 L</a:t>
              </a:r>
            </a:p>
          </xdr:txBody>
        </xdr:sp>
      </mc:Choice>
      <mc:Fallback xmlns="">
        <xdr:sp macro="" textlink="">
          <xdr:nvSpPr>
            <xdr:cNvPr id="573" name="CuadroTexto 572">
              <a:extLst>
                <a:ext uri="{FF2B5EF4-FFF2-40B4-BE49-F238E27FC236}">
                  <a16:creationId xmlns:a16="http://schemas.microsoft.com/office/drawing/2014/main" id="{78C37ABB-7DC1-4D86-A76D-8D9563F8009C}"/>
                </a:ext>
              </a:extLst>
            </xdr:cNvPr>
            <xdr:cNvSpPr txBox="1"/>
          </xdr:nvSpPr>
          <xdr:spPr>
            <a:xfrm>
              <a:off x="7065087" y="211426558"/>
              <a:ext cx="1663278" cy="4787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s-MX" sz="800" b="0" i="0">
                  <a:latin typeface="Cambria Math" panose="02040503050406030204" pitchFamily="18" charset="0"/>
                </a:rPr>
                <a:t>𝐷𝑜𝑛𝑑𝑒: </a:t>
              </a:r>
              <a:endParaRPr lang="es-MX" sz="800" b="0"/>
            </a:p>
            <a:p>
              <a:pPr/>
              <a:r>
                <a:rPr lang="es-MX" sz="800" b="0"/>
                <a:t>Peso especifico del petroleo  .870kg/L</a:t>
              </a:r>
            </a:p>
            <a:p>
              <a:pPr/>
              <a:r>
                <a:rPr lang="es-MX" sz="800" b="0"/>
                <a:t>Capcidad</a:t>
              </a:r>
              <a:r>
                <a:rPr lang="es-MX" sz="800" b="0" baseline="0"/>
                <a:t> del barril</a:t>
              </a:r>
              <a:r>
                <a:rPr lang="es-MX" sz="800" b="0"/>
                <a:t> =159 L</a:t>
              </a:r>
            </a:p>
          </xdr:txBody>
        </xdr:sp>
      </mc:Fallback>
    </mc:AlternateContent>
    <xdr:clientData/>
  </xdr:oneCellAnchor>
  <xdr:oneCellAnchor>
    <xdr:from>
      <xdr:col>9</xdr:col>
      <xdr:colOff>541193</xdr:colOff>
      <xdr:row>276</xdr:row>
      <xdr:rowOff>200603</xdr:rowOff>
    </xdr:from>
    <xdr:ext cx="1662546" cy="1316182"/>
    <mc:AlternateContent xmlns:mc="http://schemas.openxmlformats.org/markup-compatibility/2006" xmlns:a14="http://schemas.microsoft.com/office/drawing/2010/main">
      <mc:Choice Requires="a14">
        <xdr:sp macro="" textlink="">
          <xdr:nvSpPr>
            <xdr:cNvPr id="576" name="CuadroTexto 575">
              <a:extLst>
                <a:ext uri="{FF2B5EF4-FFF2-40B4-BE49-F238E27FC236}">
                  <a16:creationId xmlns:a16="http://schemas.microsoft.com/office/drawing/2014/main" id="{40F8DA3A-667F-4317-A448-4D1154F1D9EC}"/>
                </a:ext>
              </a:extLst>
            </xdr:cNvPr>
            <xdr:cNvSpPr txBox="1"/>
          </xdr:nvSpPr>
          <xdr:spPr>
            <a:xfrm>
              <a:off x="10367818" y="220942478"/>
              <a:ext cx="1662546" cy="1316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m:t>
                        </m:r>
                        <m:r>
                          <a:rPr lang="es-MX" sz="1000" b="0" i="1">
                            <a:solidFill>
                              <a:schemeClr val="tx1"/>
                            </a:solidFill>
                            <a:effectLst/>
                            <a:latin typeface="Cambria Math" panose="02040503050406030204" pitchFamily="18" charset="0"/>
                            <a:ea typeface="+mn-ea"/>
                            <a:cs typeface="+mn-cs"/>
                          </a:rPr>
                          <m:t>𝑙𝑖𝑡</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?(1,149)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.870 </m:t>
                        </m:r>
                        <m:r>
                          <a:rPr lang="es-MX" sz="1000" b="0" i="1">
                            <a:solidFill>
                              <a:schemeClr val="tx1"/>
                            </a:solidFill>
                            <a:effectLst/>
                            <a:latin typeface="Cambria Math" panose="02040503050406030204" pitchFamily="18" charset="0"/>
                            <a:ea typeface="+mn-ea"/>
                            <a:cs typeface="+mn-cs"/>
                          </a:rPr>
                          <m:t>𝑘𝑔</m:t>
                        </m:r>
                      </m:num>
                      <m:den>
                        <m:r>
                          <a:rPr lang="es-MX" sz="1000" b="0" i="0">
                            <a:solidFill>
                              <a:schemeClr val="tx1"/>
                            </a:solidFill>
                            <a:effectLst/>
                            <a:latin typeface="Cambria Math" panose="02040503050406030204" pitchFamily="18" charset="0"/>
                            <a:ea typeface="+mn-ea"/>
                            <a:cs typeface="+mn-cs"/>
                          </a:rPr>
                          <m:t>1000</m:t>
                        </m:r>
                      </m:den>
                    </m:f>
                    <m:r>
                      <a:rPr lang="es-MX" sz="1000" b="0" i="1">
                        <a:latin typeface="Cambria Math" panose="02040503050406030204" pitchFamily="18" charset="0"/>
                      </a:rPr>
                      <m:t> </m:t>
                    </m:r>
                  </m:oMath>
                </m:oMathPara>
              </a14:m>
              <a:endParaRPr lang="es-MX" sz="1000"/>
            </a:p>
            <a:p>
              <a:endParaRPr lang="es-MX" sz="1000"/>
            </a:p>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𝐵𝑝𝑒𝑡</m:t>
                        </m:r>
                      </m:num>
                      <m:den>
                        <m:r>
                          <a:rPr lang="es-MX" sz="1000" b="0" i="0">
                            <a:solidFill>
                              <a:schemeClr val="tx1"/>
                            </a:solidFill>
                            <a:effectLst/>
                            <a:latin typeface="Cambria Math" panose="02040503050406030204" pitchFamily="18" charset="0"/>
                            <a:ea typeface="+mn-ea"/>
                            <a:cs typeface="+mn-cs"/>
                          </a:rPr>
                          <m:t>?( 7.22)</m:t>
                        </m:r>
                      </m:den>
                    </m:f>
                    <m:r>
                      <a:rPr lang="es-MX" sz="1000" b="0" i="1">
                        <a:solidFill>
                          <a:schemeClr val="tx1"/>
                        </a:solidFill>
                        <a:effectLst/>
                        <a:latin typeface="Cambria Math" panose="02040503050406030204" pitchFamily="18" charset="0"/>
                        <a:ea typeface="+mn-ea"/>
                        <a:cs typeface="+mn-cs"/>
                      </a:rPr>
                      <m:t> </m:t>
                    </m:r>
                    <m:r>
                      <a:rPr lang="es-MX" sz="1000" b="0" i="0">
                        <a:solidFill>
                          <a:schemeClr val="tx1"/>
                        </a:solidFill>
                        <a:effectLst/>
                        <a:latin typeface="Cambria Math" panose="02040503050406030204" pitchFamily="18" charset="0"/>
                        <a:ea typeface="+mn-ea"/>
                        <a:cs typeface="+mn-cs"/>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159 </m:t>
                        </m:r>
                        <m:r>
                          <a:rPr lang="es-MX" sz="1000" b="0" i="1">
                            <a:solidFill>
                              <a:schemeClr val="tx1"/>
                            </a:solidFill>
                            <a:effectLst/>
                            <a:latin typeface="Cambria Math" panose="02040503050406030204" pitchFamily="18" charset="0"/>
                            <a:ea typeface="+mn-ea"/>
                            <a:cs typeface="+mn-cs"/>
                          </a:rPr>
                          <m:t>𝐿</m:t>
                        </m:r>
                      </m:num>
                      <m:den>
                        <m:r>
                          <a:rPr lang="es-MX" sz="1000" b="0" i="0">
                            <a:solidFill>
                              <a:schemeClr val="tx1"/>
                            </a:solidFill>
                            <a:effectLst/>
                            <a:latin typeface="Cambria Math" panose="02040503050406030204" pitchFamily="18" charset="0"/>
                            <a:ea typeface="+mn-ea"/>
                            <a:cs typeface="+mn-cs"/>
                          </a:rPr>
                          <m:t>1,149</m:t>
                        </m:r>
                      </m:den>
                    </m:f>
                    <m:r>
                      <a:rPr lang="es-MX" sz="1000" b="0" i="1">
                        <a:solidFill>
                          <a:schemeClr val="tx1"/>
                        </a:solidFill>
                        <a:effectLst/>
                        <a:latin typeface="Cambria Math" panose="02040503050406030204" pitchFamily="18" charset="0"/>
                        <a:ea typeface="+mn-ea"/>
                        <a:cs typeface="+mn-cs"/>
                      </a:rPr>
                      <m:t> </m:t>
                    </m:r>
                  </m:oMath>
                </m:oMathPara>
              </a14:m>
              <a:endParaRPr lang="es-MX" sz="1000"/>
            </a:p>
            <a:p>
              <a:endParaRPr lang="es-MX" sz="100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2 </m:t>
                        </m:r>
                        <m:r>
                          <a:rPr lang="es-MX" sz="1000" b="0" i="1">
                            <a:solidFill>
                              <a:schemeClr val="tx1"/>
                            </a:solidFill>
                            <a:effectLst/>
                            <a:latin typeface="Cambria Math" panose="02040503050406030204" pitchFamily="18" charset="0"/>
                            <a:ea typeface="+mn-ea"/>
                            <a:cs typeface="+mn-cs"/>
                          </a:rPr>
                          <m:t>𝑡𝑜𝑛𝐸𝑃</m:t>
                        </m:r>
                      </m:num>
                      <m:den>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𝑡𝑜𝑛𝐸𝑃</m:t>
                        </m:r>
                      </m:den>
                    </m:f>
                    <m:r>
                      <a:rPr lang="es-MX" sz="1000" b="0" i="1">
                        <a:solidFill>
                          <a:schemeClr val="tx1"/>
                        </a:solidFill>
                        <a:effectLst/>
                        <a:latin typeface="Cambria Math" panose="02040503050406030204" pitchFamily="18" charset="0"/>
                        <a:ea typeface="+mn-ea"/>
                        <a:cs typeface="+mn-cs"/>
                      </a:rPr>
                      <m:t> </m:t>
                    </m:r>
                    <m:r>
                      <a:rPr lang="es-MX" sz="1000" b="0" i="0">
                        <a:solidFill>
                          <a:schemeClr val="tx1"/>
                        </a:solidFill>
                        <a:effectLst/>
                        <a:latin typeface="Cambria Math" panose="02040503050406030204" pitchFamily="18" charset="0"/>
                        <a:ea typeface="+mn-ea"/>
                        <a:cs typeface="+mn-cs"/>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7.22 </m:t>
                        </m:r>
                        <m:r>
                          <a:rPr lang="es-MX" sz="1000" b="0" i="1">
                            <a:solidFill>
                              <a:schemeClr val="tx1"/>
                            </a:solidFill>
                            <a:effectLst/>
                            <a:latin typeface="Cambria Math" panose="02040503050406030204" pitchFamily="18" charset="0"/>
                            <a:ea typeface="+mn-ea"/>
                            <a:cs typeface="+mn-cs"/>
                          </a:rPr>
                          <m:t>𝐵𝑝𝑒𝑡</m:t>
                        </m:r>
                      </m:num>
                      <m:den>
                        <m:r>
                          <a:rPr lang="es-MX" sz="1000" b="0" i="0">
                            <a:solidFill>
                              <a:schemeClr val="tx1"/>
                            </a:solidFill>
                            <a:effectLst/>
                            <a:latin typeface="Cambria Math" panose="02040503050406030204" pitchFamily="18" charset="0"/>
                            <a:ea typeface="+mn-ea"/>
                            <a:cs typeface="+mn-cs"/>
                          </a:rPr>
                          <m:t>?(3.61) </m:t>
                        </m:r>
                      </m:den>
                    </m:f>
                    <m:r>
                      <a:rPr lang="es-MX" sz="1000" b="0" i="1">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600"/>
            </a:p>
          </xdr:txBody>
        </xdr:sp>
      </mc:Choice>
      <mc:Fallback xmlns="">
        <xdr:sp macro="" textlink="">
          <xdr:nvSpPr>
            <xdr:cNvPr id="576" name="CuadroTexto 575">
              <a:extLst>
                <a:ext uri="{FF2B5EF4-FFF2-40B4-BE49-F238E27FC236}">
                  <a16:creationId xmlns:a16="http://schemas.microsoft.com/office/drawing/2014/main" id="{40F8DA3A-667F-4317-A448-4D1154F1D9EC}"/>
                </a:ext>
              </a:extLst>
            </xdr:cNvPr>
            <xdr:cNvSpPr txBox="1"/>
          </xdr:nvSpPr>
          <xdr:spPr>
            <a:xfrm>
              <a:off x="10367818" y="220942478"/>
              <a:ext cx="1662546" cy="1316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1𝑙𝑖𝑡 𝑝𝑒𝑡 )/(?(1,149)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.870 𝑘𝑔)/1000 </a:t>
              </a:r>
              <a:r>
                <a:rPr lang="es-MX" sz="1000" b="0" i="0">
                  <a:latin typeface="Cambria Math" panose="02040503050406030204" pitchFamily="18" charset="0"/>
                </a:rPr>
                <a:t> </a:t>
              </a:r>
              <a:endParaRPr lang="es-MX" sz="1000"/>
            </a:p>
            <a:p>
              <a:endParaRPr lang="es-MX" sz="1000"/>
            </a:p>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𝐵𝑝𝑒𝑡)/(?( 7.22))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159 𝐿)/1,149  </a:t>
              </a:r>
              <a:endParaRPr lang="es-MX" sz="1000"/>
            </a:p>
            <a:p>
              <a:endParaRPr lang="es-MX" sz="1000"/>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 𝑡𝑜𝑛𝐸𝑃)/(1 𝑡𝑜𝑛𝐸𝑃)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7.22 𝐵𝑝𝑒𝑡)/(?(3.61) )  </a:t>
              </a:r>
              <a:endParaRPr lang="es-MX" sz="1000">
                <a:effectLst/>
              </a:endParaRPr>
            </a:p>
            <a:p>
              <a:endParaRPr lang="es-MX" sz="1600"/>
            </a:p>
          </xdr:txBody>
        </xdr:sp>
      </mc:Fallback>
    </mc:AlternateContent>
    <xdr:clientData/>
  </xdr:oneCellAnchor>
  <xdr:oneCellAnchor>
    <xdr:from>
      <xdr:col>10</xdr:col>
      <xdr:colOff>272762</xdr:colOff>
      <xdr:row>276</xdr:row>
      <xdr:rowOff>406977</xdr:rowOff>
    </xdr:from>
    <xdr:ext cx="2008908" cy="628650"/>
    <mc:AlternateContent xmlns:mc="http://schemas.openxmlformats.org/markup-compatibility/2006" xmlns:a14="http://schemas.microsoft.com/office/drawing/2010/main">
      <mc:Choice Requires="a14">
        <xdr:sp macro="" textlink="">
          <xdr:nvSpPr>
            <xdr:cNvPr id="580" name="CuadroTexto 579">
              <a:extLst>
                <a:ext uri="{FF2B5EF4-FFF2-40B4-BE49-F238E27FC236}">
                  <a16:creationId xmlns:a16="http://schemas.microsoft.com/office/drawing/2014/main" id="{7B472D63-6B7D-4F9E-9B34-F08557B4A689}"/>
                </a:ext>
              </a:extLst>
            </xdr:cNvPr>
            <xdr:cNvSpPr txBox="1"/>
          </xdr:nvSpPr>
          <xdr:spPr>
            <a:xfrm>
              <a:off x="12655262" y="221148852"/>
              <a:ext cx="2008908"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1 </m:t>
                    </m:r>
                    <m:r>
                      <a:rPr lang="es-MX" sz="900" b="0" i="1">
                        <a:latin typeface="Cambria Math" panose="02040503050406030204" pitchFamily="18" charset="0"/>
                      </a:rPr>
                      <m:t>𝑘𝑔</m:t>
                    </m:r>
                    <m:r>
                      <a:rPr lang="es-MX" sz="900" b="0" i="1">
                        <a:latin typeface="Cambria Math" panose="02040503050406030204" pitchFamily="18" charset="0"/>
                      </a:rPr>
                      <m:t> </m:t>
                    </m:r>
                    <m:r>
                      <a:rPr lang="es-MX" sz="900" b="0" i="1">
                        <a:latin typeface="Cambria Math" panose="02040503050406030204" pitchFamily="18" charset="0"/>
                      </a:rPr>
                      <m:t>𝐵𝑂𝑃𝑃</m:t>
                    </m:r>
                    <m:r>
                      <a:rPr lang="es-MX" sz="900" b="0" i="1">
                        <a:latin typeface="Cambria Math" panose="02040503050406030204" pitchFamily="18" charset="0"/>
                      </a:rPr>
                      <m:t> </m:t>
                    </m:r>
                    <m:r>
                      <a:rPr lang="es-MX" sz="900" b="0" i="1">
                        <a:latin typeface="Cambria Math" panose="02040503050406030204" pitchFamily="18" charset="0"/>
                      </a:rPr>
                      <m:t>𝑦</m:t>
                    </m:r>
                    <m:r>
                      <a:rPr lang="es-MX" sz="900" b="0" i="1">
                        <a:latin typeface="Cambria Math" panose="02040503050406030204" pitchFamily="18" charset="0"/>
                      </a:rPr>
                      <m:t> </m:t>
                    </m:r>
                    <m:r>
                      <a:rPr lang="es-MX" sz="900" b="0" i="1">
                        <a:latin typeface="Cambria Math" panose="02040503050406030204" pitchFamily="18" charset="0"/>
                      </a:rPr>
                      <m:t>𝐸𝑛𝑣</m:t>
                    </m:r>
                    <m:r>
                      <a:rPr lang="es-MX" sz="900" b="0" i="1">
                        <a:latin typeface="Cambria Math" panose="02040503050406030204" pitchFamily="18" charset="0"/>
                      </a:rPr>
                      <m:t>. </m:t>
                    </m:r>
                    <m:r>
                      <a:rPr lang="es-MX" sz="900" b="0" i="1">
                        <a:latin typeface="Cambria Math" panose="02040503050406030204" pitchFamily="18" charset="0"/>
                      </a:rPr>
                      <m:t>𝑝𝑙𝑎𝑠𝑡𝑖𝑐𝑜𝑠</m:t>
                    </m:r>
                    <m:r>
                      <a:rPr lang="es-MX" sz="900" b="0" i="1">
                        <a:latin typeface="Cambria Math" panose="02040503050406030204" pitchFamily="18" charset="0"/>
                      </a:rPr>
                      <m:t>=</m:t>
                    </m:r>
                    <m:r>
                      <a:rPr lang="es-MX" sz="900" b="0" i="0">
                        <a:latin typeface="Cambria Math" panose="02040503050406030204" pitchFamily="18" charset="0"/>
                      </a:rPr>
                      <m:t> .0036 </m:t>
                    </m:r>
                    <m:r>
                      <m:rPr>
                        <m:sty m:val="p"/>
                      </m:rPr>
                      <a:rPr lang="es-MX" sz="900" b="0" i="0">
                        <a:latin typeface="Cambria Math" panose="02040503050406030204" pitchFamily="18" charset="0"/>
                      </a:rPr>
                      <m:t>BP</m:t>
                    </m:r>
                  </m:oMath>
                </m:oMathPara>
              </a14:m>
              <a:endParaRPr lang="es-MX" sz="900" b="0" i="0">
                <a:latin typeface="Cambria Math" panose="02040503050406030204" pitchFamily="18" charset="0"/>
              </a:endParaRPr>
            </a:p>
            <a:p>
              <a:endParaRPr lang="es-MX" sz="90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𝑇𝑜𝑛</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𝐵𝑂𝑃𝑃</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𝑦</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𝐸𝑛𝑣</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𝑝𝑙𝑎𝑠𝑡𝑖𝑐𝑜𝑠</m:t>
                    </m:r>
                    <m:r>
                      <a:rPr lang="es-MX" sz="900" b="0" i="1">
                        <a:solidFill>
                          <a:schemeClr val="tx1"/>
                        </a:solidFill>
                        <a:effectLst/>
                        <a:latin typeface="Cambria Math" panose="02040503050406030204" pitchFamily="18" charset="0"/>
                        <a:ea typeface="+mn-ea"/>
                        <a:cs typeface="+mn-cs"/>
                      </a:rPr>
                      <m:t>=</m:t>
                    </m:r>
                    <m:r>
                      <a:rPr lang="es-MX" sz="900" b="0" i="0">
                        <a:solidFill>
                          <a:schemeClr val="tx1"/>
                        </a:solidFill>
                        <a:effectLst/>
                        <a:latin typeface="Cambria Math" panose="02040503050406030204" pitchFamily="18" charset="0"/>
                        <a:ea typeface="+mn-ea"/>
                        <a:cs typeface="+mn-cs"/>
                      </a:rPr>
                      <m:t> 3.61 </m:t>
                    </m:r>
                    <m:r>
                      <m:rPr>
                        <m:sty m:val="p"/>
                      </m:rPr>
                      <a:rPr lang="es-MX" sz="900" b="0" i="0">
                        <a:solidFill>
                          <a:schemeClr val="tx1"/>
                        </a:solidFill>
                        <a:effectLst/>
                        <a:latin typeface="Cambria Math" panose="02040503050406030204" pitchFamily="18" charset="0"/>
                        <a:ea typeface="+mn-ea"/>
                        <a:cs typeface="+mn-cs"/>
                      </a:rPr>
                      <m:t>BP</m:t>
                    </m:r>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Choice>
      <mc:Fallback xmlns="">
        <xdr:sp macro="" textlink="">
          <xdr:nvSpPr>
            <xdr:cNvPr id="580" name="CuadroTexto 579">
              <a:extLst>
                <a:ext uri="{FF2B5EF4-FFF2-40B4-BE49-F238E27FC236}">
                  <a16:creationId xmlns:a16="http://schemas.microsoft.com/office/drawing/2014/main" id="{7B472D63-6B7D-4F9E-9B34-F08557B4A689}"/>
                </a:ext>
              </a:extLst>
            </xdr:cNvPr>
            <xdr:cNvSpPr txBox="1"/>
          </xdr:nvSpPr>
          <xdr:spPr>
            <a:xfrm>
              <a:off x="12655262" y="221148852"/>
              <a:ext cx="2008908"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b="0" i="0">
                  <a:latin typeface="Cambria Math" panose="02040503050406030204" pitchFamily="18" charset="0"/>
                </a:rPr>
                <a:t>1 𝑘𝑔 𝐵𝑂𝑃𝑃 𝑦 𝐸𝑛𝑣. 𝑝𝑙𝑎𝑠𝑡𝑖𝑐𝑜𝑠= .0036 BP</a:t>
              </a:r>
            </a:p>
            <a:p>
              <a:endParaRPr lang="es-MX" sz="900" b="0" i="0">
                <a:latin typeface="Cambria Math" panose="02040503050406030204" pitchFamily="18" charset="0"/>
              </a:endParaRPr>
            </a:p>
            <a:p>
              <a:pPr/>
              <a:r>
                <a:rPr lang="es-MX" sz="900" b="0" i="0">
                  <a:solidFill>
                    <a:schemeClr val="tx1"/>
                  </a:solidFill>
                  <a:effectLst/>
                  <a:latin typeface="Cambria Math" panose="02040503050406030204" pitchFamily="18" charset="0"/>
                  <a:ea typeface="+mn-ea"/>
                  <a:cs typeface="+mn-cs"/>
                </a:rPr>
                <a:t>1 𝑇𝑜𝑛 𝐵𝑂𝑃𝑃 𝑦 𝐸𝑛𝑣. 𝑝𝑙𝑎𝑠𝑡𝑖𝑐𝑜𝑠= 3.61 BP</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Fallback>
    </mc:AlternateContent>
    <xdr:clientData/>
  </xdr:oneCellAnchor>
  <xdr:oneCellAnchor>
    <xdr:from>
      <xdr:col>12</xdr:col>
      <xdr:colOff>2130136</xdr:colOff>
      <xdr:row>276</xdr:row>
      <xdr:rowOff>1091045</xdr:rowOff>
    </xdr:from>
    <xdr:ext cx="352425" cy="352425"/>
    <xdr:pic>
      <xdr:nvPicPr>
        <xdr:cNvPr id="581" name="Gráfico 580" descr="Hogar">
          <a:hlinkClick xmlns:r="http://schemas.openxmlformats.org/officeDocument/2006/relationships" r:id="rId77"/>
          <a:extLst>
            <a:ext uri="{FF2B5EF4-FFF2-40B4-BE49-F238E27FC236}">
              <a16:creationId xmlns:a16="http://schemas.microsoft.com/office/drawing/2014/main" id="{61FE29A4-D8EF-4729-AC9F-39D547B941A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89977" y="212095772"/>
          <a:ext cx="352425" cy="352425"/>
        </a:xfrm>
        <a:prstGeom prst="rect">
          <a:avLst/>
        </a:prstGeom>
      </xdr:spPr>
    </xdr:pic>
    <xdr:clientData/>
  </xdr:oneCellAnchor>
  <xdr:oneCellAnchor>
    <xdr:from>
      <xdr:col>12</xdr:col>
      <xdr:colOff>2424548</xdr:colOff>
      <xdr:row>276</xdr:row>
      <xdr:rowOff>1041980</xdr:rowOff>
    </xdr:from>
    <xdr:ext cx="424294" cy="424294"/>
    <xdr:pic>
      <xdr:nvPicPr>
        <xdr:cNvPr id="582" name="Gráfico 581" descr="Inalámbrico">
          <a:hlinkClick xmlns:r="http://schemas.openxmlformats.org/officeDocument/2006/relationships" r:id="rId78"/>
          <a:extLst>
            <a:ext uri="{FF2B5EF4-FFF2-40B4-BE49-F238E27FC236}">
              <a16:creationId xmlns:a16="http://schemas.microsoft.com/office/drawing/2014/main" id="{73CA7B43-D514-473A-8D57-B722E7706C5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84389" y="212046707"/>
          <a:ext cx="424294" cy="424294"/>
        </a:xfrm>
        <a:prstGeom prst="rect">
          <a:avLst/>
        </a:prstGeom>
      </xdr:spPr>
    </xdr:pic>
    <xdr:clientData/>
  </xdr:oneCellAnchor>
  <xdr:oneCellAnchor>
    <xdr:from>
      <xdr:col>8</xdr:col>
      <xdr:colOff>143933</xdr:colOff>
      <xdr:row>279</xdr:row>
      <xdr:rowOff>214842</xdr:rowOff>
    </xdr:from>
    <xdr:ext cx="1852084" cy="125227"/>
    <xdr:sp macro="" textlink="">
      <xdr:nvSpPr>
        <xdr:cNvPr id="584" name="CuadroTexto 583">
          <a:extLst>
            <a:ext uri="{FF2B5EF4-FFF2-40B4-BE49-F238E27FC236}">
              <a16:creationId xmlns:a16="http://schemas.microsoft.com/office/drawing/2014/main" id="{D162585F-0CBF-48B1-B167-C27DD6B31473}"/>
            </a:ext>
          </a:extLst>
        </xdr:cNvPr>
        <xdr:cNvSpPr txBox="1"/>
      </xdr:nvSpPr>
      <xdr:spPr>
        <a:xfrm>
          <a:off x="7001933" y="211219569"/>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393256</xdr:colOff>
      <xdr:row>279</xdr:row>
      <xdr:rowOff>427605</xdr:rowOff>
    </xdr:from>
    <xdr:ext cx="1663278" cy="729828"/>
    <mc:AlternateContent xmlns:mc="http://schemas.openxmlformats.org/markup-compatibility/2006" xmlns:a14="http://schemas.microsoft.com/office/drawing/2010/main">
      <mc:Choice Requires="a14">
        <xdr:sp macro="" textlink="">
          <xdr:nvSpPr>
            <xdr:cNvPr id="585" name="CuadroTexto 584">
              <a:extLst>
                <a:ext uri="{FF2B5EF4-FFF2-40B4-BE49-F238E27FC236}">
                  <a16:creationId xmlns:a16="http://schemas.microsoft.com/office/drawing/2014/main" id="{8CF6F7FA-BE5A-4574-88D7-98FEFF367567}"/>
                </a:ext>
              </a:extLst>
            </xdr:cNvPr>
            <xdr:cNvSpPr txBox="1"/>
          </xdr:nvSpPr>
          <xdr:spPr>
            <a:xfrm>
              <a:off x="7791006" y="225662105"/>
              <a:ext cx="1663278" cy="7298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Peso especifico del petroleo  .870kg/L</a:t>
              </a:r>
            </a:p>
            <a:p>
              <a:r>
                <a:rPr lang="es-MX" sz="800" b="0"/>
                <a:t>Capcidad</a:t>
              </a:r>
              <a:r>
                <a:rPr lang="es-MX" sz="800" b="0" baseline="0"/>
                <a:t> del barril</a:t>
              </a:r>
              <a:r>
                <a:rPr lang="es-MX" sz="800" b="0"/>
                <a:t> =159 L</a:t>
              </a:r>
            </a:p>
          </xdr:txBody>
        </xdr:sp>
      </mc:Choice>
      <mc:Fallback xmlns="">
        <xdr:sp macro="" textlink="">
          <xdr:nvSpPr>
            <xdr:cNvPr id="585" name="CuadroTexto 584">
              <a:extLst>
                <a:ext uri="{FF2B5EF4-FFF2-40B4-BE49-F238E27FC236}">
                  <a16:creationId xmlns:a16="http://schemas.microsoft.com/office/drawing/2014/main" id="{8CF6F7FA-BE5A-4574-88D7-98FEFF367567}"/>
                </a:ext>
              </a:extLst>
            </xdr:cNvPr>
            <xdr:cNvSpPr txBox="1"/>
          </xdr:nvSpPr>
          <xdr:spPr>
            <a:xfrm>
              <a:off x="7791006" y="225662105"/>
              <a:ext cx="1663278" cy="7298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s-MX" sz="800" b="0" i="0">
                  <a:latin typeface="Cambria Math" panose="02040503050406030204" pitchFamily="18" charset="0"/>
                </a:rPr>
                <a:t>𝐷𝑜𝑛𝑑𝑒: </a:t>
              </a:r>
              <a:endParaRPr lang="es-MX" sz="800" b="0"/>
            </a:p>
            <a:p>
              <a:r>
                <a:rPr lang="es-MX" sz="800" b="0"/>
                <a:t>Peso especifico del petroleo  .870kg/L</a:t>
              </a:r>
            </a:p>
            <a:p>
              <a:r>
                <a:rPr lang="es-MX" sz="800" b="0"/>
                <a:t>Capcidad</a:t>
              </a:r>
              <a:r>
                <a:rPr lang="es-MX" sz="800" b="0" baseline="0"/>
                <a:t> del barril</a:t>
              </a:r>
              <a:r>
                <a:rPr lang="es-MX" sz="800" b="0"/>
                <a:t> =159 L</a:t>
              </a:r>
            </a:p>
          </xdr:txBody>
        </xdr:sp>
      </mc:Fallback>
    </mc:AlternateContent>
    <xdr:clientData/>
  </xdr:oneCellAnchor>
  <xdr:oneCellAnchor>
    <xdr:from>
      <xdr:col>9</xdr:col>
      <xdr:colOff>398318</xdr:colOff>
      <xdr:row>279</xdr:row>
      <xdr:rowOff>184728</xdr:rowOff>
    </xdr:from>
    <xdr:ext cx="1662546" cy="1316182"/>
    <mc:AlternateContent xmlns:mc="http://schemas.openxmlformats.org/markup-compatibility/2006" xmlns:a14="http://schemas.microsoft.com/office/drawing/2010/main">
      <mc:Choice Requires="a14">
        <xdr:sp macro="" textlink="">
          <xdr:nvSpPr>
            <xdr:cNvPr id="586" name="CuadroTexto 585">
              <a:extLst>
                <a:ext uri="{FF2B5EF4-FFF2-40B4-BE49-F238E27FC236}">
                  <a16:creationId xmlns:a16="http://schemas.microsoft.com/office/drawing/2014/main" id="{574CE3F6-58D2-43A4-B43A-5601A60004C8}"/>
                </a:ext>
              </a:extLst>
            </xdr:cNvPr>
            <xdr:cNvSpPr txBox="1"/>
          </xdr:nvSpPr>
          <xdr:spPr>
            <a:xfrm>
              <a:off x="10224943" y="225419228"/>
              <a:ext cx="1662546" cy="1316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m:t>
                        </m:r>
                        <m:r>
                          <a:rPr lang="es-MX" sz="1000" b="0" i="1">
                            <a:solidFill>
                              <a:schemeClr val="tx1"/>
                            </a:solidFill>
                            <a:effectLst/>
                            <a:latin typeface="Cambria Math" panose="02040503050406030204" pitchFamily="18" charset="0"/>
                            <a:ea typeface="+mn-ea"/>
                            <a:cs typeface="+mn-cs"/>
                          </a:rPr>
                          <m:t>𝑙𝑖𝑡</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?(1,149)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.870 </m:t>
                        </m:r>
                        <m:r>
                          <a:rPr lang="es-MX" sz="1000" b="0" i="1">
                            <a:solidFill>
                              <a:schemeClr val="tx1"/>
                            </a:solidFill>
                            <a:effectLst/>
                            <a:latin typeface="Cambria Math" panose="02040503050406030204" pitchFamily="18" charset="0"/>
                            <a:ea typeface="+mn-ea"/>
                            <a:cs typeface="+mn-cs"/>
                          </a:rPr>
                          <m:t>𝑘𝑔</m:t>
                        </m:r>
                      </m:num>
                      <m:den>
                        <m:r>
                          <a:rPr lang="es-MX" sz="1000" b="0" i="0">
                            <a:solidFill>
                              <a:schemeClr val="tx1"/>
                            </a:solidFill>
                            <a:effectLst/>
                            <a:latin typeface="Cambria Math" panose="02040503050406030204" pitchFamily="18" charset="0"/>
                            <a:ea typeface="+mn-ea"/>
                            <a:cs typeface="+mn-cs"/>
                          </a:rPr>
                          <m:t>1000</m:t>
                        </m:r>
                      </m:den>
                    </m:f>
                    <m:r>
                      <a:rPr lang="es-MX" sz="1000" b="0" i="1">
                        <a:latin typeface="Cambria Math" panose="02040503050406030204" pitchFamily="18" charset="0"/>
                      </a:rPr>
                      <m:t> </m:t>
                    </m:r>
                  </m:oMath>
                </m:oMathPara>
              </a14:m>
              <a:endParaRPr lang="es-MX" sz="1000"/>
            </a:p>
            <a:p>
              <a:endParaRPr lang="es-MX" sz="1000"/>
            </a:p>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𝐵𝑝𝑒𝑡</m:t>
                        </m:r>
                      </m:num>
                      <m:den>
                        <m:r>
                          <a:rPr lang="es-MX" sz="1000" b="0" i="0">
                            <a:solidFill>
                              <a:schemeClr val="tx1"/>
                            </a:solidFill>
                            <a:effectLst/>
                            <a:latin typeface="Cambria Math" panose="02040503050406030204" pitchFamily="18" charset="0"/>
                            <a:ea typeface="+mn-ea"/>
                            <a:cs typeface="+mn-cs"/>
                          </a:rPr>
                          <m:t>?( 7.22)</m:t>
                        </m:r>
                      </m:den>
                    </m:f>
                    <m:r>
                      <a:rPr lang="es-MX" sz="1000" b="0" i="1">
                        <a:solidFill>
                          <a:schemeClr val="tx1"/>
                        </a:solidFill>
                        <a:effectLst/>
                        <a:latin typeface="Cambria Math" panose="02040503050406030204" pitchFamily="18" charset="0"/>
                        <a:ea typeface="+mn-ea"/>
                        <a:cs typeface="+mn-cs"/>
                      </a:rPr>
                      <m:t> </m:t>
                    </m:r>
                    <m:r>
                      <a:rPr lang="es-MX" sz="1000" b="0" i="0">
                        <a:solidFill>
                          <a:schemeClr val="tx1"/>
                        </a:solidFill>
                        <a:effectLst/>
                        <a:latin typeface="Cambria Math" panose="02040503050406030204" pitchFamily="18" charset="0"/>
                        <a:ea typeface="+mn-ea"/>
                        <a:cs typeface="+mn-cs"/>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159 </m:t>
                        </m:r>
                        <m:r>
                          <a:rPr lang="es-MX" sz="1000" b="0" i="1">
                            <a:solidFill>
                              <a:schemeClr val="tx1"/>
                            </a:solidFill>
                            <a:effectLst/>
                            <a:latin typeface="Cambria Math" panose="02040503050406030204" pitchFamily="18" charset="0"/>
                            <a:ea typeface="+mn-ea"/>
                            <a:cs typeface="+mn-cs"/>
                          </a:rPr>
                          <m:t>𝐿</m:t>
                        </m:r>
                      </m:num>
                      <m:den>
                        <m:r>
                          <a:rPr lang="es-MX" sz="1000" b="0" i="0">
                            <a:solidFill>
                              <a:schemeClr val="tx1"/>
                            </a:solidFill>
                            <a:effectLst/>
                            <a:latin typeface="Cambria Math" panose="02040503050406030204" pitchFamily="18" charset="0"/>
                            <a:ea typeface="+mn-ea"/>
                            <a:cs typeface="+mn-cs"/>
                          </a:rPr>
                          <m:t>1,149</m:t>
                        </m:r>
                      </m:den>
                    </m:f>
                    <m:r>
                      <a:rPr lang="es-MX" sz="1000" b="0" i="1">
                        <a:solidFill>
                          <a:schemeClr val="tx1"/>
                        </a:solidFill>
                        <a:effectLst/>
                        <a:latin typeface="Cambria Math" panose="02040503050406030204" pitchFamily="18" charset="0"/>
                        <a:ea typeface="+mn-ea"/>
                        <a:cs typeface="+mn-cs"/>
                      </a:rPr>
                      <m:t> </m:t>
                    </m:r>
                  </m:oMath>
                </m:oMathPara>
              </a14:m>
              <a:endParaRPr lang="es-MX" sz="1000"/>
            </a:p>
            <a:p>
              <a:endParaRPr lang="es-MX" sz="100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2 </m:t>
                        </m:r>
                        <m:r>
                          <a:rPr lang="es-MX" sz="1000" b="0" i="1">
                            <a:solidFill>
                              <a:schemeClr val="tx1"/>
                            </a:solidFill>
                            <a:effectLst/>
                            <a:latin typeface="Cambria Math" panose="02040503050406030204" pitchFamily="18" charset="0"/>
                            <a:ea typeface="+mn-ea"/>
                            <a:cs typeface="+mn-cs"/>
                          </a:rPr>
                          <m:t>𝑡𝑜𝑛𝐸𝑃</m:t>
                        </m:r>
                      </m:num>
                      <m:den>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𝑡𝑜𝑛𝐸𝑃</m:t>
                        </m:r>
                      </m:den>
                    </m:f>
                    <m:r>
                      <a:rPr lang="es-MX" sz="1000" b="0" i="1">
                        <a:solidFill>
                          <a:schemeClr val="tx1"/>
                        </a:solidFill>
                        <a:effectLst/>
                        <a:latin typeface="Cambria Math" panose="02040503050406030204" pitchFamily="18" charset="0"/>
                        <a:ea typeface="+mn-ea"/>
                        <a:cs typeface="+mn-cs"/>
                      </a:rPr>
                      <m:t> </m:t>
                    </m:r>
                    <m:r>
                      <a:rPr lang="es-MX" sz="1000" b="0" i="0">
                        <a:solidFill>
                          <a:schemeClr val="tx1"/>
                        </a:solidFill>
                        <a:effectLst/>
                        <a:latin typeface="Cambria Math" panose="02040503050406030204" pitchFamily="18" charset="0"/>
                        <a:ea typeface="+mn-ea"/>
                        <a:cs typeface="+mn-cs"/>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7.22 </m:t>
                        </m:r>
                        <m:r>
                          <a:rPr lang="es-MX" sz="1000" b="0" i="1">
                            <a:solidFill>
                              <a:schemeClr val="tx1"/>
                            </a:solidFill>
                            <a:effectLst/>
                            <a:latin typeface="Cambria Math" panose="02040503050406030204" pitchFamily="18" charset="0"/>
                            <a:ea typeface="+mn-ea"/>
                            <a:cs typeface="+mn-cs"/>
                          </a:rPr>
                          <m:t>𝐵𝑝𝑒𝑡</m:t>
                        </m:r>
                      </m:num>
                      <m:den>
                        <m:r>
                          <a:rPr lang="es-MX" sz="1000" b="0" i="0">
                            <a:solidFill>
                              <a:schemeClr val="tx1"/>
                            </a:solidFill>
                            <a:effectLst/>
                            <a:latin typeface="Cambria Math" panose="02040503050406030204" pitchFamily="18" charset="0"/>
                            <a:ea typeface="+mn-ea"/>
                            <a:cs typeface="+mn-cs"/>
                          </a:rPr>
                          <m:t>?(3.61) </m:t>
                        </m:r>
                      </m:den>
                    </m:f>
                    <m:r>
                      <a:rPr lang="es-MX" sz="1000" b="0" i="1">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600"/>
            </a:p>
          </xdr:txBody>
        </xdr:sp>
      </mc:Choice>
      <mc:Fallback xmlns="">
        <xdr:sp macro="" textlink="">
          <xdr:nvSpPr>
            <xdr:cNvPr id="586" name="CuadroTexto 585">
              <a:extLst>
                <a:ext uri="{FF2B5EF4-FFF2-40B4-BE49-F238E27FC236}">
                  <a16:creationId xmlns:a16="http://schemas.microsoft.com/office/drawing/2014/main" id="{574CE3F6-58D2-43A4-B43A-5601A60004C8}"/>
                </a:ext>
              </a:extLst>
            </xdr:cNvPr>
            <xdr:cNvSpPr txBox="1"/>
          </xdr:nvSpPr>
          <xdr:spPr>
            <a:xfrm>
              <a:off x="10224943" y="225419228"/>
              <a:ext cx="1662546" cy="1316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1𝑙𝑖𝑡 𝑝𝑒𝑡 )/(?(1,149)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.870 𝑘𝑔)/1000 </a:t>
              </a:r>
              <a:r>
                <a:rPr lang="es-MX" sz="1000" b="0" i="0">
                  <a:latin typeface="Cambria Math" panose="02040503050406030204" pitchFamily="18" charset="0"/>
                </a:rPr>
                <a:t> </a:t>
              </a:r>
              <a:endParaRPr lang="es-MX" sz="1000"/>
            </a:p>
            <a:p>
              <a:endParaRPr lang="es-MX" sz="1000"/>
            </a:p>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𝐵𝑝𝑒𝑡)/(?( 7.22))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159 𝐿)/1,149  </a:t>
              </a:r>
              <a:endParaRPr lang="es-MX" sz="1000"/>
            </a:p>
            <a:p>
              <a:endParaRPr lang="es-MX" sz="1000"/>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 𝑡𝑜𝑛𝐸𝑃)/(1 𝑡𝑜𝑛𝐸𝑃)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7.22 𝐵𝑝𝑒𝑡)/(?(3.61) )  </a:t>
              </a:r>
              <a:endParaRPr lang="es-MX" sz="1000">
                <a:effectLst/>
              </a:endParaRPr>
            </a:p>
            <a:p>
              <a:endParaRPr lang="es-MX" sz="1600"/>
            </a:p>
          </xdr:txBody>
        </xdr:sp>
      </mc:Fallback>
    </mc:AlternateContent>
    <xdr:clientData/>
  </xdr:oneCellAnchor>
  <xdr:oneCellAnchor>
    <xdr:from>
      <xdr:col>10</xdr:col>
      <xdr:colOff>288637</xdr:colOff>
      <xdr:row>279</xdr:row>
      <xdr:rowOff>375227</xdr:rowOff>
    </xdr:from>
    <xdr:ext cx="2008908" cy="628650"/>
    <mc:AlternateContent xmlns:mc="http://schemas.openxmlformats.org/markup-compatibility/2006" xmlns:a14="http://schemas.microsoft.com/office/drawing/2010/main">
      <mc:Choice Requires="a14">
        <xdr:sp macro="" textlink="">
          <xdr:nvSpPr>
            <xdr:cNvPr id="587" name="CuadroTexto 586">
              <a:extLst>
                <a:ext uri="{FF2B5EF4-FFF2-40B4-BE49-F238E27FC236}">
                  <a16:creationId xmlns:a16="http://schemas.microsoft.com/office/drawing/2014/main" id="{9B53B5D1-7C76-423A-A397-170B84DD5295}"/>
                </a:ext>
              </a:extLst>
            </xdr:cNvPr>
            <xdr:cNvSpPr txBox="1"/>
          </xdr:nvSpPr>
          <xdr:spPr>
            <a:xfrm>
              <a:off x="12671137" y="225609727"/>
              <a:ext cx="2008908"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1 </m:t>
                    </m:r>
                    <m:r>
                      <a:rPr lang="es-MX" sz="900" b="0" i="1">
                        <a:latin typeface="Cambria Math" panose="02040503050406030204" pitchFamily="18" charset="0"/>
                      </a:rPr>
                      <m:t>𝑘𝑔</m:t>
                    </m:r>
                    <m:r>
                      <a:rPr lang="es-MX" sz="900" b="0" i="1">
                        <a:latin typeface="Cambria Math" panose="02040503050406030204" pitchFamily="18" charset="0"/>
                      </a:rPr>
                      <m:t> </m:t>
                    </m:r>
                    <m:r>
                      <a:rPr lang="es-MX" sz="900" b="0" i="1">
                        <a:latin typeface="Cambria Math" panose="02040503050406030204" pitchFamily="18" charset="0"/>
                      </a:rPr>
                      <m:t>𝑃𝑃</m:t>
                    </m:r>
                    <m:r>
                      <a:rPr lang="es-MX" sz="900" b="0" i="1">
                        <a:latin typeface="Cambria Math" panose="02040503050406030204" pitchFamily="18" charset="0"/>
                      </a:rPr>
                      <m:t> </m:t>
                    </m:r>
                    <m:r>
                      <a:rPr lang="es-MX" sz="900" b="0" i="1">
                        <a:latin typeface="Cambria Math" panose="02040503050406030204" pitchFamily="18" charset="0"/>
                      </a:rPr>
                      <m:t>𝑦</m:t>
                    </m:r>
                    <m:r>
                      <a:rPr lang="es-MX" sz="900" b="0" i="1">
                        <a:latin typeface="Cambria Math" panose="02040503050406030204" pitchFamily="18" charset="0"/>
                      </a:rPr>
                      <m:t> </m:t>
                    </m:r>
                    <m:r>
                      <a:rPr lang="es-MX" sz="900" b="0" i="1">
                        <a:latin typeface="Cambria Math" panose="02040503050406030204" pitchFamily="18" charset="0"/>
                      </a:rPr>
                      <m:t>𝐸𝑛𝑣</m:t>
                    </m:r>
                    <m:r>
                      <a:rPr lang="es-MX" sz="900" b="0" i="1">
                        <a:latin typeface="Cambria Math" panose="02040503050406030204" pitchFamily="18" charset="0"/>
                      </a:rPr>
                      <m:t>. </m:t>
                    </m:r>
                    <m:r>
                      <a:rPr lang="es-MX" sz="900" b="0" i="1">
                        <a:latin typeface="Cambria Math" panose="02040503050406030204" pitchFamily="18" charset="0"/>
                      </a:rPr>
                      <m:t>𝑝𝑙𝑎𝑠𝑡𝑖𝑐𝑜𝑠</m:t>
                    </m:r>
                    <m:r>
                      <a:rPr lang="es-MX" sz="900" b="0" i="1">
                        <a:latin typeface="Cambria Math" panose="02040503050406030204" pitchFamily="18" charset="0"/>
                      </a:rPr>
                      <m:t>=</m:t>
                    </m:r>
                    <m:r>
                      <a:rPr lang="es-MX" sz="900" b="0" i="0">
                        <a:latin typeface="Cambria Math" panose="02040503050406030204" pitchFamily="18" charset="0"/>
                      </a:rPr>
                      <m:t> .0036 </m:t>
                    </m:r>
                    <m:r>
                      <m:rPr>
                        <m:sty m:val="p"/>
                      </m:rPr>
                      <a:rPr lang="es-MX" sz="900" b="0" i="0">
                        <a:latin typeface="Cambria Math" panose="02040503050406030204" pitchFamily="18" charset="0"/>
                      </a:rPr>
                      <m:t>BP</m:t>
                    </m:r>
                  </m:oMath>
                </m:oMathPara>
              </a14:m>
              <a:endParaRPr lang="es-MX" sz="900" b="0" i="0">
                <a:latin typeface="Cambria Math" panose="02040503050406030204" pitchFamily="18" charset="0"/>
              </a:endParaRPr>
            </a:p>
            <a:p>
              <a:endParaRPr lang="es-MX" sz="90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𝑇𝑜𝑛</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𝑃𝑃</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𝑦</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𝐸𝑛𝑣</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𝑝𝑙𝑎𝑠𝑡𝑖𝑐𝑜𝑠</m:t>
                    </m:r>
                    <m:r>
                      <a:rPr lang="es-MX" sz="900" b="0" i="1">
                        <a:solidFill>
                          <a:schemeClr val="tx1"/>
                        </a:solidFill>
                        <a:effectLst/>
                        <a:latin typeface="Cambria Math" panose="02040503050406030204" pitchFamily="18" charset="0"/>
                        <a:ea typeface="+mn-ea"/>
                        <a:cs typeface="+mn-cs"/>
                      </a:rPr>
                      <m:t>=</m:t>
                    </m:r>
                    <m:r>
                      <a:rPr lang="es-MX" sz="900" b="0" i="0">
                        <a:solidFill>
                          <a:schemeClr val="tx1"/>
                        </a:solidFill>
                        <a:effectLst/>
                        <a:latin typeface="Cambria Math" panose="02040503050406030204" pitchFamily="18" charset="0"/>
                        <a:ea typeface="+mn-ea"/>
                        <a:cs typeface="+mn-cs"/>
                      </a:rPr>
                      <m:t> 3.61 </m:t>
                    </m:r>
                    <m:r>
                      <m:rPr>
                        <m:sty m:val="p"/>
                      </m:rPr>
                      <a:rPr lang="es-MX" sz="900" b="0" i="0">
                        <a:solidFill>
                          <a:schemeClr val="tx1"/>
                        </a:solidFill>
                        <a:effectLst/>
                        <a:latin typeface="Cambria Math" panose="02040503050406030204" pitchFamily="18" charset="0"/>
                        <a:ea typeface="+mn-ea"/>
                        <a:cs typeface="+mn-cs"/>
                      </a:rPr>
                      <m:t>BP</m:t>
                    </m:r>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Choice>
      <mc:Fallback xmlns="">
        <xdr:sp macro="" textlink="">
          <xdr:nvSpPr>
            <xdr:cNvPr id="587" name="CuadroTexto 586">
              <a:extLst>
                <a:ext uri="{FF2B5EF4-FFF2-40B4-BE49-F238E27FC236}">
                  <a16:creationId xmlns:a16="http://schemas.microsoft.com/office/drawing/2014/main" id="{9B53B5D1-7C76-423A-A397-170B84DD5295}"/>
                </a:ext>
              </a:extLst>
            </xdr:cNvPr>
            <xdr:cNvSpPr txBox="1"/>
          </xdr:nvSpPr>
          <xdr:spPr>
            <a:xfrm>
              <a:off x="12671137" y="225609727"/>
              <a:ext cx="2008908"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b="0" i="0">
                  <a:latin typeface="Cambria Math" panose="02040503050406030204" pitchFamily="18" charset="0"/>
                </a:rPr>
                <a:t>1 𝑘𝑔 𝑃𝑃 𝑦 𝐸𝑛𝑣. 𝑝𝑙𝑎𝑠𝑡𝑖𝑐𝑜𝑠= .0036 BP</a:t>
              </a:r>
            </a:p>
            <a:p>
              <a:endParaRPr lang="es-MX" sz="900" b="0" i="0">
                <a:latin typeface="Cambria Math" panose="02040503050406030204" pitchFamily="18" charset="0"/>
              </a:endParaRPr>
            </a:p>
            <a:p>
              <a:pPr/>
              <a:r>
                <a:rPr lang="es-MX" sz="900" b="0" i="0">
                  <a:solidFill>
                    <a:schemeClr val="tx1"/>
                  </a:solidFill>
                  <a:effectLst/>
                  <a:latin typeface="Cambria Math" panose="02040503050406030204" pitchFamily="18" charset="0"/>
                  <a:ea typeface="+mn-ea"/>
                  <a:cs typeface="+mn-cs"/>
                </a:rPr>
                <a:t>1 𝑇𝑜𝑛 𝑃𝑃 𝑦 𝐸𝑛𝑣. 𝑝𝑙𝑎𝑠𝑡𝑖𝑐𝑜𝑠= 3.61 BP</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Fallback>
    </mc:AlternateContent>
    <xdr:clientData/>
  </xdr:oneCellAnchor>
  <xdr:oneCellAnchor>
    <xdr:from>
      <xdr:col>12</xdr:col>
      <xdr:colOff>2130136</xdr:colOff>
      <xdr:row>279</xdr:row>
      <xdr:rowOff>1091045</xdr:rowOff>
    </xdr:from>
    <xdr:ext cx="352425" cy="352425"/>
    <xdr:pic>
      <xdr:nvPicPr>
        <xdr:cNvPr id="588" name="Gráfico 587" descr="Hogar">
          <a:hlinkClick xmlns:r="http://schemas.openxmlformats.org/officeDocument/2006/relationships" r:id="rId77"/>
          <a:extLst>
            <a:ext uri="{FF2B5EF4-FFF2-40B4-BE49-F238E27FC236}">
              <a16:creationId xmlns:a16="http://schemas.microsoft.com/office/drawing/2014/main" id="{ADECD1D3-F5CD-42A8-85E4-D11B25CF558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89977" y="212095772"/>
          <a:ext cx="352425" cy="352425"/>
        </a:xfrm>
        <a:prstGeom prst="rect">
          <a:avLst/>
        </a:prstGeom>
      </xdr:spPr>
    </xdr:pic>
    <xdr:clientData/>
  </xdr:oneCellAnchor>
  <xdr:oneCellAnchor>
    <xdr:from>
      <xdr:col>12</xdr:col>
      <xdr:colOff>2424548</xdr:colOff>
      <xdr:row>279</xdr:row>
      <xdr:rowOff>1041980</xdr:rowOff>
    </xdr:from>
    <xdr:ext cx="424294" cy="424294"/>
    <xdr:pic>
      <xdr:nvPicPr>
        <xdr:cNvPr id="589" name="Gráfico 588" descr="Inalámbrico">
          <a:hlinkClick xmlns:r="http://schemas.openxmlformats.org/officeDocument/2006/relationships" r:id="rId78"/>
          <a:extLst>
            <a:ext uri="{FF2B5EF4-FFF2-40B4-BE49-F238E27FC236}">
              <a16:creationId xmlns:a16="http://schemas.microsoft.com/office/drawing/2014/main" id="{83947029-2632-4FB9-8537-CF3B0229ADC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84389" y="212046707"/>
          <a:ext cx="424294" cy="424294"/>
        </a:xfrm>
        <a:prstGeom prst="rect">
          <a:avLst/>
        </a:prstGeom>
      </xdr:spPr>
    </xdr:pic>
    <xdr:clientData/>
  </xdr:oneCellAnchor>
  <xdr:oneCellAnchor>
    <xdr:from>
      <xdr:col>9</xdr:col>
      <xdr:colOff>371475</xdr:colOff>
      <xdr:row>273</xdr:row>
      <xdr:rowOff>219075</xdr:rowOff>
    </xdr:from>
    <xdr:ext cx="1352550" cy="351443"/>
    <mc:AlternateContent xmlns:mc="http://schemas.openxmlformats.org/markup-compatibility/2006" xmlns:a14="http://schemas.microsoft.com/office/drawing/2010/main">
      <mc:Choice Requires="a14">
        <xdr:sp macro="" textlink="">
          <xdr:nvSpPr>
            <xdr:cNvPr id="590" name="CuadroTexto 589">
              <a:extLst>
                <a:ext uri="{FF2B5EF4-FFF2-40B4-BE49-F238E27FC236}">
                  <a16:creationId xmlns:a16="http://schemas.microsoft.com/office/drawing/2014/main" id="{614A397E-01C9-4B70-BF10-618A0455B677}"/>
                </a:ext>
              </a:extLst>
            </xdr:cNvPr>
            <xdr:cNvSpPr txBox="1"/>
          </xdr:nvSpPr>
          <xdr:spPr>
            <a:xfrm>
              <a:off x="9143134" y="64027916"/>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.00444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.705)</m:t>
                        </m:r>
                      </m:den>
                    </m:f>
                    <m:r>
                      <a:rPr lang="es-MX" sz="1600" b="0" i="1">
                        <a:latin typeface="Cambria Math" panose="02040503050406030204" pitchFamily="18" charset="0"/>
                      </a:rPr>
                      <m:t> </m:t>
                    </m:r>
                  </m:oMath>
                </m:oMathPara>
              </a14:m>
              <a:endParaRPr lang="es-MX" sz="1600"/>
            </a:p>
          </xdr:txBody>
        </xdr:sp>
      </mc:Choice>
      <mc:Fallback xmlns="">
        <xdr:sp macro="" textlink="">
          <xdr:nvSpPr>
            <xdr:cNvPr id="590" name="CuadroTexto 589">
              <a:extLst>
                <a:ext uri="{FF2B5EF4-FFF2-40B4-BE49-F238E27FC236}">
                  <a16:creationId xmlns:a16="http://schemas.microsoft.com/office/drawing/2014/main" id="{614A397E-01C9-4B70-BF10-618A0455B677}"/>
                </a:ext>
              </a:extLst>
            </xdr:cNvPr>
            <xdr:cNvSpPr txBox="1"/>
          </xdr:nvSpPr>
          <xdr:spPr>
            <a:xfrm>
              <a:off x="9143134" y="64027916"/>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)/(.00444 )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.705))</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323850</xdr:colOff>
      <xdr:row>273</xdr:row>
      <xdr:rowOff>257175</xdr:rowOff>
    </xdr:from>
    <xdr:ext cx="1537759" cy="628650"/>
    <mc:AlternateContent xmlns:mc="http://schemas.openxmlformats.org/markup-compatibility/2006" xmlns:a14="http://schemas.microsoft.com/office/drawing/2010/main">
      <mc:Choice Requires="a14">
        <xdr:sp macro="" textlink="">
          <xdr:nvSpPr>
            <xdr:cNvPr id="591" name="CuadroTexto 590">
              <a:extLst>
                <a:ext uri="{FF2B5EF4-FFF2-40B4-BE49-F238E27FC236}">
                  <a16:creationId xmlns:a16="http://schemas.microsoft.com/office/drawing/2014/main" id="{A02C4E3C-1EDF-4099-9D89-E7F4A9AA21C8}"/>
                </a:ext>
              </a:extLst>
            </xdr:cNvPr>
            <xdr:cNvSpPr txBox="1"/>
          </xdr:nvSpPr>
          <xdr:spPr>
            <a:xfrm>
              <a:off x="11000509" y="64066016"/>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 .7059 </m:t>
                    </m:r>
                    <m:r>
                      <m:rPr>
                        <m:sty m:val="p"/>
                      </m:rPr>
                      <a:rPr lang="es-MX" sz="1050" b="0" i="0">
                        <a:latin typeface="Cambria Math" panose="02040503050406030204" pitchFamily="18" charset="0"/>
                      </a:rPr>
                      <m:t>Lp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705.9 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591" name="CuadroTexto 590">
              <a:extLst>
                <a:ext uri="{FF2B5EF4-FFF2-40B4-BE49-F238E27FC236}">
                  <a16:creationId xmlns:a16="http://schemas.microsoft.com/office/drawing/2014/main" id="{A02C4E3C-1EDF-4099-9D89-E7F4A9AA21C8}"/>
                </a:ext>
              </a:extLst>
            </xdr:cNvPr>
            <xdr:cNvSpPr txBox="1"/>
          </xdr:nvSpPr>
          <xdr:spPr>
            <a:xfrm>
              <a:off x="11000509" y="64066016"/>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𝑃𝐸𝑇= .7059 Lp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𝑃𝐸𝑇=705.9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2517509</xdr:colOff>
      <xdr:row>273</xdr:row>
      <xdr:rowOff>1095374</xdr:rowOff>
    </xdr:from>
    <xdr:ext cx="374254" cy="372798"/>
    <xdr:pic>
      <xdr:nvPicPr>
        <xdr:cNvPr id="592" name="Gráfico 591" descr="Inalámbrico">
          <a:hlinkClick xmlns:r="http://schemas.openxmlformats.org/officeDocument/2006/relationships" r:id="rId57"/>
          <a:extLst>
            <a:ext uri="{FF2B5EF4-FFF2-40B4-BE49-F238E27FC236}">
              <a16:creationId xmlns:a16="http://schemas.microsoft.com/office/drawing/2014/main" id="{A1DEB732-CA8B-460C-B3BB-FB9E9CD1C53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64904215"/>
          <a:ext cx="374254" cy="372798"/>
        </a:xfrm>
        <a:prstGeom prst="rect">
          <a:avLst/>
        </a:prstGeom>
      </xdr:spPr>
    </xdr:pic>
    <xdr:clientData/>
  </xdr:oneCellAnchor>
  <xdr:oneCellAnchor>
    <xdr:from>
      <xdr:col>12</xdr:col>
      <xdr:colOff>2150268</xdr:colOff>
      <xdr:row>273</xdr:row>
      <xdr:rowOff>1093952</xdr:rowOff>
    </xdr:from>
    <xdr:ext cx="327654" cy="327654"/>
    <xdr:pic>
      <xdr:nvPicPr>
        <xdr:cNvPr id="593" name="Gráfico 592" descr="Hogar">
          <a:hlinkClick xmlns:r="http://schemas.openxmlformats.org/officeDocument/2006/relationships" r:id="rId79"/>
          <a:extLst>
            <a:ext uri="{FF2B5EF4-FFF2-40B4-BE49-F238E27FC236}">
              <a16:creationId xmlns:a16="http://schemas.microsoft.com/office/drawing/2014/main" id="{92E90F8D-A2F1-4766-8802-31E32552339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64902793"/>
          <a:ext cx="327654" cy="327654"/>
        </a:xfrm>
        <a:prstGeom prst="rect">
          <a:avLst/>
        </a:prstGeom>
      </xdr:spPr>
    </xdr:pic>
    <xdr:clientData/>
  </xdr:oneCellAnchor>
  <xdr:oneCellAnchor>
    <xdr:from>
      <xdr:col>12</xdr:col>
      <xdr:colOff>2500312</xdr:colOff>
      <xdr:row>272</xdr:row>
      <xdr:rowOff>1071563</xdr:rowOff>
    </xdr:from>
    <xdr:ext cx="352425" cy="352425"/>
    <xdr:pic>
      <xdr:nvPicPr>
        <xdr:cNvPr id="594" name="Gráfico 593" descr="Hogar">
          <a:hlinkClick xmlns:r="http://schemas.openxmlformats.org/officeDocument/2006/relationships" r:id="rId76"/>
          <a:extLst>
            <a:ext uri="{FF2B5EF4-FFF2-40B4-BE49-F238E27FC236}">
              <a16:creationId xmlns:a16="http://schemas.microsoft.com/office/drawing/2014/main" id="{7A96039B-3589-4BC6-BDF7-3327E252C98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60153" y="63468972"/>
          <a:ext cx="352425" cy="352425"/>
        </a:xfrm>
        <a:prstGeom prst="rect">
          <a:avLst/>
        </a:prstGeom>
      </xdr:spPr>
    </xdr:pic>
    <xdr:clientData/>
  </xdr:oneCellAnchor>
  <xdr:oneCellAnchor>
    <xdr:from>
      <xdr:col>9</xdr:col>
      <xdr:colOff>371475</xdr:colOff>
      <xdr:row>277</xdr:row>
      <xdr:rowOff>219075</xdr:rowOff>
    </xdr:from>
    <xdr:ext cx="1352550" cy="351443"/>
    <mc:AlternateContent xmlns:mc="http://schemas.openxmlformats.org/markup-compatibility/2006" xmlns:a14="http://schemas.microsoft.com/office/drawing/2010/main">
      <mc:Choice Requires="a14">
        <xdr:sp macro="" textlink="">
          <xdr:nvSpPr>
            <xdr:cNvPr id="596" name="CuadroTexto 595">
              <a:extLst>
                <a:ext uri="{FF2B5EF4-FFF2-40B4-BE49-F238E27FC236}">
                  <a16:creationId xmlns:a16="http://schemas.microsoft.com/office/drawing/2014/main" id="{CA3A3B3C-F236-4C36-8349-D3A19C1B5B73}"/>
                </a:ext>
              </a:extLst>
            </xdr:cNvPr>
            <xdr:cNvSpPr txBox="1"/>
          </xdr:nvSpPr>
          <xdr:spPr>
            <a:xfrm>
              <a:off x="9143134" y="211223802"/>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.0036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.572)</m:t>
                        </m:r>
                      </m:den>
                    </m:f>
                    <m:r>
                      <a:rPr lang="es-MX" sz="1600" b="0" i="1">
                        <a:latin typeface="Cambria Math" panose="02040503050406030204" pitchFamily="18" charset="0"/>
                      </a:rPr>
                      <m:t> </m:t>
                    </m:r>
                  </m:oMath>
                </m:oMathPara>
              </a14:m>
              <a:endParaRPr lang="es-MX" sz="1600"/>
            </a:p>
          </xdr:txBody>
        </xdr:sp>
      </mc:Choice>
      <mc:Fallback xmlns="">
        <xdr:sp macro="" textlink="">
          <xdr:nvSpPr>
            <xdr:cNvPr id="596" name="CuadroTexto 595">
              <a:extLst>
                <a:ext uri="{FF2B5EF4-FFF2-40B4-BE49-F238E27FC236}">
                  <a16:creationId xmlns:a16="http://schemas.microsoft.com/office/drawing/2014/main" id="{CA3A3B3C-F236-4C36-8349-D3A19C1B5B73}"/>
                </a:ext>
              </a:extLst>
            </xdr:cNvPr>
            <xdr:cNvSpPr txBox="1"/>
          </xdr:nvSpPr>
          <xdr:spPr>
            <a:xfrm>
              <a:off x="9143134" y="211223802"/>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)/(.0036 )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.572))</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12</xdr:col>
      <xdr:colOff>2517509</xdr:colOff>
      <xdr:row>277</xdr:row>
      <xdr:rowOff>1095374</xdr:rowOff>
    </xdr:from>
    <xdr:ext cx="374254" cy="372798"/>
    <xdr:pic>
      <xdr:nvPicPr>
        <xdr:cNvPr id="598" name="Gráfico 597" descr="Inalámbrico">
          <a:hlinkClick xmlns:r="http://schemas.openxmlformats.org/officeDocument/2006/relationships" r:id="rId57"/>
          <a:extLst>
            <a:ext uri="{FF2B5EF4-FFF2-40B4-BE49-F238E27FC236}">
              <a16:creationId xmlns:a16="http://schemas.microsoft.com/office/drawing/2014/main" id="{35693E65-307F-4990-98BF-ACB51663D93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212100101"/>
          <a:ext cx="374254" cy="372798"/>
        </a:xfrm>
        <a:prstGeom prst="rect">
          <a:avLst/>
        </a:prstGeom>
      </xdr:spPr>
    </xdr:pic>
    <xdr:clientData/>
  </xdr:oneCellAnchor>
  <xdr:oneCellAnchor>
    <xdr:from>
      <xdr:col>12</xdr:col>
      <xdr:colOff>2150268</xdr:colOff>
      <xdr:row>277</xdr:row>
      <xdr:rowOff>1093952</xdr:rowOff>
    </xdr:from>
    <xdr:ext cx="327654" cy="327654"/>
    <xdr:pic>
      <xdr:nvPicPr>
        <xdr:cNvPr id="599" name="Gráfico 598" descr="Hogar">
          <a:hlinkClick xmlns:r="http://schemas.openxmlformats.org/officeDocument/2006/relationships" r:id="rId79"/>
          <a:extLst>
            <a:ext uri="{FF2B5EF4-FFF2-40B4-BE49-F238E27FC236}">
              <a16:creationId xmlns:a16="http://schemas.microsoft.com/office/drawing/2014/main" id="{ADC61597-C6A8-4EC4-A705-9A4513C49F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212098679"/>
          <a:ext cx="327654" cy="327654"/>
        </a:xfrm>
        <a:prstGeom prst="rect">
          <a:avLst/>
        </a:prstGeom>
      </xdr:spPr>
    </xdr:pic>
    <xdr:clientData/>
  </xdr:oneCellAnchor>
  <xdr:oneCellAnchor>
    <xdr:from>
      <xdr:col>10</xdr:col>
      <xdr:colOff>147204</xdr:colOff>
      <xdr:row>277</xdr:row>
      <xdr:rowOff>366568</xdr:rowOff>
    </xdr:from>
    <xdr:ext cx="2095501" cy="588818"/>
    <mc:AlternateContent xmlns:mc="http://schemas.openxmlformats.org/markup-compatibility/2006" xmlns:a14="http://schemas.microsoft.com/office/drawing/2010/main">
      <mc:Choice Requires="a14">
        <xdr:sp macro="" textlink="">
          <xdr:nvSpPr>
            <xdr:cNvPr id="601" name="CuadroTexto 600">
              <a:extLst>
                <a:ext uri="{FF2B5EF4-FFF2-40B4-BE49-F238E27FC236}">
                  <a16:creationId xmlns:a16="http://schemas.microsoft.com/office/drawing/2014/main" id="{BB7F02EA-FB8C-419D-93F5-62F337CA3F52}"/>
                </a:ext>
              </a:extLst>
            </xdr:cNvPr>
            <xdr:cNvSpPr txBox="1"/>
          </xdr:nvSpPr>
          <xdr:spPr>
            <a:xfrm>
              <a:off x="12529704" y="222775318"/>
              <a:ext cx="2095501" cy="588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1 </m:t>
                    </m:r>
                    <m:r>
                      <a:rPr lang="es-MX" sz="900" b="0" i="1">
                        <a:latin typeface="Cambria Math" panose="02040503050406030204" pitchFamily="18" charset="0"/>
                      </a:rPr>
                      <m:t>𝑘𝑔</m:t>
                    </m:r>
                    <m:r>
                      <a:rPr lang="es-MX" sz="900" b="0" i="1">
                        <a:latin typeface="Cambria Math" panose="02040503050406030204" pitchFamily="18" charset="0"/>
                      </a:rPr>
                      <m:t> </m:t>
                    </m:r>
                    <m:r>
                      <a:rPr lang="es-MX" sz="900" b="0" i="1">
                        <a:latin typeface="Cambria Math" panose="02040503050406030204" pitchFamily="18" charset="0"/>
                      </a:rPr>
                      <m:t>𝐵𝑂𝑃𝑃</m:t>
                    </m:r>
                    <m:r>
                      <a:rPr lang="es-MX" sz="900" b="0" i="1">
                        <a:latin typeface="Cambria Math" panose="02040503050406030204" pitchFamily="18" charset="0"/>
                      </a:rPr>
                      <m:t> </m:t>
                    </m:r>
                    <m:r>
                      <a:rPr lang="es-MX" sz="900" b="0" i="1">
                        <a:latin typeface="Cambria Math" panose="02040503050406030204" pitchFamily="18" charset="0"/>
                      </a:rPr>
                      <m:t>𝑦</m:t>
                    </m:r>
                    <m:r>
                      <a:rPr lang="es-MX" sz="900" b="0" i="1">
                        <a:latin typeface="Cambria Math" panose="02040503050406030204" pitchFamily="18" charset="0"/>
                      </a:rPr>
                      <m:t> </m:t>
                    </m:r>
                    <m:r>
                      <a:rPr lang="es-MX" sz="900" b="0" i="1">
                        <a:latin typeface="Cambria Math" panose="02040503050406030204" pitchFamily="18" charset="0"/>
                      </a:rPr>
                      <m:t>𝐸𝑛𝑣</m:t>
                    </m:r>
                    <m:r>
                      <a:rPr lang="es-MX" sz="900" b="0" i="1">
                        <a:latin typeface="Cambria Math" panose="02040503050406030204" pitchFamily="18" charset="0"/>
                      </a:rPr>
                      <m:t>. </m:t>
                    </m:r>
                    <m:r>
                      <a:rPr lang="es-MX" sz="900" b="0" i="1">
                        <a:latin typeface="Cambria Math" panose="02040503050406030204" pitchFamily="18" charset="0"/>
                      </a:rPr>
                      <m:t>𝑝𝑙𝑎𝑠𝑡𝑖𝑐𝑜𝑠</m:t>
                    </m:r>
                    <m:r>
                      <a:rPr lang="es-MX" sz="900" b="0" i="1">
                        <a:latin typeface="Cambria Math" panose="02040503050406030204" pitchFamily="18" charset="0"/>
                      </a:rPr>
                      <m:t>=</m:t>
                    </m:r>
                    <m:r>
                      <a:rPr lang="es-MX" sz="900" b="0" i="0">
                        <a:latin typeface="Cambria Math" panose="02040503050406030204" pitchFamily="18" charset="0"/>
                      </a:rPr>
                      <m:t> . 573</m:t>
                    </m:r>
                    <m:r>
                      <m:rPr>
                        <m:sty m:val="p"/>
                      </m:rPr>
                      <a:rPr lang="es-MX" sz="900" b="0" i="0">
                        <a:latin typeface="Cambria Math" panose="02040503050406030204" pitchFamily="18" charset="0"/>
                      </a:rPr>
                      <m:t>LP</m:t>
                    </m:r>
                  </m:oMath>
                </m:oMathPara>
              </a14:m>
              <a:endParaRPr lang="es-MX" sz="900" b="0" i="0">
                <a:latin typeface="Cambria Math" panose="02040503050406030204" pitchFamily="18" charset="0"/>
              </a:endParaRPr>
            </a:p>
            <a:p>
              <a:endParaRPr lang="es-MX" sz="90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𝑇𝑜𝑛</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𝐵𝑂𝑃𝑃</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𝑦</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𝐸𝑛𝑣</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𝑝𝑙𝑎𝑠𝑡𝑖𝑐𝑜𝑠</m:t>
                    </m:r>
                    <m:r>
                      <a:rPr lang="es-MX" sz="900" b="0" i="1">
                        <a:solidFill>
                          <a:schemeClr val="tx1"/>
                        </a:solidFill>
                        <a:effectLst/>
                        <a:latin typeface="Cambria Math" panose="02040503050406030204" pitchFamily="18" charset="0"/>
                        <a:ea typeface="+mn-ea"/>
                        <a:cs typeface="+mn-cs"/>
                      </a:rPr>
                      <m:t>=</m:t>
                    </m:r>
                    <m:r>
                      <a:rPr lang="es-MX" sz="900" b="0" i="0">
                        <a:solidFill>
                          <a:schemeClr val="tx1"/>
                        </a:solidFill>
                        <a:effectLst/>
                        <a:latin typeface="Cambria Math" panose="02040503050406030204" pitchFamily="18" charset="0"/>
                        <a:ea typeface="+mn-ea"/>
                        <a:cs typeface="+mn-cs"/>
                      </a:rPr>
                      <m:t>573.9 </m:t>
                    </m:r>
                    <m:r>
                      <m:rPr>
                        <m:sty m:val="p"/>
                      </m:rPr>
                      <a:rPr lang="es-MX" sz="900" b="0" i="0">
                        <a:solidFill>
                          <a:schemeClr val="tx1"/>
                        </a:solidFill>
                        <a:effectLst/>
                        <a:latin typeface="Cambria Math" panose="02040503050406030204" pitchFamily="18" charset="0"/>
                        <a:ea typeface="+mn-ea"/>
                        <a:cs typeface="+mn-cs"/>
                      </a:rPr>
                      <m:t>LP</m:t>
                    </m:r>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Choice>
      <mc:Fallback xmlns="">
        <xdr:sp macro="" textlink="">
          <xdr:nvSpPr>
            <xdr:cNvPr id="601" name="CuadroTexto 600">
              <a:extLst>
                <a:ext uri="{FF2B5EF4-FFF2-40B4-BE49-F238E27FC236}">
                  <a16:creationId xmlns:a16="http://schemas.microsoft.com/office/drawing/2014/main" id="{BB7F02EA-FB8C-419D-93F5-62F337CA3F52}"/>
                </a:ext>
              </a:extLst>
            </xdr:cNvPr>
            <xdr:cNvSpPr txBox="1"/>
          </xdr:nvSpPr>
          <xdr:spPr>
            <a:xfrm>
              <a:off x="12529704" y="222775318"/>
              <a:ext cx="2095501" cy="588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b="0" i="0">
                  <a:latin typeface="Cambria Math" panose="02040503050406030204" pitchFamily="18" charset="0"/>
                </a:rPr>
                <a:t>1 𝑘𝑔 𝐵𝑂𝑃𝑃 𝑦 𝐸𝑛𝑣. 𝑝𝑙𝑎𝑠𝑡𝑖𝑐𝑜𝑠= . 573LP</a:t>
              </a:r>
            </a:p>
            <a:p>
              <a:endParaRPr lang="es-MX" sz="900" b="0" i="0">
                <a:latin typeface="Cambria Math" panose="02040503050406030204" pitchFamily="18" charset="0"/>
              </a:endParaRPr>
            </a:p>
            <a:p>
              <a:pPr/>
              <a:r>
                <a:rPr lang="es-MX" sz="900" b="0" i="0">
                  <a:solidFill>
                    <a:schemeClr val="tx1"/>
                  </a:solidFill>
                  <a:effectLst/>
                  <a:latin typeface="Cambria Math" panose="02040503050406030204" pitchFamily="18" charset="0"/>
                  <a:ea typeface="+mn-ea"/>
                  <a:cs typeface="+mn-cs"/>
                </a:rPr>
                <a:t>1 𝑇𝑜𝑛 𝐵𝑂𝑃𝑃 𝑦 𝐸𝑛𝑣. 𝑝𝑙𝑎𝑠𝑡𝑖𝑐𝑜𝑠=573.9 LP</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Fallback>
    </mc:AlternateContent>
    <xdr:clientData/>
  </xdr:oneCellAnchor>
  <xdr:oneCellAnchor>
    <xdr:from>
      <xdr:col>12</xdr:col>
      <xdr:colOff>2130136</xdr:colOff>
      <xdr:row>279</xdr:row>
      <xdr:rowOff>1091045</xdr:rowOff>
    </xdr:from>
    <xdr:ext cx="352425" cy="352425"/>
    <xdr:pic>
      <xdr:nvPicPr>
        <xdr:cNvPr id="602" name="Gráfico 601" descr="Hogar">
          <a:hlinkClick xmlns:r="http://schemas.openxmlformats.org/officeDocument/2006/relationships" r:id="rId77"/>
          <a:extLst>
            <a:ext uri="{FF2B5EF4-FFF2-40B4-BE49-F238E27FC236}">
              <a16:creationId xmlns:a16="http://schemas.microsoft.com/office/drawing/2014/main" id="{44922C55-4C0F-4F8F-960F-A7DF07995DE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89977" y="213507204"/>
          <a:ext cx="352425" cy="352425"/>
        </a:xfrm>
        <a:prstGeom prst="rect">
          <a:avLst/>
        </a:prstGeom>
      </xdr:spPr>
    </xdr:pic>
    <xdr:clientData/>
  </xdr:oneCellAnchor>
  <xdr:oneCellAnchor>
    <xdr:from>
      <xdr:col>12</xdr:col>
      <xdr:colOff>2424548</xdr:colOff>
      <xdr:row>279</xdr:row>
      <xdr:rowOff>1041980</xdr:rowOff>
    </xdr:from>
    <xdr:ext cx="424294" cy="424294"/>
    <xdr:pic>
      <xdr:nvPicPr>
        <xdr:cNvPr id="603" name="Gráfico 602" descr="Inalámbrico">
          <a:hlinkClick xmlns:r="http://schemas.openxmlformats.org/officeDocument/2006/relationships" r:id="rId78"/>
          <a:extLst>
            <a:ext uri="{FF2B5EF4-FFF2-40B4-BE49-F238E27FC236}">
              <a16:creationId xmlns:a16="http://schemas.microsoft.com/office/drawing/2014/main" id="{E1E6E738-2680-4ADC-9F6A-BBDFF445D73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84389" y="213458139"/>
          <a:ext cx="424294" cy="424294"/>
        </a:xfrm>
        <a:prstGeom prst="rect">
          <a:avLst/>
        </a:prstGeom>
      </xdr:spPr>
    </xdr:pic>
    <xdr:clientData/>
  </xdr:oneCellAnchor>
  <xdr:oneCellAnchor>
    <xdr:from>
      <xdr:col>9</xdr:col>
      <xdr:colOff>514350</xdr:colOff>
      <xdr:row>280</xdr:row>
      <xdr:rowOff>219075</xdr:rowOff>
    </xdr:from>
    <xdr:ext cx="1352550" cy="351443"/>
    <mc:AlternateContent xmlns:mc="http://schemas.openxmlformats.org/markup-compatibility/2006" xmlns:a14="http://schemas.microsoft.com/office/drawing/2010/main">
      <mc:Choice Requires="a14">
        <xdr:sp macro="" textlink="">
          <xdr:nvSpPr>
            <xdr:cNvPr id="604" name="CuadroTexto 603">
              <a:extLst>
                <a:ext uri="{FF2B5EF4-FFF2-40B4-BE49-F238E27FC236}">
                  <a16:creationId xmlns:a16="http://schemas.microsoft.com/office/drawing/2014/main" id="{C0DBF45B-6BE9-4C73-80FB-53C07616F9B1}"/>
                </a:ext>
              </a:extLst>
            </xdr:cNvPr>
            <xdr:cNvSpPr txBox="1"/>
          </xdr:nvSpPr>
          <xdr:spPr>
            <a:xfrm>
              <a:off x="10340975" y="227136325"/>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.0036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.572)</m:t>
                        </m:r>
                      </m:den>
                    </m:f>
                    <m:r>
                      <a:rPr lang="es-MX" sz="1600" b="0" i="1">
                        <a:latin typeface="Cambria Math" panose="02040503050406030204" pitchFamily="18" charset="0"/>
                      </a:rPr>
                      <m:t> </m:t>
                    </m:r>
                  </m:oMath>
                </m:oMathPara>
              </a14:m>
              <a:endParaRPr lang="es-MX" sz="1600"/>
            </a:p>
          </xdr:txBody>
        </xdr:sp>
      </mc:Choice>
      <mc:Fallback xmlns="">
        <xdr:sp macro="" textlink="">
          <xdr:nvSpPr>
            <xdr:cNvPr id="604" name="CuadroTexto 603">
              <a:extLst>
                <a:ext uri="{FF2B5EF4-FFF2-40B4-BE49-F238E27FC236}">
                  <a16:creationId xmlns:a16="http://schemas.microsoft.com/office/drawing/2014/main" id="{C0DBF45B-6BE9-4C73-80FB-53C07616F9B1}"/>
                </a:ext>
              </a:extLst>
            </xdr:cNvPr>
            <xdr:cNvSpPr txBox="1"/>
          </xdr:nvSpPr>
          <xdr:spPr>
            <a:xfrm>
              <a:off x="10340975" y="227136325"/>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)/(.0036 )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.572))</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12</xdr:col>
      <xdr:colOff>2517509</xdr:colOff>
      <xdr:row>280</xdr:row>
      <xdr:rowOff>1095374</xdr:rowOff>
    </xdr:from>
    <xdr:ext cx="374254" cy="372798"/>
    <xdr:pic>
      <xdr:nvPicPr>
        <xdr:cNvPr id="605" name="Gráfico 604" descr="Inalámbrico">
          <a:hlinkClick xmlns:r="http://schemas.openxmlformats.org/officeDocument/2006/relationships" r:id="rId57"/>
          <a:extLst>
            <a:ext uri="{FF2B5EF4-FFF2-40B4-BE49-F238E27FC236}">
              <a16:creationId xmlns:a16="http://schemas.microsoft.com/office/drawing/2014/main" id="{B65ECE41-918E-4962-A690-D31786BAD60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214922965"/>
          <a:ext cx="374254" cy="372798"/>
        </a:xfrm>
        <a:prstGeom prst="rect">
          <a:avLst/>
        </a:prstGeom>
      </xdr:spPr>
    </xdr:pic>
    <xdr:clientData/>
  </xdr:oneCellAnchor>
  <xdr:oneCellAnchor>
    <xdr:from>
      <xdr:col>12</xdr:col>
      <xdr:colOff>2150268</xdr:colOff>
      <xdr:row>280</xdr:row>
      <xdr:rowOff>1093952</xdr:rowOff>
    </xdr:from>
    <xdr:ext cx="327654" cy="327654"/>
    <xdr:pic>
      <xdr:nvPicPr>
        <xdr:cNvPr id="606" name="Gráfico 605" descr="Hogar">
          <a:hlinkClick xmlns:r="http://schemas.openxmlformats.org/officeDocument/2006/relationships" r:id="rId79"/>
          <a:extLst>
            <a:ext uri="{FF2B5EF4-FFF2-40B4-BE49-F238E27FC236}">
              <a16:creationId xmlns:a16="http://schemas.microsoft.com/office/drawing/2014/main" id="{D3F36A22-AFCA-4607-B41F-062DE09DC2E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214921543"/>
          <a:ext cx="327654" cy="327654"/>
        </a:xfrm>
        <a:prstGeom prst="rect">
          <a:avLst/>
        </a:prstGeom>
      </xdr:spPr>
    </xdr:pic>
    <xdr:clientData/>
  </xdr:oneCellAnchor>
  <xdr:oneCellAnchor>
    <xdr:from>
      <xdr:col>10</xdr:col>
      <xdr:colOff>115454</xdr:colOff>
      <xdr:row>280</xdr:row>
      <xdr:rowOff>398318</xdr:rowOff>
    </xdr:from>
    <xdr:ext cx="2095501" cy="588818"/>
    <mc:AlternateContent xmlns:mc="http://schemas.openxmlformats.org/markup-compatibility/2006" xmlns:a14="http://schemas.microsoft.com/office/drawing/2010/main">
      <mc:Choice Requires="a14">
        <xdr:sp macro="" textlink="">
          <xdr:nvSpPr>
            <xdr:cNvPr id="607" name="CuadroTexto 606">
              <a:extLst>
                <a:ext uri="{FF2B5EF4-FFF2-40B4-BE49-F238E27FC236}">
                  <a16:creationId xmlns:a16="http://schemas.microsoft.com/office/drawing/2014/main" id="{8144822A-E27A-4A79-8F55-AEC0E991A3C6}"/>
                </a:ext>
              </a:extLst>
            </xdr:cNvPr>
            <xdr:cNvSpPr txBox="1"/>
          </xdr:nvSpPr>
          <xdr:spPr>
            <a:xfrm>
              <a:off x="12497954" y="227315568"/>
              <a:ext cx="2095501" cy="588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1 </m:t>
                    </m:r>
                    <m:r>
                      <a:rPr lang="es-MX" sz="900" b="0" i="1">
                        <a:latin typeface="Cambria Math" panose="02040503050406030204" pitchFamily="18" charset="0"/>
                      </a:rPr>
                      <m:t>𝑘𝑔</m:t>
                    </m:r>
                    <m:r>
                      <a:rPr lang="es-MX" sz="900" b="0" i="1">
                        <a:latin typeface="Cambria Math" panose="02040503050406030204" pitchFamily="18" charset="0"/>
                      </a:rPr>
                      <m:t> </m:t>
                    </m:r>
                    <m:r>
                      <a:rPr lang="es-MX" sz="900" b="0" i="1">
                        <a:latin typeface="Cambria Math" panose="02040503050406030204" pitchFamily="18" charset="0"/>
                      </a:rPr>
                      <m:t>𝐵𝑂𝑃𝑃</m:t>
                    </m:r>
                    <m:r>
                      <a:rPr lang="es-MX" sz="900" b="0" i="1">
                        <a:latin typeface="Cambria Math" panose="02040503050406030204" pitchFamily="18" charset="0"/>
                      </a:rPr>
                      <m:t> </m:t>
                    </m:r>
                    <m:r>
                      <a:rPr lang="es-MX" sz="900" b="0" i="1">
                        <a:latin typeface="Cambria Math" panose="02040503050406030204" pitchFamily="18" charset="0"/>
                      </a:rPr>
                      <m:t>𝑦</m:t>
                    </m:r>
                    <m:r>
                      <a:rPr lang="es-MX" sz="900" b="0" i="1">
                        <a:latin typeface="Cambria Math" panose="02040503050406030204" pitchFamily="18" charset="0"/>
                      </a:rPr>
                      <m:t> </m:t>
                    </m:r>
                    <m:r>
                      <a:rPr lang="es-MX" sz="900" b="0" i="1">
                        <a:latin typeface="Cambria Math" panose="02040503050406030204" pitchFamily="18" charset="0"/>
                      </a:rPr>
                      <m:t>𝐸𝑛𝑣</m:t>
                    </m:r>
                    <m:r>
                      <a:rPr lang="es-MX" sz="900" b="0" i="1">
                        <a:latin typeface="Cambria Math" panose="02040503050406030204" pitchFamily="18" charset="0"/>
                      </a:rPr>
                      <m:t>. </m:t>
                    </m:r>
                    <m:r>
                      <a:rPr lang="es-MX" sz="900" b="0" i="1">
                        <a:latin typeface="Cambria Math" panose="02040503050406030204" pitchFamily="18" charset="0"/>
                      </a:rPr>
                      <m:t>𝑝𝑙𝑎𝑠𝑡𝑖𝑐𝑜𝑠</m:t>
                    </m:r>
                    <m:r>
                      <a:rPr lang="es-MX" sz="900" b="0" i="1">
                        <a:latin typeface="Cambria Math" panose="02040503050406030204" pitchFamily="18" charset="0"/>
                      </a:rPr>
                      <m:t>=</m:t>
                    </m:r>
                    <m:r>
                      <a:rPr lang="es-MX" sz="900" b="0" i="0">
                        <a:latin typeface="Cambria Math" panose="02040503050406030204" pitchFamily="18" charset="0"/>
                      </a:rPr>
                      <m:t> . 573</m:t>
                    </m:r>
                    <m:r>
                      <m:rPr>
                        <m:sty m:val="p"/>
                      </m:rPr>
                      <a:rPr lang="es-MX" sz="900" b="0" i="0">
                        <a:latin typeface="Cambria Math" panose="02040503050406030204" pitchFamily="18" charset="0"/>
                      </a:rPr>
                      <m:t>LP</m:t>
                    </m:r>
                  </m:oMath>
                </m:oMathPara>
              </a14:m>
              <a:endParaRPr lang="es-MX" sz="900" b="0" i="0">
                <a:latin typeface="Cambria Math" panose="02040503050406030204" pitchFamily="18" charset="0"/>
              </a:endParaRPr>
            </a:p>
            <a:p>
              <a:endParaRPr lang="es-MX" sz="90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𝑇𝑜𝑛</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𝐵𝑂𝑃𝑃</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𝑦</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𝐸𝑛𝑣</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𝑝𝑙𝑎𝑠𝑡𝑖𝑐𝑜𝑠</m:t>
                    </m:r>
                    <m:r>
                      <a:rPr lang="es-MX" sz="900" b="0" i="1">
                        <a:solidFill>
                          <a:schemeClr val="tx1"/>
                        </a:solidFill>
                        <a:effectLst/>
                        <a:latin typeface="Cambria Math" panose="02040503050406030204" pitchFamily="18" charset="0"/>
                        <a:ea typeface="+mn-ea"/>
                        <a:cs typeface="+mn-cs"/>
                      </a:rPr>
                      <m:t>=</m:t>
                    </m:r>
                    <m:r>
                      <a:rPr lang="es-MX" sz="900" b="0" i="0">
                        <a:solidFill>
                          <a:schemeClr val="tx1"/>
                        </a:solidFill>
                        <a:effectLst/>
                        <a:latin typeface="Cambria Math" panose="02040503050406030204" pitchFamily="18" charset="0"/>
                        <a:ea typeface="+mn-ea"/>
                        <a:cs typeface="+mn-cs"/>
                      </a:rPr>
                      <m:t>573.9 </m:t>
                    </m:r>
                    <m:r>
                      <m:rPr>
                        <m:sty m:val="p"/>
                      </m:rPr>
                      <a:rPr lang="es-MX" sz="900" b="0" i="0">
                        <a:solidFill>
                          <a:schemeClr val="tx1"/>
                        </a:solidFill>
                        <a:effectLst/>
                        <a:latin typeface="Cambria Math" panose="02040503050406030204" pitchFamily="18" charset="0"/>
                        <a:ea typeface="+mn-ea"/>
                        <a:cs typeface="+mn-cs"/>
                      </a:rPr>
                      <m:t>LP</m:t>
                    </m:r>
                  </m:oMath>
                </m:oMathPara>
              </a14:m>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Choice>
      <mc:Fallback xmlns="">
        <xdr:sp macro="" textlink="">
          <xdr:nvSpPr>
            <xdr:cNvPr id="607" name="CuadroTexto 606">
              <a:extLst>
                <a:ext uri="{FF2B5EF4-FFF2-40B4-BE49-F238E27FC236}">
                  <a16:creationId xmlns:a16="http://schemas.microsoft.com/office/drawing/2014/main" id="{8144822A-E27A-4A79-8F55-AEC0E991A3C6}"/>
                </a:ext>
              </a:extLst>
            </xdr:cNvPr>
            <xdr:cNvSpPr txBox="1"/>
          </xdr:nvSpPr>
          <xdr:spPr>
            <a:xfrm>
              <a:off x="12497954" y="227315568"/>
              <a:ext cx="2095501" cy="588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900" b="0" i="0">
                  <a:latin typeface="Cambria Math" panose="02040503050406030204" pitchFamily="18" charset="0"/>
                </a:rPr>
                <a:t>1 𝑘𝑔 𝐵𝑂𝑃𝑃 𝑦 𝐸𝑛𝑣. 𝑝𝑙𝑎𝑠𝑡𝑖𝑐𝑜𝑠= . 573LP</a:t>
              </a:r>
            </a:p>
            <a:p>
              <a:endParaRPr lang="es-MX" sz="900" b="0" i="0">
                <a:latin typeface="Cambria Math" panose="02040503050406030204" pitchFamily="18" charset="0"/>
              </a:endParaRPr>
            </a:p>
            <a:p>
              <a:pPr/>
              <a:r>
                <a:rPr lang="es-MX" sz="900" b="0" i="0">
                  <a:solidFill>
                    <a:schemeClr val="tx1"/>
                  </a:solidFill>
                  <a:effectLst/>
                  <a:latin typeface="Cambria Math" panose="02040503050406030204" pitchFamily="18" charset="0"/>
                  <a:ea typeface="+mn-ea"/>
                  <a:cs typeface="+mn-cs"/>
                </a:rPr>
                <a:t>1 𝑇𝑜𝑛 𝐵𝑂𝑃𝑃 𝑦 𝐸𝑛𝑣. 𝑝𝑙𝑎𝑠𝑡𝑖𝑐𝑜𝑠=573.9 LP</a:t>
              </a:r>
              <a:endParaRPr lang="es-MX" sz="9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900">
                <a:effectLst/>
              </a:endParaRPr>
            </a:p>
            <a:p>
              <a:endParaRPr lang="es-MX" sz="900" b="0"/>
            </a:p>
          </xdr:txBody>
        </xdr:sp>
      </mc:Fallback>
    </mc:AlternateContent>
    <xdr:clientData/>
  </xdr:oneCellAnchor>
  <xdr:oneCellAnchor>
    <xdr:from>
      <xdr:col>9</xdr:col>
      <xdr:colOff>283346</xdr:colOff>
      <xdr:row>274</xdr:row>
      <xdr:rowOff>447386</xdr:rowOff>
    </xdr:from>
    <xdr:ext cx="1812154" cy="255519"/>
    <mc:AlternateContent xmlns:mc="http://schemas.openxmlformats.org/markup-compatibility/2006" xmlns:a14="http://schemas.microsoft.com/office/drawing/2010/main">
      <mc:Choice Requires="a14">
        <xdr:sp macro="" textlink="">
          <xdr:nvSpPr>
            <xdr:cNvPr id="612" name="CuadroTexto 611">
              <a:extLst>
                <a:ext uri="{FF2B5EF4-FFF2-40B4-BE49-F238E27FC236}">
                  <a16:creationId xmlns:a16="http://schemas.microsoft.com/office/drawing/2014/main" id="{1C0CFA4D-B0AF-4C84-941F-FB99725AE723}"/>
                </a:ext>
              </a:extLst>
            </xdr:cNvPr>
            <xdr:cNvSpPr txBox="1"/>
          </xdr:nvSpPr>
          <xdr:spPr>
            <a:xfrm>
              <a:off x="10109971" y="218363511"/>
              <a:ext cx="1812154" cy="255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1000 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𝑃𝐸𝐵𝐷</m:t>
                        </m:r>
                        <m:r>
                          <a:rPr lang="es-MX" sz="800" b="0" i="1">
                            <a:solidFill>
                              <a:schemeClr val="tx1"/>
                            </a:solidFill>
                            <a:effectLst/>
                            <a:latin typeface="Cambria Math" panose="02040503050406030204" pitchFamily="18" charset="0"/>
                            <a:ea typeface="+mn-ea"/>
                            <a:cs typeface="+mn-cs"/>
                          </a:rPr>
                          <m:t> </m:t>
                        </m:r>
                      </m:num>
                      <m:den>
                        <m:r>
                          <a:rPr lang="es-MX" sz="800" b="0" i="0">
                            <a:solidFill>
                              <a:schemeClr val="tx1"/>
                            </a:solidFill>
                            <a:effectLst/>
                            <a:latin typeface="Cambria Math" panose="02040503050406030204" pitchFamily="18" charset="0"/>
                            <a:ea typeface="+mn-ea"/>
                            <a:cs typeface="+mn-cs"/>
                          </a:rPr>
                          <m:t>1 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P</m:t>
                        </m:r>
                        <m:r>
                          <a:rPr lang="es-MX" sz="800" b="0" i="1">
                            <a:solidFill>
                              <a:schemeClr val="tx1"/>
                            </a:solidFill>
                            <a:effectLst/>
                            <a:latin typeface="Cambria Math" panose="02040503050406030204" pitchFamily="18" charset="0"/>
                            <a:ea typeface="+mn-ea"/>
                            <a:cs typeface="+mn-cs"/>
                          </a:rPr>
                          <m:t>𝐸𝐵𝐷</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832 </m:t>
                        </m:r>
                        <m:r>
                          <a:rPr lang="es-MX" sz="800" b="0" i="1">
                            <a:solidFill>
                              <a:schemeClr val="tx1"/>
                            </a:solidFill>
                            <a:effectLst/>
                            <a:latin typeface="Cambria Math" panose="02040503050406030204" pitchFamily="18" charset="0"/>
                            <a:ea typeface="+mn-ea"/>
                            <a:cs typeface="+mn-cs"/>
                          </a:rPr>
                          <m:t>𝑘𝑔</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𝑎h𝑜𝑟𝑟𝑎𝑑𝑜</m:t>
                        </m:r>
                      </m:num>
                      <m:den>
                        <m:r>
                          <a:rPr lang="es-MX" sz="800" b="0" i="0">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832)</m:t>
                        </m:r>
                      </m:den>
                    </m:f>
                    <m:r>
                      <a:rPr lang="es-MX" sz="800" b="0" i="1">
                        <a:latin typeface="Cambria Math" panose="02040503050406030204" pitchFamily="18" charset="0"/>
                      </a:rPr>
                      <m:t> </m:t>
                    </m:r>
                  </m:oMath>
                </m:oMathPara>
              </a14:m>
              <a:endParaRPr lang="es-MX" sz="800"/>
            </a:p>
          </xdr:txBody>
        </xdr:sp>
      </mc:Choice>
      <mc:Fallback xmlns="">
        <xdr:sp macro="" textlink="">
          <xdr:nvSpPr>
            <xdr:cNvPr id="612" name="CuadroTexto 611">
              <a:extLst>
                <a:ext uri="{FF2B5EF4-FFF2-40B4-BE49-F238E27FC236}">
                  <a16:creationId xmlns:a16="http://schemas.microsoft.com/office/drawing/2014/main" id="{1C0CFA4D-B0AF-4C84-941F-FB99725AE723}"/>
                </a:ext>
              </a:extLst>
            </xdr:cNvPr>
            <xdr:cNvSpPr txBox="1"/>
          </xdr:nvSpPr>
          <xdr:spPr>
            <a:xfrm>
              <a:off x="10109971" y="218363511"/>
              <a:ext cx="1812154" cy="255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1000 𝑘𝑔 𝑃𝐸𝐵𝐷 )/(1 kg P𝐸𝐵𝐷)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832 𝑘𝑔 𝑎ℎ𝑜𝑟𝑟𝑎𝑑𝑜)/(?( .832)) </a:t>
              </a:r>
              <a:r>
                <a:rPr lang="es-MX" sz="800" b="0" i="0">
                  <a:latin typeface="Cambria Math" panose="02040503050406030204" pitchFamily="18" charset="0"/>
                </a:rPr>
                <a:t> </a:t>
              </a:r>
              <a:endParaRPr lang="es-MX" sz="800"/>
            </a:p>
          </xdr:txBody>
        </xdr:sp>
      </mc:Fallback>
    </mc:AlternateContent>
    <xdr:clientData/>
  </xdr:oneCellAnchor>
  <xdr:oneCellAnchor>
    <xdr:from>
      <xdr:col>10</xdr:col>
      <xdr:colOff>142874</xdr:colOff>
      <xdr:row>274</xdr:row>
      <xdr:rowOff>423333</xdr:rowOff>
    </xdr:from>
    <xdr:ext cx="2121477" cy="628650"/>
    <mc:AlternateContent xmlns:mc="http://schemas.openxmlformats.org/markup-compatibility/2006" xmlns:a14="http://schemas.microsoft.com/office/drawing/2010/main">
      <mc:Choice Requires="a14">
        <xdr:sp macro="" textlink="">
          <xdr:nvSpPr>
            <xdr:cNvPr id="613" name="CuadroTexto 612">
              <a:extLst>
                <a:ext uri="{FF2B5EF4-FFF2-40B4-BE49-F238E27FC236}">
                  <a16:creationId xmlns:a16="http://schemas.microsoft.com/office/drawing/2014/main" id="{422D6B44-874B-40CF-80A5-0C6050CA9FA4}"/>
                </a:ext>
              </a:extLst>
            </xdr:cNvPr>
            <xdr:cNvSpPr txBox="1"/>
          </xdr:nvSpPr>
          <xdr:spPr>
            <a:xfrm>
              <a:off x="12525374" y="218339458"/>
              <a:ext cx="212147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𝑃𝐸𝐵𝐷</m:t>
                  </m:r>
                  <m:r>
                    <a:rPr lang="es-MX" sz="1050" b="0" i="1">
                      <a:latin typeface="Cambria Math" panose="02040503050406030204" pitchFamily="18" charset="0"/>
                    </a:rPr>
                    <m:t>=</m:t>
                  </m:r>
                  <m:r>
                    <a:rPr lang="es-MX" sz="1050" b="0" i="0">
                      <a:latin typeface="Cambria Math" panose="02040503050406030204" pitchFamily="18" charset="0"/>
                    </a:rPr>
                    <m:t> .832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Ahorrado</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𝑃𝐸𝐵𝐷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832</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Ahorrado</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613" name="CuadroTexto 612">
              <a:extLst>
                <a:ext uri="{FF2B5EF4-FFF2-40B4-BE49-F238E27FC236}">
                  <a16:creationId xmlns:a16="http://schemas.microsoft.com/office/drawing/2014/main" id="{422D6B44-874B-40CF-80A5-0C6050CA9FA4}"/>
                </a:ext>
              </a:extLst>
            </xdr:cNvPr>
            <xdr:cNvSpPr txBox="1"/>
          </xdr:nvSpPr>
          <xdr:spPr>
            <a:xfrm>
              <a:off x="12525374" y="218339458"/>
              <a:ext cx="212147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𝑃𝐸𝐵𝐷= .832  kg Mat Ahorrado</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𝑃𝐸𝐵𝐷=832</a:t>
              </a:r>
              <a:r>
                <a:rPr lang="es-MX" sz="1100" b="0" i="0">
                  <a:solidFill>
                    <a:schemeClr val="tx1"/>
                  </a:solidFill>
                  <a:effectLst/>
                  <a:latin typeface="Cambria Math" panose="02040503050406030204" pitchFamily="18" charset="0"/>
                  <a:ea typeface="+mn-ea"/>
                  <a:cs typeface="+mn-cs"/>
                </a:rPr>
                <a:t> kg "Mat Ahorrado</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2517509</xdr:colOff>
      <xdr:row>273</xdr:row>
      <xdr:rowOff>1095374</xdr:rowOff>
    </xdr:from>
    <xdr:ext cx="374254" cy="372798"/>
    <xdr:pic>
      <xdr:nvPicPr>
        <xdr:cNvPr id="614" name="Gráfico 613" descr="Inalámbrico">
          <a:hlinkClick xmlns:r="http://schemas.openxmlformats.org/officeDocument/2006/relationships" r:id="rId57"/>
          <a:extLst>
            <a:ext uri="{FF2B5EF4-FFF2-40B4-BE49-F238E27FC236}">
              <a16:creationId xmlns:a16="http://schemas.microsoft.com/office/drawing/2014/main" id="{D2B20C30-D712-473C-83EC-BCBCA705AE3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64904215"/>
          <a:ext cx="374254" cy="372798"/>
        </a:xfrm>
        <a:prstGeom prst="rect">
          <a:avLst/>
        </a:prstGeom>
      </xdr:spPr>
    </xdr:pic>
    <xdr:clientData/>
  </xdr:oneCellAnchor>
  <xdr:oneCellAnchor>
    <xdr:from>
      <xdr:col>12</xdr:col>
      <xdr:colOff>2150268</xdr:colOff>
      <xdr:row>273</xdr:row>
      <xdr:rowOff>1093952</xdr:rowOff>
    </xdr:from>
    <xdr:ext cx="327654" cy="327654"/>
    <xdr:pic>
      <xdr:nvPicPr>
        <xdr:cNvPr id="615" name="Gráfico 614" descr="Hogar">
          <a:hlinkClick xmlns:r="http://schemas.openxmlformats.org/officeDocument/2006/relationships" r:id="rId79"/>
          <a:extLst>
            <a:ext uri="{FF2B5EF4-FFF2-40B4-BE49-F238E27FC236}">
              <a16:creationId xmlns:a16="http://schemas.microsoft.com/office/drawing/2014/main" id="{360474DC-88A0-4488-ADB6-D82F206E1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64902793"/>
          <a:ext cx="327654" cy="327654"/>
        </a:xfrm>
        <a:prstGeom prst="rect">
          <a:avLst/>
        </a:prstGeom>
      </xdr:spPr>
    </xdr:pic>
    <xdr:clientData/>
  </xdr:oneCellAnchor>
  <xdr:oneCellAnchor>
    <xdr:from>
      <xdr:col>12</xdr:col>
      <xdr:colOff>2517509</xdr:colOff>
      <xdr:row>280</xdr:row>
      <xdr:rowOff>1095374</xdr:rowOff>
    </xdr:from>
    <xdr:ext cx="374254" cy="372798"/>
    <xdr:pic>
      <xdr:nvPicPr>
        <xdr:cNvPr id="616" name="Gráfico 615" descr="Inalámbrico">
          <a:hlinkClick xmlns:r="http://schemas.openxmlformats.org/officeDocument/2006/relationships" r:id="rId57"/>
          <a:extLst>
            <a:ext uri="{FF2B5EF4-FFF2-40B4-BE49-F238E27FC236}">
              <a16:creationId xmlns:a16="http://schemas.microsoft.com/office/drawing/2014/main" id="{B8F57875-BFA4-40BA-B686-B27717F421A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217745829"/>
          <a:ext cx="374254" cy="372798"/>
        </a:xfrm>
        <a:prstGeom prst="rect">
          <a:avLst/>
        </a:prstGeom>
      </xdr:spPr>
    </xdr:pic>
    <xdr:clientData/>
  </xdr:oneCellAnchor>
  <xdr:oneCellAnchor>
    <xdr:from>
      <xdr:col>12</xdr:col>
      <xdr:colOff>2150268</xdr:colOff>
      <xdr:row>280</xdr:row>
      <xdr:rowOff>1093952</xdr:rowOff>
    </xdr:from>
    <xdr:ext cx="327654" cy="327654"/>
    <xdr:pic>
      <xdr:nvPicPr>
        <xdr:cNvPr id="617" name="Gráfico 616" descr="Hogar">
          <a:hlinkClick xmlns:r="http://schemas.openxmlformats.org/officeDocument/2006/relationships" r:id="rId79"/>
          <a:extLst>
            <a:ext uri="{FF2B5EF4-FFF2-40B4-BE49-F238E27FC236}">
              <a16:creationId xmlns:a16="http://schemas.microsoft.com/office/drawing/2014/main" id="{26E4F582-55B5-40AB-8716-74BAC23CE21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217744407"/>
          <a:ext cx="327654" cy="327654"/>
        </a:xfrm>
        <a:prstGeom prst="rect">
          <a:avLst/>
        </a:prstGeom>
      </xdr:spPr>
    </xdr:pic>
    <xdr:clientData/>
  </xdr:oneCellAnchor>
  <xdr:oneCellAnchor>
    <xdr:from>
      <xdr:col>1</xdr:col>
      <xdr:colOff>215994</xdr:colOff>
      <xdr:row>287</xdr:row>
      <xdr:rowOff>298256</xdr:rowOff>
    </xdr:from>
    <xdr:ext cx="2518834" cy="1182447"/>
    <mc:AlternateContent xmlns:mc="http://schemas.openxmlformats.org/markup-compatibility/2006" xmlns:a14="http://schemas.microsoft.com/office/drawing/2010/main">
      <mc:Choice Requires="a14">
        <xdr:sp macro="" textlink="">
          <xdr:nvSpPr>
            <xdr:cNvPr id="620" name="CuadroTexto 619">
              <a:extLst>
                <a:ext uri="{FF2B5EF4-FFF2-40B4-BE49-F238E27FC236}">
                  <a16:creationId xmlns:a16="http://schemas.microsoft.com/office/drawing/2014/main" id="{63B025E0-3E67-4307-A327-AF4CBDAE0117}"/>
                </a:ext>
              </a:extLst>
            </xdr:cNvPr>
            <xdr:cNvSpPr txBox="1"/>
          </xdr:nvSpPr>
          <xdr:spPr>
            <a:xfrm>
              <a:off x="930369" y="234994256"/>
              <a:ext cx="2518834" cy="11824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000" b="0" i="0">
                      <a:latin typeface="Cambria Math" panose="02040503050406030204" pitchFamily="18" charset="0"/>
                    </a:rPr>
                    <m:t>Emisi</m:t>
                  </m:r>
                  <m:r>
                    <a:rPr lang="es-MX" sz="1000" b="0" i="0">
                      <a:latin typeface="Cambria Math" panose="02040503050406030204" pitchFamily="18" charset="0"/>
                    </a:rPr>
                    <m:t>ó</m:t>
                  </m:r>
                  <m:r>
                    <m:rPr>
                      <m:sty m:val="p"/>
                    </m:rPr>
                    <a:rPr lang="es-MX" sz="1000" b="0" i="0">
                      <a:latin typeface="Cambria Math" panose="02040503050406030204" pitchFamily="18" charset="0"/>
                    </a:rPr>
                    <m:t>n</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CO</m:t>
                  </m:r>
                  <m:r>
                    <a:rPr lang="es-MX" sz="1000" b="0" i="0">
                      <a:latin typeface="Cambria Math" panose="02040503050406030204" pitchFamily="18" charset="0"/>
                    </a:rPr>
                    <m:t>2 </m:t>
                  </m:r>
                  <m:r>
                    <m:rPr>
                      <m:sty m:val="p"/>
                    </m:rPr>
                    <a:rPr lang="es-MX" sz="1000" b="0" i="0">
                      <a:latin typeface="Cambria Math" panose="02040503050406030204" pitchFamily="18" charset="0"/>
                    </a:rPr>
                    <m:t>con</m:t>
                  </m:r>
                  <m:r>
                    <a:rPr lang="es-MX" sz="1000" b="0" i="0">
                      <a:latin typeface="Cambria Math" panose="02040503050406030204" pitchFamily="18" charset="0"/>
                    </a:rPr>
                    <m:t> </m:t>
                  </m:r>
                  <m:r>
                    <m:rPr>
                      <m:sty m:val="p"/>
                    </m:rPr>
                    <a:rPr lang="es-MX" sz="1000" b="0" i="0">
                      <a:latin typeface="Cambria Math" panose="02040503050406030204" pitchFamily="18" charset="0"/>
                    </a:rPr>
                    <m:t>PP</m:t>
                  </m:r>
                  <m:r>
                    <a:rPr lang="es-MX" sz="1000" b="0" i="0">
                      <a:latin typeface="Cambria Math" panose="02040503050406030204" pitchFamily="18" charset="0"/>
                    </a:rPr>
                    <m:t> </m:t>
                  </m:r>
                  <m:r>
                    <m:rPr>
                      <m:sty m:val="p"/>
                    </m:rPr>
                    <a:rPr lang="es-MX" sz="1000" b="0" i="0">
                      <a:latin typeface="Cambria Math" panose="02040503050406030204" pitchFamily="18" charset="0"/>
                    </a:rPr>
                    <m:t>V</m:t>
                  </m:r>
                  <m:r>
                    <a:rPr lang="es-MX" sz="1000" b="0" i="0">
                      <a:latin typeface="Cambria Math" panose="02040503050406030204" pitchFamily="18" charset="0"/>
                    </a:rPr>
                    <m:t> 1.</m:t>
                  </m:r>
                  <m:r>
                    <a:rPr lang="es-MX" sz="1000" b="0" i="1">
                      <a:latin typeface="Cambria Math" panose="02040503050406030204" pitchFamily="18" charset="0"/>
                    </a:rPr>
                    <m:t>343</m:t>
                  </m:r>
                  <m:f>
                    <m:fPr>
                      <m:ctrlPr>
                        <a:rPr lang="es-MX" sz="1000" i="1">
                          <a:latin typeface="Cambria Math" panose="02040503050406030204" pitchFamily="18" charset="0"/>
                        </a:rPr>
                      </m:ctrlPr>
                    </m:fPr>
                    <m:num>
                      <m:r>
                        <m:rPr>
                          <m:sty m:val="p"/>
                        </m:rPr>
                        <a:rPr lang="es-MX" sz="1000" b="0" i="0">
                          <a:latin typeface="Cambria Math" panose="02040503050406030204" pitchFamily="18" charset="0"/>
                        </a:rPr>
                        <m:t>kg</m:t>
                      </m:r>
                      <m:r>
                        <a:rPr lang="es-MX" sz="1000" b="0" i="1">
                          <a:latin typeface="Cambria Math" panose="02040503050406030204" pitchFamily="18" charset="0"/>
                        </a:rPr>
                        <m:t>𝐶𝑂</m:t>
                      </m:r>
                      <m:r>
                        <a:rPr lang="es-MX" sz="1000" b="0" i="1">
                          <a:latin typeface="Cambria Math" panose="02040503050406030204" pitchFamily="18" charset="0"/>
                        </a:rPr>
                        <m:t>2</m:t>
                      </m:r>
                      <m:r>
                        <a:rPr lang="es-MX" sz="1000" b="0" i="1">
                          <a:latin typeface="Cambria Math" panose="02040503050406030204" pitchFamily="18" charset="0"/>
                        </a:rPr>
                        <m:t>𝑒</m:t>
                      </m:r>
                    </m:num>
                    <m:den>
                      <m:r>
                        <m:rPr>
                          <m:sty m:val="p"/>
                        </m:rPr>
                        <a:rPr lang="es-MX" sz="1000" b="0" i="0">
                          <a:latin typeface="Cambria Math" panose="02040503050406030204" pitchFamily="18" charset="0"/>
                        </a:rPr>
                        <m:t>kg</m:t>
                      </m:r>
                    </m:den>
                  </m:f>
                </m:oMath>
              </a14:m>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Emisi</m:t>
                  </m:r>
                  <m:r>
                    <a:rPr lang="es-MX" sz="1000" b="0" i="0">
                      <a:solidFill>
                        <a:schemeClr val="tx1"/>
                      </a:solidFill>
                      <a:effectLst/>
                      <a:latin typeface="Cambria Math" panose="02040503050406030204" pitchFamily="18" charset="0"/>
                      <a:ea typeface="+mn-ea"/>
                      <a:cs typeface="+mn-cs"/>
                    </a:rPr>
                    <m:t>ó</m:t>
                  </m:r>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de</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CO</m:t>
                  </m:r>
                  <m:r>
                    <a:rPr lang="es-MX" sz="1000" b="0" i="0">
                      <a:solidFill>
                        <a:schemeClr val="tx1"/>
                      </a:solidFill>
                      <a:effectLst/>
                      <a:latin typeface="Cambria Math" panose="02040503050406030204" pitchFamily="18" charset="0"/>
                      <a:ea typeface="+mn-ea"/>
                      <a:cs typeface="+mn-cs"/>
                    </a:rPr>
                    <m:t>2 </m:t>
                  </m:r>
                  <m:r>
                    <m:rPr>
                      <m:sty m:val="p"/>
                    </m:rPr>
                    <a:rPr lang="es-MX" sz="1000" b="0" i="0">
                      <a:solidFill>
                        <a:schemeClr val="tx1"/>
                      </a:solidFill>
                      <a:effectLst/>
                      <a:latin typeface="Cambria Math" panose="02040503050406030204" pitchFamily="18" charset="0"/>
                      <a:ea typeface="+mn-ea"/>
                      <a:cs typeface="+mn-cs"/>
                    </a:rPr>
                    <m:t>con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Reciclada</m:t>
                  </m:r>
                  <m:r>
                    <a:rPr lang="es-MX" sz="1000" b="0" i="0">
                      <a:solidFill>
                        <a:schemeClr val="tx1"/>
                      </a:solidFill>
                      <a:effectLst/>
                      <a:latin typeface="Cambria Math" panose="02040503050406030204" pitchFamily="18" charset="0"/>
                      <a:ea typeface="+mn-ea"/>
                      <a:cs typeface="+mn-cs"/>
                    </a:rPr>
                    <m:t>  . </m:t>
                  </m:r>
                  <m:r>
                    <a:rPr lang="es-MX" sz="1000" b="0" i="1">
                      <a:solidFill>
                        <a:schemeClr val="tx1"/>
                      </a:solidFill>
                      <a:effectLst/>
                      <a:latin typeface="Cambria Math" panose="02040503050406030204" pitchFamily="18" charset="0"/>
                      <a:ea typeface="+mn-ea"/>
                      <a:cs typeface="+mn-cs"/>
                    </a:rPr>
                    <m:t>672</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𝑘𝑔𝐶𝑂</m:t>
                      </m:r>
                      <m:r>
                        <a:rPr lang="es-MX" sz="1000" b="0" i="1">
                          <a:solidFill>
                            <a:schemeClr val="tx1"/>
                          </a:solidFill>
                          <a:effectLst/>
                          <a:latin typeface="Cambria Math" panose="02040503050406030204" pitchFamily="18" charset="0"/>
                          <a:ea typeface="+mn-ea"/>
                          <a:cs typeface="+mn-cs"/>
                        </a:rPr>
                        <m:t>2</m:t>
                      </m:r>
                      <m:r>
                        <a:rPr lang="es-MX" sz="1000" b="0" i="1">
                          <a:solidFill>
                            <a:schemeClr val="tx1"/>
                          </a:solidFill>
                          <a:effectLst/>
                          <a:latin typeface="Cambria Math" panose="02040503050406030204" pitchFamily="18" charset="0"/>
                          <a:ea typeface="+mn-ea"/>
                          <a:cs typeface="+mn-cs"/>
                        </a:rPr>
                        <m:t>𝑒</m:t>
                      </m:r>
                    </m:num>
                    <m:den>
                      <m:r>
                        <m:rPr>
                          <m:sty m:val="p"/>
                        </m:rPr>
                        <a:rPr lang="es-MX" sz="1000" b="0" i="0">
                          <a:solidFill>
                            <a:schemeClr val="tx1"/>
                          </a:solidFill>
                          <a:effectLst/>
                          <a:latin typeface="Cambria Math" panose="02040503050406030204" pitchFamily="18" charset="0"/>
                          <a:ea typeface="+mn-ea"/>
                          <a:cs typeface="+mn-cs"/>
                        </a:rPr>
                        <m:t>kg</m:t>
                      </m:r>
                    </m:den>
                  </m:f>
                </m:oMath>
              </a14:m>
              <a:r>
                <a:rPr lang="es-MX" sz="1000" i="0">
                  <a:solidFill>
                    <a:schemeClr val="tx1"/>
                  </a:solidFill>
                  <a:effectLst/>
                  <a:latin typeface="+mn-lt"/>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000" i="0">
                <a:solidFill>
                  <a:schemeClr val="tx1"/>
                </a:solidFill>
                <a:effectLst/>
                <a:latin typeface="+mn-lt"/>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mn-lt"/>
                  <a:ea typeface="+mn-ea"/>
                  <a:cs typeface="Arial" panose="020B0604020202020204" pitchFamily="34" charset="0"/>
                </a:rPr>
                <a:t>Nota. Resina</a:t>
              </a:r>
              <a:r>
                <a:rPr lang="es-MX" sz="1000" i="0" baseline="0">
                  <a:solidFill>
                    <a:schemeClr val="tx1"/>
                  </a:solidFill>
                  <a:effectLst/>
                  <a:latin typeface="+mn-lt"/>
                  <a:ea typeface="+mn-ea"/>
                  <a:cs typeface="Arial" panose="020B0604020202020204" pitchFamily="34" charset="0"/>
                </a:rPr>
                <a:t> Reciclada no es especifica en el tipo de material</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620" name="CuadroTexto 619">
              <a:extLst>
                <a:ext uri="{FF2B5EF4-FFF2-40B4-BE49-F238E27FC236}">
                  <a16:creationId xmlns:a16="http://schemas.microsoft.com/office/drawing/2014/main" id="{63B025E0-3E67-4307-A327-AF4CBDAE0117}"/>
                </a:ext>
              </a:extLst>
            </xdr:cNvPr>
            <xdr:cNvSpPr txBox="1"/>
          </xdr:nvSpPr>
          <xdr:spPr>
            <a:xfrm>
              <a:off x="930369" y="234994256"/>
              <a:ext cx="2518834" cy="11824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Emisión de CO2 con PP V 1.343 kg𝐶𝑂2𝑒/kg</a:t>
              </a:r>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Emisión de CO2 con R. Reciclada  . 672 𝑘𝑔𝐶𝑂2𝑒/kg</a:t>
              </a:r>
              <a:r>
                <a:rPr lang="es-MX" sz="1000" i="0">
                  <a:solidFill>
                    <a:schemeClr val="tx1"/>
                  </a:solidFill>
                  <a:effectLst/>
                  <a:latin typeface="+mn-lt"/>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000" i="0">
                <a:solidFill>
                  <a:schemeClr val="tx1"/>
                </a:solidFill>
                <a:effectLst/>
                <a:latin typeface="+mn-lt"/>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mn-lt"/>
                  <a:ea typeface="+mn-ea"/>
                  <a:cs typeface="Arial" panose="020B0604020202020204" pitchFamily="34" charset="0"/>
                </a:rPr>
                <a:t>Nota. Resina</a:t>
              </a:r>
              <a:r>
                <a:rPr lang="es-MX" sz="1000" i="0" baseline="0">
                  <a:solidFill>
                    <a:schemeClr val="tx1"/>
                  </a:solidFill>
                  <a:effectLst/>
                  <a:latin typeface="+mn-lt"/>
                  <a:ea typeface="+mn-ea"/>
                  <a:cs typeface="Arial" panose="020B0604020202020204" pitchFamily="34" charset="0"/>
                </a:rPr>
                <a:t> Reciclada no es especifica en el tipo de material</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8</xdr:col>
      <xdr:colOff>174137</xdr:colOff>
      <xdr:row>287</xdr:row>
      <xdr:rowOff>373690</xdr:rowOff>
    </xdr:from>
    <xdr:ext cx="1590255" cy="172227"/>
    <mc:AlternateContent xmlns:mc="http://schemas.openxmlformats.org/markup-compatibility/2006" xmlns:a14="http://schemas.microsoft.com/office/drawing/2010/main">
      <mc:Choice Requires="a14">
        <xdr:sp macro="" textlink="">
          <xdr:nvSpPr>
            <xdr:cNvPr id="621" name="CuadroTexto 620">
              <a:extLst>
                <a:ext uri="{FF2B5EF4-FFF2-40B4-BE49-F238E27FC236}">
                  <a16:creationId xmlns:a16="http://schemas.microsoft.com/office/drawing/2014/main" id="{E25C0413-0B64-4D33-B4DB-C16F6F0A2EA0}"/>
                </a:ext>
              </a:extLst>
            </xdr:cNvPr>
            <xdr:cNvSpPr txBox="1"/>
          </xdr:nvSpPr>
          <xdr:spPr>
            <a:xfrm>
              <a:off x="7032137" y="226202781"/>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𝑃𝑣</m:t>
                  </m:r>
                  <m:r>
                    <a:rPr lang="es-MX" sz="1100" b="0" i="1">
                      <a:latin typeface="Cambria Math" panose="02040503050406030204" pitchFamily="18" charset="0"/>
                    </a:rPr>
                    <m:t> −</m:t>
                  </m:r>
                  <m:r>
                    <a:rPr lang="es-MX" sz="1100" b="0" i="1">
                      <a:latin typeface="Cambria Math" panose="02040503050406030204" pitchFamily="18" charset="0"/>
                    </a:rPr>
                    <m:t>𝑃𝑟</m:t>
                  </m:r>
                  <m:r>
                    <a:rPr lang="es-MX" sz="1100" b="0" i="1">
                      <a:latin typeface="Cambria Math" panose="02040503050406030204" pitchFamily="18" charset="0"/>
                    </a:rPr>
                    <m:t> </m:t>
                  </m:r>
                </m:oMath>
              </a14:m>
              <a:endParaRPr lang="es-MX" sz="1100"/>
            </a:p>
          </xdr:txBody>
        </xdr:sp>
      </mc:Choice>
      <mc:Fallback xmlns="">
        <xdr:sp macro="" textlink="">
          <xdr:nvSpPr>
            <xdr:cNvPr id="621" name="CuadroTexto 620">
              <a:extLst>
                <a:ext uri="{FF2B5EF4-FFF2-40B4-BE49-F238E27FC236}">
                  <a16:creationId xmlns:a16="http://schemas.microsoft.com/office/drawing/2014/main" id="{E25C0413-0B64-4D33-B4DB-C16F6F0A2EA0}"/>
                </a:ext>
              </a:extLst>
            </xdr:cNvPr>
            <xdr:cNvSpPr txBox="1"/>
          </xdr:nvSpPr>
          <xdr:spPr>
            <a:xfrm>
              <a:off x="7032137" y="226202781"/>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r>
                <a:rPr lang="es-MX" sz="1100" i="0">
                  <a:latin typeface="Cambria Math" panose="02040503050406030204" pitchFamily="18" charset="0"/>
                </a:rPr>
                <a:t>=</a:t>
              </a:r>
              <a:r>
                <a:rPr lang="es-MX" sz="1100" b="0" i="0">
                  <a:latin typeface="Cambria Math" panose="02040503050406030204" pitchFamily="18" charset="0"/>
                </a:rPr>
                <a:t>𝑃𝑣 −𝑃𝑟 </a:t>
              </a:r>
              <a:endParaRPr lang="es-MX" sz="1100"/>
            </a:p>
          </xdr:txBody>
        </xdr:sp>
      </mc:Fallback>
    </mc:AlternateContent>
    <xdr:clientData/>
  </xdr:oneCellAnchor>
  <xdr:oneCellAnchor>
    <xdr:from>
      <xdr:col>8</xdr:col>
      <xdr:colOff>152400</xdr:colOff>
      <xdr:row>287</xdr:row>
      <xdr:rowOff>986366</xdr:rowOff>
    </xdr:from>
    <xdr:ext cx="1572225" cy="375680"/>
    <mc:AlternateContent xmlns:mc="http://schemas.openxmlformats.org/markup-compatibility/2006" xmlns:a14="http://schemas.microsoft.com/office/drawing/2010/main">
      <mc:Choice Requires="a14">
        <xdr:sp macro="" textlink="">
          <xdr:nvSpPr>
            <xdr:cNvPr id="622" name="CuadroTexto 621">
              <a:extLst>
                <a:ext uri="{FF2B5EF4-FFF2-40B4-BE49-F238E27FC236}">
                  <a16:creationId xmlns:a16="http://schemas.microsoft.com/office/drawing/2014/main" id="{A0DB9B46-405B-4A3F-9B34-8861D912E292}"/>
                </a:ext>
              </a:extLst>
            </xdr:cNvPr>
            <xdr:cNvSpPr txBox="1"/>
          </xdr:nvSpPr>
          <xdr:spPr>
            <a:xfrm>
              <a:off x="7010400" y="229655639"/>
              <a:ext cx="15722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Pv representa</a:t>
              </a:r>
              <a:r>
                <a:rPr lang="es-MX" sz="800" b="0" baseline="0"/>
                <a:t> emisión de PP Dvirgen</a:t>
              </a:r>
            </a:p>
            <a:p>
              <a:r>
                <a:rPr lang="es-MX" sz="800" b="0" baseline="0"/>
                <a:t>Er representa emisión de PP reciclado</a:t>
              </a:r>
              <a:endParaRPr lang="es-MX" sz="800" b="0"/>
            </a:p>
          </xdr:txBody>
        </xdr:sp>
      </mc:Choice>
      <mc:Fallback xmlns="">
        <xdr:sp macro="" textlink="">
          <xdr:nvSpPr>
            <xdr:cNvPr id="622" name="CuadroTexto 621">
              <a:extLst>
                <a:ext uri="{FF2B5EF4-FFF2-40B4-BE49-F238E27FC236}">
                  <a16:creationId xmlns:a16="http://schemas.microsoft.com/office/drawing/2014/main" id="{A0DB9B46-405B-4A3F-9B34-8861D912E292}"/>
                </a:ext>
              </a:extLst>
            </xdr:cNvPr>
            <xdr:cNvSpPr txBox="1"/>
          </xdr:nvSpPr>
          <xdr:spPr>
            <a:xfrm>
              <a:off x="7010400" y="229655639"/>
              <a:ext cx="15722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Pv representa</a:t>
              </a:r>
              <a:r>
                <a:rPr lang="es-MX" sz="800" b="0" baseline="0"/>
                <a:t> emisión de PP Dvirgen</a:t>
              </a:r>
            </a:p>
            <a:p>
              <a:r>
                <a:rPr lang="es-MX" sz="800" b="0" baseline="0"/>
                <a:t>Er representa emisión de PP reciclado</a:t>
              </a:r>
              <a:endParaRPr lang="es-MX" sz="800" b="0"/>
            </a:p>
          </xdr:txBody>
        </xdr:sp>
      </mc:Fallback>
    </mc:AlternateContent>
    <xdr:clientData/>
  </xdr:oneCellAnchor>
  <xdr:oneCellAnchor>
    <xdr:from>
      <xdr:col>9</xdr:col>
      <xdr:colOff>306917</xdr:colOff>
      <xdr:row>287</xdr:row>
      <xdr:rowOff>462490</xdr:rowOff>
    </xdr:from>
    <xdr:ext cx="1655233" cy="196336"/>
    <mc:AlternateContent xmlns:mc="http://schemas.openxmlformats.org/markup-compatibility/2006" xmlns:a14="http://schemas.microsoft.com/office/drawing/2010/main">
      <mc:Choice Requires="a14">
        <xdr:sp macro="" textlink="">
          <xdr:nvSpPr>
            <xdr:cNvPr id="623" name="CuadroTexto 622">
              <a:extLst>
                <a:ext uri="{FF2B5EF4-FFF2-40B4-BE49-F238E27FC236}">
                  <a16:creationId xmlns:a16="http://schemas.microsoft.com/office/drawing/2014/main" id="{D865C2DB-73E0-4707-A9CC-0A319D2FB1BF}"/>
                </a:ext>
              </a:extLst>
            </xdr:cNvPr>
            <xdr:cNvSpPr txBox="1"/>
          </xdr:nvSpPr>
          <xdr:spPr>
            <a:xfrm>
              <a:off x="10133542" y="23515849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14:m>
                <m:oMath xmlns:m="http://schemas.openxmlformats.org/officeDocument/2006/math">
                  <m:r>
                    <a:rPr lang="es-MX" sz="800" i="1">
                      <a:latin typeface="Cambria Math" panose="02040503050406030204" pitchFamily="18" charset="0"/>
                    </a:rPr>
                    <m:t>=</m:t>
                  </m:r>
                  <m:r>
                    <a:rPr lang="es-MX" sz="800" b="0" i="0">
                      <a:latin typeface="Cambria Math" panose="02040503050406030204" pitchFamily="18" charset="0"/>
                    </a:rPr>
                    <m:t>1.343</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m:t>
                      </m:r>
                      <m:r>
                        <a:rPr lang="es-MX" sz="800" b="0" i="1">
                          <a:solidFill>
                            <a:schemeClr val="tx1"/>
                          </a:solidFill>
                          <a:effectLst/>
                          <a:latin typeface="Cambria Math" panose="02040503050406030204" pitchFamily="18" charset="0"/>
                          <a:ea typeface="+mn-ea"/>
                          <a:cs typeface="+mn-cs"/>
                        </a:rPr>
                        <m:t>𝑔𝐶𝑂</m:t>
                      </m:r>
                      <m:r>
                        <a:rPr lang="es-MX" sz="800" b="0" i="1">
                          <a:solidFill>
                            <a:schemeClr val="tx1"/>
                          </a:solidFill>
                          <a:effectLst/>
                          <a:latin typeface="Cambria Math" panose="02040503050406030204" pitchFamily="18" charset="0"/>
                          <a:ea typeface="+mn-ea"/>
                          <a:cs typeface="+mn-cs"/>
                        </a:rPr>
                        <m:t>2</m:t>
                      </m:r>
                      <m:r>
                        <a:rPr lang="es-MX" sz="800" b="0" i="1">
                          <a:solidFill>
                            <a:schemeClr val="tx1"/>
                          </a:solidFill>
                          <a:effectLst/>
                          <a:latin typeface="Cambria Math" panose="02040503050406030204" pitchFamily="18" charset="0"/>
                          <a:ea typeface="+mn-ea"/>
                          <a:cs typeface="+mn-cs"/>
                        </a:rPr>
                        <m:t>𝑒</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.672</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r>
                        <m:rPr>
                          <m:sty m:val="p"/>
                        </m:rPr>
                        <a:rPr lang="es-MX" sz="800" b="0" i="0">
                          <a:solidFill>
                            <a:schemeClr val="tx1"/>
                          </a:solidFill>
                          <a:effectLst/>
                          <a:latin typeface="Cambria Math" panose="02040503050406030204" pitchFamily="18" charset="0"/>
                          <a:ea typeface="+mn-ea"/>
                          <a:cs typeface="+mn-cs"/>
                        </a:rPr>
                        <m:t>e</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oMath>
              </a14:m>
              <a:endParaRPr lang="es-MX" sz="800"/>
            </a:p>
          </xdr:txBody>
        </xdr:sp>
      </mc:Choice>
      <mc:Fallback xmlns="">
        <xdr:sp macro="" textlink="">
          <xdr:nvSpPr>
            <xdr:cNvPr id="623" name="CuadroTexto 622">
              <a:extLst>
                <a:ext uri="{FF2B5EF4-FFF2-40B4-BE49-F238E27FC236}">
                  <a16:creationId xmlns:a16="http://schemas.microsoft.com/office/drawing/2014/main" id="{D865C2DB-73E0-4707-A9CC-0A319D2FB1BF}"/>
                </a:ext>
              </a:extLst>
            </xdr:cNvPr>
            <xdr:cNvSpPr txBox="1"/>
          </xdr:nvSpPr>
          <xdr:spPr>
            <a:xfrm>
              <a:off x="10133542" y="23515849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r>
                <a:rPr lang="es-MX" sz="800" i="0">
                  <a:latin typeface="Cambria Math" panose="02040503050406030204" pitchFamily="18" charset="0"/>
                </a:rPr>
                <a:t>=</a:t>
              </a:r>
              <a:r>
                <a:rPr lang="es-MX" sz="800" b="0" i="0">
                  <a:latin typeface="Cambria Math" panose="02040503050406030204" pitchFamily="18" charset="0"/>
                </a:rPr>
                <a:t>1.343</a:t>
              </a:r>
              <a:r>
                <a:rPr lang="es-MX" sz="800" b="0" i="0">
                  <a:solidFill>
                    <a:schemeClr val="tx1"/>
                  </a:solidFill>
                  <a:effectLst/>
                  <a:latin typeface="Cambria Math" panose="02040503050406030204" pitchFamily="18" charset="0"/>
                  <a:ea typeface="+mn-ea"/>
                  <a:cs typeface="+mn-cs"/>
                </a:rPr>
                <a:t> k𝑔𝐶𝑂2𝑒/kg </a:t>
              </a:r>
              <a:r>
                <a:rPr lang="es-MX" sz="800" b="0" i="0">
                  <a:latin typeface="Cambria Math" panose="02040503050406030204" pitchFamily="18" charset="0"/>
                </a:rPr>
                <a:t> −.672</a:t>
              </a:r>
              <a:r>
                <a:rPr lang="es-MX" sz="800" b="0" i="0">
                  <a:solidFill>
                    <a:schemeClr val="tx1"/>
                  </a:solidFill>
                  <a:effectLst/>
                  <a:latin typeface="Cambria Math" panose="02040503050406030204" pitchFamily="18" charset="0"/>
                  <a:ea typeface="+mn-ea"/>
                  <a:cs typeface="+mn-cs"/>
                </a:rPr>
                <a:t> kgCO2e/kg </a:t>
              </a:r>
              <a:r>
                <a:rPr lang="es-MX" sz="800" b="0" i="0">
                  <a:latin typeface="Cambria Math" panose="02040503050406030204" pitchFamily="18" charset="0"/>
                </a:rPr>
                <a:t> </a:t>
              </a:r>
              <a:endParaRPr lang="es-MX" sz="800"/>
            </a:p>
          </xdr:txBody>
        </xdr:sp>
      </mc:Fallback>
    </mc:AlternateContent>
    <xdr:clientData/>
  </xdr:oneCellAnchor>
  <xdr:oneCellAnchor>
    <xdr:from>
      <xdr:col>12</xdr:col>
      <xdr:colOff>2371725</xdr:colOff>
      <xdr:row>287</xdr:row>
      <xdr:rowOff>962025</xdr:rowOff>
    </xdr:from>
    <xdr:ext cx="539751" cy="539751"/>
    <xdr:pic>
      <xdr:nvPicPr>
        <xdr:cNvPr id="624" name="Gráfico 623" descr="Inalámbrico">
          <a:hlinkClick xmlns:r="http://schemas.openxmlformats.org/officeDocument/2006/relationships" r:id="rId42"/>
          <a:extLst>
            <a:ext uri="{FF2B5EF4-FFF2-40B4-BE49-F238E27FC236}">
              <a16:creationId xmlns:a16="http://schemas.microsoft.com/office/drawing/2014/main" id="{A7FE7D16-1F3D-4CAA-9E17-C0FA028E432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226791116"/>
          <a:ext cx="539751" cy="539751"/>
        </a:xfrm>
        <a:prstGeom prst="rect">
          <a:avLst/>
        </a:prstGeom>
      </xdr:spPr>
    </xdr:pic>
    <xdr:clientData/>
  </xdr:oneCellAnchor>
  <xdr:oneCellAnchor>
    <xdr:from>
      <xdr:col>10</xdr:col>
      <xdr:colOff>429314</xdr:colOff>
      <xdr:row>287</xdr:row>
      <xdr:rowOff>416201</xdr:rowOff>
    </xdr:from>
    <xdr:ext cx="1836481" cy="628650"/>
    <mc:AlternateContent xmlns:mc="http://schemas.openxmlformats.org/markup-compatibility/2006" xmlns:a14="http://schemas.microsoft.com/office/drawing/2010/main">
      <mc:Choice Requires="a14">
        <xdr:sp macro="" textlink="">
          <xdr:nvSpPr>
            <xdr:cNvPr id="625" name="CuadroTexto 624">
              <a:extLst>
                <a:ext uri="{FF2B5EF4-FFF2-40B4-BE49-F238E27FC236}">
                  <a16:creationId xmlns:a16="http://schemas.microsoft.com/office/drawing/2014/main" id="{B67A958C-D449-4EA0-8864-E1D9A0FA7B8F}"/>
                </a:ext>
              </a:extLst>
            </xdr:cNvPr>
            <xdr:cNvSpPr txBox="1"/>
          </xdr:nvSpPr>
          <xdr:spPr>
            <a:xfrm>
              <a:off x="12811814" y="235112201"/>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𝑃𝑃</m:t>
                  </m:r>
                  <m:r>
                    <a:rPr lang="es-MX" sz="1050" b="0" i="1">
                      <a:latin typeface="Cambria Math" panose="02040503050406030204" pitchFamily="18" charset="0"/>
                    </a:rPr>
                    <m:t>=</m:t>
                  </m:r>
                  <m:r>
                    <a:rPr lang="es-MX" sz="1050" b="0" i="0">
                      <a:latin typeface="Cambria Math" panose="02040503050406030204" pitchFamily="18" charset="0"/>
                    </a:rPr>
                    <m:t>.</m:t>
                  </m:r>
                </m:oMath>
              </a14:m>
              <a:r>
                <a:rPr lang="es-MX" sz="1050" b="0" i="0">
                  <a:latin typeface="Cambria Math" panose="02040503050406030204" pitchFamily="18" charset="0"/>
                </a:rPr>
                <a:t>671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𝑃𝑃</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671 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r>
                      <m:rPr>
                        <m:nor/>
                      </m:rPr>
                      <a:rPr lang="es-MX" sz="1100" b="0" i="0">
                        <a:solidFill>
                          <a:schemeClr val="tx1"/>
                        </a:solidFill>
                        <a:effectLst/>
                        <a:latin typeface="+mn-lt"/>
                        <a:ea typeface="+mn-ea"/>
                        <a:cs typeface="+mn-cs"/>
                      </a:rPr>
                      <m:t>e</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Choice>
      <mc:Fallback xmlns="">
        <xdr:sp macro="" textlink="">
          <xdr:nvSpPr>
            <xdr:cNvPr id="625" name="CuadroTexto 624">
              <a:extLst>
                <a:ext uri="{FF2B5EF4-FFF2-40B4-BE49-F238E27FC236}">
                  <a16:creationId xmlns:a16="http://schemas.microsoft.com/office/drawing/2014/main" id="{B67A958C-D449-4EA0-8864-E1D9A0FA7B8F}"/>
                </a:ext>
              </a:extLst>
            </xdr:cNvPr>
            <xdr:cNvSpPr txBox="1"/>
          </xdr:nvSpPr>
          <xdr:spPr>
            <a:xfrm>
              <a:off x="12811814" y="235112201"/>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𝑃𝑃=.671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𝑃𝑃=671 </a:t>
              </a:r>
              <a:r>
                <a:rPr lang="es-MX" sz="1100" b="0" i="0">
                  <a:solidFill>
                    <a:schemeClr val="tx1"/>
                  </a:solidFill>
                  <a:effectLst/>
                  <a:latin typeface="Cambria Math" panose="02040503050406030204" pitchFamily="18" charset="0"/>
                  <a:ea typeface="+mn-ea"/>
                  <a:cs typeface="+mn-cs"/>
                </a:rPr>
                <a:t>"kg CO2e</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Fallback>
    </mc:AlternateContent>
    <xdr:clientData/>
  </xdr:oneCellAnchor>
  <xdr:oneCellAnchor>
    <xdr:from>
      <xdr:col>12</xdr:col>
      <xdr:colOff>2053167</xdr:colOff>
      <xdr:row>287</xdr:row>
      <xdr:rowOff>1062566</xdr:rowOff>
    </xdr:from>
    <xdr:ext cx="391583" cy="395432"/>
    <xdr:pic>
      <xdr:nvPicPr>
        <xdr:cNvPr id="626" name="Gráfico 625" descr="Hogar">
          <a:hlinkClick xmlns:r="http://schemas.openxmlformats.org/officeDocument/2006/relationships" r:id="rId75"/>
          <a:extLst>
            <a:ext uri="{FF2B5EF4-FFF2-40B4-BE49-F238E27FC236}">
              <a16:creationId xmlns:a16="http://schemas.microsoft.com/office/drawing/2014/main" id="{E024CAD6-65B8-46D7-BA00-A977AED58DA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226891657"/>
          <a:ext cx="391583" cy="395432"/>
        </a:xfrm>
        <a:prstGeom prst="rect">
          <a:avLst/>
        </a:prstGeom>
      </xdr:spPr>
    </xdr:pic>
    <xdr:clientData/>
  </xdr:oneCellAnchor>
  <xdr:oneCellAnchor>
    <xdr:from>
      <xdr:col>9</xdr:col>
      <xdr:colOff>227542</xdr:colOff>
      <xdr:row>289</xdr:row>
      <xdr:rowOff>492125</xdr:rowOff>
    </xdr:from>
    <xdr:ext cx="1655233" cy="196336"/>
    <mc:AlternateContent xmlns:mc="http://schemas.openxmlformats.org/markup-compatibility/2006" xmlns:a14="http://schemas.microsoft.com/office/drawing/2010/main">
      <mc:Choice Requires="a14">
        <xdr:sp macro="" textlink="">
          <xdr:nvSpPr>
            <xdr:cNvPr id="632" name="CuadroTexto 631">
              <a:extLst>
                <a:ext uri="{FF2B5EF4-FFF2-40B4-BE49-F238E27FC236}">
                  <a16:creationId xmlns:a16="http://schemas.microsoft.com/office/drawing/2014/main" id="{AF9FEBF1-7258-4B3B-8111-5489A9AFC284}"/>
                </a:ext>
              </a:extLst>
            </xdr:cNvPr>
            <xdr:cNvSpPr txBox="1"/>
          </xdr:nvSpPr>
          <xdr:spPr>
            <a:xfrm>
              <a:off x="10054167" y="23850600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14:m>
                <m:oMath xmlns:m="http://schemas.openxmlformats.org/officeDocument/2006/math">
                  <m:r>
                    <a:rPr lang="es-MX" sz="800" i="1">
                      <a:latin typeface="Cambria Math" panose="02040503050406030204" pitchFamily="18" charset="0"/>
                    </a:rPr>
                    <m:t>=</m:t>
                  </m:r>
                  <m:r>
                    <a:rPr lang="es-MX" sz="800" b="0" i="0">
                      <a:latin typeface="Cambria Math" panose="02040503050406030204" pitchFamily="18" charset="0"/>
                    </a:rPr>
                    <m:t>1.477</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m:t>
                      </m:r>
                      <m:r>
                        <a:rPr lang="es-MX" sz="800" b="0" i="1">
                          <a:solidFill>
                            <a:schemeClr val="tx1"/>
                          </a:solidFill>
                          <a:effectLst/>
                          <a:latin typeface="Cambria Math" panose="02040503050406030204" pitchFamily="18" charset="0"/>
                          <a:ea typeface="+mn-ea"/>
                          <a:cs typeface="+mn-cs"/>
                        </a:rPr>
                        <m:t>𝑔𝐶𝑂</m:t>
                      </m:r>
                      <m:r>
                        <a:rPr lang="es-MX" sz="800" b="0" i="1">
                          <a:solidFill>
                            <a:schemeClr val="tx1"/>
                          </a:solidFill>
                          <a:effectLst/>
                          <a:latin typeface="Cambria Math" panose="02040503050406030204" pitchFamily="18" charset="0"/>
                          <a:ea typeface="+mn-ea"/>
                          <a:cs typeface="+mn-cs"/>
                        </a:rPr>
                        <m:t>2</m:t>
                      </m:r>
                      <m:r>
                        <a:rPr lang="es-MX" sz="800" b="0" i="1">
                          <a:solidFill>
                            <a:schemeClr val="tx1"/>
                          </a:solidFill>
                          <a:effectLst/>
                          <a:latin typeface="Cambria Math" panose="02040503050406030204" pitchFamily="18" charset="0"/>
                          <a:ea typeface="+mn-ea"/>
                          <a:cs typeface="+mn-cs"/>
                        </a:rPr>
                        <m:t>𝑒</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.183</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r>
                        <m:rPr>
                          <m:sty m:val="p"/>
                        </m:rPr>
                        <a:rPr lang="es-MX" sz="800" b="0" i="0">
                          <a:solidFill>
                            <a:schemeClr val="tx1"/>
                          </a:solidFill>
                          <a:effectLst/>
                          <a:latin typeface="Cambria Math" panose="02040503050406030204" pitchFamily="18" charset="0"/>
                          <a:ea typeface="+mn-ea"/>
                          <a:cs typeface="+mn-cs"/>
                        </a:rPr>
                        <m:t>e</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oMath>
              </a14:m>
              <a:endParaRPr lang="es-MX" sz="800"/>
            </a:p>
          </xdr:txBody>
        </xdr:sp>
      </mc:Choice>
      <mc:Fallback xmlns="">
        <xdr:sp macro="" textlink="">
          <xdr:nvSpPr>
            <xdr:cNvPr id="632" name="CuadroTexto 631">
              <a:extLst>
                <a:ext uri="{FF2B5EF4-FFF2-40B4-BE49-F238E27FC236}">
                  <a16:creationId xmlns:a16="http://schemas.microsoft.com/office/drawing/2014/main" id="{AF9FEBF1-7258-4B3B-8111-5489A9AFC284}"/>
                </a:ext>
              </a:extLst>
            </xdr:cNvPr>
            <xdr:cNvSpPr txBox="1"/>
          </xdr:nvSpPr>
          <xdr:spPr>
            <a:xfrm>
              <a:off x="10054167" y="23850600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r>
                <a:rPr lang="es-MX" sz="800" i="0">
                  <a:latin typeface="Cambria Math" panose="02040503050406030204" pitchFamily="18" charset="0"/>
                </a:rPr>
                <a:t>=</a:t>
              </a:r>
              <a:r>
                <a:rPr lang="es-MX" sz="800" b="0" i="0">
                  <a:latin typeface="Cambria Math" panose="02040503050406030204" pitchFamily="18" charset="0"/>
                </a:rPr>
                <a:t>1.477</a:t>
              </a:r>
              <a:r>
                <a:rPr lang="es-MX" sz="800" b="0" i="0">
                  <a:solidFill>
                    <a:schemeClr val="tx1"/>
                  </a:solidFill>
                  <a:effectLst/>
                  <a:latin typeface="Cambria Math" panose="02040503050406030204" pitchFamily="18" charset="0"/>
                  <a:ea typeface="+mn-ea"/>
                  <a:cs typeface="+mn-cs"/>
                </a:rPr>
                <a:t> k𝑔𝐶𝑂2𝑒/kg </a:t>
              </a:r>
              <a:r>
                <a:rPr lang="es-MX" sz="800" b="0" i="0">
                  <a:latin typeface="Cambria Math" panose="02040503050406030204" pitchFamily="18" charset="0"/>
                </a:rPr>
                <a:t> −.183</a:t>
              </a:r>
              <a:r>
                <a:rPr lang="es-MX" sz="800" b="0" i="0">
                  <a:solidFill>
                    <a:schemeClr val="tx1"/>
                  </a:solidFill>
                  <a:effectLst/>
                  <a:latin typeface="Cambria Math" panose="02040503050406030204" pitchFamily="18" charset="0"/>
                  <a:ea typeface="+mn-ea"/>
                  <a:cs typeface="+mn-cs"/>
                </a:rPr>
                <a:t> kgCO2e/kg </a:t>
              </a:r>
              <a:r>
                <a:rPr lang="es-MX" sz="800" b="0" i="0">
                  <a:latin typeface="Cambria Math" panose="02040503050406030204" pitchFamily="18" charset="0"/>
                </a:rPr>
                <a:t> </a:t>
              </a:r>
              <a:endParaRPr lang="es-MX" sz="800"/>
            </a:p>
          </xdr:txBody>
        </xdr:sp>
      </mc:Fallback>
    </mc:AlternateContent>
    <xdr:clientData/>
  </xdr:oneCellAnchor>
  <xdr:oneCellAnchor>
    <xdr:from>
      <xdr:col>12</xdr:col>
      <xdr:colOff>2352675</xdr:colOff>
      <xdr:row>288</xdr:row>
      <xdr:rowOff>923925</xdr:rowOff>
    </xdr:from>
    <xdr:ext cx="539751" cy="539751"/>
    <xdr:pic>
      <xdr:nvPicPr>
        <xdr:cNvPr id="633" name="Gráfico 632" descr="Inalámbrico">
          <a:hlinkClick xmlns:r="http://schemas.openxmlformats.org/officeDocument/2006/relationships" r:id="rId42"/>
          <a:extLst>
            <a:ext uri="{FF2B5EF4-FFF2-40B4-BE49-F238E27FC236}">
              <a16:creationId xmlns:a16="http://schemas.microsoft.com/office/drawing/2014/main" id="{8696F993-B1CB-46D2-8781-F75AB85E24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11650" y="222504000"/>
          <a:ext cx="539751" cy="539751"/>
        </a:xfrm>
        <a:prstGeom prst="rect">
          <a:avLst/>
        </a:prstGeom>
      </xdr:spPr>
    </xdr:pic>
    <xdr:clientData/>
  </xdr:oneCellAnchor>
  <xdr:oneCellAnchor>
    <xdr:from>
      <xdr:col>10</xdr:col>
      <xdr:colOff>207064</xdr:colOff>
      <xdr:row>289</xdr:row>
      <xdr:rowOff>190500</xdr:rowOff>
    </xdr:from>
    <xdr:ext cx="1836481" cy="628650"/>
    <mc:AlternateContent xmlns:mc="http://schemas.openxmlformats.org/markup-compatibility/2006" xmlns:a14="http://schemas.microsoft.com/office/drawing/2010/main">
      <mc:Choice Requires="a14">
        <xdr:sp macro="" textlink="">
          <xdr:nvSpPr>
            <xdr:cNvPr id="634" name="CuadroTexto 633">
              <a:extLst>
                <a:ext uri="{FF2B5EF4-FFF2-40B4-BE49-F238E27FC236}">
                  <a16:creationId xmlns:a16="http://schemas.microsoft.com/office/drawing/2014/main" id="{43122684-39FA-4452-8819-7D5F19A5A629}"/>
                </a:ext>
              </a:extLst>
            </xdr:cNvPr>
            <xdr:cNvSpPr txBox="1"/>
          </xdr:nvSpPr>
          <xdr:spPr>
            <a:xfrm>
              <a:off x="12589564" y="238204375"/>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𝑃𝐸𝐵𝐷</m:t>
                  </m:r>
                  <m:r>
                    <a:rPr lang="es-MX" sz="1050" b="0" i="1">
                      <a:latin typeface="Cambria Math" panose="02040503050406030204" pitchFamily="18" charset="0"/>
                    </a:rPr>
                    <m:t>=</m:t>
                  </m:r>
                  <m:r>
                    <a:rPr lang="es-MX" sz="1050" b="0" i="0">
                      <a:latin typeface="Cambria Math" panose="02040503050406030204" pitchFamily="18" charset="0"/>
                    </a:rPr>
                    <m:t>1.294</m:t>
                  </m:r>
                </m:oMath>
              </a14:m>
              <a:r>
                <a:rPr lang="es-MX" sz="1050" b="0" i="0">
                  <a:latin typeface="Cambria Math" panose="02040503050406030204" pitchFamily="18" charset="0"/>
                </a:rPr>
                <a:t>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𝑃𝐸𝐵𝐷</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1,294 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r>
                      <m:rPr>
                        <m:nor/>
                      </m:rPr>
                      <a:rPr lang="es-MX" sz="1100" b="0" i="0">
                        <a:solidFill>
                          <a:schemeClr val="tx1"/>
                        </a:solidFill>
                        <a:effectLst/>
                        <a:latin typeface="+mn-lt"/>
                        <a:ea typeface="+mn-ea"/>
                        <a:cs typeface="+mn-cs"/>
                      </a:rPr>
                      <m:t>e</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Choice>
      <mc:Fallback xmlns="">
        <xdr:sp macro="" textlink="">
          <xdr:nvSpPr>
            <xdr:cNvPr id="634" name="CuadroTexto 633">
              <a:extLst>
                <a:ext uri="{FF2B5EF4-FFF2-40B4-BE49-F238E27FC236}">
                  <a16:creationId xmlns:a16="http://schemas.microsoft.com/office/drawing/2014/main" id="{43122684-39FA-4452-8819-7D5F19A5A629}"/>
                </a:ext>
              </a:extLst>
            </xdr:cNvPr>
            <xdr:cNvSpPr txBox="1"/>
          </xdr:nvSpPr>
          <xdr:spPr>
            <a:xfrm>
              <a:off x="12589564" y="238204375"/>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𝑃𝐸𝐵𝐷=1.294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𝑃𝐸𝐵𝐷=1,294 </a:t>
              </a:r>
              <a:r>
                <a:rPr lang="es-MX" sz="1100" b="0" i="0">
                  <a:solidFill>
                    <a:schemeClr val="tx1"/>
                  </a:solidFill>
                  <a:effectLst/>
                  <a:latin typeface="Cambria Math" panose="02040503050406030204" pitchFamily="18" charset="0"/>
                  <a:ea typeface="+mn-ea"/>
                  <a:cs typeface="+mn-cs"/>
                </a:rPr>
                <a:t>"kg CO2e</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Fallback>
    </mc:AlternateContent>
    <xdr:clientData/>
  </xdr:oneCellAnchor>
  <xdr:oneCellAnchor>
    <xdr:from>
      <xdr:col>12</xdr:col>
      <xdr:colOff>2043642</xdr:colOff>
      <xdr:row>288</xdr:row>
      <xdr:rowOff>1000125</xdr:rowOff>
    </xdr:from>
    <xdr:ext cx="391583" cy="395432"/>
    <xdr:pic>
      <xdr:nvPicPr>
        <xdr:cNvPr id="635" name="Gráfico 634" descr="Hogar">
          <a:hlinkClick xmlns:r="http://schemas.openxmlformats.org/officeDocument/2006/relationships" r:id="rId75"/>
          <a:extLst>
            <a:ext uri="{FF2B5EF4-FFF2-40B4-BE49-F238E27FC236}">
              <a16:creationId xmlns:a16="http://schemas.microsoft.com/office/drawing/2014/main" id="{54FB93BE-ABE3-4D3C-9B02-08B6D0A0611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02617" y="222580200"/>
          <a:ext cx="391583" cy="395432"/>
        </a:xfrm>
        <a:prstGeom prst="rect">
          <a:avLst/>
        </a:prstGeom>
      </xdr:spPr>
    </xdr:pic>
    <xdr:clientData/>
  </xdr:oneCellAnchor>
  <xdr:oneCellAnchor>
    <xdr:from>
      <xdr:col>1</xdr:col>
      <xdr:colOff>227540</xdr:colOff>
      <xdr:row>289</xdr:row>
      <xdr:rowOff>304028</xdr:rowOff>
    </xdr:from>
    <xdr:ext cx="2518834" cy="1182447"/>
    <mc:AlternateContent xmlns:mc="http://schemas.openxmlformats.org/markup-compatibility/2006" xmlns:a14="http://schemas.microsoft.com/office/drawing/2010/main">
      <mc:Choice Requires="a14">
        <xdr:sp macro="" textlink="">
          <xdr:nvSpPr>
            <xdr:cNvPr id="636" name="CuadroTexto 635">
              <a:extLst>
                <a:ext uri="{FF2B5EF4-FFF2-40B4-BE49-F238E27FC236}">
                  <a16:creationId xmlns:a16="http://schemas.microsoft.com/office/drawing/2014/main" id="{226546B5-49CE-47F0-ABC4-0DFA5F67EB39}"/>
                </a:ext>
              </a:extLst>
            </xdr:cNvPr>
            <xdr:cNvSpPr txBox="1"/>
          </xdr:nvSpPr>
          <xdr:spPr>
            <a:xfrm>
              <a:off x="941915" y="238317903"/>
              <a:ext cx="2518834" cy="11824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000" b="0" i="0">
                      <a:latin typeface="Cambria Math" panose="02040503050406030204" pitchFamily="18" charset="0"/>
                    </a:rPr>
                    <m:t>Emisi</m:t>
                  </m:r>
                  <m:r>
                    <a:rPr lang="es-MX" sz="1000" b="0" i="0">
                      <a:latin typeface="Cambria Math" panose="02040503050406030204" pitchFamily="18" charset="0"/>
                    </a:rPr>
                    <m:t>ó</m:t>
                  </m:r>
                  <m:r>
                    <m:rPr>
                      <m:sty m:val="p"/>
                    </m:rPr>
                    <a:rPr lang="es-MX" sz="1000" b="0" i="0">
                      <a:latin typeface="Cambria Math" panose="02040503050406030204" pitchFamily="18" charset="0"/>
                    </a:rPr>
                    <m:t>n</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CO</m:t>
                  </m:r>
                  <m:r>
                    <a:rPr lang="es-MX" sz="1000" b="0" i="0">
                      <a:latin typeface="Cambria Math" panose="02040503050406030204" pitchFamily="18" charset="0"/>
                    </a:rPr>
                    <m:t>2 </m:t>
                  </m:r>
                  <m:r>
                    <m:rPr>
                      <m:sty m:val="p"/>
                    </m:rPr>
                    <a:rPr lang="es-MX" sz="1000" b="0" i="0">
                      <a:latin typeface="Cambria Math" panose="02040503050406030204" pitchFamily="18" charset="0"/>
                    </a:rPr>
                    <m:t>con</m:t>
                  </m:r>
                  <m:r>
                    <a:rPr lang="es-MX" sz="1000" b="0" i="0">
                      <a:latin typeface="Cambria Math" panose="02040503050406030204" pitchFamily="18" charset="0"/>
                    </a:rPr>
                    <m:t> </m:t>
                  </m:r>
                  <m:r>
                    <m:rPr>
                      <m:sty m:val="p"/>
                    </m:rPr>
                    <a:rPr lang="es-MX" sz="1000" b="0" i="0">
                      <a:latin typeface="Cambria Math" panose="02040503050406030204" pitchFamily="18" charset="0"/>
                    </a:rPr>
                    <m:t>PP</m:t>
                  </m:r>
                  <m:r>
                    <a:rPr lang="es-MX" sz="1000" b="0" i="0">
                      <a:latin typeface="Cambria Math" panose="02040503050406030204" pitchFamily="18" charset="0"/>
                    </a:rPr>
                    <m:t> </m:t>
                  </m:r>
                  <m:r>
                    <m:rPr>
                      <m:sty m:val="p"/>
                    </m:rPr>
                    <a:rPr lang="es-MX" sz="1000" b="0" i="0">
                      <a:latin typeface="Cambria Math" panose="02040503050406030204" pitchFamily="18" charset="0"/>
                    </a:rPr>
                    <m:t>V</m:t>
                  </m:r>
                  <m:r>
                    <a:rPr lang="es-MX" sz="1000" b="0" i="0">
                      <a:latin typeface="Cambria Math" panose="02040503050406030204" pitchFamily="18" charset="0"/>
                    </a:rPr>
                    <m:t> 1.</m:t>
                  </m:r>
                  <m:r>
                    <a:rPr lang="es-MX" sz="1000" b="0" i="1">
                      <a:latin typeface="Cambria Math" panose="02040503050406030204" pitchFamily="18" charset="0"/>
                    </a:rPr>
                    <m:t>343</m:t>
                  </m:r>
                  <m:f>
                    <m:fPr>
                      <m:ctrlPr>
                        <a:rPr lang="es-MX" sz="1000" i="1">
                          <a:latin typeface="Cambria Math" panose="02040503050406030204" pitchFamily="18" charset="0"/>
                        </a:rPr>
                      </m:ctrlPr>
                    </m:fPr>
                    <m:num>
                      <m:r>
                        <m:rPr>
                          <m:sty m:val="p"/>
                        </m:rPr>
                        <a:rPr lang="es-MX" sz="1000" b="0" i="0">
                          <a:latin typeface="Cambria Math" panose="02040503050406030204" pitchFamily="18" charset="0"/>
                        </a:rPr>
                        <m:t>kg</m:t>
                      </m:r>
                      <m:r>
                        <a:rPr lang="es-MX" sz="1000" b="0" i="1">
                          <a:latin typeface="Cambria Math" panose="02040503050406030204" pitchFamily="18" charset="0"/>
                        </a:rPr>
                        <m:t>𝐶𝑂</m:t>
                      </m:r>
                      <m:r>
                        <a:rPr lang="es-MX" sz="1000" b="0" i="1">
                          <a:latin typeface="Cambria Math" panose="02040503050406030204" pitchFamily="18" charset="0"/>
                        </a:rPr>
                        <m:t>2</m:t>
                      </m:r>
                      <m:r>
                        <a:rPr lang="es-MX" sz="1000" b="0" i="1">
                          <a:latin typeface="Cambria Math" panose="02040503050406030204" pitchFamily="18" charset="0"/>
                        </a:rPr>
                        <m:t>𝑒</m:t>
                      </m:r>
                    </m:num>
                    <m:den>
                      <m:r>
                        <m:rPr>
                          <m:sty m:val="p"/>
                        </m:rPr>
                        <a:rPr lang="es-MX" sz="1000" b="0" i="0">
                          <a:latin typeface="Cambria Math" panose="02040503050406030204" pitchFamily="18" charset="0"/>
                        </a:rPr>
                        <m:t>kg</m:t>
                      </m:r>
                    </m:den>
                  </m:f>
                </m:oMath>
              </a14:m>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000" b="0" i="0">
                      <a:solidFill>
                        <a:schemeClr val="tx1"/>
                      </a:solidFill>
                      <a:effectLst/>
                      <a:latin typeface="Cambria Math" panose="02040503050406030204" pitchFamily="18" charset="0"/>
                      <a:ea typeface="+mn-ea"/>
                      <a:cs typeface="+mn-cs"/>
                    </a:rPr>
                    <m:t>Emisi</m:t>
                  </m:r>
                  <m:r>
                    <a:rPr lang="es-MX" sz="1000" b="0" i="0">
                      <a:solidFill>
                        <a:schemeClr val="tx1"/>
                      </a:solidFill>
                      <a:effectLst/>
                      <a:latin typeface="Cambria Math" panose="02040503050406030204" pitchFamily="18" charset="0"/>
                      <a:ea typeface="+mn-ea"/>
                      <a:cs typeface="+mn-cs"/>
                    </a:rPr>
                    <m:t>ó</m:t>
                  </m:r>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de</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CO</m:t>
                  </m:r>
                  <m:r>
                    <a:rPr lang="es-MX" sz="1000" b="0" i="0">
                      <a:solidFill>
                        <a:schemeClr val="tx1"/>
                      </a:solidFill>
                      <a:effectLst/>
                      <a:latin typeface="Cambria Math" panose="02040503050406030204" pitchFamily="18" charset="0"/>
                      <a:ea typeface="+mn-ea"/>
                      <a:cs typeface="+mn-cs"/>
                    </a:rPr>
                    <m:t>2 </m:t>
                  </m:r>
                  <m:r>
                    <m:rPr>
                      <m:sty m:val="p"/>
                    </m:rPr>
                    <a:rPr lang="es-MX" sz="1000" b="0" i="0">
                      <a:solidFill>
                        <a:schemeClr val="tx1"/>
                      </a:solidFill>
                      <a:effectLst/>
                      <a:latin typeface="Cambria Math" panose="02040503050406030204" pitchFamily="18" charset="0"/>
                      <a:ea typeface="+mn-ea"/>
                      <a:cs typeface="+mn-cs"/>
                    </a:rPr>
                    <m:t>con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Reciclada</m:t>
                  </m:r>
                  <m:r>
                    <a:rPr lang="es-MX" sz="1000" b="0" i="0">
                      <a:solidFill>
                        <a:schemeClr val="tx1"/>
                      </a:solidFill>
                      <a:effectLst/>
                      <a:latin typeface="Cambria Math" panose="02040503050406030204" pitchFamily="18" charset="0"/>
                      <a:ea typeface="+mn-ea"/>
                      <a:cs typeface="+mn-cs"/>
                    </a:rPr>
                    <m:t>  . </m:t>
                  </m:r>
                  <m:r>
                    <a:rPr lang="es-MX" sz="1000" b="0" i="1">
                      <a:solidFill>
                        <a:schemeClr val="tx1"/>
                      </a:solidFill>
                      <a:effectLst/>
                      <a:latin typeface="Cambria Math" panose="02040503050406030204" pitchFamily="18" charset="0"/>
                      <a:ea typeface="+mn-ea"/>
                      <a:cs typeface="+mn-cs"/>
                    </a:rPr>
                    <m:t>672</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𝑘𝑔𝐶𝑂</m:t>
                      </m:r>
                      <m:r>
                        <a:rPr lang="es-MX" sz="1000" b="0" i="1">
                          <a:solidFill>
                            <a:schemeClr val="tx1"/>
                          </a:solidFill>
                          <a:effectLst/>
                          <a:latin typeface="Cambria Math" panose="02040503050406030204" pitchFamily="18" charset="0"/>
                          <a:ea typeface="+mn-ea"/>
                          <a:cs typeface="+mn-cs"/>
                        </a:rPr>
                        <m:t>2</m:t>
                      </m:r>
                      <m:r>
                        <a:rPr lang="es-MX" sz="1000" b="0" i="1">
                          <a:solidFill>
                            <a:schemeClr val="tx1"/>
                          </a:solidFill>
                          <a:effectLst/>
                          <a:latin typeface="Cambria Math" panose="02040503050406030204" pitchFamily="18" charset="0"/>
                          <a:ea typeface="+mn-ea"/>
                          <a:cs typeface="+mn-cs"/>
                        </a:rPr>
                        <m:t>𝑒</m:t>
                      </m:r>
                    </m:num>
                    <m:den>
                      <m:r>
                        <m:rPr>
                          <m:sty m:val="p"/>
                        </m:rPr>
                        <a:rPr lang="es-MX" sz="1000" b="0" i="0">
                          <a:solidFill>
                            <a:schemeClr val="tx1"/>
                          </a:solidFill>
                          <a:effectLst/>
                          <a:latin typeface="Cambria Math" panose="02040503050406030204" pitchFamily="18" charset="0"/>
                          <a:ea typeface="+mn-ea"/>
                          <a:cs typeface="+mn-cs"/>
                        </a:rPr>
                        <m:t>kg</m:t>
                      </m:r>
                    </m:den>
                  </m:f>
                </m:oMath>
              </a14:m>
              <a:r>
                <a:rPr lang="es-MX" sz="1000" i="0">
                  <a:solidFill>
                    <a:schemeClr val="tx1"/>
                  </a:solidFill>
                  <a:effectLst/>
                  <a:latin typeface="+mn-lt"/>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000" i="0">
                <a:solidFill>
                  <a:schemeClr val="tx1"/>
                </a:solidFill>
                <a:effectLst/>
                <a:latin typeface="+mn-lt"/>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mn-lt"/>
                  <a:ea typeface="+mn-ea"/>
                  <a:cs typeface="Arial" panose="020B0604020202020204" pitchFamily="34" charset="0"/>
                </a:rPr>
                <a:t>Nota. Resina</a:t>
              </a:r>
              <a:r>
                <a:rPr lang="es-MX" sz="1000" i="0" baseline="0">
                  <a:solidFill>
                    <a:schemeClr val="tx1"/>
                  </a:solidFill>
                  <a:effectLst/>
                  <a:latin typeface="+mn-lt"/>
                  <a:ea typeface="+mn-ea"/>
                  <a:cs typeface="Arial" panose="020B0604020202020204" pitchFamily="34" charset="0"/>
                </a:rPr>
                <a:t> Reciclada no es especifica en el tipo de material</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Choice>
      <mc:Fallback xmlns="">
        <xdr:sp macro="" textlink="">
          <xdr:nvSpPr>
            <xdr:cNvPr id="636" name="CuadroTexto 635">
              <a:extLst>
                <a:ext uri="{FF2B5EF4-FFF2-40B4-BE49-F238E27FC236}">
                  <a16:creationId xmlns:a16="http://schemas.microsoft.com/office/drawing/2014/main" id="{226546B5-49CE-47F0-ABC4-0DFA5F67EB39}"/>
                </a:ext>
              </a:extLst>
            </xdr:cNvPr>
            <xdr:cNvSpPr txBox="1"/>
          </xdr:nvSpPr>
          <xdr:spPr>
            <a:xfrm>
              <a:off x="941915" y="238317903"/>
              <a:ext cx="2518834" cy="11824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Emisión de CO2 con PP V 1.343 kg𝐶𝑂2𝑒/kg</a:t>
              </a:r>
              <a:r>
                <a:rPr lang="es-MX" sz="1000" i="0">
                  <a:latin typeface="+mn-lt"/>
                  <a:cs typeface="Arial" panose="020B0604020202020204" pitchFamily="34" charset="0"/>
                </a:rPr>
                <a:t> </a:t>
              </a:r>
            </a:p>
            <a:p>
              <a:endParaRPr lang="es-MX" sz="10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Emisión de CO2 con R. Reciclada  . 672 𝑘𝑔𝐶𝑂2𝑒/kg</a:t>
              </a:r>
              <a:r>
                <a:rPr lang="es-MX" sz="1000" i="0">
                  <a:solidFill>
                    <a:schemeClr val="tx1"/>
                  </a:solidFill>
                  <a:effectLst/>
                  <a:latin typeface="+mn-lt"/>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000" i="0">
                <a:solidFill>
                  <a:schemeClr val="tx1"/>
                </a:solidFill>
                <a:effectLst/>
                <a:latin typeface="+mn-lt"/>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00" i="0">
                  <a:solidFill>
                    <a:schemeClr val="tx1"/>
                  </a:solidFill>
                  <a:effectLst/>
                  <a:latin typeface="+mn-lt"/>
                  <a:ea typeface="+mn-ea"/>
                  <a:cs typeface="Arial" panose="020B0604020202020204" pitchFamily="34" charset="0"/>
                </a:rPr>
                <a:t>Nota. Resina</a:t>
              </a:r>
              <a:r>
                <a:rPr lang="es-MX" sz="1000" i="0" baseline="0">
                  <a:solidFill>
                    <a:schemeClr val="tx1"/>
                  </a:solidFill>
                  <a:effectLst/>
                  <a:latin typeface="+mn-lt"/>
                  <a:ea typeface="+mn-ea"/>
                  <a:cs typeface="Arial" panose="020B0604020202020204" pitchFamily="34" charset="0"/>
                </a:rPr>
                <a:t> Reciclada no es especifica en el tipo de material</a:t>
              </a:r>
              <a:endParaRPr lang="es-MX" sz="1000" i="0">
                <a:effectLst/>
                <a:latin typeface="+mn-lt"/>
                <a:cs typeface="Arial" panose="020B0604020202020204" pitchFamily="34" charset="0"/>
              </a:endParaRPr>
            </a:p>
            <a:p>
              <a:endParaRPr lang="es-MX" sz="1000" i="0">
                <a:latin typeface="+mn-lt"/>
                <a:cs typeface="Arial" panose="020B0604020202020204" pitchFamily="34" charset="0"/>
              </a:endParaRPr>
            </a:p>
            <a:p>
              <a:endParaRPr lang="es-MX" sz="1000" i="0">
                <a:latin typeface="+mn-lt"/>
                <a:cs typeface="Arial" panose="020B0604020202020204" pitchFamily="34" charset="0"/>
              </a:endParaRPr>
            </a:p>
          </xdr:txBody>
        </xdr:sp>
      </mc:Fallback>
    </mc:AlternateContent>
    <xdr:clientData/>
  </xdr:oneCellAnchor>
  <xdr:oneCellAnchor>
    <xdr:from>
      <xdr:col>8</xdr:col>
      <xdr:colOff>174137</xdr:colOff>
      <xdr:row>289</xdr:row>
      <xdr:rowOff>373690</xdr:rowOff>
    </xdr:from>
    <xdr:ext cx="1590255" cy="172227"/>
    <mc:AlternateContent xmlns:mc="http://schemas.openxmlformats.org/markup-compatibility/2006" xmlns:a14="http://schemas.microsoft.com/office/drawing/2010/main">
      <mc:Choice Requires="a14">
        <xdr:sp macro="" textlink="">
          <xdr:nvSpPr>
            <xdr:cNvPr id="637" name="CuadroTexto 636">
              <a:extLst>
                <a:ext uri="{FF2B5EF4-FFF2-40B4-BE49-F238E27FC236}">
                  <a16:creationId xmlns:a16="http://schemas.microsoft.com/office/drawing/2014/main" id="{60568385-9A89-4CBA-8FB1-432FD11D40F1}"/>
                </a:ext>
              </a:extLst>
            </xdr:cNvPr>
            <xdr:cNvSpPr txBox="1"/>
          </xdr:nvSpPr>
          <xdr:spPr>
            <a:xfrm>
              <a:off x="7032137" y="229042963"/>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𝑃𝑣</m:t>
                  </m:r>
                  <m:r>
                    <a:rPr lang="es-MX" sz="1100" b="0" i="1">
                      <a:latin typeface="Cambria Math" panose="02040503050406030204" pitchFamily="18" charset="0"/>
                    </a:rPr>
                    <m:t> −</m:t>
                  </m:r>
                  <m:r>
                    <a:rPr lang="es-MX" sz="1100" b="0" i="1">
                      <a:latin typeface="Cambria Math" panose="02040503050406030204" pitchFamily="18" charset="0"/>
                    </a:rPr>
                    <m:t>𝑃𝑟</m:t>
                  </m:r>
                  <m:r>
                    <a:rPr lang="es-MX" sz="1100" b="0" i="1">
                      <a:latin typeface="Cambria Math" panose="02040503050406030204" pitchFamily="18" charset="0"/>
                    </a:rPr>
                    <m:t> </m:t>
                  </m:r>
                </m:oMath>
              </a14:m>
              <a:endParaRPr lang="es-MX" sz="1100"/>
            </a:p>
          </xdr:txBody>
        </xdr:sp>
      </mc:Choice>
      <mc:Fallback xmlns="">
        <xdr:sp macro="" textlink="">
          <xdr:nvSpPr>
            <xdr:cNvPr id="637" name="CuadroTexto 636">
              <a:extLst>
                <a:ext uri="{FF2B5EF4-FFF2-40B4-BE49-F238E27FC236}">
                  <a16:creationId xmlns:a16="http://schemas.microsoft.com/office/drawing/2014/main" id="{60568385-9A89-4CBA-8FB1-432FD11D40F1}"/>
                </a:ext>
              </a:extLst>
            </xdr:cNvPr>
            <xdr:cNvSpPr txBox="1"/>
          </xdr:nvSpPr>
          <xdr:spPr>
            <a:xfrm>
              <a:off x="7032137" y="229042963"/>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 </a:t>
              </a:r>
              <a:r>
                <a:rPr lang="es-MX" sz="1100" i="0">
                  <a:latin typeface="Cambria Math" panose="02040503050406030204" pitchFamily="18" charset="0"/>
                </a:rPr>
                <a:t>=</a:t>
              </a:r>
              <a:r>
                <a:rPr lang="es-MX" sz="1100" b="0" i="0">
                  <a:latin typeface="Cambria Math" panose="02040503050406030204" pitchFamily="18" charset="0"/>
                </a:rPr>
                <a:t>𝑃𝑣 −𝑃𝑟 </a:t>
              </a:r>
              <a:endParaRPr lang="es-MX" sz="1100"/>
            </a:p>
          </xdr:txBody>
        </xdr:sp>
      </mc:Fallback>
    </mc:AlternateContent>
    <xdr:clientData/>
  </xdr:oneCellAnchor>
  <xdr:oneCellAnchor>
    <xdr:from>
      <xdr:col>8</xdr:col>
      <xdr:colOff>152400</xdr:colOff>
      <xdr:row>289</xdr:row>
      <xdr:rowOff>986366</xdr:rowOff>
    </xdr:from>
    <xdr:ext cx="1572225" cy="375680"/>
    <mc:AlternateContent xmlns:mc="http://schemas.openxmlformats.org/markup-compatibility/2006" xmlns:a14="http://schemas.microsoft.com/office/drawing/2010/main">
      <mc:Choice Requires="a14">
        <xdr:sp macro="" textlink="">
          <xdr:nvSpPr>
            <xdr:cNvPr id="638" name="CuadroTexto 637">
              <a:extLst>
                <a:ext uri="{FF2B5EF4-FFF2-40B4-BE49-F238E27FC236}">
                  <a16:creationId xmlns:a16="http://schemas.microsoft.com/office/drawing/2014/main" id="{90ABBA63-A510-484B-9CB7-BE313D0D7AC3}"/>
                </a:ext>
              </a:extLst>
            </xdr:cNvPr>
            <xdr:cNvSpPr txBox="1"/>
          </xdr:nvSpPr>
          <xdr:spPr>
            <a:xfrm>
              <a:off x="7010400" y="229655639"/>
              <a:ext cx="15722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Pv representa</a:t>
              </a:r>
              <a:r>
                <a:rPr lang="es-MX" sz="800" b="0" baseline="0"/>
                <a:t> emisión de PP Dvirgen</a:t>
              </a:r>
            </a:p>
            <a:p>
              <a:r>
                <a:rPr lang="es-MX" sz="800" b="0" baseline="0"/>
                <a:t>Er representa emisión de PP reciclado</a:t>
              </a:r>
              <a:endParaRPr lang="es-MX" sz="800" b="0"/>
            </a:p>
          </xdr:txBody>
        </xdr:sp>
      </mc:Choice>
      <mc:Fallback xmlns="">
        <xdr:sp macro="" textlink="">
          <xdr:nvSpPr>
            <xdr:cNvPr id="638" name="CuadroTexto 637">
              <a:extLst>
                <a:ext uri="{FF2B5EF4-FFF2-40B4-BE49-F238E27FC236}">
                  <a16:creationId xmlns:a16="http://schemas.microsoft.com/office/drawing/2014/main" id="{90ABBA63-A510-484B-9CB7-BE313D0D7AC3}"/>
                </a:ext>
              </a:extLst>
            </xdr:cNvPr>
            <xdr:cNvSpPr txBox="1"/>
          </xdr:nvSpPr>
          <xdr:spPr>
            <a:xfrm>
              <a:off x="7010400" y="229655639"/>
              <a:ext cx="15722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Pv representa</a:t>
              </a:r>
              <a:r>
                <a:rPr lang="es-MX" sz="800" b="0" baseline="0"/>
                <a:t> emisión de PP Dvirgen</a:t>
              </a:r>
            </a:p>
            <a:p>
              <a:r>
                <a:rPr lang="es-MX" sz="800" b="0" baseline="0"/>
                <a:t>Er representa emisión de PP reciclado</a:t>
              </a:r>
              <a:endParaRPr lang="es-MX" sz="800" b="0"/>
            </a:p>
          </xdr:txBody>
        </xdr:sp>
      </mc:Fallback>
    </mc:AlternateContent>
    <xdr:clientData/>
  </xdr:oneCellAnchor>
  <xdr:oneCellAnchor>
    <xdr:from>
      <xdr:col>9</xdr:col>
      <xdr:colOff>338667</xdr:colOff>
      <xdr:row>289</xdr:row>
      <xdr:rowOff>986365</xdr:rowOff>
    </xdr:from>
    <xdr:ext cx="1655233" cy="196336"/>
    <mc:AlternateContent xmlns:mc="http://schemas.openxmlformats.org/markup-compatibility/2006" xmlns:a14="http://schemas.microsoft.com/office/drawing/2010/main">
      <mc:Choice Requires="a14">
        <xdr:sp macro="" textlink="">
          <xdr:nvSpPr>
            <xdr:cNvPr id="639" name="CuadroTexto 638">
              <a:extLst>
                <a:ext uri="{FF2B5EF4-FFF2-40B4-BE49-F238E27FC236}">
                  <a16:creationId xmlns:a16="http://schemas.microsoft.com/office/drawing/2014/main" id="{53E80869-174B-4069-ACE9-3404BAABFA1E}"/>
                </a:ext>
              </a:extLst>
            </xdr:cNvPr>
            <xdr:cNvSpPr txBox="1"/>
          </xdr:nvSpPr>
          <xdr:spPr>
            <a:xfrm>
              <a:off x="10165292" y="23900024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14:m>
                <m:oMath xmlns:m="http://schemas.openxmlformats.org/officeDocument/2006/math">
                  <m:r>
                    <a:rPr lang="es-MX" sz="800" i="1">
                      <a:latin typeface="Cambria Math" panose="02040503050406030204" pitchFamily="18" charset="0"/>
                    </a:rPr>
                    <m:t>=</m:t>
                  </m:r>
                  <m:r>
                    <a:rPr lang="es-MX" sz="800" b="0" i="0">
                      <a:latin typeface="Cambria Math" panose="02040503050406030204" pitchFamily="18" charset="0"/>
                    </a:rPr>
                    <m:t>1.343</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m:t>
                      </m:r>
                      <m:r>
                        <a:rPr lang="es-MX" sz="800" b="0" i="1">
                          <a:solidFill>
                            <a:schemeClr val="tx1"/>
                          </a:solidFill>
                          <a:effectLst/>
                          <a:latin typeface="Cambria Math" panose="02040503050406030204" pitchFamily="18" charset="0"/>
                          <a:ea typeface="+mn-ea"/>
                          <a:cs typeface="+mn-cs"/>
                        </a:rPr>
                        <m:t>𝑔𝐶𝑂</m:t>
                      </m:r>
                      <m:r>
                        <a:rPr lang="es-MX" sz="800" b="0" i="1">
                          <a:solidFill>
                            <a:schemeClr val="tx1"/>
                          </a:solidFill>
                          <a:effectLst/>
                          <a:latin typeface="Cambria Math" panose="02040503050406030204" pitchFamily="18" charset="0"/>
                          <a:ea typeface="+mn-ea"/>
                          <a:cs typeface="+mn-cs"/>
                        </a:rPr>
                        <m:t>2</m:t>
                      </m:r>
                      <m:r>
                        <a:rPr lang="es-MX" sz="800" b="0" i="1">
                          <a:solidFill>
                            <a:schemeClr val="tx1"/>
                          </a:solidFill>
                          <a:effectLst/>
                          <a:latin typeface="Cambria Math" panose="02040503050406030204" pitchFamily="18" charset="0"/>
                          <a:ea typeface="+mn-ea"/>
                          <a:cs typeface="+mn-cs"/>
                        </a:rPr>
                        <m:t>𝑒</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.672</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r>
                        <m:rPr>
                          <m:sty m:val="p"/>
                        </m:rPr>
                        <a:rPr lang="es-MX" sz="800" b="0" i="0">
                          <a:solidFill>
                            <a:schemeClr val="tx1"/>
                          </a:solidFill>
                          <a:effectLst/>
                          <a:latin typeface="Cambria Math" panose="02040503050406030204" pitchFamily="18" charset="0"/>
                          <a:ea typeface="+mn-ea"/>
                          <a:cs typeface="+mn-cs"/>
                        </a:rPr>
                        <m:t>e</m:t>
                      </m:r>
                    </m:num>
                    <m:den>
                      <m:r>
                        <m:rPr>
                          <m:sty m:val="p"/>
                        </m:rPr>
                        <a:rPr lang="es-MX" sz="800" b="0" i="0">
                          <a:solidFill>
                            <a:schemeClr val="tx1"/>
                          </a:solidFill>
                          <a:effectLst/>
                          <a:latin typeface="Cambria Math" panose="02040503050406030204" pitchFamily="18" charset="0"/>
                          <a:ea typeface="+mn-ea"/>
                          <a:cs typeface="+mn-cs"/>
                        </a:rPr>
                        <m:t>kg</m:t>
                      </m:r>
                    </m:den>
                  </m:f>
                  <m:r>
                    <a:rPr lang="es-MX" sz="800" b="0" i="1">
                      <a:latin typeface="Cambria Math" panose="02040503050406030204" pitchFamily="18" charset="0"/>
                    </a:rPr>
                    <m:t> </m:t>
                  </m:r>
                </m:oMath>
              </a14:m>
              <a:endParaRPr lang="es-MX" sz="800"/>
            </a:p>
          </xdr:txBody>
        </xdr:sp>
      </mc:Choice>
      <mc:Fallback xmlns="">
        <xdr:sp macro="" textlink="">
          <xdr:nvSpPr>
            <xdr:cNvPr id="639" name="CuadroTexto 638">
              <a:extLst>
                <a:ext uri="{FF2B5EF4-FFF2-40B4-BE49-F238E27FC236}">
                  <a16:creationId xmlns:a16="http://schemas.microsoft.com/office/drawing/2014/main" id="{53E80869-174B-4069-ACE9-3404BAABFA1E}"/>
                </a:ext>
              </a:extLst>
            </xdr:cNvPr>
            <xdr:cNvSpPr txBox="1"/>
          </xdr:nvSpPr>
          <xdr:spPr>
            <a:xfrm>
              <a:off x="10165292" y="239000240"/>
              <a:ext cx="1655233"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baseline="0"/>
                <a:t> A</a:t>
              </a:r>
              <a:r>
                <a:rPr lang="es-MX" sz="800" i="0">
                  <a:latin typeface="Cambria Math" panose="02040503050406030204" pitchFamily="18" charset="0"/>
                </a:rPr>
                <a:t>=</a:t>
              </a:r>
              <a:r>
                <a:rPr lang="es-MX" sz="800" b="0" i="0">
                  <a:latin typeface="Cambria Math" panose="02040503050406030204" pitchFamily="18" charset="0"/>
                </a:rPr>
                <a:t>1.343</a:t>
              </a:r>
              <a:r>
                <a:rPr lang="es-MX" sz="800" b="0" i="0">
                  <a:solidFill>
                    <a:schemeClr val="tx1"/>
                  </a:solidFill>
                  <a:effectLst/>
                  <a:latin typeface="Cambria Math" panose="02040503050406030204" pitchFamily="18" charset="0"/>
                  <a:ea typeface="+mn-ea"/>
                  <a:cs typeface="+mn-cs"/>
                </a:rPr>
                <a:t> k𝑔𝐶𝑂2𝑒/kg </a:t>
              </a:r>
              <a:r>
                <a:rPr lang="es-MX" sz="800" b="0" i="0">
                  <a:latin typeface="Cambria Math" panose="02040503050406030204" pitchFamily="18" charset="0"/>
                </a:rPr>
                <a:t> −.672</a:t>
              </a:r>
              <a:r>
                <a:rPr lang="es-MX" sz="800" b="0" i="0">
                  <a:solidFill>
                    <a:schemeClr val="tx1"/>
                  </a:solidFill>
                  <a:effectLst/>
                  <a:latin typeface="Cambria Math" panose="02040503050406030204" pitchFamily="18" charset="0"/>
                  <a:ea typeface="+mn-ea"/>
                  <a:cs typeface="+mn-cs"/>
                </a:rPr>
                <a:t> kgCO2e/kg </a:t>
              </a:r>
              <a:r>
                <a:rPr lang="es-MX" sz="800" b="0" i="0">
                  <a:latin typeface="Cambria Math" panose="02040503050406030204" pitchFamily="18" charset="0"/>
                </a:rPr>
                <a:t> </a:t>
              </a:r>
              <a:endParaRPr lang="es-MX" sz="800"/>
            </a:p>
          </xdr:txBody>
        </xdr:sp>
      </mc:Fallback>
    </mc:AlternateContent>
    <xdr:clientData/>
  </xdr:oneCellAnchor>
  <xdr:oneCellAnchor>
    <xdr:from>
      <xdr:col>12</xdr:col>
      <xdr:colOff>2371725</xdr:colOff>
      <xdr:row>289</xdr:row>
      <xdr:rowOff>962025</xdr:rowOff>
    </xdr:from>
    <xdr:ext cx="539751" cy="539751"/>
    <xdr:pic>
      <xdr:nvPicPr>
        <xdr:cNvPr id="640" name="Gráfico 639" descr="Inalámbrico">
          <a:hlinkClick xmlns:r="http://schemas.openxmlformats.org/officeDocument/2006/relationships" r:id="rId42"/>
          <a:extLst>
            <a:ext uri="{FF2B5EF4-FFF2-40B4-BE49-F238E27FC236}">
              <a16:creationId xmlns:a16="http://schemas.microsoft.com/office/drawing/2014/main" id="{24C1BA34-C962-47A4-9EDE-7946C0705E9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229631298"/>
          <a:ext cx="539751" cy="539751"/>
        </a:xfrm>
        <a:prstGeom prst="rect">
          <a:avLst/>
        </a:prstGeom>
      </xdr:spPr>
    </xdr:pic>
    <xdr:clientData/>
  </xdr:oneCellAnchor>
  <xdr:oneCellAnchor>
    <xdr:from>
      <xdr:col>10</xdr:col>
      <xdr:colOff>286439</xdr:colOff>
      <xdr:row>289</xdr:row>
      <xdr:rowOff>892451</xdr:rowOff>
    </xdr:from>
    <xdr:ext cx="1836481" cy="628650"/>
    <mc:AlternateContent xmlns:mc="http://schemas.openxmlformats.org/markup-compatibility/2006" xmlns:a14="http://schemas.microsoft.com/office/drawing/2010/main">
      <mc:Choice Requires="a14">
        <xdr:sp macro="" textlink="">
          <xdr:nvSpPr>
            <xdr:cNvPr id="641" name="CuadroTexto 640">
              <a:extLst>
                <a:ext uri="{FF2B5EF4-FFF2-40B4-BE49-F238E27FC236}">
                  <a16:creationId xmlns:a16="http://schemas.microsoft.com/office/drawing/2014/main" id="{3EBA2D19-D4BC-4759-95E6-1BF7162B5F8A}"/>
                </a:ext>
              </a:extLst>
            </xdr:cNvPr>
            <xdr:cNvSpPr txBox="1"/>
          </xdr:nvSpPr>
          <xdr:spPr>
            <a:xfrm>
              <a:off x="12668939" y="238906326"/>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𝑃𝑃</m:t>
                  </m:r>
                  <m:r>
                    <a:rPr lang="es-MX" sz="1050" b="0" i="1">
                      <a:latin typeface="Cambria Math" panose="02040503050406030204" pitchFamily="18" charset="0"/>
                    </a:rPr>
                    <m:t>=</m:t>
                  </m:r>
                  <m:r>
                    <a:rPr lang="es-MX" sz="1050" b="0" i="0">
                      <a:latin typeface="Cambria Math" panose="02040503050406030204" pitchFamily="18" charset="0"/>
                    </a:rPr>
                    <m:t>.</m:t>
                  </m:r>
                </m:oMath>
              </a14:m>
              <a:r>
                <a:rPr lang="es-MX" sz="1050" b="0" i="0">
                  <a:latin typeface="Cambria Math" panose="02040503050406030204" pitchFamily="18" charset="0"/>
                </a:rPr>
                <a:t>671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𝑃𝑃</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671 </m:t>
                    </m:r>
                    <m:r>
                      <m:rPr>
                        <m:nor/>
                      </m:rPr>
                      <a:rPr lang="es-MX" sz="1100" b="0" i="0">
                        <a:solidFill>
                          <a:schemeClr val="tx1"/>
                        </a:solidFill>
                        <a:effectLst/>
                        <a:latin typeface="+mn-lt"/>
                        <a:ea typeface="+mn-ea"/>
                        <a:cs typeface="+mn-cs"/>
                      </a:rPr>
                      <m:t>kg</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CO</m:t>
                    </m:r>
                    <m:r>
                      <m:rPr>
                        <m:nor/>
                      </m:rPr>
                      <a:rPr lang="es-MX" sz="1100" b="0" i="0">
                        <a:solidFill>
                          <a:schemeClr val="tx1"/>
                        </a:solidFill>
                        <a:effectLst/>
                        <a:latin typeface="+mn-lt"/>
                        <a:ea typeface="+mn-ea"/>
                        <a:cs typeface="+mn-cs"/>
                      </a:rPr>
                      <m:t>2</m:t>
                    </m:r>
                    <m:r>
                      <m:rPr>
                        <m:nor/>
                      </m:rPr>
                      <a:rPr lang="es-MX" sz="1100" b="0" i="0">
                        <a:solidFill>
                          <a:schemeClr val="tx1"/>
                        </a:solidFill>
                        <a:effectLst/>
                        <a:latin typeface="+mn-lt"/>
                        <a:ea typeface="+mn-ea"/>
                        <a:cs typeface="+mn-cs"/>
                      </a:rPr>
                      <m:t>e</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Choice>
      <mc:Fallback xmlns="">
        <xdr:sp macro="" textlink="">
          <xdr:nvSpPr>
            <xdr:cNvPr id="641" name="CuadroTexto 640">
              <a:extLst>
                <a:ext uri="{FF2B5EF4-FFF2-40B4-BE49-F238E27FC236}">
                  <a16:creationId xmlns:a16="http://schemas.microsoft.com/office/drawing/2014/main" id="{3EBA2D19-D4BC-4759-95E6-1BF7162B5F8A}"/>
                </a:ext>
              </a:extLst>
            </xdr:cNvPr>
            <xdr:cNvSpPr txBox="1"/>
          </xdr:nvSpPr>
          <xdr:spPr>
            <a:xfrm>
              <a:off x="12668939" y="238906326"/>
              <a:ext cx="1836481"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𝑃𝑃=.671 kg CO2e</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𝑃𝑃=671 </a:t>
              </a:r>
              <a:r>
                <a:rPr lang="es-MX" sz="1100" b="0" i="0">
                  <a:solidFill>
                    <a:schemeClr val="tx1"/>
                  </a:solidFill>
                  <a:effectLst/>
                  <a:latin typeface="Cambria Math" panose="02040503050406030204" pitchFamily="18" charset="0"/>
                  <a:ea typeface="+mn-ea"/>
                  <a:cs typeface="+mn-cs"/>
                </a:rPr>
                <a:t>"kg CO2e</a:t>
              </a:r>
              <a:r>
                <a:rPr lang="es-MX" sz="1100" b="0" i="0">
                  <a:solidFill>
                    <a:schemeClr val="tx1"/>
                  </a:solidFill>
                  <a:effectLst/>
                  <a:latin typeface="+mn-lt"/>
                  <a:ea typeface="+mn-ea"/>
                  <a:cs typeface="+mn-cs"/>
                </a:rPr>
                <a:t>"</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a:p>
              <a:endParaRPr lang="es-MX" sz="1100" b="0"/>
            </a:p>
          </xdr:txBody>
        </xdr:sp>
      </mc:Fallback>
    </mc:AlternateContent>
    <xdr:clientData/>
  </xdr:oneCellAnchor>
  <xdr:oneCellAnchor>
    <xdr:from>
      <xdr:col>12</xdr:col>
      <xdr:colOff>2053167</xdr:colOff>
      <xdr:row>289</xdr:row>
      <xdr:rowOff>1062566</xdr:rowOff>
    </xdr:from>
    <xdr:ext cx="391583" cy="395432"/>
    <xdr:pic>
      <xdr:nvPicPr>
        <xdr:cNvPr id="642" name="Gráfico 641" descr="Hogar">
          <a:hlinkClick xmlns:r="http://schemas.openxmlformats.org/officeDocument/2006/relationships" r:id="rId75"/>
          <a:extLst>
            <a:ext uri="{FF2B5EF4-FFF2-40B4-BE49-F238E27FC236}">
              <a16:creationId xmlns:a16="http://schemas.microsoft.com/office/drawing/2014/main" id="{8E154047-7041-4171-B251-3467A939FF9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229731839"/>
          <a:ext cx="391583" cy="395432"/>
        </a:xfrm>
        <a:prstGeom prst="rect">
          <a:avLst/>
        </a:prstGeom>
      </xdr:spPr>
    </xdr:pic>
    <xdr:clientData/>
  </xdr:oneCellAnchor>
  <xdr:oneCellAnchor>
    <xdr:from>
      <xdr:col>12</xdr:col>
      <xdr:colOff>2371725</xdr:colOff>
      <xdr:row>287</xdr:row>
      <xdr:rowOff>962025</xdr:rowOff>
    </xdr:from>
    <xdr:ext cx="539751" cy="539751"/>
    <xdr:pic>
      <xdr:nvPicPr>
        <xdr:cNvPr id="643" name="Gráfico 642" descr="Inalámbrico">
          <a:hlinkClick xmlns:r="http://schemas.openxmlformats.org/officeDocument/2006/relationships" r:id="rId42"/>
          <a:extLst>
            <a:ext uri="{FF2B5EF4-FFF2-40B4-BE49-F238E27FC236}">
              <a16:creationId xmlns:a16="http://schemas.microsoft.com/office/drawing/2014/main" id="{683F91CA-DDEE-4D87-9FEB-E6CB4F6C61D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226791116"/>
          <a:ext cx="539751" cy="539751"/>
        </a:xfrm>
        <a:prstGeom prst="rect">
          <a:avLst/>
        </a:prstGeom>
      </xdr:spPr>
    </xdr:pic>
    <xdr:clientData/>
  </xdr:oneCellAnchor>
  <xdr:oneCellAnchor>
    <xdr:from>
      <xdr:col>12</xdr:col>
      <xdr:colOff>2053167</xdr:colOff>
      <xdr:row>287</xdr:row>
      <xdr:rowOff>1062566</xdr:rowOff>
    </xdr:from>
    <xdr:ext cx="391583" cy="395432"/>
    <xdr:pic>
      <xdr:nvPicPr>
        <xdr:cNvPr id="644" name="Gráfico 643" descr="Hogar">
          <a:hlinkClick xmlns:r="http://schemas.openxmlformats.org/officeDocument/2006/relationships" r:id="rId75"/>
          <a:extLst>
            <a:ext uri="{FF2B5EF4-FFF2-40B4-BE49-F238E27FC236}">
              <a16:creationId xmlns:a16="http://schemas.microsoft.com/office/drawing/2014/main" id="{86D2BA89-ED0F-40AA-B802-532A350F922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226891657"/>
          <a:ext cx="391583" cy="395432"/>
        </a:xfrm>
        <a:prstGeom prst="rect">
          <a:avLst/>
        </a:prstGeom>
      </xdr:spPr>
    </xdr:pic>
    <xdr:clientData/>
  </xdr:oneCellAnchor>
  <xdr:oneCellAnchor>
    <xdr:from>
      <xdr:col>12</xdr:col>
      <xdr:colOff>2371725</xdr:colOff>
      <xdr:row>289</xdr:row>
      <xdr:rowOff>962025</xdr:rowOff>
    </xdr:from>
    <xdr:ext cx="539751" cy="539751"/>
    <xdr:pic>
      <xdr:nvPicPr>
        <xdr:cNvPr id="645" name="Gráfico 644" descr="Inalámbrico">
          <a:hlinkClick xmlns:r="http://schemas.openxmlformats.org/officeDocument/2006/relationships" r:id="rId42"/>
          <a:extLst>
            <a:ext uri="{FF2B5EF4-FFF2-40B4-BE49-F238E27FC236}">
              <a16:creationId xmlns:a16="http://schemas.microsoft.com/office/drawing/2014/main" id="{5FE8FC89-7762-4612-91E8-E48E42E0198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229631298"/>
          <a:ext cx="539751" cy="539751"/>
        </a:xfrm>
        <a:prstGeom prst="rect">
          <a:avLst/>
        </a:prstGeom>
      </xdr:spPr>
    </xdr:pic>
    <xdr:clientData/>
  </xdr:oneCellAnchor>
  <xdr:oneCellAnchor>
    <xdr:from>
      <xdr:col>12</xdr:col>
      <xdr:colOff>2053167</xdr:colOff>
      <xdr:row>289</xdr:row>
      <xdr:rowOff>1062566</xdr:rowOff>
    </xdr:from>
    <xdr:ext cx="391583" cy="395432"/>
    <xdr:pic>
      <xdr:nvPicPr>
        <xdr:cNvPr id="646" name="Gráfico 645" descr="Hogar">
          <a:hlinkClick xmlns:r="http://schemas.openxmlformats.org/officeDocument/2006/relationships" r:id="rId75"/>
          <a:extLst>
            <a:ext uri="{FF2B5EF4-FFF2-40B4-BE49-F238E27FC236}">
              <a16:creationId xmlns:a16="http://schemas.microsoft.com/office/drawing/2014/main" id="{AE35E065-18DF-4DDF-AB39-E271712CE6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229731839"/>
          <a:ext cx="391583" cy="395432"/>
        </a:xfrm>
        <a:prstGeom prst="rect">
          <a:avLst/>
        </a:prstGeom>
      </xdr:spPr>
    </xdr:pic>
    <xdr:clientData/>
  </xdr:oneCellAnchor>
  <xdr:oneCellAnchor>
    <xdr:from>
      <xdr:col>12</xdr:col>
      <xdr:colOff>2371725</xdr:colOff>
      <xdr:row>289</xdr:row>
      <xdr:rowOff>962025</xdr:rowOff>
    </xdr:from>
    <xdr:ext cx="539751" cy="539751"/>
    <xdr:pic>
      <xdr:nvPicPr>
        <xdr:cNvPr id="647" name="Gráfico 646" descr="Inalámbrico">
          <a:hlinkClick xmlns:r="http://schemas.openxmlformats.org/officeDocument/2006/relationships" r:id="rId42"/>
          <a:extLst>
            <a:ext uri="{FF2B5EF4-FFF2-40B4-BE49-F238E27FC236}">
              <a16:creationId xmlns:a16="http://schemas.microsoft.com/office/drawing/2014/main" id="{2EB879CF-ECC4-468A-9D4E-1CED6A1A8DE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31566" y="229631298"/>
          <a:ext cx="539751" cy="539751"/>
        </a:xfrm>
        <a:prstGeom prst="rect">
          <a:avLst/>
        </a:prstGeom>
      </xdr:spPr>
    </xdr:pic>
    <xdr:clientData/>
  </xdr:oneCellAnchor>
  <xdr:oneCellAnchor>
    <xdr:from>
      <xdr:col>12</xdr:col>
      <xdr:colOff>2053167</xdr:colOff>
      <xdr:row>289</xdr:row>
      <xdr:rowOff>1062566</xdr:rowOff>
    </xdr:from>
    <xdr:ext cx="391583" cy="395432"/>
    <xdr:pic>
      <xdr:nvPicPr>
        <xdr:cNvPr id="648" name="Gráfico 647" descr="Hogar">
          <a:hlinkClick xmlns:r="http://schemas.openxmlformats.org/officeDocument/2006/relationships" r:id="rId75"/>
          <a:extLst>
            <a:ext uri="{FF2B5EF4-FFF2-40B4-BE49-F238E27FC236}">
              <a16:creationId xmlns:a16="http://schemas.microsoft.com/office/drawing/2014/main" id="{C52DC20E-9EDC-4C4D-A2FB-7275185AA2E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13008" y="229731839"/>
          <a:ext cx="391583" cy="395432"/>
        </a:xfrm>
        <a:prstGeom prst="rect">
          <a:avLst/>
        </a:prstGeom>
      </xdr:spPr>
    </xdr:pic>
    <xdr:clientData/>
  </xdr:oneCellAnchor>
  <xdr:oneCellAnchor>
    <xdr:from>
      <xdr:col>10</xdr:col>
      <xdr:colOff>259773</xdr:colOff>
      <xdr:row>301</xdr:row>
      <xdr:rowOff>207818</xdr:rowOff>
    </xdr:from>
    <xdr:ext cx="1459441" cy="351122"/>
    <mc:AlternateContent xmlns:mc="http://schemas.openxmlformats.org/markup-compatibility/2006" xmlns:a14="http://schemas.microsoft.com/office/drawing/2010/main">
      <mc:Choice Requires="a14">
        <xdr:sp macro="" textlink="">
          <xdr:nvSpPr>
            <xdr:cNvPr id="609" name="CuadroTexto 608">
              <a:extLst>
                <a:ext uri="{FF2B5EF4-FFF2-40B4-BE49-F238E27FC236}">
                  <a16:creationId xmlns:a16="http://schemas.microsoft.com/office/drawing/2014/main" id="{D56114A8-397C-435E-ADD7-6CE36CD9669E}"/>
                </a:ext>
              </a:extLst>
            </xdr:cNvPr>
            <xdr:cNvSpPr txBox="1"/>
          </xdr:nvSpPr>
          <xdr:spPr>
            <a:xfrm>
              <a:off x="10936432" y="249892704"/>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60.446</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den>
                    </m:f>
                    <m:r>
                      <a:rPr lang="es-MX" sz="1100" b="0" i="1">
                        <a:latin typeface="Cambria Math" panose="02040503050406030204" pitchFamily="18" charset="0"/>
                      </a:rPr>
                      <m:t> </m:t>
                    </m:r>
                  </m:oMath>
                </m:oMathPara>
              </a14:m>
              <a:endParaRPr lang="es-MX" sz="1100"/>
            </a:p>
          </xdr:txBody>
        </xdr:sp>
      </mc:Choice>
      <mc:Fallback xmlns="">
        <xdr:sp macro="" textlink="">
          <xdr:nvSpPr>
            <xdr:cNvPr id="609" name="CuadroTexto 608">
              <a:extLst>
                <a:ext uri="{FF2B5EF4-FFF2-40B4-BE49-F238E27FC236}">
                  <a16:creationId xmlns:a16="http://schemas.microsoft.com/office/drawing/2014/main" id="{D56114A8-397C-435E-ADD7-6CE36CD9669E}"/>
                </a:ext>
              </a:extLst>
            </xdr:cNvPr>
            <xdr:cNvSpPr txBox="1"/>
          </xdr:nvSpPr>
          <xdr:spPr>
            <a:xfrm>
              <a:off x="10936432" y="249892704"/>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60.446</a:t>
              </a:r>
              <a:r>
                <a:rPr lang="es-MX" sz="1100" b="0" i="0">
                  <a:solidFill>
                    <a:schemeClr val="tx1"/>
                  </a:solidFill>
                  <a:effectLst/>
                  <a:latin typeface="Cambria Math" panose="02040503050406030204" pitchFamily="18" charset="0"/>
                  <a:ea typeface="+mn-ea"/>
                  <a:cs typeface="+mn-cs"/>
                </a:rPr>
                <a:t> kwh/(1 𝑘𝑔)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2450524</xdr:colOff>
      <xdr:row>301</xdr:row>
      <xdr:rowOff>1039091</xdr:rowOff>
    </xdr:from>
    <xdr:ext cx="391583" cy="395432"/>
    <xdr:pic>
      <xdr:nvPicPr>
        <xdr:cNvPr id="610" name="Gráfico 609" descr="Hogar">
          <a:hlinkClick xmlns:r="http://schemas.openxmlformats.org/officeDocument/2006/relationships" r:id="rId80"/>
          <a:extLst>
            <a:ext uri="{FF2B5EF4-FFF2-40B4-BE49-F238E27FC236}">
              <a16:creationId xmlns:a16="http://schemas.microsoft.com/office/drawing/2014/main" id="{32D0CD26-EF38-49B6-A059-973E7825D1E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10365" y="250723977"/>
          <a:ext cx="391583" cy="395432"/>
        </a:xfrm>
        <a:prstGeom prst="rect">
          <a:avLst/>
        </a:prstGeom>
      </xdr:spPr>
    </xdr:pic>
    <xdr:clientData/>
  </xdr:oneCellAnchor>
  <xdr:oneCellAnchor>
    <xdr:from>
      <xdr:col>9</xdr:col>
      <xdr:colOff>269684</xdr:colOff>
      <xdr:row>303</xdr:row>
      <xdr:rowOff>463551</xdr:rowOff>
    </xdr:from>
    <xdr:ext cx="2063750" cy="140872"/>
    <mc:AlternateContent xmlns:mc="http://schemas.openxmlformats.org/markup-compatibility/2006" xmlns:a14="http://schemas.microsoft.com/office/drawing/2010/main">
      <mc:Choice Requires="a14">
        <xdr:sp macro="" textlink="">
          <xdr:nvSpPr>
            <xdr:cNvPr id="627" name="CuadroTexto 626">
              <a:extLst>
                <a:ext uri="{FF2B5EF4-FFF2-40B4-BE49-F238E27FC236}">
                  <a16:creationId xmlns:a16="http://schemas.microsoft.com/office/drawing/2014/main" id="{CE8864D6-F346-4F77-BECF-44F055368941}"/>
                </a:ext>
              </a:extLst>
            </xdr:cNvPr>
            <xdr:cNvSpPr txBox="1"/>
          </xdr:nvSpPr>
          <xdr:spPr>
            <a:xfrm>
              <a:off x="10096309" y="254209551"/>
              <a:ext cx="2063750"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𝐸𝐴</m:t>
                    </m:r>
                    <m:r>
                      <a:rPr lang="es-MX" sz="900" i="1">
                        <a:latin typeface="Cambria Math" panose="02040503050406030204" pitchFamily="18" charset="0"/>
                      </a:rPr>
                      <m:t>=</m:t>
                    </m:r>
                    <m:r>
                      <a:rPr lang="es-MX" sz="900" b="0" i="1">
                        <a:latin typeface="Cambria Math" panose="02040503050406030204" pitchFamily="18" charset="0"/>
                      </a:rPr>
                      <m:t>14</m:t>
                    </m:r>
                    <m:r>
                      <a:rPr lang="es-MX" sz="900" b="0" i="1">
                        <a:latin typeface="Cambria Math" panose="02040503050406030204" pitchFamily="18" charset="0"/>
                      </a:rPr>
                      <m:t>𝑤</m:t>
                    </m:r>
                    <m:r>
                      <a:rPr lang="es-MX" sz="900" b="0" i="1">
                        <a:latin typeface="Cambria Math" panose="02040503050406030204" pitchFamily="18" charset="0"/>
                      </a:rPr>
                      <m:t>∗20</m:t>
                    </m:r>
                    <m:r>
                      <a:rPr lang="es-MX" sz="900" b="0" i="1">
                        <a:latin typeface="Cambria Math" panose="02040503050406030204" pitchFamily="18" charset="0"/>
                      </a:rPr>
                      <m:t>h</m:t>
                    </m:r>
                    <m:r>
                      <a:rPr lang="es-MX" sz="900" b="0" i="1">
                        <a:latin typeface="Cambria Math" panose="02040503050406030204" pitchFamily="18" charset="0"/>
                      </a:rPr>
                      <m:t>∗75 </m:t>
                    </m:r>
                    <m:r>
                      <a:rPr lang="es-MX" sz="900" b="0" i="1">
                        <a:latin typeface="Cambria Math" panose="02040503050406030204" pitchFamily="18" charset="0"/>
                      </a:rPr>
                      <m:t>𝑙𝑎𝑡𝑎𝑠</m:t>
                    </m:r>
                    <m:r>
                      <a:rPr lang="es-MX" sz="900" b="0" i="1">
                        <a:latin typeface="Cambria Math" panose="02040503050406030204" pitchFamily="18" charset="0"/>
                      </a:rPr>
                      <m:t>/1000</m:t>
                    </m:r>
                  </m:oMath>
                </m:oMathPara>
              </a14:m>
              <a:endParaRPr lang="es-MX" sz="900"/>
            </a:p>
          </xdr:txBody>
        </xdr:sp>
      </mc:Choice>
      <mc:Fallback xmlns="">
        <xdr:sp macro="" textlink="">
          <xdr:nvSpPr>
            <xdr:cNvPr id="627" name="CuadroTexto 626">
              <a:extLst>
                <a:ext uri="{FF2B5EF4-FFF2-40B4-BE49-F238E27FC236}">
                  <a16:creationId xmlns:a16="http://schemas.microsoft.com/office/drawing/2014/main" id="{CE8864D6-F346-4F77-BECF-44F055368941}"/>
                </a:ext>
              </a:extLst>
            </xdr:cNvPr>
            <xdr:cNvSpPr txBox="1"/>
          </xdr:nvSpPr>
          <xdr:spPr>
            <a:xfrm>
              <a:off x="10096309" y="254209551"/>
              <a:ext cx="2063750"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b="0" i="0">
                  <a:latin typeface="Cambria Math" panose="02040503050406030204" pitchFamily="18" charset="0"/>
                </a:rPr>
                <a:t>𝐸𝐴</a:t>
              </a:r>
              <a:r>
                <a:rPr lang="es-MX" sz="900" i="0">
                  <a:latin typeface="Cambria Math" panose="02040503050406030204" pitchFamily="18" charset="0"/>
                </a:rPr>
                <a:t>=</a:t>
              </a:r>
              <a:r>
                <a:rPr lang="es-MX" sz="900" b="0" i="0">
                  <a:latin typeface="Cambria Math" panose="02040503050406030204" pitchFamily="18" charset="0"/>
                </a:rPr>
                <a:t>14𝑤∗20ℎ∗75 𝑙𝑎𝑡𝑎𝑠/1000</a:t>
              </a:r>
              <a:endParaRPr lang="es-MX" sz="900"/>
            </a:p>
          </xdr:txBody>
        </xdr:sp>
      </mc:Fallback>
    </mc:AlternateContent>
    <xdr:clientData/>
  </xdr:oneCellAnchor>
  <xdr:oneCellAnchor>
    <xdr:from>
      <xdr:col>10</xdr:col>
      <xdr:colOff>296623</xdr:colOff>
      <xdr:row>303</xdr:row>
      <xdr:rowOff>874856</xdr:rowOff>
    </xdr:from>
    <xdr:ext cx="1459441" cy="321435"/>
    <mc:AlternateContent xmlns:mc="http://schemas.openxmlformats.org/markup-compatibility/2006" xmlns:a14="http://schemas.microsoft.com/office/drawing/2010/main">
      <mc:Choice Requires="a14">
        <xdr:sp macro="" textlink="">
          <xdr:nvSpPr>
            <xdr:cNvPr id="628" name="CuadroTexto 627">
              <a:extLst>
                <a:ext uri="{FF2B5EF4-FFF2-40B4-BE49-F238E27FC236}">
                  <a16:creationId xmlns:a16="http://schemas.microsoft.com/office/drawing/2014/main" id="{DEF446E7-9AE4-4A36-B853-07DCA5CD1D57}"/>
                </a:ext>
              </a:extLst>
            </xdr:cNvPr>
            <xdr:cNvSpPr txBox="1"/>
          </xdr:nvSpPr>
          <xdr:spPr>
            <a:xfrm>
              <a:off x="10973282" y="250559742"/>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21,</m:t>
                    </m:r>
                    <m:r>
                      <a:rPr lang="es-MX" sz="1100" b="0" i="1">
                        <a:latin typeface="Cambria Math" panose="02040503050406030204" pitchFamily="18" charset="0"/>
                      </a:rPr>
                      <m:t>000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628" name="CuadroTexto 627">
              <a:extLst>
                <a:ext uri="{FF2B5EF4-FFF2-40B4-BE49-F238E27FC236}">
                  <a16:creationId xmlns:a16="http://schemas.microsoft.com/office/drawing/2014/main" id="{DEF446E7-9AE4-4A36-B853-07DCA5CD1D57}"/>
                </a:ext>
              </a:extLst>
            </xdr:cNvPr>
            <xdr:cNvSpPr txBox="1"/>
          </xdr:nvSpPr>
          <xdr:spPr>
            <a:xfrm>
              <a:off x="10973282" y="250559742"/>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21,000</a:t>
              </a:r>
              <a:r>
                <a:rPr lang="es-MX" sz="1100" b="0" i="0">
                  <a:solidFill>
                    <a:schemeClr val="tx1"/>
                  </a:solidFill>
                  <a:effectLst/>
                  <a:latin typeface="Cambria Math" panose="02040503050406030204" pitchFamily="18" charset="0"/>
                  <a:ea typeface="+mn-ea"/>
                  <a:cs typeface="+mn-cs"/>
                </a:rPr>
                <a:t> kwh/(1 ton)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259773</xdr:colOff>
      <xdr:row>303</xdr:row>
      <xdr:rowOff>207818</xdr:rowOff>
    </xdr:from>
    <xdr:ext cx="1459441" cy="351122"/>
    <mc:AlternateContent xmlns:mc="http://schemas.openxmlformats.org/markup-compatibility/2006" xmlns:a14="http://schemas.microsoft.com/office/drawing/2010/main">
      <mc:Choice Requires="a14">
        <xdr:sp macro="" textlink="">
          <xdr:nvSpPr>
            <xdr:cNvPr id="629" name="CuadroTexto 628">
              <a:extLst>
                <a:ext uri="{FF2B5EF4-FFF2-40B4-BE49-F238E27FC236}">
                  <a16:creationId xmlns:a16="http://schemas.microsoft.com/office/drawing/2014/main" id="{2B67003D-EC30-4157-B467-6013FF8CFCA1}"/>
                </a:ext>
              </a:extLst>
            </xdr:cNvPr>
            <xdr:cNvSpPr txBox="1"/>
          </xdr:nvSpPr>
          <xdr:spPr>
            <a:xfrm>
              <a:off x="10936432" y="249892704"/>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21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den>
                    </m:f>
                    <m:r>
                      <a:rPr lang="es-MX" sz="1100" b="0" i="1">
                        <a:latin typeface="Cambria Math" panose="02040503050406030204" pitchFamily="18" charset="0"/>
                      </a:rPr>
                      <m:t> </m:t>
                    </m:r>
                  </m:oMath>
                </m:oMathPara>
              </a14:m>
              <a:endParaRPr lang="es-MX" sz="1100"/>
            </a:p>
          </xdr:txBody>
        </xdr:sp>
      </mc:Choice>
      <mc:Fallback xmlns="">
        <xdr:sp macro="" textlink="">
          <xdr:nvSpPr>
            <xdr:cNvPr id="629" name="CuadroTexto 628">
              <a:extLst>
                <a:ext uri="{FF2B5EF4-FFF2-40B4-BE49-F238E27FC236}">
                  <a16:creationId xmlns:a16="http://schemas.microsoft.com/office/drawing/2014/main" id="{2B67003D-EC30-4157-B467-6013FF8CFCA1}"/>
                </a:ext>
              </a:extLst>
            </xdr:cNvPr>
            <xdr:cNvSpPr txBox="1"/>
          </xdr:nvSpPr>
          <xdr:spPr>
            <a:xfrm>
              <a:off x="10936432" y="249892704"/>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21</a:t>
              </a:r>
              <a:r>
                <a:rPr lang="es-MX" sz="1100" b="0" i="0">
                  <a:solidFill>
                    <a:schemeClr val="tx1"/>
                  </a:solidFill>
                  <a:effectLst/>
                  <a:latin typeface="Cambria Math" panose="02040503050406030204" pitchFamily="18" charset="0"/>
                  <a:ea typeface="+mn-ea"/>
                  <a:cs typeface="+mn-cs"/>
                </a:rPr>
                <a:t> kwh/(1 𝑘𝑔)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2031424</xdr:colOff>
      <xdr:row>380</xdr:row>
      <xdr:rowOff>858116</xdr:rowOff>
    </xdr:from>
    <xdr:ext cx="391583" cy="395432"/>
    <xdr:pic>
      <xdr:nvPicPr>
        <xdr:cNvPr id="630" name="Gráfico 629" descr="Hogar">
          <a:hlinkClick xmlns:r="http://schemas.openxmlformats.org/officeDocument/2006/relationships" r:id="rId81"/>
          <a:extLst>
            <a:ext uri="{FF2B5EF4-FFF2-40B4-BE49-F238E27FC236}">
              <a16:creationId xmlns:a16="http://schemas.microsoft.com/office/drawing/2014/main" id="{0BE64ECB-CE28-49C8-8DA3-6142F61AD2E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90399" y="304096016"/>
          <a:ext cx="391583" cy="395432"/>
        </a:xfrm>
        <a:prstGeom prst="rect">
          <a:avLst/>
        </a:prstGeom>
      </xdr:spPr>
    </xdr:pic>
    <xdr:clientData/>
  </xdr:oneCellAnchor>
  <xdr:oneCellAnchor>
    <xdr:from>
      <xdr:col>12</xdr:col>
      <xdr:colOff>2383848</xdr:colOff>
      <xdr:row>380</xdr:row>
      <xdr:rowOff>831273</xdr:rowOff>
    </xdr:from>
    <xdr:ext cx="452966" cy="448733"/>
    <xdr:pic>
      <xdr:nvPicPr>
        <xdr:cNvPr id="631" name="Gráfico 630" descr="Inalámbrico">
          <a:hlinkClick xmlns:r="http://schemas.openxmlformats.org/officeDocument/2006/relationships" r:id="rId82"/>
          <a:extLst>
            <a:ext uri="{FF2B5EF4-FFF2-40B4-BE49-F238E27FC236}">
              <a16:creationId xmlns:a16="http://schemas.microsoft.com/office/drawing/2014/main" id="{FE5F9484-CA7B-4767-999A-F6B9443C575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42823" y="304069173"/>
          <a:ext cx="452966" cy="448733"/>
        </a:xfrm>
        <a:prstGeom prst="rect">
          <a:avLst/>
        </a:prstGeom>
      </xdr:spPr>
    </xdr:pic>
    <xdr:clientData/>
  </xdr:oneCellAnchor>
  <xdr:oneCellAnchor>
    <xdr:from>
      <xdr:col>3</xdr:col>
      <xdr:colOff>114301</xdr:colOff>
      <xdr:row>331</xdr:row>
      <xdr:rowOff>104775</xdr:rowOff>
    </xdr:from>
    <xdr:ext cx="352424" cy="352424"/>
    <xdr:pic>
      <xdr:nvPicPr>
        <xdr:cNvPr id="649" name="Imagen 648">
          <a:extLst>
            <a:ext uri="{FF2B5EF4-FFF2-40B4-BE49-F238E27FC236}">
              <a16:creationId xmlns:a16="http://schemas.microsoft.com/office/drawing/2014/main" id="{714E29E2-FFDC-4735-B93E-9605CD84D6A2}"/>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71506" y="197419480"/>
          <a:ext cx="352424" cy="352424"/>
        </a:xfrm>
        <a:prstGeom prst="rect">
          <a:avLst/>
        </a:prstGeom>
      </xdr:spPr>
    </xdr:pic>
    <xdr:clientData/>
  </xdr:oneCellAnchor>
  <xdr:oneCellAnchor>
    <xdr:from>
      <xdr:col>4</xdr:col>
      <xdr:colOff>114300</xdr:colOff>
      <xdr:row>331</xdr:row>
      <xdr:rowOff>76200</xdr:rowOff>
    </xdr:from>
    <xdr:ext cx="381000" cy="381000"/>
    <xdr:pic>
      <xdr:nvPicPr>
        <xdr:cNvPr id="650" name="Gráfico 649" descr="Botella de agua">
          <a:extLst>
            <a:ext uri="{FF2B5EF4-FFF2-40B4-BE49-F238E27FC236}">
              <a16:creationId xmlns:a16="http://schemas.microsoft.com/office/drawing/2014/main" id="{1C97D1B0-5865-4DFD-82DD-792D92BA28D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51664" y="197390905"/>
          <a:ext cx="381000" cy="381000"/>
        </a:xfrm>
        <a:prstGeom prst="rect">
          <a:avLst/>
        </a:prstGeom>
      </xdr:spPr>
    </xdr:pic>
    <xdr:clientData/>
  </xdr:oneCellAnchor>
  <xdr:oneCellAnchor>
    <xdr:from>
      <xdr:col>5</xdr:col>
      <xdr:colOff>85725</xdr:colOff>
      <xdr:row>331</xdr:row>
      <xdr:rowOff>95250</xdr:rowOff>
    </xdr:from>
    <xdr:ext cx="361950" cy="361950"/>
    <xdr:pic>
      <xdr:nvPicPr>
        <xdr:cNvPr id="651" name="Gráfico 650" descr="Manzana">
          <a:extLst>
            <a:ext uri="{FF2B5EF4-FFF2-40B4-BE49-F238E27FC236}">
              <a16:creationId xmlns:a16="http://schemas.microsoft.com/office/drawing/2014/main" id="{1D63BFE0-3EBC-42B9-8FD5-FCEB7BB50EF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3248" y="197409955"/>
          <a:ext cx="361950" cy="361950"/>
        </a:xfrm>
        <a:prstGeom prst="rect">
          <a:avLst/>
        </a:prstGeom>
      </xdr:spPr>
    </xdr:pic>
    <xdr:clientData/>
  </xdr:oneCellAnchor>
  <xdr:oneCellAnchor>
    <xdr:from>
      <xdr:col>6</xdr:col>
      <xdr:colOff>95250</xdr:colOff>
      <xdr:row>331</xdr:row>
      <xdr:rowOff>104775</xdr:rowOff>
    </xdr:from>
    <xdr:ext cx="342900" cy="342900"/>
    <xdr:pic>
      <xdr:nvPicPr>
        <xdr:cNvPr id="652" name="Gráfico 651" descr="Buceo">
          <a:extLst>
            <a:ext uri="{FF2B5EF4-FFF2-40B4-BE49-F238E27FC236}">
              <a16:creationId xmlns:a16="http://schemas.microsoft.com/office/drawing/2014/main" id="{1C578B5C-AFED-48DC-B578-58E29305DA33}"/>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2932" y="197419480"/>
          <a:ext cx="342900" cy="342900"/>
        </a:xfrm>
        <a:prstGeom prst="rect">
          <a:avLst/>
        </a:prstGeom>
      </xdr:spPr>
    </xdr:pic>
    <xdr:clientData/>
  </xdr:oneCellAnchor>
  <xdr:oneCellAnchor>
    <xdr:from>
      <xdr:col>7</xdr:col>
      <xdr:colOff>114300</xdr:colOff>
      <xdr:row>331</xdr:row>
      <xdr:rowOff>114299</xdr:rowOff>
    </xdr:from>
    <xdr:ext cx="281199" cy="281199"/>
    <xdr:pic>
      <xdr:nvPicPr>
        <xdr:cNvPr id="653" name="Imagen 652">
          <a:extLst>
            <a:ext uri="{FF2B5EF4-FFF2-40B4-BE49-F238E27FC236}">
              <a16:creationId xmlns:a16="http://schemas.microsoft.com/office/drawing/2014/main" id="{3787E74E-6A51-46DA-AD10-E6F3CF1F486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2141" y="197429004"/>
          <a:ext cx="281199" cy="281199"/>
        </a:xfrm>
        <a:prstGeom prst="rect">
          <a:avLst/>
        </a:prstGeom>
      </xdr:spPr>
    </xdr:pic>
    <xdr:clientData/>
  </xdr:oneCellAnchor>
  <xdr:oneCellAnchor>
    <xdr:from>
      <xdr:col>2</xdr:col>
      <xdr:colOff>114301</xdr:colOff>
      <xdr:row>331</xdr:row>
      <xdr:rowOff>95250</xdr:rowOff>
    </xdr:from>
    <xdr:ext cx="315608" cy="315608"/>
    <xdr:pic>
      <xdr:nvPicPr>
        <xdr:cNvPr id="654" name="Imagen 653">
          <a:extLst>
            <a:ext uri="{FF2B5EF4-FFF2-40B4-BE49-F238E27FC236}">
              <a16:creationId xmlns:a16="http://schemas.microsoft.com/office/drawing/2014/main" id="{2AB0DAC1-CDF4-465E-8A22-15BAD87B085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91346" y="197409955"/>
          <a:ext cx="315608" cy="315608"/>
        </a:xfrm>
        <a:prstGeom prst="rect">
          <a:avLst/>
        </a:prstGeom>
      </xdr:spPr>
    </xdr:pic>
    <xdr:clientData/>
  </xdr:oneCellAnchor>
  <xdr:oneCellAnchor>
    <xdr:from>
      <xdr:col>2</xdr:col>
      <xdr:colOff>152400</xdr:colOff>
      <xdr:row>336</xdr:row>
      <xdr:rowOff>76200</xdr:rowOff>
    </xdr:from>
    <xdr:ext cx="323850" cy="323850"/>
    <xdr:pic>
      <xdr:nvPicPr>
        <xdr:cNvPr id="655" name="Gráfico 654" descr="Árbol de hojas podridas">
          <a:extLst>
            <a:ext uri="{FF2B5EF4-FFF2-40B4-BE49-F238E27FC236}">
              <a16:creationId xmlns:a16="http://schemas.microsoft.com/office/drawing/2014/main" id="{476BB899-1090-48E1-AC3E-ED68EECADD4A}"/>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9445" y="198689768"/>
          <a:ext cx="323850" cy="323850"/>
        </a:xfrm>
        <a:prstGeom prst="rect">
          <a:avLst/>
        </a:prstGeom>
      </xdr:spPr>
    </xdr:pic>
    <xdr:clientData/>
  </xdr:oneCellAnchor>
  <xdr:oneCellAnchor>
    <xdr:from>
      <xdr:col>2</xdr:col>
      <xdr:colOff>523874</xdr:colOff>
      <xdr:row>336</xdr:row>
      <xdr:rowOff>95250</xdr:rowOff>
    </xdr:from>
    <xdr:ext cx="693595" cy="285750"/>
    <xdr:pic>
      <xdr:nvPicPr>
        <xdr:cNvPr id="656" name="Imagen 655">
          <a:extLst>
            <a:ext uri="{FF2B5EF4-FFF2-40B4-BE49-F238E27FC236}">
              <a16:creationId xmlns:a16="http://schemas.microsoft.com/office/drawing/2014/main" id="{CD7BC8A5-FB40-4997-B56F-19E037F07034}"/>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900919" y="198708818"/>
          <a:ext cx="693595" cy="285750"/>
        </a:xfrm>
        <a:prstGeom prst="rect">
          <a:avLst/>
        </a:prstGeom>
      </xdr:spPr>
    </xdr:pic>
    <xdr:clientData/>
  </xdr:oneCellAnchor>
  <xdr:oneCellAnchor>
    <xdr:from>
      <xdr:col>4</xdr:col>
      <xdr:colOff>127001</xdr:colOff>
      <xdr:row>336</xdr:row>
      <xdr:rowOff>118532</xdr:rowOff>
    </xdr:from>
    <xdr:ext cx="317499" cy="317499"/>
    <xdr:pic>
      <xdr:nvPicPr>
        <xdr:cNvPr id="657" name="Imagen 656">
          <a:extLst>
            <a:ext uri="{FF2B5EF4-FFF2-40B4-BE49-F238E27FC236}">
              <a16:creationId xmlns:a16="http://schemas.microsoft.com/office/drawing/2014/main" id="{2BE95D08-B560-42D3-968B-3DBCB9388820}"/>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4365" y="198732100"/>
          <a:ext cx="317499" cy="317499"/>
        </a:xfrm>
        <a:prstGeom prst="rect">
          <a:avLst/>
        </a:prstGeom>
      </xdr:spPr>
    </xdr:pic>
    <xdr:clientData/>
  </xdr:oneCellAnchor>
  <xdr:oneCellAnchor>
    <xdr:from>
      <xdr:col>5</xdr:col>
      <xdr:colOff>21167</xdr:colOff>
      <xdr:row>336</xdr:row>
      <xdr:rowOff>57401</xdr:rowOff>
    </xdr:from>
    <xdr:ext cx="539750" cy="378631"/>
    <xdr:pic>
      <xdr:nvPicPr>
        <xdr:cNvPr id="658" name="Imagen 657">
          <a:extLst>
            <a:ext uri="{FF2B5EF4-FFF2-40B4-BE49-F238E27FC236}">
              <a16:creationId xmlns:a16="http://schemas.microsoft.com/office/drawing/2014/main" id="{E2ACFBE4-3FC3-4D8A-A7BD-9B34FF469E37}"/>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38690" y="198670969"/>
          <a:ext cx="539750" cy="378631"/>
        </a:xfrm>
        <a:prstGeom prst="rect">
          <a:avLst/>
        </a:prstGeom>
      </xdr:spPr>
    </xdr:pic>
    <xdr:clientData/>
  </xdr:oneCellAnchor>
  <xdr:oneCellAnchor>
    <xdr:from>
      <xdr:col>2</xdr:col>
      <xdr:colOff>561975</xdr:colOff>
      <xdr:row>344</xdr:row>
      <xdr:rowOff>28575</xdr:rowOff>
    </xdr:from>
    <xdr:ext cx="669925" cy="462224"/>
    <xdr:pic>
      <xdr:nvPicPr>
        <xdr:cNvPr id="659" name="Imagen 658">
          <a:extLst>
            <a:ext uri="{FF2B5EF4-FFF2-40B4-BE49-F238E27FC236}">
              <a16:creationId xmlns:a16="http://schemas.microsoft.com/office/drawing/2014/main" id="{0EFCF03B-94A1-4D14-91D0-DDCC67A5B043}"/>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9020" y="199941007"/>
          <a:ext cx="669925" cy="462224"/>
        </a:xfrm>
        <a:prstGeom prst="rect">
          <a:avLst/>
        </a:prstGeom>
      </xdr:spPr>
    </xdr:pic>
    <xdr:clientData/>
  </xdr:oneCellAnchor>
  <xdr:oneCellAnchor>
    <xdr:from>
      <xdr:col>2</xdr:col>
      <xdr:colOff>142876</xdr:colOff>
      <xdr:row>344</xdr:row>
      <xdr:rowOff>85725</xdr:rowOff>
    </xdr:from>
    <xdr:ext cx="333376" cy="333376"/>
    <xdr:pic>
      <xdr:nvPicPr>
        <xdr:cNvPr id="660" name="Imagen 659">
          <a:extLst>
            <a:ext uri="{FF2B5EF4-FFF2-40B4-BE49-F238E27FC236}">
              <a16:creationId xmlns:a16="http://schemas.microsoft.com/office/drawing/2014/main" id="{E8061056-B9A4-49C7-B530-EE53C05B7728}"/>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9921" y="199998157"/>
          <a:ext cx="333376" cy="333376"/>
        </a:xfrm>
        <a:prstGeom prst="rect">
          <a:avLst/>
        </a:prstGeom>
      </xdr:spPr>
    </xdr:pic>
    <xdr:clientData/>
  </xdr:oneCellAnchor>
  <xdr:oneCellAnchor>
    <xdr:from>
      <xdr:col>4</xdr:col>
      <xdr:colOff>66675</xdr:colOff>
      <xdr:row>344</xdr:row>
      <xdr:rowOff>128910</xdr:rowOff>
    </xdr:from>
    <xdr:ext cx="504825" cy="282360"/>
    <xdr:pic>
      <xdr:nvPicPr>
        <xdr:cNvPr id="661" name="Imagen 660">
          <a:extLst>
            <a:ext uri="{FF2B5EF4-FFF2-40B4-BE49-F238E27FC236}">
              <a16:creationId xmlns:a16="http://schemas.microsoft.com/office/drawing/2014/main" id="{721E074B-3146-4196-B02B-00183D9A712A}"/>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4039" y="200041342"/>
          <a:ext cx="504825" cy="282360"/>
        </a:xfrm>
        <a:prstGeom prst="rect">
          <a:avLst/>
        </a:prstGeom>
      </xdr:spPr>
    </xdr:pic>
    <xdr:clientData/>
  </xdr:oneCellAnchor>
  <xdr:oneCellAnchor>
    <xdr:from>
      <xdr:col>10</xdr:col>
      <xdr:colOff>565006</xdr:colOff>
      <xdr:row>345</xdr:row>
      <xdr:rowOff>365125</xdr:rowOff>
    </xdr:from>
    <xdr:ext cx="1201448" cy="626069"/>
    <mc:AlternateContent xmlns:mc="http://schemas.openxmlformats.org/markup-compatibility/2006" xmlns:a14="http://schemas.microsoft.com/office/drawing/2010/main">
      <mc:Choice Requires="a14">
        <xdr:sp macro="" textlink="">
          <xdr:nvSpPr>
            <xdr:cNvPr id="662" name="CuadroTexto 661">
              <a:extLst>
                <a:ext uri="{FF2B5EF4-FFF2-40B4-BE49-F238E27FC236}">
                  <a16:creationId xmlns:a16="http://schemas.microsoft.com/office/drawing/2014/main" id="{E5409AAC-83F3-4890-ABB3-CC43EEB01D06}"/>
                </a:ext>
              </a:extLst>
            </xdr:cNvPr>
            <xdr:cNvSpPr txBox="1"/>
          </xdr:nvSpPr>
          <xdr:spPr>
            <a:xfrm>
              <a:off x="11241665" y="269022080"/>
              <a:ext cx="1201448" cy="626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𝐴𝑙𝑢</m:t>
                    </m:r>
                    <m:r>
                      <a:rPr lang="es-MX" sz="1000" b="0" i="1">
                        <a:latin typeface="Cambria Math" panose="02040503050406030204" pitchFamily="18" charset="0"/>
                      </a:rPr>
                      <m:t>=.</m:t>
                    </m:r>
                    <m:r>
                      <a:rPr lang="es-MX" sz="1000" b="0" i="0">
                        <a:latin typeface="Cambria Math" panose="02040503050406030204" pitchFamily="18" charset="0"/>
                      </a:rPr>
                      <m:t>033 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𝐴𝑙𝑢</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33.3 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662" name="CuadroTexto 661">
              <a:extLst>
                <a:ext uri="{FF2B5EF4-FFF2-40B4-BE49-F238E27FC236}">
                  <a16:creationId xmlns:a16="http://schemas.microsoft.com/office/drawing/2014/main" id="{E5409AAC-83F3-4890-ABB3-CC43EEB01D06}"/>
                </a:ext>
              </a:extLst>
            </xdr:cNvPr>
            <xdr:cNvSpPr txBox="1"/>
          </xdr:nvSpPr>
          <xdr:spPr>
            <a:xfrm>
              <a:off x="11241665" y="269022080"/>
              <a:ext cx="1201448" cy="626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𝐴𝑙𝑢=.033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𝐴𝑙𝑢=33.3 m3</a:t>
              </a:r>
              <a:endParaRPr lang="es-MX" sz="1000">
                <a:effectLst/>
              </a:endParaRPr>
            </a:p>
            <a:p>
              <a:endParaRPr lang="es-MX" sz="1000" b="0"/>
            </a:p>
          </xdr:txBody>
        </xdr:sp>
      </mc:Fallback>
    </mc:AlternateContent>
    <xdr:clientData/>
  </xdr:oneCellAnchor>
  <xdr:oneCellAnchor>
    <xdr:from>
      <xdr:col>9</xdr:col>
      <xdr:colOff>285751</xdr:colOff>
      <xdr:row>345</xdr:row>
      <xdr:rowOff>325438</xdr:rowOff>
    </xdr:from>
    <xdr:ext cx="1897062" cy="351443"/>
    <mc:AlternateContent xmlns:mc="http://schemas.openxmlformats.org/markup-compatibility/2006" xmlns:a14="http://schemas.microsoft.com/office/drawing/2010/main">
      <mc:Choice Requires="a14">
        <xdr:sp macro="" textlink="">
          <xdr:nvSpPr>
            <xdr:cNvPr id="663" name="CuadroTexto 662">
              <a:extLst>
                <a:ext uri="{FF2B5EF4-FFF2-40B4-BE49-F238E27FC236}">
                  <a16:creationId xmlns:a16="http://schemas.microsoft.com/office/drawing/2014/main" id="{825FF0BE-76F1-4140-A821-80D276200600}"/>
                </a:ext>
              </a:extLst>
            </xdr:cNvPr>
            <xdr:cNvSpPr txBox="1"/>
          </xdr:nvSpPr>
          <xdr:spPr>
            <a:xfrm>
              <a:off x="10112376" y="2796143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𝑎𝑙𝑢</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.033)</m:t>
                        </m:r>
                      </m:den>
                    </m:f>
                    <m:r>
                      <a:rPr lang="es-MX" sz="1600" b="0" i="1">
                        <a:latin typeface="Cambria Math" panose="02040503050406030204" pitchFamily="18" charset="0"/>
                      </a:rPr>
                      <m:t> </m:t>
                    </m:r>
                  </m:oMath>
                </m:oMathPara>
              </a14:m>
              <a:endParaRPr lang="es-MX" sz="1600"/>
            </a:p>
          </xdr:txBody>
        </xdr:sp>
      </mc:Choice>
      <mc:Fallback xmlns="">
        <xdr:sp macro="" textlink="">
          <xdr:nvSpPr>
            <xdr:cNvPr id="663" name="CuadroTexto 662">
              <a:extLst>
                <a:ext uri="{FF2B5EF4-FFF2-40B4-BE49-F238E27FC236}">
                  <a16:creationId xmlns:a16="http://schemas.microsoft.com/office/drawing/2014/main" id="{825FF0BE-76F1-4140-A821-80D276200600}"/>
                </a:ext>
              </a:extLst>
            </xdr:cNvPr>
            <xdr:cNvSpPr txBox="1"/>
          </xdr:nvSpPr>
          <xdr:spPr>
            <a:xfrm>
              <a:off x="10112376" y="279614313"/>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30 𝑘𝑔 𝑎𝑙𝑢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.033))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12</xdr:col>
      <xdr:colOff>2485160</xdr:colOff>
      <xdr:row>332</xdr:row>
      <xdr:rowOff>233795</xdr:rowOff>
    </xdr:from>
    <xdr:ext cx="391583" cy="395432"/>
    <xdr:pic>
      <xdr:nvPicPr>
        <xdr:cNvPr id="664" name="Gráfico 663" descr="Hogar">
          <a:hlinkClick xmlns:r="http://schemas.openxmlformats.org/officeDocument/2006/relationships" r:id="rId83"/>
          <a:extLst>
            <a:ext uri="{FF2B5EF4-FFF2-40B4-BE49-F238E27FC236}">
              <a16:creationId xmlns:a16="http://schemas.microsoft.com/office/drawing/2014/main" id="{D624A088-1C47-4F08-89D1-6C7F5EC502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45001" y="257815772"/>
          <a:ext cx="391583" cy="395432"/>
        </a:xfrm>
        <a:prstGeom prst="rect">
          <a:avLst/>
        </a:prstGeom>
      </xdr:spPr>
    </xdr:pic>
    <xdr:clientData/>
  </xdr:oneCellAnchor>
  <xdr:oneCellAnchor>
    <xdr:from>
      <xdr:col>8</xdr:col>
      <xdr:colOff>1909762</xdr:colOff>
      <xdr:row>337</xdr:row>
      <xdr:rowOff>363537</xdr:rowOff>
    </xdr:from>
    <xdr:ext cx="1795463" cy="140872"/>
    <mc:AlternateContent xmlns:mc="http://schemas.openxmlformats.org/markup-compatibility/2006" xmlns:a14="http://schemas.microsoft.com/office/drawing/2010/main">
      <mc:Choice Requires="a14">
        <xdr:sp macro="" textlink="">
          <xdr:nvSpPr>
            <xdr:cNvPr id="666" name="CuadroTexto 665">
              <a:extLst>
                <a:ext uri="{FF2B5EF4-FFF2-40B4-BE49-F238E27FC236}">
                  <a16:creationId xmlns:a16="http://schemas.microsoft.com/office/drawing/2014/main" id="{C411E080-DAC1-41B6-8B94-3CE09E350FE1}"/>
                </a:ext>
              </a:extLst>
            </xdr:cNvPr>
            <xdr:cNvSpPr txBox="1"/>
          </xdr:nvSpPr>
          <xdr:spPr>
            <a:xfrm>
              <a:off x="8767762" y="138450060"/>
              <a:ext cx="1795463"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 </m:t>
                    </m:r>
                  </m:oMath>
                </m:oMathPara>
              </a14:m>
              <a:endParaRPr lang="es-MX" sz="900"/>
            </a:p>
          </xdr:txBody>
        </xdr:sp>
      </mc:Choice>
      <mc:Fallback xmlns="">
        <xdr:sp macro="" textlink="">
          <xdr:nvSpPr>
            <xdr:cNvPr id="666" name="CuadroTexto 665">
              <a:extLst>
                <a:ext uri="{FF2B5EF4-FFF2-40B4-BE49-F238E27FC236}">
                  <a16:creationId xmlns:a16="http://schemas.microsoft.com/office/drawing/2014/main" id="{C411E080-DAC1-41B6-8B94-3CE09E350FE1}"/>
                </a:ext>
              </a:extLst>
            </xdr:cNvPr>
            <xdr:cNvSpPr txBox="1"/>
          </xdr:nvSpPr>
          <xdr:spPr>
            <a:xfrm>
              <a:off x="8767762" y="138450060"/>
              <a:ext cx="1795463"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b="0" i="0">
                  <a:latin typeface="Cambria Math" panose="02040503050406030204" pitchFamily="18" charset="0"/>
                </a:rPr>
                <a:t> </a:t>
              </a:r>
              <a:endParaRPr lang="es-MX" sz="900"/>
            </a:p>
          </xdr:txBody>
        </xdr:sp>
      </mc:Fallback>
    </mc:AlternateContent>
    <xdr:clientData/>
  </xdr:oneCellAnchor>
  <xdr:oneCellAnchor>
    <xdr:from>
      <xdr:col>12</xdr:col>
      <xdr:colOff>2536031</xdr:colOff>
      <xdr:row>337</xdr:row>
      <xdr:rowOff>1103313</xdr:rowOff>
    </xdr:from>
    <xdr:ext cx="352425" cy="352425"/>
    <xdr:pic>
      <xdr:nvPicPr>
        <xdr:cNvPr id="671" name="Gráfico 670" descr="Hogar">
          <a:hlinkClick xmlns:r="http://schemas.openxmlformats.org/officeDocument/2006/relationships" r:id="rId84"/>
          <a:extLst>
            <a:ext uri="{FF2B5EF4-FFF2-40B4-BE49-F238E27FC236}">
              <a16:creationId xmlns:a16="http://schemas.microsoft.com/office/drawing/2014/main" id="{88AE52A6-A833-45EE-8D02-25764CAB861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95872" y="139189836"/>
          <a:ext cx="352425" cy="352425"/>
        </a:xfrm>
        <a:prstGeom prst="rect">
          <a:avLst/>
        </a:prstGeom>
      </xdr:spPr>
    </xdr:pic>
    <xdr:clientData/>
  </xdr:oneCellAnchor>
  <xdr:oneCellAnchor>
    <xdr:from>
      <xdr:col>12</xdr:col>
      <xdr:colOff>2464594</xdr:colOff>
      <xdr:row>338</xdr:row>
      <xdr:rowOff>1047750</xdr:rowOff>
    </xdr:from>
    <xdr:ext cx="352425" cy="352425"/>
    <xdr:pic>
      <xdr:nvPicPr>
        <xdr:cNvPr id="672" name="Gráfico 671" descr="Hogar">
          <a:hlinkClick xmlns:r="http://schemas.openxmlformats.org/officeDocument/2006/relationships" r:id="rId84"/>
          <a:extLst>
            <a:ext uri="{FF2B5EF4-FFF2-40B4-BE49-F238E27FC236}">
              <a16:creationId xmlns:a16="http://schemas.microsoft.com/office/drawing/2014/main" id="{91A30463-EA02-43DB-A239-2D5FD72C92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24435" y="140545705"/>
          <a:ext cx="352425" cy="352425"/>
        </a:xfrm>
        <a:prstGeom prst="rect">
          <a:avLst/>
        </a:prstGeom>
      </xdr:spPr>
    </xdr:pic>
    <xdr:clientData/>
  </xdr:oneCellAnchor>
  <xdr:oneCellAnchor>
    <xdr:from>
      <xdr:col>9</xdr:col>
      <xdr:colOff>340592</xdr:colOff>
      <xdr:row>337</xdr:row>
      <xdr:rowOff>200601</xdr:rowOff>
    </xdr:from>
    <xdr:ext cx="1401762" cy="545524"/>
    <mc:AlternateContent xmlns:mc="http://schemas.openxmlformats.org/markup-compatibility/2006" xmlns:a14="http://schemas.microsoft.com/office/drawing/2010/main">
      <mc:Choice Requires="a14">
        <xdr:sp macro="" textlink="">
          <xdr:nvSpPr>
            <xdr:cNvPr id="674" name="CuadroTexto 673">
              <a:extLst>
                <a:ext uri="{FF2B5EF4-FFF2-40B4-BE49-F238E27FC236}">
                  <a16:creationId xmlns:a16="http://schemas.microsoft.com/office/drawing/2014/main" id="{51BF7B51-3414-412B-9742-7D6BFA9334DD}"/>
                </a:ext>
              </a:extLst>
            </xdr:cNvPr>
            <xdr:cNvSpPr txBox="1"/>
          </xdr:nvSpPr>
          <xdr:spPr>
            <a:xfrm>
              <a:off x="10167217" y="270297851"/>
              <a:ext cx="1401762" cy="5455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 á</m:t>
                        </m:r>
                        <m:r>
                          <a:rPr lang="es-MX" sz="800" b="0" i="1">
                            <a:solidFill>
                              <a:schemeClr val="tx1"/>
                            </a:solidFill>
                            <a:effectLst/>
                            <a:latin typeface="Cambria Math" panose="02040503050406030204" pitchFamily="18" charset="0"/>
                            <a:ea typeface="+mn-ea"/>
                            <a:cs typeface="+mn-cs"/>
                          </a:rPr>
                          <m:t>𝑟𝑏𝑜𝑙</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?(.1794)</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38.46 </m:t>
                        </m:r>
                        <m:r>
                          <a:rPr lang="es-MX" sz="800" b="0" i="1">
                            <a:solidFill>
                              <a:schemeClr val="tx1"/>
                            </a:solidFill>
                            <a:effectLst/>
                            <a:latin typeface="Cambria Math" panose="02040503050406030204" pitchFamily="18" charset="0"/>
                            <a:ea typeface="+mn-ea"/>
                            <a:cs typeface="+mn-cs"/>
                          </a:rPr>
                          <m:t>𝑘𝑔𝐶𝑜</m:t>
                        </m:r>
                        <m:r>
                          <a:rPr lang="es-MX" sz="800" b="0" i="1">
                            <a:solidFill>
                              <a:schemeClr val="tx1"/>
                            </a:solidFill>
                            <a:effectLst/>
                            <a:latin typeface="Cambria Math" panose="02040503050406030204" pitchFamily="18" charset="0"/>
                            <a:ea typeface="+mn-ea"/>
                            <a:cs typeface="+mn-cs"/>
                          </a:rPr>
                          <m:t>2 </m:t>
                        </m:r>
                      </m:num>
                      <m:den>
                        <m:r>
                          <a:rPr lang="es-MX" sz="800" b="0" i="0">
                            <a:solidFill>
                              <a:schemeClr val="tx1"/>
                            </a:solidFill>
                            <a:effectLst/>
                            <a:latin typeface="Cambria Math" panose="02040503050406030204" pitchFamily="18" charset="0"/>
                            <a:ea typeface="+mn-ea"/>
                            <a:cs typeface="+mn-cs"/>
                          </a:rPr>
                          <m:t>6.9 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Co</m:t>
                        </m:r>
                        <m:r>
                          <a:rPr lang="es-MX" sz="800" b="0" i="0">
                            <a:solidFill>
                              <a:schemeClr val="tx1"/>
                            </a:solidFill>
                            <a:effectLst/>
                            <a:latin typeface="Cambria Math" panose="02040503050406030204" pitchFamily="18" charset="0"/>
                            <a:ea typeface="+mn-ea"/>
                            <a:cs typeface="+mn-cs"/>
                          </a:rPr>
                          <m:t>2</m:t>
                        </m:r>
                      </m:den>
                    </m:f>
                    <m:r>
                      <a:rPr lang="es-MX" sz="800" b="0" i="1">
                        <a:solidFill>
                          <a:schemeClr val="tx1"/>
                        </a:solidFill>
                        <a:effectLst/>
                        <a:latin typeface="Cambria Math" panose="02040503050406030204" pitchFamily="18" charset="0"/>
                        <a:ea typeface="+mn-ea"/>
                        <a:cs typeface="+mn-cs"/>
                      </a:rPr>
                      <m:t> </m:t>
                    </m:r>
                  </m:oMath>
                </m:oMathPara>
              </a14:m>
              <a:endParaRPr lang="es-MX" sz="800"/>
            </a:p>
            <a:p>
              <a:endParaRPr lang="es-MX" sz="800"/>
            </a:p>
            <a:p>
              <a:endParaRPr lang="es-MX" sz="800"/>
            </a:p>
          </xdr:txBody>
        </xdr:sp>
      </mc:Choice>
      <mc:Fallback xmlns="">
        <xdr:sp macro="" textlink="">
          <xdr:nvSpPr>
            <xdr:cNvPr id="674" name="CuadroTexto 673">
              <a:extLst>
                <a:ext uri="{FF2B5EF4-FFF2-40B4-BE49-F238E27FC236}">
                  <a16:creationId xmlns:a16="http://schemas.microsoft.com/office/drawing/2014/main" id="{51BF7B51-3414-412B-9742-7D6BFA9334DD}"/>
                </a:ext>
              </a:extLst>
            </xdr:cNvPr>
            <xdr:cNvSpPr txBox="1"/>
          </xdr:nvSpPr>
          <xdr:spPr>
            <a:xfrm>
              <a:off x="10167217" y="270297851"/>
              <a:ext cx="1401762" cy="5455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 á𝑟𝑏𝑜𝑙  )/(?(.1794))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38.46 𝑘𝑔𝐶𝑜2 )/(6.9 kg Co2)  </a:t>
              </a:r>
              <a:endParaRPr lang="es-MX" sz="800"/>
            </a:p>
            <a:p>
              <a:endParaRPr lang="es-MX" sz="800"/>
            </a:p>
            <a:p>
              <a:endParaRPr lang="es-MX" sz="800"/>
            </a:p>
          </xdr:txBody>
        </xdr:sp>
      </mc:Fallback>
    </mc:AlternateContent>
    <xdr:clientData/>
  </xdr:oneCellAnchor>
  <xdr:oneCellAnchor>
    <xdr:from>
      <xdr:col>10</xdr:col>
      <xdr:colOff>342397</xdr:colOff>
      <xdr:row>337</xdr:row>
      <xdr:rowOff>135711</xdr:rowOff>
    </xdr:from>
    <xdr:ext cx="1372104" cy="479084"/>
    <mc:AlternateContent xmlns:mc="http://schemas.openxmlformats.org/markup-compatibility/2006" xmlns:a14="http://schemas.microsoft.com/office/drawing/2010/main">
      <mc:Choice Requires="a14">
        <xdr:sp macro="" textlink="">
          <xdr:nvSpPr>
            <xdr:cNvPr id="675" name="CuadroTexto 674">
              <a:extLst>
                <a:ext uri="{FF2B5EF4-FFF2-40B4-BE49-F238E27FC236}">
                  <a16:creationId xmlns:a16="http://schemas.microsoft.com/office/drawing/2014/main" id="{7C258EEA-DDFA-4B5E-BF23-C6A8BE7F0B63}"/>
                </a:ext>
              </a:extLst>
            </xdr:cNvPr>
            <xdr:cNvSpPr txBox="1"/>
          </xdr:nvSpPr>
          <xdr:spPr>
            <a:xfrm>
              <a:off x="11019056" y="259614029"/>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1 </m:t>
                    </m:r>
                    <m:r>
                      <a:rPr lang="es-MX" sz="800" b="0" i="1">
                        <a:latin typeface="Cambria Math" panose="02040503050406030204" pitchFamily="18" charset="0"/>
                      </a:rPr>
                      <m:t>𝑘𝑔</m:t>
                    </m:r>
                    <m:r>
                      <a:rPr lang="es-MX" sz="800" b="0" i="1">
                        <a:latin typeface="Cambria Math" panose="02040503050406030204" pitchFamily="18" charset="0"/>
                      </a:rPr>
                      <m:t> </m:t>
                    </m:r>
                    <m:r>
                      <a:rPr lang="es-MX" sz="800" b="0" i="1">
                        <a:latin typeface="Cambria Math" panose="02040503050406030204" pitchFamily="18" charset="0"/>
                      </a:rPr>
                      <m:t>𝐴𝑙𝑢</m:t>
                    </m:r>
                    <m:r>
                      <a:rPr lang="es-MX" sz="800" b="0" i="1">
                        <a:latin typeface="Cambria Math" panose="02040503050406030204" pitchFamily="18" charset="0"/>
                      </a:rPr>
                      <m:t>=</m:t>
                    </m:r>
                    <m:r>
                      <a:rPr lang="es-MX" sz="800" b="0" i="0">
                        <a:latin typeface="Cambria Math" panose="02040503050406030204" pitchFamily="18" charset="0"/>
                      </a:rPr>
                      <m:t> . 1794 á</m:t>
                    </m:r>
                    <m:r>
                      <m:rPr>
                        <m:sty m:val="p"/>
                      </m:rPr>
                      <a:rPr lang="es-MX" sz="800" b="0" i="0">
                        <a:latin typeface="Cambria Math" panose="02040503050406030204" pitchFamily="18" charset="0"/>
                      </a:rPr>
                      <m:t>rboles</m:t>
                    </m:r>
                  </m:oMath>
                </m:oMathPara>
              </a14:m>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800" b="0" i="1">
                        <a:solidFill>
                          <a:schemeClr val="tx1"/>
                        </a:solidFill>
                        <a:effectLst/>
                        <a:latin typeface="Cambria Math" panose="02040503050406030204" pitchFamily="18" charset="0"/>
                        <a:ea typeface="+mn-ea"/>
                        <a:cs typeface="+mn-cs"/>
                      </a:rPr>
                      <m:t>1 </m:t>
                    </m:r>
                    <m:r>
                      <a:rPr lang="es-MX" sz="800" b="0" i="1">
                        <a:solidFill>
                          <a:schemeClr val="tx1"/>
                        </a:solidFill>
                        <a:effectLst/>
                        <a:latin typeface="Cambria Math" panose="02040503050406030204" pitchFamily="18" charset="0"/>
                        <a:ea typeface="+mn-ea"/>
                        <a:cs typeface="+mn-cs"/>
                      </a:rPr>
                      <m:t>𝑡𝑜𝑛</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𝐴𝑙𝑢</m:t>
                    </m:r>
                    <m:r>
                      <a:rPr lang="es-MX" sz="800" b="0" i="1">
                        <a:solidFill>
                          <a:schemeClr val="tx1"/>
                        </a:solidFill>
                        <a:effectLst/>
                        <a:latin typeface="Cambria Math" panose="02040503050406030204" pitchFamily="18" charset="0"/>
                        <a:ea typeface="+mn-ea"/>
                        <a:cs typeface="+mn-cs"/>
                      </a:rPr>
                      <m:t>=</m:t>
                    </m:r>
                    <m:r>
                      <a:rPr lang="es-MX" sz="800" b="0" i="0">
                        <a:solidFill>
                          <a:schemeClr val="tx1"/>
                        </a:solidFill>
                        <a:effectLst/>
                        <a:latin typeface="Cambria Math" panose="02040503050406030204" pitchFamily="18" charset="0"/>
                        <a:ea typeface="+mn-ea"/>
                        <a:cs typeface="+mn-cs"/>
                      </a:rPr>
                      <m:t>179.4 á</m:t>
                    </m:r>
                    <m:r>
                      <m:rPr>
                        <m:sty m:val="p"/>
                      </m:rPr>
                      <a:rPr lang="es-MX" sz="800" b="0" i="0">
                        <a:solidFill>
                          <a:schemeClr val="tx1"/>
                        </a:solidFill>
                        <a:effectLst/>
                        <a:latin typeface="Cambria Math" panose="02040503050406030204" pitchFamily="18" charset="0"/>
                        <a:ea typeface="+mn-ea"/>
                        <a:cs typeface="+mn-cs"/>
                      </a:rPr>
                      <m:t>rboles</m:t>
                    </m:r>
                  </m:oMath>
                </m:oMathPara>
              </a14:m>
              <a:endParaRPr lang="es-MX" sz="800">
                <a:effectLst/>
              </a:endParaRPr>
            </a:p>
          </xdr:txBody>
        </xdr:sp>
      </mc:Choice>
      <mc:Fallback xmlns="">
        <xdr:sp macro="" textlink="">
          <xdr:nvSpPr>
            <xdr:cNvPr id="675" name="CuadroTexto 674">
              <a:extLst>
                <a:ext uri="{FF2B5EF4-FFF2-40B4-BE49-F238E27FC236}">
                  <a16:creationId xmlns:a16="http://schemas.microsoft.com/office/drawing/2014/main" id="{7C258EEA-DDFA-4B5E-BF23-C6A8BE7F0B63}"/>
                </a:ext>
              </a:extLst>
            </xdr:cNvPr>
            <xdr:cNvSpPr txBox="1"/>
          </xdr:nvSpPr>
          <xdr:spPr>
            <a:xfrm>
              <a:off x="11019056" y="259614029"/>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r>
                <a:rPr lang="es-MX" sz="800" b="0" i="0">
                  <a:latin typeface="Cambria Math" panose="02040503050406030204" pitchFamily="18" charset="0"/>
                </a:rPr>
                <a:t>1 𝑘𝑔 𝐴𝑙𝑢= . 1794 árboles</a:t>
              </a:r>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0">
                  <a:solidFill>
                    <a:schemeClr val="tx1"/>
                  </a:solidFill>
                  <a:effectLst/>
                  <a:latin typeface="Cambria Math" panose="02040503050406030204" pitchFamily="18" charset="0"/>
                  <a:ea typeface="+mn-ea"/>
                  <a:cs typeface="+mn-cs"/>
                </a:rPr>
                <a:t>1 𝑡𝑜𝑛 𝐴𝑙𝑢=179.4 árboles</a:t>
              </a:r>
              <a:endParaRPr lang="es-MX" sz="800">
                <a:effectLst/>
              </a:endParaRPr>
            </a:p>
          </xdr:txBody>
        </xdr:sp>
      </mc:Fallback>
    </mc:AlternateContent>
    <xdr:clientData/>
  </xdr:oneCellAnchor>
  <xdr:oneCellAnchor>
    <xdr:from>
      <xdr:col>9</xdr:col>
      <xdr:colOff>330488</xdr:colOff>
      <xdr:row>338</xdr:row>
      <xdr:rowOff>335683</xdr:rowOff>
    </xdr:from>
    <xdr:ext cx="1827069" cy="738043"/>
    <mc:AlternateContent xmlns:mc="http://schemas.openxmlformats.org/markup-compatibility/2006" xmlns:a14="http://schemas.microsoft.com/office/drawing/2010/main">
      <mc:Choice Requires="a14">
        <xdr:sp macro="" textlink="">
          <xdr:nvSpPr>
            <xdr:cNvPr id="680" name="CuadroTexto 679">
              <a:extLst>
                <a:ext uri="{FF2B5EF4-FFF2-40B4-BE49-F238E27FC236}">
                  <a16:creationId xmlns:a16="http://schemas.microsoft.com/office/drawing/2014/main" id="{2D4E652B-1411-416A-98DB-7BD3FA747ABA}"/>
                </a:ext>
              </a:extLst>
            </xdr:cNvPr>
            <xdr:cNvSpPr txBox="1"/>
          </xdr:nvSpPr>
          <xdr:spPr>
            <a:xfrm>
              <a:off x="10157113" y="271845808"/>
              <a:ext cx="1827069" cy="738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274,000,000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?(377,410)</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726 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1</m:t>
                        </m:r>
                      </m:den>
                    </m:f>
                    <m:r>
                      <a:rPr lang="es-MX" sz="800" b="0" i="1">
                        <a:latin typeface="Cambria Math" panose="02040503050406030204" pitchFamily="18" charset="0"/>
                      </a:rPr>
                      <m:t> </m:t>
                    </m:r>
                  </m:oMath>
                </m:oMathPara>
              </a14:m>
              <a:endParaRPr lang="es-MX" sz="800" b="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377,410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?(.1794)</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 1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680" name="CuadroTexto 679">
              <a:extLst>
                <a:ext uri="{FF2B5EF4-FFF2-40B4-BE49-F238E27FC236}">
                  <a16:creationId xmlns:a16="http://schemas.microsoft.com/office/drawing/2014/main" id="{2D4E652B-1411-416A-98DB-7BD3FA747ABA}"/>
                </a:ext>
              </a:extLst>
            </xdr:cNvPr>
            <xdr:cNvSpPr txBox="1"/>
          </xdr:nvSpPr>
          <xdr:spPr>
            <a:xfrm>
              <a:off x="10157113" y="271845808"/>
              <a:ext cx="1827069" cy="738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274,000,000 á𝑟𝑏𝑜𝑙𝑒𝑠 )/(?(377,410))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726 𝐵. 𝐶ℎ𝑎𝑝𝑢)/1 </a:t>
              </a:r>
              <a:r>
                <a:rPr lang="es-MX" sz="800" b="0" i="0">
                  <a:latin typeface="Cambria Math" panose="02040503050406030204" pitchFamily="18" charset="0"/>
                </a:rPr>
                <a:t> </a:t>
              </a:r>
              <a:endParaRPr lang="es-MX" sz="800" b="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377,410 á𝑟𝑏𝑜𝑙𝑒𝑠 )/(?(.1794))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 1 𝐵. 𝐶ℎ𝑎𝑝𝑢)/(?())  </a:t>
              </a:r>
              <a:endParaRPr lang="es-MX" sz="800"/>
            </a:p>
          </xdr:txBody>
        </xdr:sp>
      </mc:Fallback>
    </mc:AlternateContent>
    <xdr:clientData/>
  </xdr:oneCellAnchor>
  <xdr:oneCellAnchor>
    <xdr:from>
      <xdr:col>10</xdr:col>
      <xdr:colOff>285606</xdr:colOff>
      <xdr:row>338</xdr:row>
      <xdr:rowOff>233769</xdr:rowOff>
    </xdr:from>
    <xdr:ext cx="1762126" cy="500810"/>
    <mc:AlternateContent xmlns:mc="http://schemas.openxmlformats.org/markup-compatibility/2006" xmlns:a14="http://schemas.microsoft.com/office/drawing/2010/main">
      <mc:Choice Requires="a14">
        <xdr:sp macro="" textlink="">
          <xdr:nvSpPr>
            <xdr:cNvPr id="681" name="CuadroTexto 680">
              <a:extLst>
                <a:ext uri="{FF2B5EF4-FFF2-40B4-BE49-F238E27FC236}">
                  <a16:creationId xmlns:a16="http://schemas.microsoft.com/office/drawing/2014/main" id="{A20CA827-EA2F-44A1-8551-4A5AB194804C}"/>
                </a:ext>
              </a:extLst>
            </xdr:cNvPr>
            <xdr:cNvSpPr txBox="1"/>
          </xdr:nvSpPr>
          <xdr:spPr>
            <a:xfrm>
              <a:off x="12668106" y="271743894"/>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𝐵𝑜𝑠𝑞𝑢𝑒</m:t>
                    </m:r>
                    <m:r>
                      <a:rPr lang="es-MX" sz="1000" b="0" i="1">
                        <a:latin typeface="Cambria Math" panose="02040503050406030204" pitchFamily="18" charset="0"/>
                      </a:rPr>
                      <m:t>=377,410 á</m:t>
                    </m:r>
                    <m:r>
                      <a:rPr lang="es-MX" sz="1000" b="0" i="1">
                        <a:latin typeface="Cambria Math" panose="02040503050406030204" pitchFamily="18" charset="0"/>
                      </a:rPr>
                      <m:t>𝑟𝑏𝑜𝑙𝑒𝑠</m:t>
                    </m:r>
                  </m:oMath>
                </m:oMathPara>
              </a14:m>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𝑎𝑙𝑢</m:t>
                    </m:r>
                    <m:r>
                      <a:rPr lang="es-MX" sz="1000" b="0" i="1">
                        <a:latin typeface="Cambria Math" panose="02040503050406030204" pitchFamily="18" charset="0"/>
                      </a:rPr>
                      <m:t>=</m:t>
                    </m:r>
                    <m:r>
                      <a:rPr lang="es-MX" sz="1000" b="0" i="0">
                        <a:latin typeface="Cambria Math" panose="02040503050406030204" pitchFamily="18" charset="0"/>
                      </a:rPr>
                      <m:t>0 </m:t>
                    </m:r>
                    <m:r>
                      <m:rPr>
                        <m:sty m:val="p"/>
                      </m:rPr>
                      <a:rPr lang="es-MX" sz="1000" b="0" i="0">
                        <a:latin typeface="Cambria Math" panose="02040503050406030204" pitchFamily="18" charset="0"/>
                      </a:rPr>
                      <m:t>B</m:t>
                    </m:r>
                    <m:r>
                      <a:rPr lang="es-MX" sz="1000" b="0" i="0">
                        <a:latin typeface="Cambria Math" panose="02040503050406030204" pitchFamily="18" charset="0"/>
                      </a:rPr>
                      <m:t>. </m:t>
                    </m:r>
                    <m:r>
                      <m:rPr>
                        <m:sty m:val="p"/>
                      </m:rPr>
                      <a:rPr lang="es-MX" sz="1000" b="0" i="0">
                        <a:latin typeface="Cambria Math" panose="02040503050406030204" pitchFamily="18" charset="0"/>
                      </a:rPr>
                      <m:t>Chapu</m:t>
                    </m:r>
                  </m:oMath>
                </m:oMathPara>
              </a14:m>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𝑎𝑙𝑢</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.00048 </m:t>
                    </m:r>
                    <m:r>
                      <m:rPr>
                        <m:sty m:val="p"/>
                      </m:rPr>
                      <a:rPr lang="es-MX" sz="1000" b="0" i="0">
                        <a:solidFill>
                          <a:schemeClr val="tx1"/>
                        </a:solidFill>
                        <a:effectLst/>
                        <a:latin typeface="Cambria Math" panose="02040503050406030204" pitchFamily="18" charset="0"/>
                        <a:ea typeface="+mn-ea"/>
                        <a:cs typeface="+mn-cs"/>
                      </a:rPr>
                      <m:t>B</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Chap</m:t>
                    </m:r>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681" name="CuadroTexto 680">
              <a:extLst>
                <a:ext uri="{FF2B5EF4-FFF2-40B4-BE49-F238E27FC236}">
                  <a16:creationId xmlns:a16="http://schemas.microsoft.com/office/drawing/2014/main" id="{A20CA827-EA2F-44A1-8551-4A5AB194804C}"/>
                </a:ext>
              </a:extLst>
            </xdr:cNvPr>
            <xdr:cNvSpPr txBox="1"/>
          </xdr:nvSpPr>
          <xdr:spPr>
            <a:xfrm>
              <a:off x="12668106" y="271743894"/>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𝐵𝑜𝑠𝑞𝑢𝑒=377,410 á𝑟𝑏𝑜𝑙𝑒𝑠</a:t>
              </a:r>
              <a:endParaRPr lang="es-MX" sz="1000" b="0" i="1">
                <a:latin typeface="Cambria Math" panose="02040503050406030204" pitchFamily="18" charset="0"/>
              </a:endParaRPr>
            </a:p>
            <a:p>
              <a:pPr/>
              <a:r>
                <a:rPr lang="es-MX" sz="1000" b="0" i="0">
                  <a:latin typeface="Cambria Math" panose="02040503050406030204" pitchFamily="18" charset="0"/>
                </a:rPr>
                <a:t>1 𝑘𝑔 𝑎𝑙𝑢=0 B. Chapu</a:t>
              </a: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𝑎𝑙𝑢=.00048 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8</xdr:col>
      <xdr:colOff>143933</xdr:colOff>
      <xdr:row>346</xdr:row>
      <xdr:rowOff>214842</xdr:rowOff>
    </xdr:from>
    <xdr:ext cx="1852084" cy="125227"/>
    <xdr:sp macro="" textlink="">
      <xdr:nvSpPr>
        <xdr:cNvPr id="682" name="CuadroTexto 681">
          <a:extLst>
            <a:ext uri="{FF2B5EF4-FFF2-40B4-BE49-F238E27FC236}">
              <a16:creationId xmlns:a16="http://schemas.microsoft.com/office/drawing/2014/main" id="{9D1FA1B8-9E82-49FF-A2B9-6911D7D62976}"/>
            </a:ext>
          </a:extLst>
        </xdr:cNvPr>
        <xdr:cNvSpPr txBox="1"/>
      </xdr:nvSpPr>
      <xdr:spPr>
        <a:xfrm>
          <a:off x="7001933" y="202040933"/>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380267</xdr:colOff>
      <xdr:row>346</xdr:row>
      <xdr:rowOff>726343</xdr:rowOff>
    </xdr:from>
    <xdr:ext cx="1868525" cy="375680"/>
    <mc:AlternateContent xmlns:mc="http://schemas.openxmlformats.org/markup-compatibility/2006" xmlns:a14="http://schemas.microsoft.com/office/drawing/2010/main">
      <mc:Choice Requires="a14">
        <xdr:sp macro="" textlink="">
          <xdr:nvSpPr>
            <xdr:cNvPr id="683" name="CuadroTexto 682">
              <a:extLst>
                <a:ext uri="{FF2B5EF4-FFF2-40B4-BE49-F238E27FC236}">
                  <a16:creationId xmlns:a16="http://schemas.microsoft.com/office/drawing/2014/main" id="{5CC2EBFA-3039-4FB7-A4E3-DB717072B991}"/>
                </a:ext>
              </a:extLst>
            </xdr:cNvPr>
            <xdr:cNvSpPr txBox="1"/>
          </xdr:nvSpPr>
          <xdr:spPr>
            <a:xfrm>
              <a:off x="7778017" y="28142809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683" name="CuadroTexto 682">
              <a:extLst>
                <a:ext uri="{FF2B5EF4-FFF2-40B4-BE49-F238E27FC236}">
                  <a16:creationId xmlns:a16="http://schemas.microsoft.com/office/drawing/2014/main" id="{5CC2EBFA-3039-4FB7-A4E3-DB717072B991}"/>
                </a:ext>
              </a:extLst>
            </xdr:cNvPr>
            <xdr:cNvSpPr txBox="1"/>
          </xdr:nvSpPr>
          <xdr:spPr>
            <a:xfrm>
              <a:off x="7778017" y="28142809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452560</xdr:colOff>
      <xdr:row>346</xdr:row>
      <xdr:rowOff>283307</xdr:rowOff>
    </xdr:from>
    <xdr:ext cx="1852084" cy="292196"/>
    <mc:AlternateContent xmlns:mc="http://schemas.openxmlformats.org/markup-compatibility/2006" xmlns:a14="http://schemas.microsoft.com/office/drawing/2010/main">
      <mc:Choice Requires="a14">
        <xdr:sp macro="" textlink="">
          <xdr:nvSpPr>
            <xdr:cNvPr id="684" name="CuadroTexto 683">
              <a:extLst>
                <a:ext uri="{FF2B5EF4-FFF2-40B4-BE49-F238E27FC236}">
                  <a16:creationId xmlns:a16="http://schemas.microsoft.com/office/drawing/2014/main" id="{CAA0F4C0-DD53-4454-9B8F-C1EC89410465}"/>
                </a:ext>
              </a:extLst>
            </xdr:cNvPr>
            <xdr:cNvSpPr txBox="1"/>
          </xdr:nvSpPr>
          <xdr:spPr>
            <a:xfrm>
              <a:off x="7850310" y="2809850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684" name="CuadroTexto 683">
              <a:extLst>
                <a:ext uri="{FF2B5EF4-FFF2-40B4-BE49-F238E27FC236}">
                  <a16:creationId xmlns:a16="http://schemas.microsoft.com/office/drawing/2014/main" id="{CAA0F4C0-DD53-4454-9B8F-C1EC89410465}"/>
                </a:ext>
              </a:extLst>
            </xdr:cNvPr>
            <xdr:cNvSpPr txBox="1"/>
          </xdr:nvSpPr>
          <xdr:spPr>
            <a:xfrm>
              <a:off x="7850310" y="2809850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260350</xdr:colOff>
      <xdr:row>346</xdr:row>
      <xdr:rowOff>393700</xdr:rowOff>
    </xdr:from>
    <xdr:ext cx="1852084" cy="289246"/>
    <mc:AlternateContent xmlns:mc="http://schemas.openxmlformats.org/markup-compatibility/2006" xmlns:a14="http://schemas.microsoft.com/office/drawing/2010/main">
      <mc:Choice Requires="a14">
        <xdr:sp macro="" textlink="">
          <xdr:nvSpPr>
            <xdr:cNvPr id="685" name="CuadroTexto 684">
              <a:extLst>
                <a:ext uri="{FF2B5EF4-FFF2-40B4-BE49-F238E27FC236}">
                  <a16:creationId xmlns:a16="http://schemas.microsoft.com/office/drawing/2014/main" id="{825C51A9-D95E-4335-BA8E-63E45F9035C0}"/>
                </a:ext>
              </a:extLst>
            </xdr:cNvPr>
            <xdr:cNvSpPr txBox="1"/>
          </xdr:nvSpPr>
          <xdr:spPr>
            <a:xfrm>
              <a:off x="10086975" y="281095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.033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685" name="CuadroTexto 684">
              <a:extLst>
                <a:ext uri="{FF2B5EF4-FFF2-40B4-BE49-F238E27FC236}">
                  <a16:creationId xmlns:a16="http://schemas.microsoft.com/office/drawing/2014/main" id="{825C51A9-D95E-4335-BA8E-63E45F9035C0}"/>
                </a:ext>
              </a:extLst>
            </xdr:cNvPr>
            <xdr:cNvSpPr txBox="1"/>
          </xdr:nvSpPr>
          <xdr:spPr>
            <a:xfrm>
              <a:off x="10086975" y="281095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C𝑏=(.033 𝑚3)/(10 𝑚3)</a:t>
              </a:r>
              <a:endParaRPr lang="es-MX" sz="1000" b="0"/>
            </a:p>
          </xdr:txBody>
        </xdr:sp>
      </mc:Fallback>
    </mc:AlternateContent>
    <xdr:clientData/>
  </xdr:oneCellAnchor>
  <xdr:oneCellAnchor>
    <xdr:from>
      <xdr:col>10</xdr:col>
      <xdr:colOff>203200</xdr:colOff>
      <xdr:row>346</xdr:row>
      <xdr:rowOff>174625</xdr:rowOff>
    </xdr:from>
    <xdr:ext cx="1852084" cy="156518"/>
    <mc:AlternateContent xmlns:mc="http://schemas.openxmlformats.org/markup-compatibility/2006" xmlns:a14="http://schemas.microsoft.com/office/drawing/2010/main">
      <mc:Choice Requires="a14">
        <xdr:sp macro="" textlink="">
          <xdr:nvSpPr>
            <xdr:cNvPr id="686" name="CuadroTexto 685">
              <a:extLst>
                <a:ext uri="{FF2B5EF4-FFF2-40B4-BE49-F238E27FC236}">
                  <a16:creationId xmlns:a16="http://schemas.microsoft.com/office/drawing/2014/main" id="{A939F67A-DA1E-4088-9D90-BF6DC553E825}"/>
                </a:ext>
              </a:extLst>
            </xdr:cNvPr>
            <xdr:cNvSpPr txBox="1"/>
          </xdr:nvSpPr>
          <xdr:spPr>
            <a:xfrm>
              <a:off x="12585700" y="28087637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𝐴𝑙𝑢</m:t>
                    </m:r>
                    <m:r>
                      <a:rPr lang="es-MX" sz="1000" b="0" i="1">
                        <a:latin typeface="Cambria Math" panose="02040503050406030204" pitchFamily="18" charset="0"/>
                      </a:rPr>
                      <m:t>=.</m:t>
                    </m:r>
                    <m:r>
                      <a:rPr lang="es-MX" sz="1000" b="0" i="0">
                        <a:latin typeface="Cambria Math" panose="02040503050406030204" pitchFamily="18" charset="0"/>
                      </a:rPr>
                      <m:t>0033 </m:t>
                    </m:r>
                    <m:r>
                      <m:rPr>
                        <m:sty m:val="p"/>
                      </m:rPr>
                      <a:rPr lang="es-MX" sz="1000" b="0" i="0">
                        <a:latin typeface="Cambria Math" panose="02040503050406030204" pitchFamily="18" charset="0"/>
                      </a:rPr>
                      <m:t>camiones</m:t>
                    </m:r>
                  </m:oMath>
                </m:oMathPara>
              </a14:m>
              <a:endParaRPr lang="es-MX" sz="1000" b="0"/>
            </a:p>
          </xdr:txBody>
        </xdr:sp>
      </mc:Choice>
      <mc:Fallback xmlns="">
        <xdr:sp macro="" textlink="">
          <xdr:nvSpPr>
            <xdr:cNvPr id="686" name="CuadroTexto 685">
              <a:extLst>
                <a:ext uri="{FF2B5EF4-FFF2-40B4-BE49-F238E27FC236}">
                  <a16:creationId xmlns:a16="http://schemas.microsoft.com/office/drawing/2014/main" id="{A939F67A-DA1E-4088-9D90-BF6DC553E825}"/>
                </a:ext>
              </a:extLst>
            </xdr:cNvPr>
            <xdr:cNvSpPr txBox="1"/>
          </xdr:nvSpPr>
          <xdr:spPr>
            <a:xfrm>
              <a:off x="12585700" y="280876375"/>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𝐴𝑙𝑢=.0033 camiones</a:t>
              </a:r>
              <a:endParaRPr lang="es-MX" sz="1000" b="0"/>
            </a:p>
          </xdr:txBody>
        </xdr:sp>
      </mc:Fallback>
    </mc:AlternateContent>
    <xdr:clientData/>
  </xdr:oneCellAnchor>
  <xdr:oneCellAnchor>
    <xdr:from>
      <xdr:col>10</xdr:col>
      <xdr:colOff>238125</xdr:colOff>
      <xdr:row>346</xdr:row>
      <xdr:rowOff>495300</xdr:rowOff>
    </xdr:from>
    <xdr:ext cx="1852084" cy="156518"/>
    <mc:AlternateContent xmlns:mc="http://schemas.openxmlformats.org/markup-compatibility/2006" xmlns:a14="http://schemas.microsoft.com/office/drawing/2010/main">
      <mc:Choice Requires="a14">
        <xdr:sp macro="" textlink="">
          <xdr:nvSpPr>
            <xdr:cNvPr id="687" name="CuadroTexto 686">
              <a:extLst>
                <a:ext uri="{FF2B5EF4-FFF2-40B4-BE49-F238E27FC236}">
                  <a16:creationId xmlns:a16="http://schemas.microsoft.com/office/drawing/2014/main" id="{7F8F525A-0F1D-4E7E-9D16-187B6D7F34C9}"/>
                </a:ext>
              </a:extLst>
            </xdr:cNvPr>
            <xdr:cNvSpPr txBox="1"/>
          </xdr:nvSpPr>
          <xdr:spPr>
            <a:xfrm>
              <a:off x="10914784" y="202321391"/>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𝐴𝑙𝑢</m:t>
                  </m:r>
                  <m:r>
                    <a:rPr lang="es-MX" sz="1000" b="0" i="1">
                      <a:latin typeface="Cambria Math" panose="02040503050406030204" pitchFamily="18" charset="0"/>
                    </a:rPr>
                    <m:t>=</m:t>
                  </m:r>
                  <m:r>
                    <a:rPr lang="es-MX" sz="1000" b="0" i="0">
                      <a:latin typeface="Cambria Math" panose="02040503050406030204" pitchFamily="18" charset="0"/>
                    </a:rPr>
                    <m:t>3.3</m:t>
                  </m:r>
                </m:oMath>
              </a14:m>
              <a:r>
                <a:rPr lang="es-MX" sz="1000" b="0"/>
                <a:t> camiones</a:t>
              </a:r>
            </a:p>
          </xdr:txBody>
        </xdr:sp>
      </mc:Choice>
      <mc:Fallback xmlns="">
        <xdr:sp macro="" textlink="">
          <xdr:nvSpPr>
            <xdr:cNvPr id="687" name="CuadroTexto 686">
              <a:extLst>
                <a:ext uri="{FF2B5EF4-FFF2-40B4-BE49-F238E27FC236}">
                  <a16:creationId xmlns:a16="http://schemas.microsoft.com/office/drawing/2014/main" id="{7F8F525A-0F1D-4E7E-9D16-187B6D7F34C9}"/>
                </a:ext>
              </a:extLst>
            </xdr:cNvPr>
            <xdr:cNvSpPr txBox="1"/>
          </xdr:nvSpPr>
          <xdr:spPr>
            <a:xfrm>
              <a:off x="10914784" y="202321391"/>
              <a:ext cx="1852084"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000" b="0" i="0">
                  <a:latin typeface="Cambria Math" panose="02040503050406030204" pitchFamily="18" charset="0"/>
                </a:rPr>
                <a:t>1 𝑇𝑜𝑛 𝐴𝑙𝑢=3.3</a:t>
              </a:r>
              <a:r>
                <a:rPr lang="es-MX" sz="1000" b="0"/>
                <a:t> camiones</a:t>
              </a:r>
            </a:p>
          </xdr:txBody>
        </xdr:sp>
      </mc:Fallback>
    </mc:AlternateContent>
    <xdr:clientData/>
  </xdr:oneCellAnchor>
  <xdr:oneCellAnchor>
    <xdr:from>
      <xdr:col>9</xdr:col>
      <xdr:colOff>264101</xdr:colOff>
      <xdr:row>353</xdr:row>
      <xdr:rowOff>211427</xdr:rowOff>
    </xdr:from>
    <xdr:ext cx="1913659" cy="2182812"/>
    <mc:AlternateContent xmlns:mc="http://schemas.openxmlformats.org/markup-compatibility/2006" xmlns:a14="http://schemas.microsoft.com/office/drawing/2010/main">
      <mc:Choice Requires="a14">
        <xdr:sp macro="" textlink="">
          <xdr:nvSpPr>
            <xdr:cNvPr id="694" name="CuadroTexto 693">
              <a:extLst>
                <a:ext uri="{FF2B5EF4-FFF2-40B4-BE49-F238E27FC236}">
                  <a16:creationId xmlns:a16="http://schemas.microsoft.com/office/drawing/2014/main" id="{39C2FC36-B056-4D51-A0BE-524563F73E1C}"/>
                </a:ext>
              </a:extLst>
            </xdr:cNvPr>
            <xdr:cNvSpPr txBox="1"/>
          </xdr:nvSpPr>
          <xdr:spPr>
            <a:xfrm>
              <a:off x="10090726" y="283865927"/>
              <a:ext cx="1913659" cy="2182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𝑙𝑎𝑡𝑎</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75 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177.5 </m:t>
                        </m:r>
                        <m:r>
                          <a:rPr lang="es-MX" sz="1100" b="0" i="1">
                            <a:solidFill>
                              <a:schemeClr val="tx1"/>
                            </a:solidFill>
                            <a:effectLst/>
                            <a:latin typeface="Cambria Math" panose="02040503050406030204" pitchFamily="18" charset="0"/>
                            <a:ea typeface="+mn-ea"/>
                            <a:cs typeface="+mn-cs"/>
                          </a:rPr>
                          <m:t>𝑚𝑙</m:t>
                        </m:r>
                      </m:num>
                      <m:den>
                        <m:r>
                          <a:rPr lang="es-MX" sz="1100" b="0" i="0">
                            <a:solidFill>
                              <a:schemeClr val="tx1"/>
                            </a:solidFill>
                            <a:effectLst/>
                            <a:latin typeface="Cambria Math" panose="02040503050406030204" pitchFamily="18" charset="0"/>
                            <a:ea typeface="+mn-ea"/>
                            <a:cs typeface="+mn-cs"/>
                          </a:rPr>
                          <m:t>?( 13,312.5 </m:t>
                        </m:r>
                        <m:r>
                          <m:rPr>
                            <m:sty m:val="p"/>
                          </m:rPr>
                          <a:rPr lang="es-MX" sz="1100" b="0" i="0">
                            <a:solidFill>
                              <a:schemeClr val="tx1"/>
                            </a:solidFill>
                            <a:effectLst/>
                            <a:latin typeface="Cambria Math" panose="02040503050406030204" pitchFamily="18" charset="0"/>
                            <a:ea typeface="+mn-ea"/>
                            <a:cs typeface="+mn-cs"/>
                          </a:rPr>
                          <m:t>ml</m:t>
                        </m:r>
                        <m:r>
                          <a:rPr lang="es-MX" sz="1100" b="0" i="0">
                            <a:solidFill>
                              <a:schemeClr val="tx1"/>
                            </a:solidFill>
                            <a:effectLst/>
                            <a:latin typeface="Cambria Math" panose="02040503050406030204" pitchFamily="18" charset="0"/>
                            <a:ea typeface="+mn-ea"/>
                            <a:cs typeface="+mn-cs"/>
                          </a:rPr>
                          <m:t>)</m:t>
                        </m:r>
                      </m:den>
                    </m:f>
                  </m:oMath>
                </m:oMathPara>
              </a14:m>
              <a:endParaRPr lang="es-MX" sz="1100" b="0">
                <a:solidFill>
                  <a:schemeClr val="tx1"/>
                </a:solidFill>
                <a:effectLst/>
                <a:ea typeface="+mn-ea"/>
                <a:cs typeface="+mn-cs"/>
              </a:endParaRPr>
            </a:p>
            <a:p>
              <a:r>
                <a:rPr lang="es-MX" sz="1600"/>
                <a:t> </a:t>
              </a:r>
            </a:p>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1000 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den>
                    </m:f>
                    <m:r>
                      <a:rPr lang="es-MX" sz="1100" b="0" i="1">
                        <a:solidFill>
                          <a:schemeClr val="tx1"/>
                        </a:solidFill>
                        <a:effectLst/>
                        <a:latin typeface="Cambria Math" panose="02040503050406030204" pitchFamily="18" charset="0"/>
                        <a:ea typeface="+mn-ea"/>
                        <a:cs typeface="+mn-cs"/>
                      </a:rPr>
                      <m:t> </m:t>
                    </m:r>
                    <m:r>
                      <a:rPr lang="es-MX" sz="1100" b="0" i="0">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13.3125 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?( 13,312.5 </m:t>
                        </m:r>
                        <m:r>
                          <m:rPr>
                            <m:sty m:val="p"/>
                          </m:rPr>
                          <a:rPr lang="es-MX" sz="1100" b="0" i="0">
                            <a:solidFill>
                              <a:schemeClr val="tx1"/>
                            </a:solidFill>
                            <a:effectLst/>
                            <a:latin typeface="Cambria Math" panose="02040503050406030204" pitchFamily="18" charset="0"/>
                            <a:ea typeface="+mn-ea"/>
                            <a:cs typeface="+mn-cs"/>
                          </a:rPr>
                          <m:t>L</m:t>
                        </m:r>
                        <m:r>
                          <a:rPr lang="es-MX" sz="1100" b="0" i="0">
                            <a:solidFill>
                              <a:schemeClr val="tx1"/>
                            </a:solidFill>
                            <a:effectLst/>
                            <a:latin typeface="Cambria Math" panose="02040503050406030204" pitchFamily="18" charset="0"/>
                            <a:ea typeface="+mn-ea"/>
                            <a:cs typeface="+mn-cs"/>
                          </a:rPr>
                          <m:t>)</m:t>
                        </m:r>
                      </m:den>
                    </m:f>
                    <m:r>
                      <a:rPr lang="es-MX" sz="1100" b="0" i="1">
                        <a:solidFill>
                          <a:schemeClr val="tx1"/>
                        </a:solidFill>
                        <a:effectLst/>
                        <a:latin typeface="Cambria Math" panose="02040503050406030204" pitchFamily="18" charset="0"/>
                        <a:ea typeface="+mn-ea"/>
                        <a:cs typeface="+mn-cs"/>
                      </a:rPr>
                      <m:t> </m:t>
                    </m:r>
                  </m:oMath>
                </m:oMathPara>
              </a14:m>
              <a:endParaRPr lang="es-MX" sz="1600"/>
            </a:p>
            <a:p>
              <a:endParaRPr lang="es-MX" sz="1600"/>
            </a:p>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2.5 </m:t>
                        </m:r>
                        <m:r>
                          <a:rPr lang="es-MX" sz="1100" b="0" i="1">
                            <a:solidFill>
                              <a:schemeClr val="tx1"/>
                            </a:solidFill>
                            <a:effectLst/>
                            <a:latin typeface="Cambria Math" panose="02040503050406030204" pitchFamily="18" charset="0"/>
                            <a:ea typeface="+mn-ea"/>
                            <a:cs typeface="+mn-cs"/>
                          </a:rPr>
                          <m:t>𝐿𝑝𝑒𝑡𝑟𝑜𝑙𝑒𝑜</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?(33,281.25) </m:t>
                        </m:r>
                      </m:den>
                    </m:f>
                    <m:r>
                      <a:rPr lang="es-MX" sz="1100" b="0" i="1">
                        <a:solidFill>
                          <a:schemeClr val="tx1"/>
                        </a:solidFill>
                        <a:effectLst/>
                        <a:latin typeface="Cambria Math" panose="02040503050406030204" pitchFamily="18" charset="0"/>
                        <a:ea typeface="+mn-ea"/>
                        <a:cs typeface="+mn-cs"/>
                      </a:rPr>
                      <m:t> </m:t>
                    </m:r>
                    <m:r>
                      <a:rPr lang="es-MX" sz="1100" b="0" i="0">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𝐿</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𝑔𝑎𝑠𝑜𝑙𝑖𝑛𝑎</m:t>
                        </m:r>
                      </m:num>
                      <m:den>
                        <m:r>
                          <a:rPr lang="es-MX" sz="1100" b="0" i="0">
                            <a:solidFill>
                              <a:schemeClr val="tx1"/>
                            </a:solidFill>
                            <a:effectLst/>
                            <a:latin typeface="Cambria Math" panose="02040503050406030204" pitchFamily="18" charset="0"/>
                            <a:ea typeface="+mn-ea"/>
                            <a:cs typeface="+mn-cs"/>
                          </a:rPr>
                          <m:t> 13,312.5 </m:t>
                        </m:r>
                        <m:r>
                          <m:rPr>
                            <m:sty m:val="p"/>
                          </m:rPr>
                          <a:rPr lang="es-MX" sz="1100" b="0" i="0">
                            <a:solidFill>
                              <a:schemeClr val="tx1"/>
                            </a:solidFill>
                            <a:effectLst/>
                            <a:latin typeface="Cambria Math" panose="02040503050406030204" pitchFamily="18" charset="0"/>
                            <a:ea typeface="+mn-ea"/>
                            <a:cs typeface="+mn-cs"/>
                          </a:rPr>
                          <m:t>L</m:t>
                        </m:r>
                      </m:den>
                    </m:f>
                    <m:r>
                      <a:rPr lang="es-MX" sz="1100" b="0" i="1">
                        <a:solidFill>
                          <a:schemeClr val="tx1"/>
                        </a:solidFill>
                        <a:effectLst/>
                        <a:latin typeface="Cambria Math" panose="02040503050406030204" pitchFamily="18" charset="0"/>
                        <a:ea typeface="+mn-ea"/>
                        <a:cs typeface="+mn-cs"/>
                      </a:rPr>
                      <m:t> </m:t>
                    </m:r>
                  </m:oMath>
                </m:oMathPara>
              </a14:m>
              <a:endParaRPr lang="es-MX" sz="1600"/>
            </a:p>
            <a:p>
              <a:endParaRPr lang="es-MX" sz="1600"/>
            </a:p>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𝐵𝑎𝑟𝑟𝑖𝑙</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?(209.316) </m:t>
                        </m:r>
                      </m:den>
                    </m:f>
                    <m:r>
                      <a:rPr lang="es-MX" sz="1100" b="0" i="1">
                        <a:solidFill>
                          <a:schemeClr val="tx1"/>
                        </a:solidFill>
                        <a:effectLst/>
                        <a:latin typeface="Cambria Math" panose="02040503050406030204" pitchFamily="18" charset="0"/>
                        <a:ea typeface="+mn-ea"/>
                        <a:cs typeface="+mn-cs"/>
                      </a:rPr>
                      <m:t> </m:t>
                    </m:r>
                    <m:r>
                      <a:rPr lang="es-MX" sz="1100" b="0" i="0">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𝐿𝑝𝑒𝑡𝑟𝑜𝑙𝑒𝑜</m:t>
                        </m:r>
                      </m:num>
                      <m:den>
                        <m:r>
                          <a:rPr lang="es-MX" sz="1100" b="0" i="0">
                            <a:solidFill>
                              <a:schemeClr val="tx1"/>
                            </a:solidFill>
                            <a:effectLst/>
                            <a:latin typeface="Cambria Math" panose="02040503050406030204" pitchFamily="18" charset="0"/>
                            <a:ea typeface="+mn-ea"/>
                            <a:cs typeface="+mn-cs"/>
                          </a:rPr>
                          <m:t> 33,281.25 </m:t>
                        </m:r>
                        <m:r>
                          <m:rPr>
                            <m:sty m:val="p"/>
                          </m:rPr>
                          <a:rPr lang="es-MX" sz="1100" b="0" i="0">
                            <a:solidFill>
                              <a:schemeClr val="tx1"/>
                            </a:solidFill>
                            <a:effectLst/>
                            <a:latin typeface="Cambria Math" panose="02040503050406030204" pitchFamily="18" charset="0"/>
                            <a:ea typeface="+mn-ea"/>
                            <a:cs typeface="+mn-cs"/>
                          </a:rPr>
                          <m:t>L</m:t>
                        </m:r>
                      </m:den>
                    </m:f>
                    <m:r>
                      <a:rPr lang="es-MX" sz="1100" b="0" i="1">
                        <a:solidFill>
                          <a:schemeClr val="tx1"/>
                        </a:solidFill>
                        <a:effectLst/>
                        <a:latin typeface="Cambria Math" panose="02040503050406030204" pitchFamily="18" charset="0"/>
                        <a:ea typeface="+mn-ea"/>
                        <a:cs typeface="+mn-cs"/>
                      </a:rPr>
                      <m:t> </m:t>
                    </m:r>
                  </m:oMath>
                </m:oMathPara>
              </a14:m>
              <a:endParaRPr lang="es-MX" sz="1600"/>
            </a:p>
          </xdr:txBody>
        </xdr:sp>
      </mc:Choice>
      <mc:Fallback xmlns="">
        <xdr:sp macro="" textlink="">
          <xdr:nvSpPr>
            <xdr:cNvPr id="694" name="CuadroTexto 693">
              <a:extLst>
                <a:ext uri="{FF2B5EF4-FFF2-40B4-BE49-F238E27FC236}">
                  <a16:creationId xmlns:a16="http://schemas.microsoft.com/office/drawing/2014/main" id="{39C2FC36-B056-4D51-A0BE-524563F73E1C}"/>
                </a:ext>
              </a:extLst>
            </xdr:cNvPr>
            <xdr:cNvSpPr txBox="1"/>
          </xdr:nvSpPr>
          <xdr:spPr>
            <a:xfrm>
              <a:off x="10090726" y="283865927"/>
              <a:ext cx="1913659" cy="2182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𝑙𝑎𝑡𝑎  )/(75 )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177.5 𝑚𝑙)/(?( 13,312.5 ml))</a:t>
              </a:r>
              <a:endParaRPr lang="es-MX" sz="1100" b="0">
                <a:solidFill>
                  <a:schemeClr val="tx1"/>
                </a:solidFill>
                <a:effectLst/>
                <a:ea typeface="+mn-ea"/>
                <a:cs typeface="+mn-cs"/>
              </a:endParaRPr>
            </a:p>
            <a:p>
              <a:r>
                <a:rPr lang="es-MX" sz="1600"/>
                <a:t> </a:t>
              </a:r>
            </a:p>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𝑘𝑔 )/(1000 kg )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13.3125 𝐿)/(?( 13,312.5 L))  </a:t>
              </a:r>
              <a:endParaRPr lang="es-MX" sz="1600"/>
            </a:p>
            <a:p>
              <a:endParaRPr lang="es-MX" sz="1600"/>
            </a:p>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2.5 𝐿𝑝𝑒𝑡𝑟𝑜𝑙𝑒𝑜  )/(?(33,281.25) )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1𝐿 𝑔𝑎𝑠𝑜𝑙𝑖𝑛𝑎)/( 13,312.5 L)  </a:t>
              </a:r>
              <a:endParaRPr lang="es-MX" sz="1600"/>
            </a:p>
            <a:p>
              <a:endParaRPr lang="es-MX" sz="1600"/>
            </a:p>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𝐵𝑎𝑟𝑟𝑖𝑙  )/(?(209.316) )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𝐿𝑝𝑒𝑡𝑟𝑜𝑙𝑒𝑜)/( 33,281.25 L)  </a:t>
              </a:r>
              <a:endParaRPr lang="es-MX" sz="1600"/>
            </a:p>
          </xdr:txBody>
        </xdr:sp>
      </mc:Fallback>
    </mc:AlternateContent>
    <xdr:clientData/>
  </xdr:oneCellAnchor>
  <xdr:oneCellAnchor>
    <xdr:from>
      <xdr:col>10</xdr:col>
      <xdr:colOff>15875</xdr:colOff>
      <xdr:row>353</xdr:row>
      <xdr:rowOff>667808</xdr:rowOff>
    </xdr:from>
    <xdr:ext cx="2261659" cy="628650"/>
    <mc:AlternateContent xmlns:mc="http://schemas.openxmlformats.org/markup-compatibility/2006" xmlns:a14="http://schemas.microsoft.com/office/drawing/2010/main">
      <mc:Choice Requires="a14">
        <xdr:sp macro="" textlink="">
          <xdr:nvSpPr>
            <xdr:cNvPr id="695" name="CuadroTexto 694">
              <a:extLst>
                <a:ext uri="{FF2B5EF4-FFF2-40B4-BE49-F238E27FC236}">
                  <a16:creationId xmlns:a16="http://schemas.microsoft.com/office/drawing/2014/main" id="{95CFD8A2-8265-4135-9882-54FDAE84DB41}"/>
                </a:ext>
              </a:extLst>
            </xdr:cNvPr>
            <xdr:cNvSpPr txBox="1"/>
          </xdr:nvSpPr>
          <xdr:spPr>
            <a:xfrm>
              <a:off x="12398375" y="284322308"/>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m:t>
                    </m:r>
                    <m:r>
                      <a:rPr lang="es-MX" sz="1050" b="0" i="0">
                        <a:latin typeface="Cambria Math" panose="02040503050406030204" pitchFamily="18" charset="0"/>
                      </a:rPr>
                      <m:t> .2093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209.316 </m:t>
                    </m:r>
                    <m:r>
                      <m:rPr>
                        <m:sty m:val="p"/>
                      </m:rPr>
                      <a:rPr lang="es-MX" sz="1050" b="0" i="0">
                        <a:solidFill>
                          <a:schemeClr val="tx1"/>
                        </a:solidFill>
                        <a:effectLst/>
                        <a:latin typeface="Cambria Math" panose="02040503050406030204" pitchFamily="18" charset="0"/>
                        <a:ea typeface="+mn-ea"/>
                        <a:cs typeface="+mn-cs"/>
                      </a:rPr>
                      <m:t>BP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695" name="CuadroTexto 694">
              <a:extLst>
                <a:ext uri="{FF2B5EF4-FFF2-40B4-BE49-F238E27FC236}">
                  <a16:creationId xmlns:a16="http://schemas.microsoft.com/office/drawing/2014/main" id="{95CFD8A2-8265-4135-9882-54FDAE84DB41}"/>
                </a:ext>
              </a:extLst>
            </xdr:cNvPr>
            <xdr:cNvSpPr txBox="1"/>
          </xdr:nvSpPr>
          <xdr:spPr>
            <a:xfrm>
              <a:off x="12398375" y="284322308"/>
              <a:ext cx="22616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𝐴𝑙𝑢= .2093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𝐴𝑙𝑢=209.316 BP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2</xdr:col>
      <xdr:colOff>85725</xdr:colOff>
      <xdr:row>352</xdr:row>
      <xdr:rowOff>63500</xdr:rowOff>
    </xdr:from>
    <xdr:ext cx="431682" cy="429683"/>
    <xdr:pic>
      <xdr:nvPicPr>
        <xdr:cNvPr id="696" name="Gráfico 695" descr="Barril de petróleo">
          <a:extLst>
            <a:ext uri="{FF2B5EF4-FFF2-40B4-BE49-F238E27FC236}">
              <a16:creationId xmlns:a16="http://schemas.microsoft.com/office/drawing/2014/main" id="{06057801-0C0B-4B6C-9C0E-B3825649FB3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62770" y="165348227"/>
          <a:ext cx="431682" cy="429683"/>
        </a:xfrm>
        <a:prstGeom prst="rect">
          <a:avLst/>
        </a:prstGeom>
      </xdr:spPr>
    </xdr:pic>
    <xdr:clientData/>
  </xdr:oneCellAnchor>
  <xdr:oneCellAnchor>
    <xdr:from>
      <xdr:col>3</xdr:col>
      <xdr:colOff>104775</xdr:colOff>
      <xdr:row>352</xdr:row>
      <xdr:rowOff>133350</xdr:rowOff>
    </xdr:from>
    <xdr:ext cx="332318" cy="315504"/>
    <xdr:pic>
      <xdr:nvPicPr>
        <xdr:cNvPr id="697" name="Imagen 696">
          <a:extLst>
            <a:ext uri="{FF2B5EF4-FFF2-40B4-BE49-F238E27FC236}">
              <a16:creationId xmlns:a16="http://schemas.microsoft.com/office/drawing/2014/main" id="{C9498DB0-B09E-4FB7-88A6-973E2981731B}"/>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61980" y="165418077"/>
          <a:ext cx="332318" cy="315504"/>
        </a:xfrm>
        <a:prstGeom prst="rect">
          <a:avLst/>
        </a:prstGeom>
      </xdr:spPr>
    </xdr:pic>
    <xdr:clientData/>
  </xdr:oneCellAnchor>
  <xdr:oneCellAnchor>
    <xdr:from>
      <xdr:col>4</xdr:col>
      <xdr:colOff>216958</xdr:colOff>
      <xdr:row>352</xdr:row>
      <xdr:rowOff>151302</xdr:rowOff>
    </xdr:from>
    <xdr:ext cx="259291" cy="272028"/>
    <xdr:pic>
      <xdr:nvPicPr>
        <xdr:cNvPr id="698" name="Imagen 697">
          <a:extLst>
            <a:ext uri="{FF2B5EF4-FFF2-40B4-BE49-F238E27FC236}">
              <a16:creationId xmlns:a16="http://schemas.microsoft.com/office/drawing/2014/main" id="{D715A8BA-846C-4E4C-AD10-1CB85CAF43B2}"/>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4322" y="165436029"/>
          <a:ext cx="259291" cy="272028"/>
        </a:xfrm>
        <a:prstGeom prst="rect">
          <a:avLst/>
        </a:prstGeom>
      </xdr:spPr>
    </xdr:pic>
    <xdr:clientData/>
  </xdr:oneCellAnchor>
  <xdr:oneCellAnchor>
    <xdr:from>
      <xdr:col>6</xdr:col>
      <xdr:colOff>76200</xdr:colOff>
      <xdr:row>352</xdr:row>
      <xdr:rowOff>69850</xdr:rowOff>
    </xdr:from>
    <xdr:ext cx="457200" cy="448468"/>
    <xdr:pic>
      <xdr:nvPicPr>
        <xdr:cNvPr id="699" name="Gráfico 698" descr="Convertible">
          <a:extLst>
            <a:ext uri="{FF2B5EF4-FFF2-40B4-BE49-F238E27FC236}">
              <a16:creationId xmlns:a16="http://schemas.microsoft.com/office/drawing/2014/main" id="{010C0AB9-169C-4BB7-BA21-05B29C10B6E9}"/>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3882" y="165354577"/>
          <a:ext cx="457200" cy="448468"/>
        </a:xfrm>
        <a:prstGeom prst="rect">
          <a:avLst/>
        </a:prstGeom>
      </xdr:spPr>
    </xdr:pic>
    <xdr:clientData/>
  </xdr:oneCellAnchor>
  <xdr:oneCellAnchor>
    <xdr:from>
      <xdr:col>8</xdr:col>
      <xdr:colOff>306918</xdr:colOff>
      <xdr:row>359</xdr:row>
      <xdr:rowOff>656166</xdr:rowOff>
    </xdr:from>
    <xdr:ext cx="1677457" cy="319511"/>
    <mc:AlternateContent xmlns:mc="http://schemas.openxmlformats.org/markup-compatibility/2006" xmlns:a14="http://schemas.microsoft.com/office/drawing/2010/main">
      <mc:Choice Requires="a14">
        <xdr:sp macro="" textlink="">
          <xdr:nvSpPr>
            <xdr:cNvPr id="702" name="CuadroTexto 701">
              <a:extLst>
                <a:ext uri="{FF2B5EF4-FFF2-40B4-BE49-F238E27FC236}">
                  <a16:creationId xmlns:a16="http://schemas.microsoft.com/office/drawing/2014/main" id="{8797B747-A724-4737-A4E9-9B9C44A26F20}"/>
                </a:ext>
              </a:extLst>
            </xdr:cNvPr>
            <xdr:cNvSpPr txBox="1"/>
          </xdr:nvSpPr>
          <xdr:spPr>
            <a:xfrm>
              <a:off x="7704668" y="298741041"/>
              <a:ext cx="1677457"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barriles</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702" name="CuadroTexto 701">
              <a:extLst>
                <a:ext uri="{FF2B5EF4-FFF2-40B4-BE49-F238E27FC236}">
                  <a16:creationId xmlns:a16="http://schemas.microsoft.com/office/drawing/2014/main" id="{8797B747-A724-4737-A4E9-9B9C44A26F20}"/>
                </a:ext>
              </a:extLst>
            </xdr:cNvPr>
            <xdr:cNvSpPr txBox="1"/>
          </xdr:nvSpPr>
          <xdr:spPr>
            <a:xfrm>
              <a:off x="7704668" y="298741041"/>
              <a:ext cx="1677457"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)/(n barriles)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 </a:t>
              </a:r>
              <a:r>
                <a:rPr lang="es-MX" sz="1000" b="0" i="0">
                  <a:latin typeface="Cambria Math" panose="02040503050406030204" pitchFamily="18" charset="0"/>
                </a:rPr>
                <a:t> </a:t>
              </a:r>
              <a:endParaRPr lang="es-MX" sz="1000"/>
            </a:p>
          </xdr:txBody>
        </xdr:sp>
      </mc:Fallback>
    </mc:AlternateContent>
    <xdr:clientData/>
  </xdr:oneCellAnchor>
  <xdr:oneCellAnchor>
    <xdr:from>
      <xdr:col>8</xdr:col>
      <xdr:colOff>143933</xdr:colOff>
      <xdr:row>359</xdr:row>
      <xdr:rowOff>214842</xdr:rowOff>
    </xdr:from>
    <xdr:ext cx="1852084" cy="125227"/>
    <xdr:sp macro="" textlink="">
      <xdr:nvSpPr>
        <xdr:cNvPr id="703" name="CuadroTexto 702">
          <a:extLst>
            <a:ext uri="{FF2B5EF4-FFF2-40B4-BE49-F238E27FC236}">
              <a16:creationId xmlns:a16="http://schemas.microsoft.com/office/drawing/2014/main" id="{633D6498-1572-4A83-A1EF-259A0F35C5BD}"/>
            </a:ext>
          </a:extLst>
        </xdr:cNvPr>
        <xdr:cNvSpPr txBox="1"/>
      </xdr:nvSpPr>
      <xdr:spPr>
        <a:xfrm>
          <a:off x="7001933" y="170244751"/>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9</xdr:col>
      <xdr:colOff>414674</xdr:colOff>
      <xdr:row>359</xdr:row>
      <xdr:rowOff>436322</xdr:rowOff>
    </xdr:from>
    <xdr:ext cx="1810713" cy="319511"/>
    <mc:AlternateContent xmlns:mc="http://schemas.openxmlformats.org/markup-compatibility/2006" xmlns:a14="http://schemas.microsoft.com/office/drawing/2010/main">
      <mc:Choice Requires="a14">
        <xdr:sp macro="" textlink="">
          <xdr:nvSpPr>
            <xdr:cNvPr id="704" name="CuadroTexto 703">
              <a:extLst>
                <a:ext uri="{FF2B5EF4-FFF2-40B4-BE49-F238E27FC236}">
                  <a16:creationId xmlns:a16="http://schemas.microsoft.com/office/drawing/2014/main" id="{F8ACEC10-CDBE-477C-8A7C-F52E2AC9C58A}"/>
                </a:ext>
              </a:extLst>
            </xdr:cNvPr>
            <xdr:cNvSpPr txBox="1"/>
          </xdr:nvSpPr>
          <xdr:spPr>
            <a:xfrm>
              <a:off x="10241299" y="298521197"/>
              <a:ext cx="181071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.209316 </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BP</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13.814)</m:t>
                        </m:r>
                      </m:den>
                    </m:f>
                    <m:r>
                      <a:rPr lang="es-MX" sz="1000" b="0" i="1">
                        <a:latin typeface="Cambria Math" panose="02040503050406030204" pitchFamily="18" charset="0"/>
                      </a:rPr>
                      <m:t> </m:t>
                    </m:r>
                  </m:oMath>
                </m:oMathPara>
              </a14:m>
              <a:endParaRPr lang="es-MX" sz="1000"/>
            </a:p>
          </xdr:txBody>
        </xdr:sp>
      </mc:Choice>
      <mc:Fallback xmlns="">
        <xdr:sp macro="" textlink="">
          <xdr:nvSpPr>
            <xdr:cNvPr id="704" name="CuadroTexto 703">
              <a:extLst>
                <a:ext uri="{FF2B5EF4-FFF2-40B4-BE49-F238E27FC236}">
                  <a16:creationId xmlns:a16="http://schemas.microsoft.com/office/drawing/2014/main" id="{F8ACEC10-CDBE-477C-8A7C-F52E2AC9C58A}"/>
                </a:ext>
              </a:extLst>
            </xdr:cNvPr>
            <xdr:cNvSpPr txBox="1"/>
          </xdr:nvSpPr>
          <xdr:spPr>
            <a:xfrm>
              <a:off x="10241299" y="298521197"/>
              <a:ext cx="181071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a:t>
              </a:r>
              <a:r>
                <a:rPr lang="es-MX" sz="1100" b="0" i="0">
                  <a:solidFill>
                    <a:schemeClr val="tx1"/>
                  </a:solidFill>
                  <a:effectLst/>
                  <a:latin typeface="Cambria Math" panose="02040503050406030204" pitchFamily="18" charset="0"/>
                  <a:ea typeface="+mn-ea"/>
                  <a:cs typeface="+mn-cs"/>
                </a:rPr>
                <a:t>.209316 </a:t>
              </a:r>
              <a:r>
                <a:rPr lang="es-MX" sz="1000" b="0" i="0">
                  <a:solidFill>
                    <a:schemeClr val="tx1"/>
                  </a:solidFill>
                  <a:effectLst/>
                  <a:latin typeface="Cambria Math" panose="02040503050406030204" pitchFamily="18" charset="0"/>
                  <a:ea typeface="+mn-ea"/>
                  <a:cs typeface="+mn-cs"/>
                </a:rPr>
                <a:t> BP)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𝑔𝑎𝑠𝑜𝑙𝑖𝑛𝑎)/(?( 13.814))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239447</xdr:colOff>
      <xdr:row>359</xdr:row>
      <xdr:rowOff>441854</xdr:rowOff>
    </xdr:from>
    <xdr:ext cx="1933985" cy="628650"/>
    <mc:AlternateContent xmlns:mc="http://schemas.openxmlformats.org/markup-compatibility/2006" xmlns:a14="http://schemas.microsoft.com/office/drawing/2010/main">
      <mc:Choice Requires="a14">
        <xdr:sp macro="" textlink="">
          <xdr:nvSpPr>
            <xdr:cNvPr id="705" name="CuadroTexto 704">
              <a:extLst>
                <a:ext uri="{FF2B5EF4-FFF2-40B4-BE49-F238E27FC236}">
                  <a16:creationId xmlns:a16="http://schemas.microsoft.com/office/drawing/2014/main" id="{3BD3ABBA-EC06-4967-89FA-40BCB204AF5C}"/>
                </a:ext>
              </a:extLst>
            </xdr:cNvPr>
            <xdr:cNvSpPr txBox="1"/>
          </xdr:nvSpPr>
          <xdr:spPr>
            <a:xfrm>
              <a:off x="12621947" y="298526729"/>
              <a:ext cx="193398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m:t>
                    </m:r>
                    <m:r>
                      <a:rPr lang="es-MX" sz="1050" b="0" i="0">
                        <a:latin typeface="Cambria Math" panose="02040503050406030204" pitchFamily="18" charset="0"/>
                      </a:rPr>
                      <m:t> 13.813 </m:t>
                    </m:r>
                    <m:r>
                      <m:rPr>
                        <m:sty m:val="p"/>
                      </m:rPr>
                      <a:rPr lang="es-MX" sz="1050" b="0" i="0">
                        <a:latin typeface="Cambria Math" panose="02040503050406030204" pitchFamily="18" charset="0"/>
                      </a:rPr>
                      <m:t>Litros</m:t>
                    </m:r>
                    <m:r>
                      <a:rPr lang="es-MX" sz="1050" b="0" i="0">
                        <a:latin typeface="Cambria Math" panose="02040503050406030204" pitchFamily="18" charset="0"/>
                      </a:rPr>
                      <m:t> </m:t>
                    </m:r>
                    <m:r>
                      <m:rPr>
                        <m:sty m:val="p"/>
                      </m:rPr>
                      <a:rPr lang="es-MX" sz="1050" b="0" i="0">
                        <a:latin typeface="Cambria Math" panose="02040503050406030204" pitchFamily="18" charset="0"/>
                      </a:rPr>
                      <m:t>de</m:t>
                    </m:r>
                    <m:r>
                      <a:rPr lang="es-MX" sz="1050" b="0" i="0">
                        <a:latin typeface="Cambria Math" panose="02040503050406030204" pitchFamily="18" charset="0"/>
                      </a:rPr>
                      <m:t> </m:t>
                    </m:r>
                    <m:r>
                      <m:rPr>
                        <m:sty m:val="p"/>
                      </m:rPr>
                      <a:rPr lang="es-MX" sz="1050" b="0" i="0">
                        <a:latin typeface="Cambria Math" panose="02040503050406030204" pitchFamily="18" charset="0"/>
                      </a:rPr>
                      <m:t>g</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oMath>
              </a14:m>
              <a:r>
                <a:rPr lang="es-MX" sz="1050">
                  <a:effectLst/>
                </a:rPr>
                <a:t> 13,814.8 Litros de g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Choice>
      <mc:Fallback xmlns="">
        <xdr:sp macro="" textlink="">
          <xdr:nvSpPr>
            <xdr:cNvPr id="705" name="CuadroTexto 704">
              <a:extLst>
                <a:ext uri="{FF2B5EF4-FFF2-40B4-BE49-F238E27FC236}">
                  <a16:creationId xmlns:a16="http://schemas.microsoft.com/office/drawing/2014/main" id="{3BD3ABBA-EC06-4967-89FA-40BCB204AF5C}"/>
                </a:ext>
              </a:extLst>
            </xdr:cNvPr>
            <xdr:cNvSpPr txBox="1"/>
          </xdr:nvSpPr>
          <xdr:spPr>
            <a:xfrm>
              <a:off x="12621947" y="298526729"/>
              <a:ext cx="193398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𝐴𝑙𝑢= 13.813 Litros de g</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𝐴𝑙𝑢=</a:t>
              </a:r>
              <a:r>
                <a:rPr lang="es-MX" sz="1050">
                  <a:effectLst/>
                </a:rPr>
                <a:t> 13,814.8 Litros de g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Fallback>
    </mc:AlternateContent>
    <xdr:clientData/>
  </xdr:oneCellAnchor>
  <xdr:oneCellAnchor>
    <xdr:from>
      <xdr:col>12</xdr:col>
      <xdr:colOff>2517509</xdr:colOff>
      <xdr:row>359</xdr:row>
      <xdr:rowOff>1093888</xdr:rowOff>
    </xdr:from>
    <xdr:ext cx="375893" cy="369522"/>
    <xdr:pic>
      <xdr:nvPicPr>
        <xdr:cNvPr id="706" name="Gráfico 705" descr="Inalámbrico">
          <a:hlinkClick xmlns:r="http://schemas.openxmlformats.org/officeDocument/2006/relationships" r:id="rId57"/>
          <a:extLst>
            <a:ext uri="{FF2B5EF4-FFF2-40B4-BE49-F238E27FC236}">
              <a16:creationId xmlns:a16="http://schemas.microsoft.com/office/drawing/2014/main" id="{986E2587-5843-4615-B3F4-1BB23F24683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171123797"/>
          <a:ext cx="375893" cy="369522"/>
        </a:xfrm>
        <a:prstGeom prst="rect">
          <a:avLst/>
        </a:prstGeom>
      </xdr:spPr>
    </xdr:pic>
    <xdr:clientData/>
  </xdr:oneCellAnchor>
  <xdr:oneCellAnchor>
    <xdr:from>
      <xdr:col>5</xdr:col>
      <xdr:colOff>105834</xdr:colOff>
      <xdr:row>352</xdr:row>
      <xdr:rowOff>74083</xdr:rowOff>
    </xdr:from>
    <xdr:ext cx="414685" cy="414685"/>
    <xdr:pic>
      <xdr:nvPicPr>
        <xdr:cNvPr id="707" name="Imagen 706">
          <a:extLst>
            <a:ext uri="{FF2B5EF4-FFF2-40B4-BE49-F238E27FC236}">
              <a16:creationId xmlns:a16="http://schemas.microsoft.com/office/drawing/2014/main" id="{04FF46AA-7074-41A3-8193-1D804E20C4D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3357" y="165358810"/>
          <a:ext cx="414685" cy="414685"/>
        </a:xfrm>
        <a:prstGeom prst="rect">
          <a:avLst/>
        </a:prstGeom>
      </xdr:spPr>
    </xdr:pic>
    <xdr:clientData/>
  </xdr:oneCellAnchor>
  <xdr:oneCellAnchor>
    <xdr:from>
      <xdr:col>8</xdr:col>
      <xdr:colOff>403227</xdr:colOff>
      <xdr:row>360</xdr:row>
      <xdr:rowOff>579966</xdr:rowOff>
    </xdr:from>
    <xdr:ext cx="1746249" cy="316497"/>
    <mc:AlternateContent xmlns:mc="http://schemas.openxmlformats.org/markup-compatibility/2006" xmlns:a14="http://schemas.microsoft.com/office/drawing/2010/main">
      <mc:Choice Requires="a14">
        <xdr:sp macro="" textlink="">
          <xdr:nvSpPr>
            <xdr:cNvPr id="708" name="CuadroTexto 707">
              <a:extLst>
                <a:ext uri="{FF2B5EF4-FFF2-40B4-BE49-F238E27FC236}">
                  <a16:creationId xmlns:a16="http://schemas.microsoft.com/office/drawing/2014/main" id="{8A76131B-4F33-4BAB-BDFD-84705EE59385}"/>
                </a:ext>
              </a:extLst>
            </xdr:cNvPr>
            <xdr:cNvSpPr txBox="1"/>
          </xdr:nvSpPr>
          <xdr:spPr>
            <a:xfrm>
              <a:off x="7800977" y="300077716"/>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𝑝𝑒𝑡𝑟</m:t>
                        </m:r>
                        <m:r>
                          <a:rPr lang="es-MX" sz="1000" b="0" i="1">
                            <a:solidFill>
                              <a:schemeClr val="tx1"/>
                            </a:solidFill>
                            <a:effectLst/>
                            <a:latin typeface="Cambria Math" panose="02040503050406030204" pitchFamily="18" charset="0"/>
                            <a:ea typeface="+mn-ea"/>
                            <a:cs typeface="+mn-cs"/>
                          </a:rPr>
                          <m:t>ó</m:t>
                        </m:r>
                        <m:r>
                          <a:rPr lang="es-MX" sz="1000" b="0" i="1">
                            <a:solidFill>
                              <a:schemeClr val="tx1"/>
                            </a:solidFill>
                            <a:effectLst/>
                            <a:latin typeface="Cambria Math" panose="02040503050406030204" pitchFamily="18" charset="0"/>
                            <a:ea typeface="+mn-ea"/>
                            <a:cs typeface="+mn-cs"/>
                          </a:rPr>
                          <m:t>𝑙𝑒𝑜</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708" name="CuadroTexto 707">
              <a:extLst>
                <a:ext uri="{FF2B5EF4-FFF2-40B4-BE49-F238E27FC236}">
                  <a16:creationId xmlns:a16="http://schemas.microsoft.com/office/drawing/2014/main" id="{8A76131B-4F33-4BAB-BDFD-84705EE59385}"/>
                </a:ext>
              </a:extLst>
            </xdr:cNvPr>
            <xdr:cNvSpPr txBox="1"/>
          </xdr:nvSpPr>
          <xdr:spPr>
            <a:xfrm>
              <a:off x="7800977" y="300077716"/>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)/(n 𝐿 𝑝𝑒𝑡𝑟ó𝑙𝑒𝑜)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343959</xdr:colOff>
      <xdr:row>360</xdr:row>
      <xdr:rowOff>576792</xdr:rowOff>
    </xdr:from>
    <xdr:ext cx="1862666" cy="319511"/>
    <mc:AlternateContent xmlns:mc="http://schemas.openxmlformats.org/markup-compatibility/2006" xmlns:a14="http://schemas.microsoft.com/office/drawing/2010/main">
      <mc:Choice Requires="a14">
        <xdr:sp macro="" textlink="">
          <xdr:nvSpPr>
            <xdr:cNvPr id="709" name="CuadroTexto 708">
              <a:extLst>
                <a:ext uri="{FF2B5EF4-FFF2-40B4-BE49-F238E27FC236}">
                  <a16:creationId xmlns:a16="http://schemas.microsoft.com/office/drawing/2014/main" id="{32FF9F82-18D6-4F3C-A1A4-CEE31BCD1662}"/>
                </a:ext>
              </a:extLst>
            </xdr:cNvPr>
            <xdr:cNvSpPr txBox="1"/>
          </xdr:nvSpPr>
          <xdr:spPr>
            <a:xfrm>
              <a:off x="10170584" y="30007454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7059 </m:t>
                        </m:r>
                        <m:r>
                          <m:rPr>
                            <m:sty m:val="p"/>
                          </m:rPr>
                          <a:rPr lang="es-MX" sz="1000" b="0" i="0">
                            <a:solidFill>
                              <a:schemeClr val="tx1"/>
                            </a:solidFill>
                            <a:effectLst/>
                            <a:latin typeface="Cambria Math" panose="02040503050406030204" pitchFamily="18" charset="0"/>
                            <a:ea typeface="+mn-ea"/>
                            <a:cs typeface="+mn-cs"/>
                          </a:rPr>
                          <m:t>L</m:t>
                        </m:r>
                        <m:r>
                          <a:rPr lang="es-MX" sz="1000" b="0" i="0">
                            <a:solidFill>
                              <a:schemeClr val="tx1"/>
                            </a:solidFill>
                            <a:effectLst/>
                            <a:latin typeface="Cambria Math" panose="02040503050406030204" pitchFamily="18" charset="0"/>
                            <a:ea typeface="+mn-ea"/>
                            <a:cs typeface="+mn-cs"/>
                          </a:rPr>
                          <m:t>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?(.000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709" name="CuadroTexto 708">
              <a:extLst>
                <a:ext uri="{FF2B5EF4-FFF2-40B4-BE49-F238E27FC236}">
                  <a16:creationId xmlns:a16="http://schemas.microsoft.com/office/drawing/2014/main" id="{32FF9F82-18D6-4F3C-A1A4-CEE31BCD1662}"/>
                </a:ext>
              </a:extLst>
            </xdr:cNvPr>
            <xdr:cNvSpPr txBox="1"/>
          </xdr:nvSpPr>
          <xdr:spPr>
            <a:xfrm>
              <a:off x="10170584" y="30007454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a:t>
              </a:r>
              <a:r>
                <a:rPr lang="es-MX" sz="1100" b="0" i="0">
                  <a:solidFill>
                    <a:schemeClr val="tx1"/>
                  </a:solidFill>
                  <a:effectLst/>
                  <a:latin typeface="Cambria Math" panose="02040503050406030204" pitchFamily="18" charset="0"/>
                  <a:ea typeface="+mn-ea"/>
                  <a:cs typeface="+mn-cs"/>
                </a:rPr>
                <a:t>7059 </a:t>
              </a:r>
              <a:r>
                <a:rPr lang="es-MX" sz="1000" b="0" i="0">
                  <a:solidFill>
                    <a:schemeClr val="tx1"/>
                  </a:solidFill>
                  <a:effectLst/>
                  <a:latin typeface="Cambria Math" panose="02040503050406030204" pitchFamily="18" charset="0"/>
                  <a:ea typeface="+mn-ea"/>
                  <a:cs typeface="+mn-cs"/>
                </a:rPr>
                <a:t>L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𝑝𝑖𝑝𝑎)/(?(.000 ))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189465</xdr:colOff>
      <xdr:row>360</xdr:row>
      <xdr:rowOff>349250</xdr:rowOff>
    </xdr:from>
    <xdr:ext cx="1874285" cy="792076"/>
    <mc:AlternateContent xmlns:mc="http://schemas.openxmlformats.org/markup-compatibility/2006" xmlns:a14="http://schemas.microsoft.com/office/drawing/2010/main">
      <mc:Choice Requires="a14">
        <xdr:sp macro="" textlink="">
          <xdr:nvSpPr>
            <xdr:cNvPr id="710" name="CuadroTexto 709">
              <a:extLst>
                <a:ext uri="{FF2B5EF4-FFF2-40B4-BE49-F238E27FC236}">
                  <a16:creationId xmlns:a16="http://schemas.microsoft.com/office/drawing/2014/main" id="{9B0501D9-BBC6-457D-B39D-D4CB773715DB}"/>
                </a:ext>
              </a:extLst>
            </xdr:cNvPr>
            <xdr:cNvSpPr txBox="1"/>
          </xdr:nvSpPr>
          <xdr:spPr>
            <a:xfrm>
              <a:off x="12571965" y="299847000"/>
              <a:ext cx="1874285"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𝑃𝐸𝐴𝐷</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0 </m:t>
                    </m:r>
                    <m:r>
                      <m:rPr>
                        <m:sty m:val="p"/>
                      </m:rPr>
                      <a:rPr lang="es-MX" sz="1100" b="0" i="0">
                        <a:solidFill>
                          <a:schemeClr val="tx1"/>
                        </a:solidFill>
                        <a:effectLst/>
                        <a:latin typeface="Cambria Math" panose="02040503050406030204" pitchFamily="18" charset="0"/>
                        <a:ea typeface="+mn-ea"/>
                        <a:cs typeface="+mn-cs"/>
                      </a:rPr>
                      <m:t>Pipas</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de</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g</m:t>
                    </m:r>
                  </m:oMath>
                </m:oMathPara>
              </a14:m>
              <a:endParaRPr lang="es-MX" sz="1000">
                <a:effectLst/>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𝑃𝐸𝐴𝐷</m:t>
                    </m:r>
                    <m:r>
                      <a:rPr lang="es-MX" sz="1000" b="0" i="1">
                        <a:latin typeface="Cambria Math" panose="02040503050406030204" pitchFamily="18" charset="0"/>
                      </a:rPr>
                      <m:t>=</m:t>
                    </m:r>
                    <m:r>
                      <a:rPr lang="es-MX" sz="1000" b="0" i="0">
                        <a:latin typeface="Cambria Math" panose="02040503050406030204" pitchFamily="18" charset="0"/>
                      </a:rPr>
                      <m:t>.0353 </m:t>
                    </m:r>
                    <m:r>
                      <m:rPr>
                        <m:sty m:val="p"/>
                      </m:rPr>
                      <a:rPr lang="es-MX" sz="1000" b="0" i="0">
                        <a:latin typeface="Cambria Math" panose="02040503050406030204" pitchFamily="18" charset="0"/>
                      </a:rPr>
                      <m:t>Pipas</m:t>
                    </m:r>
                    <m:r>
                      <a:rPr lang="es-MX" sz="1000" b="0" i="0">
                        <a:latin typeface="Cambria Math" panose="02040503050406030204" pitchFamily="18" charset="0"/>
                      </a:rPr>
                      <m:t> </m:t>
                    </m:r>
                    <m:r>
                      <m:rPr>
                        <m:sty m:val="p"/>
                      </m:rPr>
                      <a:rPr lang="es-MX" sz="1000" b="0" i="0">
                        <a:latin typeface="Cambria Math" panose="02040503050406030204" pitchFamily="18" charset="0"/>
                      </a:rPr>
                      <m:t>de</m:t>
                    </m:r>
                    <m:r>
                      <a:rPr lang="es-MX" sz="1000" b="0" i="0">
                        <a:latin typeface="Cambria Math" panose="02040503050406030204" pitchFamily="18" charset="0"/>
                      </a:rPr>
                      <m:t> </m:t>
                    </m:r>
                    <m:r>
                      <m:rPr>
                        <m:sty m:val="p"/>
                      </m:rPr>
                      <a:rPr lang="es-MX" sz="1000" b="0" i="0">
                        <a:latin typeface="Cambria Math" panose="02040503050406030204" pitchFamily="18" charset="0"/>
                      </a:rPr>
                      <m:t>g</m:t>
                    </m:r>
                  </m:oMath>
                </m:oMathPara>
              </a14:m>
              <a:endParaRPr lang="es-MX" sz="1000" b="0"/>
            </a:p>
            <a:p>
              <a:endParaRPr lang="es-MX" sz="1000" b="0"/>
            </a:p>
            <a:p>
              <a:endParaRPr lang="es-MX" sz="1000" b="0"/>
            </a:p>
          </xdr:txBody>
        </xdr:sp>
      </mc:Choice>
      <mc:Fallback xmlns="">
        <xdr:sp macro="" textlink="">
          <xdr:nvSpPr>
            <xdr:cNvPr id="710" name="CuadroTexto 709">
              <a:extLst>
                <a:ext uri="{FF2B5EF4-FFF2-40B4-BE49-F238E27FC236}">
                  <a16:creationId xmlns:a16="http://schemas.microsoft.com/office/drawing/2014/main" id="{9B0501D9-BBC6-457D-B39D-D4CB773715DB}"/>
                </a:ext>
              </a:extLst>
            </xdr:cNvPr>
            <xdr:cNvSpPr txBox="1"/>
          </xdr:nvSpPr>
          <xdr:spPr>
            <a:xfrm>
              <a:off x="12571965" y="299847000"/>
              <a:ext cx="1874285"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𝑘𝑔 𝑃𝐸𝐴𝐷=0 Pipas de g</a:t>
              </a:r>
              <a:endParaRPr lang="es-MX" sz="1000">
                <a:effectLst/>
              </a:endParaRPr>
            </a:p>
            <a:p>
              <a:endParaRPr lang="es-MX" sz="1000" b="0" i="1">
                <a:latin typeface="Cambria Math" panose="02040503050406030204" pitchFamily="18" charset="0"/>
              </a:endParaRPr>
            </a:p>
            <a:p>
              <a:pPr/>
              <a:r>
                <a:rPr lang="es-MX" sz="1000" b="0" i="0">
                  <a:latin typeface="Cambria Math" panose="02040503050406030204" pitchFamily="18" charset="0"/>
                </a:rPr>
                <a:t>1 𝑇𝑜𝑛 𝑃𝐸𝐴𝐷=.0353 Pipas de g</a:t>
              </a:r>
              <a:endParaRPr lang="es-MX" sz="1000" b="0"/>
            </a:p>
            <a:p>
              <a:endParaRPr lang="es-MX" sz="1000" b="0"/>
            </a:p>
            <a:p>
              <a:endParaRPr lang="es-MX" sz="1000" b="0"/>
            </a:p>
          </xdr:txBody>
        </xdr:sp>
      </mc:Fallback>
    </mc:AlternateContent>
    <xdr:clientData/>
  </xdr:oneCellAnchor>
  <xdr:oneCellAnchor>
    <xdr:from>
      <xdr:col>12</xdr:col>
      <xdr:colOff>2464858</xdr:colOff>
      <xdr:row>360</xdr:row>
      <xdr:rowOff>1065227</xdr:rowOff>
    </xdr:from>
    <xdr:ext cx="414074" cy="405328"/>
    <xdr:pic>
      <xdr:nvPicPr>
        <xdr:cNvPr id="711" name="Gráfico 710" descr="Inalámbrico">
          <a:hlinkClick xmlns:r="http://schemas.openxmlformats.org/officeDocument/2006/relationships" r:id="rId41"/>
          <a:extLst>
            <a:ext uri="{FF2B5EF4-FFF2-40B4-BE49-F238E27FC236}">
              <a16:creationId xmlns:a16="http://schemas.microsoft.com/office/drawing/2014/main" id="{F10C68C1-91FB-483E-ABFE-B11BDC2D236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24699" y="172506568"/>
          <a:ext cx="414074" cy="405328"/>
        </a:xfrm>
        <a:prstGeom prst="rect">
          <a:avLst/>
        </a:prstGeom>
      </xdr:spPr>
    </xdr:pic>
    <xdr:clientData/>
  </xdr:oneCellAnchor>
  <xdr:oneCellAnchor>
    <xdr:from>
      <xdr:col>9</xdr:col>
      <xdr:colOff>201083</xdr:colOff>
      <xdr:row>361</xdr:row>
      <xdr:rowOff>291041</xdr:rowOff>
    </xdr:from>
    <xdr:ext cx="1795992" cy="319511"/>
    <mc:AlternateContent xmlns:mc="http://schemas.openxmlformats.org/markup-compatibility/2006" xmlns:a14="http://schemas.microsoft.com/office/drawing/2010/main">
      <mc:Choice Requires="a14">
        <xdr:sp macro="" textlink="">
          <xdr:nvSpPr>
            <xdr:cNvPr id="712" name="CuadroTexto 711">
              <a:extLst>
                <a:ext uri="{FF2B5EF4-FFF2-40B4-BE49-F238E27FC236}">
                  <a16:creationId xmlns:a16="http://schemas.microsoft.com/office/drawing/2014/main" id="{F4088E63-C801-49CA-ADAF-5304AAD4CB5F}"/>
                </a:ext>
              </a:extLst>
            </xdr:cNvPr>
            <xdr:cNvSpPr txBox="1"/>
          </xdr:nvSpPr>
          <xdr:spPr>
            <a:xfrm>
              <a:off x="10027708" y="301201666"/>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.293</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5.887)</m:t>
                        </m:r>
                      </m:den>
                    </m:f>
                    <m:r>
                      <a:rPr lang="es-MX" sz="1000" b="0" i="1">
                        <a:latin typeface="Cambria Math" panose="02040503050406030204" pitchFamily="18" charset="0"/>
                      </a:rPr>
                      <m:t> </m:t>
                    </m:r>
                  </m:oMath>
                </m:oMathPara>
              </a14:m>
              <a:endParaRPr lang="es-MX" sz="1000"/>
            </a:p>
          </xdr:txBody>
        </xdr:sp>
      </mc:Choice>
      <mc:Fallback xmlns="">
        <xdr:sp macro="" textlink="">
          <xdr:nvSpPr>
            <xdr:cNvPr id="712" name="CuadroTexto 711">
              <a:extLst>
                <a:ext uri="{FF2B5EF4-FFF2-40B4-BE49-F238E27FC236}">
                  <a16:creationId xmlns:a16="http://schemas.microsoft.com/office/drawing/2014/main" id="{F4088E63-C801-49CA-ADAF-5304AAD4CB5F}"/>
                </a:ext>
              </a:extLst>
            </xdr:cNvPr>
            <xdr:cNvSpPr txBox="1"/>
          </xdr:nvSpPr>
          <xdr:spPr>
            <a:xfrm>
              <a:off x="10027708" y="301201666"/>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)/.293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𝑘𝑚)/(?( 5.887))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437092</xdr:colOff>
      <xdr:row>361</xdr:row>
      <xdr:rowOff>828675</xdr:rowOff>
    </xdr:from>
    <xdr:ext cx="1418167" cy="319511"/>
    <mc:AlternateContent xmlns:mc="http://schemas.openxmlformats.org/markup-compatibility/2006" xmlns:a14="http://schemas.microsoft.com/office/drawing/2010/main">
      <mc:Choice Requires="a14">
        <xdr:sp macro="" textlink="">
          <xdr:nvSpPr>
            <xdr:cNvPr id="713" name="CuadroTexto 712">
              <a:extLst>
                <a:ext uri="{FF2B5EF4-FFF2-40B4-BE49-F238E27FC236}">
                  <a16:creationId xmlns:a16="http://schemas.microsoft.com/office/drawing/2014/main" id="{CB2A7FDA-58F3-4A31-9C6F-2A33921C6321}"/>
                </a:ext>
              </a:extLst>
            </xdr:cNvPr>
            <xdr:cNvSpPr txBox="1"/>
          </xdr:nvSpPr>
          <xdr:spPr>
            <a:xfrm>
              <a:off x="10263717" y="301739300"/>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110 </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5.886 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?(3. 210</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713" name="CuadroTexto 712">
              <a:extLst>
                <a:ext uri="{FF2B5EF4-FFF2-40B4-BE49-F238E27FC236}">
                  <a16:creationId xmlns:a16="http://schemas.microsoft.com/office/drawing/2014/main" id="{CB2A7FDA-58F3-4A31-9C6F-2A33921C6321}"/>
                </a:ext>
              </a:extLst>
            </xdr:cNvPr>
            <xdr:cNvSpPr txBox="1"/>
          </xdr:nvSpPr>
          <xdr:spPr>
            <a:xfrm>
              <a:off x="10263717" y="301739300"/>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 𝑘𝑚 )/(5.886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𝑚𝑖𝑛)/(?(3. 210))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207755</xdr:colOff>
      <xdr:row>361</xdr:row>
      <xdr:rowOff>273325</xdr:rowOff>
    </xdr:from>
    <xdr:ext cx="2053167" cy="994833"/>
    <mc:AlternateContent xmlns:mc="http://schemas.openxmlformats.org/markup-compatibility/2006" xmlns:a14="http://schemas.microsoft.com/office/drawing/2010/main">
      <mc:Choice Requires="a14">
        <xdr:sp macro="" textlink="">
          <xdr:nvSpPr>
            <xdr:cNvPr id="714" name="CuadroTexto 713">
              <a:extLst>
                <a:ext uri="{FF2B5EF4-FFF2-40B4-BE49-F238E27FC236}">
                  <a16:creationId xmlns:a16="http://schemas.microsoft.com/office/drawing/2014/main" id="{1259D1A3-0A6C-47EE-84B8-F7D183B73FD4}"/>
                </a:ext>
              </a:extLst>
            </xdr:cNvPr>
            <xdr:cNvSpPr txBox="1"/>
          </xdr:nvSpPr>
          <xdr:spPr>
            <a:xfrm>
              <a:off x="12590255" y="301183950"/>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r>
                      <a:rPr lang="es-MX" sz="1050" b="0" i="0">
                        <a:latin typeface="Cambria Math" panose="02040503050406030204" pitchFamily="18" charset="0"/>
                      </a:rPr>
                      <m:t>5.887 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3. 211</m:t>
                    </m:r>
                    <m:r>
                      <m:rPr>
                        <m:sty m:val="p"/>
                      </m:rPr>
                      <a:rPr lang="es-MX" sz="1050" b="0" i="0">
                        <a:latin typeface="Cambria Math" panose="02040503050406030204" pitchFamily="18" charset="0"/>
                      </a:rPr>
                      <m:t>minutos</m:t>
                    </m:r>
                    <m:r>
                      <a:rPr lang="es-MX" sz="1050" b="0" i="0">
                        <a:latin typeface="Cambria Math" panose="02040503050406030204" pitchFamily="18" charset="0"/>
                      </a:rPr>
                      <m:t>  </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5,887 km en coche o 3,211minutos</a:t>
              </a:r>
              <a:endParaRPr lang="es-MX" sz="1100" b="0"/>
            </a:p>
          </xdr:txBody>
        </xdr:sp>
      </mc:Choice>
      <mc:Fallback xmlns="">
        <xdr:sp macro="" textlink="">
          <xdr:nvSpPr>
            <xdr:cNvPr id="714" name="CuadroTexto 713">
              <a:extLst>
                <a:ext uri="{FF2B5EF4-FFF2-40B4-BE49-F238E27FC236}">
                  <a16:creationId xmlns:a16="http://schemas.microsoft.com/office/drawing/2014/main" id="{1259D1A3-0A6C-47EE-84B8-F7D183B73FD4}"/>
                </a:ext>
              </a:extLst>
            </xdr:cNvPr>
            <xdr:cNvSpPr txBox="1"/>
          </xdr:nvSpPr>
          <xdr:spPr>
            <a:xfrm>
              <a:off x="12590255" y="301183950"/>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𝑃𝐸𝐴𝐷=5.887 km en coche o 3. 211minutos  </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5,887 km en coche o 3,211minutos</a:t>
              </a:r>
              <a:endParaRPr lang="es-MX" sz="1100" b="0"/>
            </a:p>
          </xdr:txBody>
        </xdr:sp>
      </mc:Fallback>
    </mc:AlternateContent>
    <xdr:clientData/>
  </xdr:oneCellAnchor>
  <xdr:oneCellAnchor>
    <xdr:from>
      <xdr:col>12</xdr:col>
      <xdr:colOff>2181225</xdr:colOff>
      <xdr:row>362</xdr:row>
      <xdr:rowOff>478366</xdr:rowOff>
    </xdr:from>
    <xdr:ext cx="356660" cy="356660"/>
    <xdr:pic>
      <xdr:nvPicPr>
        <xdr:cNvPr id="715" name="Gráfico 714" descr="Inalámbrico">
          <a:hlinkClick xmlns:r="http://schemas.openxmlformats.org/officeDocument/2006/relationships" r:id="rId85"/>
          <a:extLst>
            <a:ext uri="{FF2B5EF4-FFF2-40B4-BE49-F238E27FC236}">
              <a16:creationId xmlns:a16="http://schemas.microsoft.com/office/drawing/2014/main" id="{40C3EE91-C7F2-46E2-894C-B755F9270B3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841066" y="177132480"/>
          <a:ext cx="356660" cy="356660"/>
        </a:xfrm>
        <a:prstGeom prst="rect">
          <a:avLst/>
        </a:prstGeom>
      </xdr:spPr>
    </xdr:pic>
    <xdr:clientData/>
  </xdr:oneCellAnchor>
  <xdr:oneCellAnchor>
    <xdr:from>
      <xdr:col>10</xdr:col>
      <xdr:colOff>305858</xdr:colOff>
      <xdr:row>362</xdr:row>
      <xdr:rowOff>276226</xdr:rowOff>
    </xdr:from>
    <xdr:ext cx="1852083" cy="829732"/>
    <mc:AlternateContent xmlns:mc="http://schemas.openxmlformats.org/markup-compatibility/2006" xmlns:a14="http://schemas.microsoft.com/office/drawing/2010/main">
      <mc:Choice Requires="a14">
        <xdr:sp macro="" textlink="">
          <xdr:nvSpPr>
            <xdr:cNvPr id="716" name="CuadroTexto 715">
              <a:extLst>
                <a:ext uri="{FF2B5EF4-FFF2-40B4-BE49-F238E27FC236}">
                  <a16:creationId xmlns:a16="http://schemas.microsoft.com/office/drawing/2014/main" id="{17CBB288-82A0-4931-936E-1D2716825625}"/>
                </a:ext>
              </a:extLst>
            </xdr:cNvPr>
            <xdr:cNvSpPr txBox="1"/>
          </xdr:nvSpPr>
          <xdr:spPr>
            <a:xfrm>
              <a:off x="12688358" y="304980976"/>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𝑃𝐸𝐴𝐷</m:t>
                  </m:r>
                  <m:r>
                    <a:rPr lang="es-MX" sz="1050" b="0" i="1">
                      <a:latin typeface="Cambria Math" panose="02040503050406030204" pitchFamily="18" charset="0"/>
                    </a:rPr>
                    <m:t>=</m:t>
                  </m:r>
                </m:oMath>
              </a14:m>
              <a:r>
                <a:rPr lang="es-MX" sz="1050" b="0" i="0">
                  <a:latin typeface="Cambria Math" panose="02040503050406030204" pitchFamily="18" charset="0"/>
                </a:rPr>
                <a:t>.007 tanques con gasolina</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𝑃𝐸𝐴𝐷</m:t>
                  </m:r>
                  <m:r>
                    <a:rPr lang="es-MX" sz="1050" b="0" i="1">
                      <a:solidFill>
                        <a:schemeClr val="tx1"/>
                      </a:solidFill>
                      <a:effectLst/>
                      <a:latin typeface="Cambria Math" panose="02040503050406030204" pitchFamily="18" charset="0"/>
                      <a:ea typeface="+mn-ea"/>
                      <a:cs typeface="+mn-cs"/>
                    </a:rPr>
                    <m:t>=</m:t>
                  </m:r>
                </m:oMath>
              </a14:m>
              <a:r>
                <a:rPr lang="es-MX" sz="1050">
                  <a:effectLst/>
                </a:rPr>
                <a:t> 7.918</a:t>
              </a:r>
              <a:r>
                <a:rPr lang="es-MX" sz="1050" baseline="0">
                  <a:effectLst/>
                </a:rPr>
                <a:t> tanques con gasolina</a:t>
              </a:r>
              <a:endParaRPr lang="es-MX" sz="1100" b="0"/>
            </a:p>
          </xdr:txBody>
        </xdr:sp>
      </mc:Choice>
      <mc:Fallback xmlns="">
        <xdr:sp macro="" textlink="">
          <xdr:nvSpPr>
            <xdr:cNvPr id="716" name="CuadroTexto 715">
              <a:extLst>
                <a:ext uri="{FF2B5EF4-FFF2-40B4-BE49-F238E27FC236}">
                  <a16:creationId xmlns:a16="http://schemas.microsoft.com/office/drawing/2014/main" id="{17CBB288-82A0-4931-936E-1D2716825625}"/>
                </a:ext>
              </a:extLst>
            </xdr:cNvPr>
            <xdr:cNvSpPr txBox="1"/>
          </xdr:nvSpPr>
          <xdr:spPr>
            <a:xfrm>
              <a:off x="12688358" y="304980976"/>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𝑃𝐸𝐴𝐷=.007 tanques con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𝑃𝐸𝐴𝐷=</a:t>
              </a:r>
              <a:r>
                <a:rPr lang="es-MX" sz="1050">
                  <a:effectLst/>
                </a:rPr>
                <a:t> 7.918</a:t>
              </a:r>
              <a:r>
                <a:rPr lang="es-MX" sz="1050" baseline="0">
                  <a:effectLst/>
                </a:rPr>
                <a:t> tanques con gasolina</a:t>
              </a:r>
              <a:endParaRPr lang="es-MX" sz="1100" b="0"/>
            </a:p>
          </xdr:txBody>
        </xdr:sp>
      </mc:Fallback>
    </mc:AlternateContent>
    <xdr:clientData/>
  </xdr:oneCellAnchor>
  <xdr:oneCellAnchor>
    <xdr:from>
      <xdr:col>9</xdr:col>
      <xdr:colOff>260350</xdr:colOff>
      <xdr:row>362</xdr:row>
      <xdr:rowOff>444500</xdr:rowOff>
    </xdr:from>
    <xdr:ext cx="2076450" cy="319511"/>
    <mc:AlternateContent xmlns:mc="http://schemas.openxmlformats.org/markup-compatibility/2006" xmlns:a14="http://schemas.microsoft.com/office/drawing/2010/main">
      <mc:Choice Requires="a14">
        <xdr:sp macro="" textlink="">
          <xdr:nvSpPr>
            <xdr:cNvPr id="717" name="CuadroTexto 716">
              <a:extLst>
                <a:ext uri="{FF2B5EF4-FFF2-40B4-BE49-F238E27FC236}">
                  <a16:creationId xmlns:a16="http://schemas.microsoft.com/office/drawing/2014/main" id="{D8E15168-280A-4380-B9BB-0D49140F4759}"/>
                </a:ext>
              </a:extLst>
            </xdr:cNvPr>
            <xdr:cNvSpPr txBox="1"/>
          </xdr:nvSpPr>
          <xdr:spPr>
            <a:xfrm>
              <a:off x="10086975" y="305149250"/>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37 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d>
                          <m:dPr>
                            <m:ctrlPr>
                              <a:rPr lang="es-MX" sz="1000" b="0" i="1">
                                <a:solidFill>
                                  <a:schemeClr val="tx1"/>
                                </a:solidFill>
                                <a:effectLst/>
                                <a:latin typeface="Cambria Math" panose="02040503050406030204" pitchFamily="18" charset="0"/>
                                <a:ea typeface="+mn-ea"/>
                                <a:cs typeface="+mn-cs"/>
                              </a:rPr>
                            </m:ctrlPr>
                          </m:dPr>
                          <m:e>
                            <m:r>
                              <a:rPr lang="es-MX" sz="1000" b="0" i="0">
                                <a:solidFill>
                                  <a:schemeClr val="tx1"/>
                                </a:solidFill>
                                <a:effectLst/>
                                <a:latin typeface="Cambria Math" panose="02040503050406030204" pitchFamily="18" charset="0"/>
                                <a:ea typeface="+mn-ea"/>
                                <a:cs typeface="+mn-cs"/>
                              </a:rPr>
                              <m:t>.293</m:t>
                            </m:r>
                          </m:e>
                        </m:d>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𝑇𝑎𝑛𝑞𝑢𝑒</m:t>
                        </m:r>
                      </m:num>
                      <m:den>
                        <m:r>
                          <a:rPr lang="es-MX" sz="1000" b="0" i="0">
                            <a:solidFill>
                              <a:schemeClr val="tx1"/>
                            </a:solidFill>
                            <a:effectLst/>
                            <a:latin typeface="Cambria Math" panose="02040503050406030204" pitchFamily="18" charset="0"/>
                            <a:ea typeface="+mn-ea"/>
                            <a:cs typeface="+mn-cs"/>
                          </a:rPr>
                          <m:t>?( .007</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717" name="CuadroTexto 716">
              <a:extLst>
                <a:ext uri="{FF2B5EF4-FFF2-40B4-BE49-F238E27FC236}">
                  <a16:creationId xmlns:a16="http://schemas.microsoft.com/office/drawing/2014/main" id="{D8E15168-280A-4380-B9BB-0D49140F4759}"/>
                </a:ext>
              </a:extLst>
            </xdr:cNvPr>
            <xdr:cNvSpPr txBox="1"/>
          </xdr:nvSpPr>
          <xdr:spPr>
            <a:xfrm>
              <a:off x="10086975" y="305149250"/>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37 𝐿 𝑔𝑎𝑠𝑜𝑙𝑖𝑛𝑎  )/((.293)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𝑇𝑎𝑛𝑞𝑢𝑒)/(?( .007))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417656</xdr:colOff>
      <xdr:row>354</xdr:row>
      <xdr:rowOff>361950</xdr:rowOff>
    </xdr:from>
    <xdr:ext cx="1550843" cy="351506"/>
    <mc:AlternateContent xmlns:mc="http://schemas.openxmlformats.org/markup-compatibility/2006" xmlns:a14="http://schemas.microsoft.com/office/drawing/2010/main">
      <mc:Choice Requires="a14">
        <xdr:sp macro="" textlink="">
          <xdr:nvSpPr>
            <xdr:cNvPr id="718" name="CuadroTexto 717">
              <a:extLst>
                <a:ext uri="{FF2B5EF4-FFF2-40B4-BE49-F238E27FC236}">
                  <a16:creationId xmlns:a16="http://schemas.microsoft.com/office/drawing/2014/main" id="{62E78687-3ABD-4E12-8428-CC4A70A4EDB6}"/>
                </a:ext>
              </a:extLst>
            </xdr:cNvPr>
            <xdr:cNvSpPr txBox="1"/>
          </xdr:nvSpPr>
          <xdr:spPr>
            <a:xfrm>
              <a:off x="10244281" y="286778700"/>
              <a:ext cx="1550843"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.209316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?( 33.28)</m:t>
                        </m:r>
                      </m:den>
                    </m:f>
                    <m:r>
                      <a:rPr lang="es-MX" sz="1600" b="0" i="1">
                        <a:latin typeface="Cambria Math" panose="02040503050406030204" pitchFamily="18" charset="0"/>
                      </a:rPr>
                      <m:t> </m:t>
                    </m:r>
                  </m:oMath>
                </m:oMathPara>
              </a14:m>
              <a:endParaRPr lang="es-MX" sz="1600"/>
            </a:p>
          </xdr:txBody>
        </xdr:sp>
      </mc:Choice>
      <mc:Fallback xmlns="">
        <xdr:sp macro="" textlink="">
          <xdr:nvSpPr>
            <xdr:cNvPr id="718" name="CuadroTexto 717">
              <a:extLst>
                <a:ext uri="{FF2B5EF4-FFF2-40B4-BE49-F238E27FC236}">
                  <a16:creationId xmlns:a16="http://schemas.microsoft.com/office/drawing/2014/main" id="{62E78687-3ABD-4E12-8428-CC4A70A4EDB6}"/>
                </a:ext>
              </a:extLst>
            </xdr:cNvPr>
            <xdr:cNvSpPr txBox="1"/>
          </xdr:nvSpPr>
          <xdr:spPr>
            <a:xfrm>
              <a:off x="10244281" y="286778700"/>
              <a:ext cx="1550843"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)/(.209316 )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𝐿)/(?( 33.28))</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434975</xdr:colOff>
      <xdr:row>354</xdr:row>
      <xdr:rowOff>320675</xdr:rowOff>
    </xdr:from>
    <xdr:ext cx="1537759" cy="628650"/>
    <mc:AlternateContent xmlns:mc="http://schemas.openxmlformats.org/markup-compatibility/2006" xmlns:a14="http://schemas.microsoft.com/office/drawing/2010/main">
      <mc:Choice Requires="a14">
        <xdr:sp macro="" textlink="">
          <xdr:nvSpPr>
            <xdr:cNvPr id="719" name="CuadroTexto 718">
              <a:extLst>
                <a:ext uri="{FF2B5EF4-FFF2-40B4-BE49-F238E27FC236}">
                  <a16:creationId xmlns:a16="http://schemas.microsoft.com/office/drawing/2014/main" id="{DC8FC643-CB91-4CB2-84F3-5565C4516FB3}"/>
                </a:ext>
              </a:extLst>
            </xdr:cNvPr>
            <xdr:cNvSpPr txBox="1"/>
          </xdr:nvSpPr>
          <xdr:spPr>
            <a:xfrm>
              <a:off x="12817475" y="286737425"/>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m:t>
                    </m:r>
                    <m:r>
                      <a:rPr lang="es-MX" sz="1050" b="0" i="0">
                        <a:latin typeface="Cambria Math" panose="02040503050406030204" pitchFamily="18" charset="0"/>
                      </a:rPr>
                      <m:t> 33.28 </m:t>
                    </m:r>
                    <m:r>
                      <m:rPr>
                        <m:sty m:val="p"/>
                      </m:rPr>
                      <a:rPr lang="es-MX" sz="1050" b="0" i="0">
                        <a:latin typeface="Cambria Math" panose="02040503050406030204" pitchFamily="18" charset="0"/>
                      </a:rPr>
                      <m:t>Lp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33,281.24 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r>
                <a:rPr lang="es-MX" sz="1100" b="0"/>
                <a:t>8</a:t>
              </a:r>
            </a:p>
          </xdr:txBody>
        </xdr:sp>
      </mc:Choice>
      <mc:Fallback xmlns="">
        <xdr:sp macro="" textlink="">
          <xdr:nvSpPr>
            <xdr:cNvPr id="719" name="CuadroTexto 718">
              <a:extLst>
                <a:ext uri="{FF2B5EF4-FFF2-40B4-BE49-F238E27FC236}">
                  <a16:creationId xmlns:a16="http://schemas.microsoft.com/office/drawing/2014/main" id="{DC8FC643-CB91-4CB2-84F3-5565C4516FB3}"/>
                </a:ext>
              </a:extLst>
            </xdr:cNvPr>
            <xdr:cNvSpPr txBox="1"/>
          </xdr:nvSpPr>
          <xdr:spPr>
            <a:xfrm>
              <a:off x="12817475" y="286737425"/>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𝐴𝑙𝑢= 33.28 Lp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𝐴𝑙𝑢=33,281.24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r>
                <a:rPr lang="es-MX" sz="1100" b="0"/>
                <a:t>8</a:t>
              </a:r>
            </a:p>
          </xdr:txBody>
        </xdr:sp>
      </mc:Fallback>
    </mc:AlternateContent>
    <xdr:clientData/>
  </xdr:oneCellAnchor>
  <xdr:oneCellAnchor>
    <xdr:from>
      <xdr:col>12</xdr:col>
      <xdr:colOff>2150268</xdr:colOff>
      <xdr:row>359</xdr:row>
      <xdr:rowOff>1092466</xdr:rowOff>
    </xdr:from>
    <xdr:ext cx="327653" cy="324377"/>
    <xdr:pic>
      <xdr:nvPicPr>
        <xdr:cNvPr id="720" name="Gráfico 719" descr="Hogar">
          <a:hlinkClick xmlns:r="http://schemas.openxmlformats.org/officeDocument/2006/relationships" r:id="rId79"/>
          <a:extLst>
            <a:ext uri="{FF2B5EF4-FFF2-40B4-BE49-F238E27FC236}">
              <a16:creationId xmlns:a16="http://schemas.microsoft.com/office/drawing/2014/main" id="{3CD00A54-96BE-47AF-B645-6F9F0967899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171122375"/>
          <a:ext cx="327653" cy="324377"/>
        </a:xfrm>
        <a:prstGeom prst="rect">
          <a:avLst/>
        </a:prstGeom>
      </xdr:spPr>
    </xdr:pic>
    <xdr:clientData/>
  </xdr:oneCellAnchor>
  <xdr:oneCellAnchor>
    <xdr:from>
      <xdr:col>12</xdr:col>
      <xdr:colOff>2517509</xdr:colOff>
      <xdr:row>354</xdr:row>
      <xdr:rowOff>1095374</xdr:rowOff>
    </xdr:from>
    <xdr:ext cx="374254" cy="372798"/>
    <xdr:pic>
      <xdr:nvPicPr>
        <xdr:cNvPr id="721" name="Gráfico 720" descr="Inalámbrico">
          <a:hlinkClick xmlns:r="http://schemas.openxmlformats.org/officeDocument/2006/relationships" r:id="rId57"/>
          <a:extLst>
            <a:ext uri="{FF2B5EF4-FFF2-40B4-BE49-F238E27FC236}">
              <a16:creationId xmlns:a16="http://schemas.microsoft.com/office/drawing/2014/main" id="{EAC64131-BDA8-47C6-98A9-5895C64D076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168302419"/>
          <a:ext cx="374254" cy="372798"/>
        </a:xfrm>
        <a:prstGeom prst="rect">
          <a:avLst/>
        </a:prstGeom>
      </xdr:spPr>
    </xdr:pic>
    <xdr:clientData/>
  </xdr:oneCellAnchor>
  <xdr:oneCellAnchor>
    <xdr:from>
      <xdr:col>12</xdr:col>
      <xdr:colOff>2150268</xdr:colOff>
      <xdr:row>354</xdr:row>
      <xdr:rowOff>1093952</xdr:rowOff>
    </xdr:from>
    <xdr:ext cx="327654" cy="327654"/>
    <xdr:pic>
      <xdr:nvPicPr>
        <xdr:cNvPr id="722" name="Gráfico 721" descr="Hogar">
          <a:hlinkClick xmlns:r="http://schemas.openxmlformats.org/officeDocument/2006/relationships" r:id="rId79"/>
          <a:extLst>
            <a:ext uri="{FF2B5EF4-FFF2-40B4-BE49-F238E27FC236}">
              <a16:creationId xmlns:a16="http://schemas.microsoft.com/office/drawing/2014/main" id="{AC25D26F-26FE-49C8-9011-C5227039C6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168300997"/>
          <a:ext cx="327654" cy="327654"/>
        </a:xfrm>
        <a:prstGeom prst="rect">
          <a:avLst/>
        </a:prstGeom>
      </xdr:spPr>
    </xdr:pic>
    <xdr:clientData/>
  </xdr:oneCellAnchor>
  <xdr:oneCellAnchor>
    <xdr:from>
      <xdr:col>12</xdr:col>
      <xdr:colOff>2133600</xdr:colOff>
      <xdr:row>360</xdr:row>
      <xdr:rowOff>1068320</xdr:rowOff>
    </xdr:from>
    <xdr:ext cx="360430" cy="355668"/>
    <xdr:pic>
      <xdr:nvPicPr>
        <xdr:cNvPr id="723" name="Gráfico 722" descr="Hogar">
          <a:hlinkClick xmlns:r="http://schemas.openxmlformats.org/officeDocument/2006/relationships" r:id="rId86"/>
          <a:extLst>
            <a:ext uri="{FF2B5EF4-FFF2-40B4-BE49-F238E27FC236}">
              <a16:creationId xmlns:a16="http://schemas.microsoft.com/office/drawing/2014/main" id="{A9E687AF-B741-4E76-ACE9-A7FFE27068D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93441" y="172509661"/>
          <a:ext cx="360430" cy="355668"/>
        </a:xfrm>
        <a:prstGeom prst="rect">
          <a:avLst/>
        </a:prstGeom>
      </xdr:spPr>
    </xdr:pic>
    <xdr:clientData/>
  </xdr:oneCellAnchor>
  <xdr:oneCellAnchor>
    <xdr:from>
      <xdr:col>12</xdr:col>
      <xdr:colOff>2556934</xdr:colOff>
      <xdr:row>361</xdr:row>
      <xdr:rowOff>466725</xdr:rowOff>
    </xdr:from>
    <xdr:ext cx="295276" cy="295276"/>
    <xdr:pic>
      <xdr:nvPicPr>
        <xdr:cNvPr id="724" name="Gráfico 723" descr="Inalámbrico">
          <a:hlinkClick xmlns:r="http://schemas.openxmlformats.org/officeDocument/2006/relationships" r:id="rId58"/>
          <a:extLst>
            <a:ext uri="{FF2B5EF4-FFF2-40B4-BE49-F238E27FC236}">
              <a16:creationId xmlns:a16="http://schemas.microsoft.com/office/drawing/2014/main" id="{9802F799-690C-4C6B-B7DF-DEAFC121FED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6775" y="173319498"/>
          <a:ext cx="295276" cy="295276"/>
        </a:xfrm>
        <a:prstGeom prst="rect">
          <a:avLst/>
        </a:prstGeom>
      </xdr:spPr>
    </xdr:pic>
    <xdr:clientData/>
  </xdr:oneCellAnchor>
  <xdr:oneCellAnchor>
    <xdr:from>
      <xdr:col>12</xdr:col>
      <xdr:colOff>2324100</xdr:colOff>
      <xdr:row>361</xdr:row>
      <xdr:rowOff>504825</xdr:rowOff>
    </xdr:from>
    <xdr:ext cx="228600" cy="228600"/>
    <xdr:pic>
      <xdr:nvPicPr>
        <xdr:cNvPr id="725" name="Gráfico 724" descr="Hogar">
          <a:hlinkClick xmlns:r="http://schemas.openxmlformats.org/officeDocument/2006/relationships" r:id="rId59"/>
          <a:extLst>
            <a:ext uri="{FF2B5EF4-FFF2-40B4-BE49-F238E27FC236}">
              <a16:creationId xmlns:a16="http://schemas.microsoft.com/office/drawing/2014/main" id="{1860DD17-C8E1-4B7F-BFF3-D53D0D1C91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941" y="173357598"/>
          <a:ext cx="228600" cy="228600"/>
        </a:xfrm>
        <a:prstGeom prst="rect">
          <a:avLst/>
        </a:prstGeom>
      </xdr:spPr>
    </xdr:pic>
    <xdr:clientData/>
  </xdr:oneCellAnchor>
  <xdr:oneCellAnchor>
    <xdr:from>
      <xdr:col>12</xdr:col>
      <xdr:colOff>2556934</xdr:colOff>
      <xdr:row>361</xdr:row>
      <xdr:rowOff>742950</xdr:rowOff>
    </xdr:from>
    <xdr:ext cx="295276" cy="295276"/>
    <xdr:pic>
      <xdr:nvPicPr>
        <xdr:cNvPr id="726" name="Gráfico 725" descr="Inalámbrico">
          <a:hlinkClick xmlns:r="http://schemas.openxmlformats.org/officeDocument/2006/relationships" r:id="rId60"/>
          <a:extLst>
            <a:ext uri="{FF2B5EF4-FFF2-40B4-BE49-F238E27FC236}">
              <a16:creationId xmlns:a16="http://schemas.microsoft.com/office/drawing/2014/main" id="{5971BA8E-6560-490E-8EDD-286F3D42327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6775" y="173595723"/>
          <a:ext cx="295276" cy="295276"/>
        </a:xfrm>
        <a:prstGeom prst="rect">
          <a:avLst/>
        </a:prstGeom>
      </xdr:spPr>
    </xdr:pic>
    <xdr:clientData/>
  </xdr:oneCellAnchor>
  <xdr:oneCellAnchor>
    <xdr:from>
      <xdr:col>12</xdr:col>
      <xdr:colOff>2324100</xdr:colOff>
      <xdr:row>361</xdr:row>
      <xdr:rowOff>781050</xdr:rowOff>
    </xdr:from>
    <xdr:ext cx="228600" cy="228600"/>
    <xdr:pic>
      <xdr:nvPicPr>
        <xdr:cNvPr id="727" name="Gráfico 726" descr="Hogar">
          <a:hlinkClick xmlns:r="http://schemas.openxmlformats.org/officeDocument/2006/relationships" r:id="rId61"/>
          <a:extLst>
            <a:ext uri="{FF2B5EF4-FFF2-40B4-BE49-F238E27FC236}">
              <a16:creationId xmlns:a16="http://schemas.microsoft.com/office/drawing/2014/main" id="{D868114C-B31E-44C3-BD52-E123E6577F5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941" y="173633823"/>
          <a:ext cx="228600" cy="228600"/>
        </a:xfrm>
        <a:prstGeom prst="rect">
          <a:avLst/>
        </a:prstGeom>
      </xdr:spPr>
    </xdr:pic>
    <xdr:clientData/>
  </xdr:oneCellAnchor>
  <xdr:oneCellAnchor>
    <xdr:from>
      <xdr:col>12</xdr:col>
      <xdr:colOff>2566459</xdr:colOff>
      <xdr:row>361</xdr:row>
      <xdr:rowOff>1276350</xdr:rowOff>
    </xdr:from>
    <xdr:ext cx="295276" cy="295276"/>
    <xdr:pic>
      <xdr:nvPicPr>
        <xdr:cNvPr id="728" name="Gráfico 727" descr="Inalámbrico">
          <a:hlinkClick xmlns:r="http://schemas.openxmlformats.org/officeDocument/2006/relationships" r:id="rId62"/>
          <a:extLst>
            <a:ext uri="{FF2B5EF4-FFF2-40B4-BE49-F238E27FC236}">
              <a16:creationId xmlns:a16="http://schemas.microsoft.com/office/drawing/2014/main" id="{FDEE74C0-A7B9-44D4-B42F-32663E8BF83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26300" y="174129123"/>
          <a:ext cx="295276" cy="295276"/>
        </a:xfrm>
        <a:prstGeom prst="rect">
          <a:avLst/>
        </a:prstGeom>
      </xdr:spPr>
    </xdr:pic>
    <xdr:clientData/>
  </xdr:oneCellAnchor>
  <xdr:oneCellAnchor>
    <xdr:from>
      <xdr:col>12</xdr:col>
      <xdr:colOff>2333625</xdr:colOff>
      <xdr:row>361</xdr:row>
      <xdr:rowOff>1314450</xdr:rowOff>
    </xdr:from>
    <xdr:ext cx="228600" cy="228600"/>
    <xdr:pic>
      <xdr:nvPicPr>
        <xdr:cNvPr id="729" name="Gráfico 728" descr="Hogar">
          <a:hlinkClick xmlns:r="http://schemas.openxmlformats.org/officeDocument/2006/relationships" r:id="rId63"/>
          <a:extLst>
            <a:ext uri="{FF2B5EF4-FFF2-40B4-BE49-F238E27FC236}">
              <a16:creationId xmlns:a16="http://schemas.microsoft.com/office/drawing/2014/main" id="{62BAB10A-B881-43C6-A1F2-CCB293AB93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93466" y="174167223"/>
          <a:ext cx="228600" cy="228600"/>
        </a:xfrm>
        <a:prstGeom prst="rect">
          <a:avLst/>
        </a:prstGeom>
      </xdr:spPr>
    </xdr:pic>
    <xdr:clientData/>
  </xdr:oneCellAnchor>
  <xdr:oneCellAnchor>
    <xdr:from>
      <xdr:col>12</xdr:col>
      <xdr:colOff>2533650</xdr:colOff>
      <xdr:row>361</xdr:row>
      <xdr:rowOff>1943100</xdr:rowOff>
    </xdr:from>
    <xdr:ext cx="295276" cy="295276"/>
    <xdr:pic>
      <xdr:nvPicPr>
        <xdr:cNvPr id="730" name="Gráfico 729" descr="Inalámbrico">
          <a:hlinkClick xmlns:r="http://schemas.openxmlformats.org/officeDocument/2006/relationships" r:id="rId64"/>
          <a:extLst>
            <a:ext uri="{FF2B5EF4-FFF2-40B4-BE49-F238E27FC236}">
              <a16:creationId xmlns:a16="http://schemas.microsoft.com/office/drawing/2014/main" id="{B06351BE-FCC6-4CA1-AFD0-A19BF4889D9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3491" y="174795873"/>
          <a:ext cx="295276" cy="295276"/>
        </a:xfrm>
        <a:prstGeom prst="rect">
          <a:avLst/>
        </a:prstGeom>
      </xdr:spPr>
    </xdr:pic>
    <xdr:clientData/>
  </xdr:oneCellAnchor>
  <xdr:oneCellAnchor>
    <xdr:from>
      <xdr:col>12</xdr:col>
      <xdr:colOff>2305050</xdr:colOff>
      <xdr:row>361</xdr:row>
      <xdr:rowOff>2000250</xdr:rowOff>
    </xdr:from>
    <xdr:ext cx="228600" cy="228600"/>
    <xdr:pic>
      <xdr:nvPicPr>
        <xdr:cNvPr id="731" name="Gráfico 730" descr="Hogar">
          <a:hlinkClick xmlns:r="http://schemas.openxmlformats.org/officeDocument/2006/relationships" r:id="rId65"/>
          <a:extLst>
            <a:ext uri="{FF2B5EF4-FFF2-40B4-BE49-F238E27FC236}">
              <a16:creationId xmlns:a16="http://schemas.microsoft.com/office/drawing/2014/main" id="{67C5F82A-DCCA-4D6E-91BF-BFB2FFF2463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4891" y="174853023"/>
          <a:ext cx="228600" cy="228600"/>
        </a:xfrm>
        <a:prstGeom prst="rect">
          <a:avLst/>
        </a:prstGeom>
      </xdr:spPr>
    </xdr:pic>
    <xdr:clientData/>
  </xdr:oneCellAnchor>
  <xdr:oneCellAnchor>
    <xdr:from>
      <xdr:col>12</xdr:col>
      <xdr:colOff>2552700</xdr:colOff>
      <xdr:row>361</xdr:row>
      <xdr:rowOff>2600325</xdr:rowOff>
    </xdr:from>
    <xdr:ext cx="295276" cy="295276"/>
    <xdr:pic>
      <xdr:nvPicPr>
        <xdr:cNvPr id="732" name="Gráfico 731" descr="Inalámbrico">
          <a:hlinkClick xmlns:r="http://schemas.openxmlformats.org/officeDocument/2006/relationships" r:id="rId66"/>
          <a:extLst>
            <a:ext uri="{FF2B5EF4-FFF2-40B4-BE49-F238E27FC236}">
              <a16:creationId xmlns:a16="http://schemas.microsoft.com/office/drawing/2014/main" id="{6814E91D-94BA-4094-8DFD-587431EB6FF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2541" y="175453098"/>
          <a:ext cx="295276" cy="295276"/>
        </a:xfrm>
        <a:prstGeom prst="rect">
          <a:avLst/>
        </a:prstGeom>
      </xdr:spPr>
    </xdr:pic>
    <xdr:clientData/>
  </xdr:oneCellAnchor>
  <xdr:oneCellAnchor>
    <xdr:from>
      <xdr:col>12</xdr:col>
      <xdr:colOff>2514600</xdr:colOff>
      <xdr:row>362</xdr:row>
      <xdr:rowOff>474133</xdr:rowOff>
    </xdr:from>
    <xdr:ext cx="356660" cy="356660"/>
    <xdr:pic>
      <xdr:nvPicPr>
        <xdr:cNvPr id="733" name="Gráfico 732" descr="Inalámbrico">
          <a:hlinkClick xmlns:r="http://schemas.openxmlformats.org/officeDocument/2006/relationships" r:id="rId87"/>
          <a:extLst>
            <a:ext uri="{FF2B5EF4-FFF2-40B4-BE49-F238E27FC236}">
              <a16:creationId xmlns:a16="http://schemas.microsoft.com/office/drawing/2014/main" id="{AFE891C8-FA98-435F-852F-6690F8441CB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4441" y="177128247"/>
          <a:ext cx="356660" cy="356660"/>
        </a:xfrm>
        <a:prstGeom prst="rect">
          <a:avLst/>
        </a:prstGeom>
      </xdr:spPr>
    </xdr:pic>
    <xdr:clientData/>
  </xdr:oneCellAnchor>
  <xdr:oneCellAnchor>
    <xdr:from>
      <xdr:col>12</xdr:col>
      <xdr:colOff>2500312</xdr:colOff>
      <xdr:row>353</xdr:row>
      <xdr:rowOff>1071563</xdr:rowOff>
    </xdr:from>
    <xdr:ext cx="352425" cy="352425"/>
    <xdr:pic>
      <xdr:nvPicPr>
        <xdr:cNvPr id="734" name="Gráfico 733" descr="Hogar">
          <a:hlinkClick xmlns:r="http://schemas.openxmlformats.org/officeDocument/2006/relationships" r:id="rId76"/>
          <a:extLst>
            <a:ext uri="{FF2B5EF4-FFF2-40B4-BE49-F238E27FC236}">
              <a16:creationId xmlns:a16="http://schemas.microsoft.com/office/drawing/2014/main" id="{8305FA8B-4DBC-4248-8F87-0587A3F1EFB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60153" y="166867177"/>
          <a:ext cx="352425" cy="352425"/>
        </a:xfrm>
        <a:prstGeom prst="rect">
          <a:avLst/>
        </a:prstGeom>
      </xdr:spPr>
    </xdr:pic>
    <xdr:clientData/>
  </xdr:oneCellAnchor>
  <xdr:oneCellAnchor>
    <xdr:from>
      <xdr:col>4</xdr:col>
      <xdr:colOff>119743</xdr:colOff>
      <xdr:row>377</xdr:row>
      <xdr:rowOff>70758</xdr:rowOff>
    </xdr:from>
    <xdr:ext cx="360000" cy="360000"/>
    <xdr:pic>
      <xdr:nvPicPr>
        <xdr:cNvPr id="665" name="Gráfico 664" descr="Hogar">
          <a:extLst>
            <a:ext uri="{FF2B5EF4-FFF2-40B4-BE49-F238E27FC236}">
              <a16:creationId xmlns:a16="http://schemas.microsoft.com/office/drawing/2014/main" id="{D0B710EB-DE35-43EB-8C0F-DBE99E19F87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3643" y="247777908"/>
          <a:ext cx="360000" cy="360000"/>
        </a:xfrm>
        <a:prstGeom prst="rect">
          <a:avLst/>
        </a:prstGeom>
      </xdr:spPr>
    </xdr:pic>
    <xdr:clientData/>
  </xdr:oneCellAnchor>
  <xdr:oneCellAnchor>
    <xdr:from>
      <xdr:col>3</xdr:col>
      <xdr:colOff>73330</xdr:colOff>
      <xdr:row>377</xdr:row>
      <xdr:rowOff>67651</xdr:rowOff>
    </xdr:from>
    <xdr:ext cx="358941" cy="367560"/>
    <xdr:pic>
      <xdr:nvPicPr>
        <xdr:cNvPr id="667" name="Gráfico 666" descr="Bombilla fluorescente">
          <a:extLst>
            <a:ext uri="{FF2B5EF4-FFF2-40B4-BE49-F238E27FC236}">
              <a16:creationId xmlns:a16="http://schemas.microsoft.com/office/drawing/2014/main" id="{D64AC9EB-26FB-468D-B4A2-E572587DD8B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247774801"/>
          <a:ext cx="358941" cy="367560"/>
        </a:xfrm>
        <a:prstGeom prst="rect">
          <a:avLst/>
        </a:prstGeom>
      </xdr:spPr>
    </xdr:pic>
    <xdr:clientData/>
  </xdr:oneCellAnchor>
  <xdr:oneCellAnchor>
    <xdr:from>
      <xdr:col>6</xdr:col>
      <xdr:colOff>133350</xdr:colOff>
      <xdr:row>377</xdr:row>
      <xdr:rowOff>77256</xdr:rowOff>
    </xdr:from>
    <xdr:ext cx="284694" cy="284694"/>
    <xdr:pic>
      <xdr:nvPicPr>
        <xdr:cNvPr id="668" name="Imagen 667">
          <a:extLst>
            <a:ext uri="{FF2B5EF4-FFF2-40B4-BE49-F238E27FC236}">
              <a16:creationId xmlns:a16="http://schemas.microsoft.com/office/drawing/2014/main" id="{8FB7C5AE-9C29-4B6C-9019-3302E4A2A2CF}"/>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829300" y="247784406"/>
          <a:ext cx="284694" cy="284694"/>
        </a:xfrm>
        <a:prstGeom prst="rect">
          <a:avLst/>
        </a:prstGeom>
      </xdr:spPr>
    </xdr:pic>
    <xdr:clientData/>
  </xdr:oneCellAnchor>
  <xdr:oneCellAnchor>
    <xdr:from>
      <xdr:col>7</xdr:col>
      <xdr:colOff>202407</xdr:colOff>
      <xdr:row>377</xdr:row>
      <xdr:rowOff>171450</xdr:rowOff>
    </xdr:from>
    <xdr:ext cx="159543" cy="144653"/>
    <xdr:pic>
      <xdr:nvPicPr>
        <xdr:cNvPr id="669" name="Imagen 668">
          <a:extLst>
            <a:ext uri="{FF2B5EF4-FFF2-40B4-BE49-F238E27FC236}">
              <a16:creationId xmlns:a16="http://schemas.microsoft.com/office/drawing/2014/main" id="{CD6D8FBE-AADD-4CEB-A360-02D62683457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479382" y="247878600"/>
          <a:ext cx="159543" cy="144653"/>
        </a:xfrm>
        <a:prstGeom prst="rect">
          <a:avLst/>
        </a:prstGeom>
      </xdr:spPr>
    </xdr:pic>
    <xdr:clientData/>
  </xdr:oneCellAnchor>
  <xdr:oneCellAnchor>
    <xdr:from>
      <xdr:col>4</xdr:col>
      <xdr:colOff>400050</xdr:colOff>
      <xdr:row>377</xdr:row>
      <xdr:rowOff>77007</xdr:rowOff>
    </xdr:from>
    <xdr:ext cx="200025" cy="204828"/>
    <xdr:pic>
      <xdr:nvPicPr>
        <xdr:cNvPr id="670" name="Gráfico 669" descr="Bombilla fluorescente">
          <a:extLst>
            <a:ext uri="{FF2B5EF4-FFF2-40B4-BE49-F238E27FC236}">
              <a16:creationId xmlns:a16="http://schemas.microsoft.com/office/drawing/2014/main" id="{F9FA049D-8534-4AFA-A1B3-2E874CB39B1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3950" y="247784157"/>
          <a:ext cx="200025" cy="204828"/>
        </a:xfrm>
        <a:prstGeom prst="rect">
          <a:avLst/>
        </a:prstGeom>
      </xdr:spPr>
    </xdr:pic>
    <xdr:clientData/>
  </xdr:oneCellAnchor>
  <xdr:oneCellAnchor>
    <xdr:from>
      <xdr:col>3</xdr:col>
      <xdr:colOff>114301</xdr:colOff>
      <xdr:row>385</xdr:row>
      <xdr:rowOff>104775</xdr:rowOff>
    </xdr:from>
    <xdr:ext cx="352424" cy="352424"/>
    <xdr:pic>
      <xdr:nvPicPr>
        <xdr:cNvPr id="673" name="Imagen 672">
          <a:extLst>
            <a:ext uri="{FF2B5EF4-FFF2-40B4-BE49-F238E27FC236}">
              <a16:creationId xmlns:a16="http://schemas.microsoft.com/office/drawing/2014/main" id="{969E4312-86A4-4FCF-BB19-2D53649CC0DD}"/>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67176" y="257136900"/>
          <a:ext cx="352424" cy="352424"/>
        </a:xfrm>
        <a:prstGeom prst="rect">
          <a:avLst/>
        </a:prstGeom>
      </xdr:spPr>
    </xdr:pic>
    <xdr:clientData/>
  </xdr:oneCellAnchor>
  <xdr:oneCellAnchor>
    <xdr:from>
      <xdr:col>4</xdr:col>
      <xdr:colOff>114300</xdr:colOff>
      <xdr:row>385</xdr:row>
      <xdr:rowOff>76200</xdr:rowOff>
    </xdr:from>
    <xdr:ext cx="381000" cy="381000"/>
    <xdr:pic>
      <xdr:nvPicPr>
        <xdr:cNvPr id="676" name="Gráfico 675" descr="Botella de agua">
          <a:extLst>
            <a:ext uri="{FF2B5EF4-FFF2-40B4-BE49-F238E27FC236}">
              <a16:creationId xmlns:a16="http://schemas.microsoft.com/office/drawing/2014/main" id="{12951456-8423-43DE-907E-3F51A7A4CFF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48200" y="257108325"/>
          <a:ext cx="381000" cy="381000"/>
        </a:xfrm>
        <a:prstGeom prst="rect">
          <a:avLst/>
        </a:prstGeom>
      </xdr:spPr>
    </xdr:pic>
    <xdr:clientData/>
  </xdr:oneCellAnchor>
  <xdr:oneCellAnchor>
    <xdr:from>
      <xdr:col>5</xdr:col>
      <xdr:colOff>85725</xdr:colOff>
      <xdr:row>385</xdr:row>
      <xdr:rowOff>95250</xdr:rowOff>
    </xdr:from>
    <xdr:ext cx="361950" cy="361950"/>
    <xdr:pic>
      <xdr:nvPicPr>
        <xdr:cNvPr id="677" name="Gráfico 676" descr="Manzana">
          <a:extLst>
            <a:ext uri="{FF2B5EF4-FFF2-40B4-BE49-F238E27FC236}">
              <a16:creationId xmlns:a16="http://schemas.microsoft.com/office/drawing/2014/main" id="{24234600-2B4C-4720-BA8A-AB1525EE3E2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0650" y="257127375"/>
          <a:ext cx="361950" cy="361950"/>
        </a:xfrm>
        <a:prstGeom prst="rect">
          <a:avLst/>
        </a:prstGeom>
      </xdr:spPr>
    </xdr:pic>
    <xdr:clientData/>
  </xdr:oneCellAnchor>
  <xdr:oneCellAnchor>
    <xdr:from>
      <xdr:col>6</xdr:col>
      <xdr:colOff>95250</xdr:colOff>
      <xdr:row>385</xdr:row>
      <xdr:rowOff>104775</xdr:rowOff>
    </xdr:from>
    <xdr:ext cx="342900" cy="342900"/>
    <xdr:pic>
      <xdr:nvPicPr>
        <xdr:cNvPr id="678" name="Gráfico 677" descr="Buceo">
          <a:extLst>
            <a:ext uri="{FF2B5EF4-FFF2-40B4-BE49-F238E27FC236}">
              <a16:creationId xmlns:a16="http://schemas.microsoft.com/office/drawing/2014/main" id="{EC50B3B7-206B-4C00-AA5E-193AA09083F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1200" y="257136900"/>
          <a:ext cx="342900" cy="342900"/>
        </a:xfrm>
        <a:prstGeom prst="rect">
          <a:avLst/>
        </a:prstGeom>
      </xdr:spPr>
    </xdr:pic>
    <xdr:clientData/>
  </xdr:oneCellAnchor>
  <xdr:oneCellAnchor>
    <xdr:from>
      <xdr:col>7</xdr:col>
      <xdr:colOff>114300</xdr:colOff>
      <xdr:row>385</xdr:row>
      <xdr:rowOff>114299</xdr:rowOff>
    </xdr:from>
    <xdr:ext cx="281199" cy="281199"/>
    <xdr:pic>
      <xdr:nvPicPr>
        <xdr:cNvPr id="679" name="Imagen 678">
          <a:extLst>
            <a:ext uri="{FF2B5EF4-FFF2-40B4-BE49-F238E27FC236}">
              <a16:creationId xmlns:a16="http://schemas.microsoft.com/office/drawing/2014/main" id="{FB22C367-71D5-4929-B404-939AF403B40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1275" y="257146424"/>
          <a:ext cx="281199" cy="281199"/>
        </a:xfrm>
        <a:prstGeom prst="rect">
          <a:avLst/>
        </a:prstGeom>
      </xdr:spPr>
    </xdr:pic>
    <xdr:clientData/>
  </xdr:oneCellAnchor>
  <xdr:oneCellAnchor>
    <xdr:from>
      <xdr:col>2</xdr:col>
      <xdr:colOff>114301</xdr:colOff>
      <xdr:row>385</xdr:row>
      <xdr:rowOff>95250</xdr:rowOff>
    </xdr:from>
    <xdr:ext cx="315608" cy="315608"/>
    <xdr:pic>
      <xdr:nvPicPr>
        <xdr:cNvPr id="688" name="Imagen 687">
          <a:extLst>
            <a:ext uri="{FF2B5EF4-FFF2-40B4-BE49-F238E27FC236}">
              <a16:creationId xmlns:a16="http://schemas.microsoft.com/office/drawing/2014/main" id="{C6ED52C9-DF0D-4501-B821-BFFE96DEB5D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86151" y="257127375"/>
          <a:ext cx="315608" cy="315608"/>
        </a:xfrm>
        <a:prstGeom prst="rect">
          <a:avLst/>
        </a:prstGeom>
      </xdr:spPr>
    </xdr:pic>
    <xdr:clientData/>
  </xdr:oneCellAnchor>
  <xdr:oneCellAnchor>
    <xdr:from>
      <xdr:col>2</xdr:col>
      <xdr:colOff>152400</xdr:colOff>
      <xdr:row>389</xdr:row>
      <xdr:rowOff>76200</xdr:rowOff>
    </xdr:from>
    <xdr:ext cx="323850" cy="323850"/>
    <xdr:pic>
      <xdr:nvPicPr>
        <xdr:cNvPr id="700" name="Gráfico 699" descr="Árbol de hojas podridas">
          <a:extLst>
            <a:ext uri="{FF2B5EF4-FFF2-40B4-BE49-F238E27FC236}">
              <a16:creationId xmlns:a16="http://schemas.microsoft.com/office/drawing/2014/main" id="{DC33C00F-631C-4463-A00D-7A7734C0321A}"/>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4250" y="259013325"/>
          <a:ext cx="323850" cy="323850"/>
        </a:xfrm>
        <a:prstGeom prst="rect">
          <a:avLst/>
        </a:prstGeom>
      </xdr:spPr>
    </xdr:pic>
    <xdr:clientData/>
  </xdr:oneCellAnchor>
  <xdr:oneCellAnchor>
    <xdr:from>
      <xdr:col>2</xdr:col>
      <xdr:colOff>523874</xdr:colOff>
      <xdr:row>389</xdr:row>
      <xdr:rowOff>95250</xdr:rowOff>
    </xdr:from>
    <xdr:ext cx="693595" cy="285750"/>
    <xdr:pic>
      <xdr:nvPicPr>
        <xdr:cNvPr id="701" name="Imagen 700">
          <a:extLst>
            <a:ext uri="{FF2B5EF4-FFF2-40B4-BE49-F238E27FC236}">
              <a16:creationId xmlns:a16="http://schemas.microsoft.com/office/drawing/2014/main" id="{BF1E8034-491D-4FF6-BF4C-9FBA874E3824}"/>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895724" y="259032375"/>
          <a:ext cx="693595" cy="285750"/>
        </a:xfrm>
        <a:prstGeom prst="rect">
          <a:avLst/>
        </a:prstGeom>
      </xdr:spPr>
    </xdr:pic>
    <xdr:clientData/>
  </xdr:oneCellAnchor>
  <xdr:oneCellAnchor>
    <xdr:from>
      <xdr:col>4</xdr:col>
      <xdr:colOff>127001</xdr:colOff>
      <xdr:row>389</xdr:row>
      <xdr:rowOff>118532</xdr:rowOff>
    </xdr:from>
    <xdr:ext cx="317499" cy="317499"/>
    <xdr:pic>
      <xdr:nvPicPr>
        <xdr:cNvPr id="735" name="Imagen 734">
          <a:extLst>
            <a:ext uri="{FF2B5EF4-FFF2-40B4-BE49-F238E27FC236}">
              <a16:creationId xmlns:a16="http://schemas.microsoft.com/office/drawing/2014/main" id="{E901F268-2460-4F09-A324-BDCFB998B762}"/>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0901" y="259055657"/>
          <a:ext cx="317499" cy="317499"/>
        </a:xfrm>
        <a:prstGeom prst="rect">
          <a:avLst/>
        </a:prstGeom>
      </xdr:spPr>
    </xdr:pic>
    <xdr:clientData/>
  </xdr:oneCellAnchor>
  <xdr:oneCellAnchor>
    <xdr:from>
      <xdr:col>5</xdr:col>
      <xdr:colOff>21167</xdr:colOff>
      <xdr:row>389</xdr:row>
      <xdr:rowOff>57401</xdr:rowOff>
    </xdr:from>
    <xdr:ext cx="539750" cy="378631"/>
    <xdr:pic>
      <xdr:nvPicPr>
        <xdr:cNvPr id="736" name="Imagen 735">
          <a:extLst>
            <a:ext uri="{FF2B5EF4-FFF2-40B4-BE49-F238E27FC236}">
              <a16:creationId xmlns:a16="http://schemas.microsoft.com/office/drawing/2014/main" id="{340E6900-A546-4618-AAF6-E0107B4C82E8}"/>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36092" y="258994526"/>
          <a:ext cx="539750" cy="378631"/>
        </a:xfrm>
        <a:prstGeom prst="rect">
          <a:avLst/>
        </a:prstGeom>
      </xdr:spPr>
    </xdr:pic>
    <xdr:clientData/>
  </xdr:oneCellAnchor>
  <xdr:oneCellAnchor>
    <xdr:from>
      <xdr:col>2</xdr:col>
      <xdr:colOff>561975</xdr:colOff>
      <xdr:row>393</xdr:row>
      <xdr:rowOff>28575</xdr:rowOff>
    </xdr:from>
    <xdr:ext cx="669925" cy="462224"/>
    <xdr:pic>
      <xdr:nvPicPr>
        <xdr:cNvPr id="738" name="Imagen 737">
          <a:extLst>
            <a:ext uri="{FF2B5EF4-FFF2-40B4-BE49-F238E27FC236}">
              <a16:creationId xmlns:a16="http://schemas.microsoft.com/office/drawing/2014/main" id="{5A57CE95-731C-48A4-BB8C-65BC113F0259}"/>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3825" y="268138275"/>
          <a:ext cx="669925" cy="462224"/>
        </a:xfrm>
        <a:prstGeom prst="rect">
          <a:avLst/>
        </a:prstGeom>
      </xdr:spPr>
    </xdr:pic>
    <xdr:clientData/>
  </xdr:oneCellAnchor>
  <xdr:oneCellAnchor>
    <xdr:from>
      <xdr:col>2</xdr:col>
      <xdr:colOff>142876</xdr:colOff>
      <xdr:row>393</xdr:row>
      <xdr:rowOff>85725</xdr:rowOff>
    </xdr:from>
    <xdr:ext cx="333376" cy="333376"/>
    <xdr:pic>
      <xdr:nvPicPr>
        <xdr:cNvPr id="739" name="Imagen 738">
          <a:extLst>
            <a:ext uri="{FF2B5EF4-FFF2-40B4-BE49-F238E27FC236}">
              <a16:creationId xmlns:a16="http://schemas.microsoft.com/office/drawing/2014/main" id="{395B481E-BF96-4B98-B8A4-F83E3A0E53C1}"/>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4726" y="268195425"/>
          <a:ext cx="333376" cy="333376"/>
        </a:xfrm>
        <a:prstGeom prst="rect">
          <a:avLst/>
        </a:prstGeom>
      </xdr:spPr>
    </xdr:pic>
    <xdr:clientData/>
  </xdr:oneCellAnchor>
  <xdr:oneCellAnchor>
    <xdr:from>
      <xdr:col>2</xdr:col>
      <xdr:colOff>85725</xdr:colOff>
      <xdr:row>398</xdr:row>
      <xdr:rowOff>63500</xdr:rowOff>
    </xdr:from>
    <xdr:ext cx="431682" cy="429683"/>
    <xdr:pic>
      <xdr:nvPicPr>
        <xdr:cNvPr id="741" name="Gráfico 740" descr="Barril de petróleo">
          <a:extLst>
            <a:ext uri="{FF2B5EF4-FFF2-40B4-BE49-F238E27FC236}">
              <a16:creationId xmlns:a16="http://schemas.microsoft.com/office/drawing/2014/main" id="{C7021AAF-DD3A-4295-924D-F8614DFD3A1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57575" y="272497550"/>
          <a:ext cx="431682" cy="429683"/>
        </a:xfrm>
        <a:prstGeom prst="rect">
          <a:avLst/>
        </a:prstGeom>
      </xdr:spPr>
    </xdr:pic>
    <xdr:clientData/>
  </xdr:oneCellAnchor>
  <xdr:oneCellAnchor>
    <xdr:from>
      <xdr:col>3</xdr:col>
      <xdr:colOff>104775</xdr:colOff>
      <xdr:row>398</xdr:row>
      <xdr:rowOff>133350</xdr:rowOff>
    </xdr:from>
    <xdr:ext cx="332318" cy="315504"/>
    <xdr:pic>
      <xdr:nvPicPr>
        <xdr:cNvPr id="742" name="Imagen 741">
          <a:extLst>
            <a:ext uri="{FF2B5EF4-FFF2-40B4-BE49-F238E27FC236}">
              <a16:creationId xmlns:a16="http://schemas.microsoft.com/office/drawing/2014/main" id="{C03E4694-9333-4195-9859-961569A728F8}"/>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57650" y="272567400"/>
          <a:ext cx="332318" cy="315504"/>
        </a:xfrm>
        <a:prstGeom prst="rect">
          <a:avLst/>
        </a:prstGeom>
      </xdr:spPr>
    </xdr:pic>
    <xdr:clientData/>
  </xdr:oneCellAnchor>
  <xdr:oneCellAnchor>
    <xdr:from>
      <xdr:col>4</xdr:col>
      <xdr:colOff>216958</xdr:colOff>
      <xdr:row>398</xdr:row>
      <xdr:rowOff>151302</xdr:rowOff>
    </xdr:from>
    <xdr:ext cx="259291" cy="272028"/>
    <xdr:pic>
      <xdr:nvPicPr>
        <xdr:cNvPr id="743" name="Imagen 742">
          <a:extLst>
            <a:ext uri="{FF2B5EF4-FFF2-40B4-BE49-F238E27FC236}">
              <a16:creationId xmlns:a16="http://schemas.microsoft.com/office/drawing/2014/main" id="{D96152B2-405C-4C2D-86A3-6418D8E091FB}"/>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0858" y="272585352"/>
          <a:ext cx="259291" cy="272028"/>
        </a:xfrm>
        <a:prstGeom prst="rect">
          <a:avLst/>
        </a:prstGeom>
      </xdr:spPr>
    </xdr:pic>
    <xdr:clientData/>
  </xdr:oneCellAnchor>
  <xdr:oneCellAnchor>
    <xdr:from>
      <xdr:col>6</xdr:col>
      <xdr:colOff>76200</xdr:colOff>
      <xdr:row>398</xdr:row>
      <xdr:rowOff>69850</xdr:rowOff>
    </xdr:from>
    <xdr:ext cx="457200" cy="448468"/>
    <xdr:pic>
      <xdr:nvPicPr>
        <xdr:cNvPr id="744" name="Gráfico 743" descr="Convertible">
          <a:extLst>
            <a:ext uri="{FF2B5EF4-FFF2-40B4-BE49-F238E27FC236}">
              <a16:creationId xmlns:a16="http://schemas.microsoft.com/office/drawing/2014/main" id="{41BC3E69-370C-4162-9C87-82FAF2AE70F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72503900"/>
          <a:ext cx="457200" cy="448468"/>
        </a:xfrm>
        <a:prstGeom prst="rect">
          <a:avLst/>
        </a:prstGeom>
      </xdr:spPr>
    </xdr:pic>
    <xdr:clientData/>
  </xdr:oneCellAnchor>
  <xdr:oneCellAnchor>
    <xdr:from>
      <xdr:col>5</xdr:col>
      <xdr:colOff>105834</xdr:colOff>
      <xdr:row>398</xdr:row>
      <xdr:rowOff>74083</xdr:rowOff>
    </xdr:from>
    <xdr:ext cx="414685" cy="414685"/>
    <xdr:pic>
      <xdr:nvPicPr>
        <xdr:cNvPr id="745" name="Imagen 744">
          <a:extLst>
            <a:ext uri="{FF2B5EF4-FFF2-40B4-BE49-F238E27FC236}">
              <a16:creationId xmlns:a16="http://schemas.microsoft.com/office/drawing/2014/main" id="{2A3F5180-2648-400F-B0BE-A9279D550BEF}"/>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0759" y="272508133"/>
          <a:ext cx="414685" cy="414685"/>
        </a:xfrm>
        <a:prstGeom prst="rect">
          <a:avLst/>
        </a:prstGeom>
      </xdr:spPr>
    </xdr:pic>
    <xdr:clientData/>
  </xdr:oneCellAnchor>
  <xdr:oneCellAnchor>
    <xdr:from>
      <xdr:col>2</xdr:col>
      <xdr:colOff>59531</xdr:colOff>
      <xdr:row>412</xdr:row>
      <xdr:rowOff>83344</xdr:rowOff>
    </xdr:from>
    <xdr:ext cx="391901" cy="366338"/>
    <xdr:pic>
      <xdr:nvPicPr>
        <xdr:cNvPr id="746" name="Imagen 745">
          <a:extLst>
            <a:ext uri="{FF2B5EF4-FFF2-40B4-BE49-F238E27FC236}">
              <a16:creationId xmlns:a16="http://schemas.microsoft.com/office/drawing/2014/main" id="{F6D91D58-A3ED-4567-B6C5-9041737C1E4C}"/>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31381" y="225349594"/>
          <a:ext cx="391901" cy="366338"/>
        </a:xfrm>
        <a:prstGeom prst="rect">
          <a:avLst/>
        </a:prstGeom>
      </xdr:spPr>
    </xdr:pic>
    <xdr:clientData/>
  </xdr:oneCellAnchor>
  <xdr:oneCellAnchor>
    <xdr:from>
      <xdr:col>3</xdr:col>
      <xdr:colOff>178591</xdr:colOff>
      <xdr:row>412</xdr:row>
      <xdr:rowOff>107155</xdr:rowOff>
    </xdr:from>
    <xdr:ext cx="309563" cy="309563"/>
    <xdr:pic>
      <xdr:nvPicPr>
        <xdr:cNvPr id="747" name="Imagen 746">
          <a:extLst>
            <a:ext uri="{FF2B5EF4-FFF2-40B4-BE49-F238E27FC236}">
              <a16:creationId xmlns:a16="http://schemas.microsoft.com/office/drawing/2014/main" id="{371237D0-02E6-4109-81D1-922A5783EF2D}"/>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225373405"/>
          <a:ext cx="309563" cy="309563"/>
        </a:xfrm>
        <a:prstGeom prst="rect">
          <a:avLst/>
        </a:prstGeom>
      </xdr:spPr>
    </xdr:pic>
    <xdr:clientData/>
  </xdr:oneCellAnchor>
  <xdr:oneCellAnchor>
    <xdr:from>
      <xdr:col>4</xdr:col>
      <xdr:colOff>59531</xdr:colOff>
      <xdr:row>412</xdr:row>
      <xdr:rowOff>83343</xdr:rowOff>
    </xdr:from>
    <xdr:ext cx="457200" cy="448468"/>
    <xdr:pic>
      <xdr:nvPicPr>
        <xdr:cNvPr id="748" name="Gráfico 747" descr="Convertible">
          <a:extLst>
            <a:ext uri="{FF2B5EF4-FFF2-40B4-BE49-F238E27FC236}">
              <a16:creationId xmlns:a16="http://schemas.microsoft.com/office/drawing/2014/main" id="{47B49BF6-F5F1-45CA-BA0E-175BF7778B8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3431" y="225349593"/>
          <a:ext cx="457200" cy="448468"/>
        </a:xfrm>
        <a:prstGeom prst="rect">
          <a:avLst/>
        </a:prstGeom>
      </xdr:spPr>
    </xdr:pic>
    <xdr:clientData/>
  </xdr:oneCellAnchor>
  <xdr:oneCellAnchor>
    <xdr:from>
      <xdr:col>6</xdr:col>
      <xdr:colOff>76200</xdr:colOff>
      <xdr:row>412</xdr:row>
      <xdr:rowOff>69850</xdr:rowOff>
    </xdr:from>
    <xdr:ext cx="457200" cy="448468"/>
    <xdr:pic>
      <xdr:nvPicPr>
        <xdr:cNvPr id="749" name="Gráfico 748" descr="Convertible">
          <a:extLst>
            <a:ext uri="{FF2B5EF4-FFF2-40B4-BE49-F238E27FC236}">
              <a16:creationId xmlns:a16="http://schemas.microsoft.com/office/drawing/2014/main" id="{04981862-A059-4F77-A56D-DDEB450E12C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25336100"/>
          <a:ext cx="457200" cy="448468"/>
        </a:xfrm>
        <a:prstGeom prst="rect">
          <a:avLst/>
        </a:prstGeom>
      </xdr:spPr>
    </xdr:pic>
    <xdr:clientData/>
  </xdr:oneCellAnchor>
  <xdr:oneCellAnchor>
    <xdr:from>
      <xdr:col>4</xdr:col>
      <xdr:colOff>119743</xdr:colOff>
      <xdr:row>421</xdr:row>
      <xdr:rowOff>70758</xdr:rowOff>
    </xdr:from>
    <xdr:ext cx="360000" cy="360000"/>
    <xdr:pic>
      <xdr:nvPicPr>
        <xdr:cNvPr id="750" name="Gráfico 749" descr="Hogar">
          <a:extLst>
            <a:ext uri="{FF2B5EF4-FFF2-40B4-BE49-F238E27FC236}">
              <a16:creationId xmlns:a16="http://schemas.microsoft.com/office/drawing/2014/main" id="{341F4690-6865-4ED2-99D0-0BA7C347050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3643" y="288154383"/>
          <a:ext cx="360000" cy="360000"/>
        </a:xfrm>
        <a:prstGeom prst="rect">
          <a:avLst/>
        </a:prstGeom>
      </xdr:spPr>
    </xdr:pic>
    <xdr:clientData/>
  </xdr:oneCellAnchor>
  <xdr:oneCellAnchor>
    <xdr:from>
      <xdr:col>3</xdr:col>
      <xdr:colOff>73330</xdr:colOff>
      <xdr:row>421</xdr:row>
      <xdr:rowOff>67651</xdr:rowOff>
    </xdr:from>
    <xdr:ext cx="358941" cy="367560"/>
    <xdr:pic>
      <xdr:nvPicPr>
        <xdr:cNvPr id="751" name="Gráfico 750" descr="Bombilla fluorescente">
          <a:extLst>
            <a:ext uri="{FF2B5EF4-FFF2-40B4-BE49-F238E27FC236}">
              <a16:creationId xmlns:a16="http://schemas.microsoft.com/office/drawing/2014/main" id="{BB01848D-8A7B-43F6-A3C2-C206048FB21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288151276"/>
          <a:ext cx="358941" cy="367560"/>
        </a:xfrm>
        <a:prstGeom prst="rect">
          <a:avLst/>
        </a:prstGeom>
      </xdr:spPr>
    </xdr:pic>
    <xdr:clientData/>
  </xdr:oneCellAnchor>
  <xdr:oneCellAnchor>
    <xdr:from>
      <xdr:col>6</xdr:col>
      <xdr:colOff>133350</xdr:colOff>
      <xdr:row>421</xdr:row>
      <xdr:rowOff>77256</xdr:rowOff>
    </xdr:from>
    <xdr:ext cx="284694" cy="284694"/>
    <xdr:pic>
      <xdr:nvPicPr>
        <xdr:cNvPr id="752" name="Imagen 751">
          <a:extLst>
            <a:ext uri="{FF2B5EF4-FFF2-40B4-BE49-F238E27FC236}">
              <a16:creationId xmlns:a16="http://schemas.microsoft.com/office/drawing/2014/main" id="{66668248-9F3B-4BCF-AEB3-5D50E5BEB123}"/>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829300" y="288160881"/>
          <a:ext cx="284694" cy="284694"/>
        </a:xfrm>
        <a:prstGeom prst="rect">
          <a:avLst/>
        </a:prstGeom>
      </xdr:spPr>
    </xdr:pic>
    <xdr:clientData/>
  </xdr:oneCellAnchor>
  <xdr:oneCellAnchor>
    <xdr:from>
      <xdr:col>7</xdr:col>
      <xdr:colOff>202407</xdr:colOff>
      <xdr:row>421</xdr:row>
      <xdr:rowOff>171450</xdr:rowOff>
    </xdr:from>
    <xdr:ext cx="159543" cy="144653"/>
    <xdr:pic>
      <xdr:nvPicPr>
        <xdr:cNvPr id="753" name="Imagen 752">
          <a:extLst>
            <a:ext uri="{FF2B5EF4-FFF2-40B4-BE49-F238E27FC236}">
              <a16:creationId xmlns:a16="http://schemas.microsoft.com/office/drawing/2014/main" id="{A50C26FE-B240-4F35-A04D-09EC05E12D0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479382" y="288255075"/>
          <a:ext cx="159543" cy="144653"/>
        </a:xfrm>
        <a:prstGeom prst="rect">
          <a:avLst/>
        </a:prstGeom>
      </xdr:spPr>
    </xdr:pic>
    <xdr:clientData/>
  </xdr:oneCellAnchor>
  <xdr:oneCellAnchor>
    <xdr:from>
      <xdr:col>4</xdr:col>
      <xdr:colOff>400050</xdr:colOff>
      <xdr:row>421</xdr:row>
      <xdr:rowOff>77007</xdr:rowOff>
    </xdr:from>
    <xdr:ext cx="200025" cy="204828"/>
    <xdr:pic>
      <xdr:nvPicPr>
        <xdr:cNvPr id="754" name="Gráfico 753" descr="Bombilla fluorescente">
          <a:extLst>
            <a:ext uri="{FF2B5EF4-FFF2-40B4-BE49-F238E27FC236}">
              <a16:creationId xmlns:a16="http://schemas.microsoft.com/office/drawing/2014/main" id="{57389C85-A4E2-485E-94EF-D8A1E35C756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3950" y="288160632"/>
          <a:ext cx="200025" cy="204828"/>
        </a:xfrm>
        <a:prstGeom prst="rect">
          <a:avLst/>
        </a:prstGeom>
      </xdr:spPr>
    </xdr:pic>
    <xdr:clientData/>
  </xdr:oneCellAnchor>
  <xdr:oneCellAnchor>
    <xdr:from>
      <xdr:col>3</xdr:col>
      <xdr:colOff>114301</xdr:colOff>
      <xdr:row>428</xdr:row>
      <xdr:rowOff>104775</xdr:rowOff>
    </xdr:from>
    <xdr:ext cx="352424" cy="352424"/>
    <xdr:pic>
      <xdr:nvPicPr>
        <xdr:cNvPr id="755" name="Imagen 754">
          <a:extLst>
            <a:ext uri="{FF2B5EF4-FFF2-40B4-BE49-F238E27FC236}">
              <a16:creationId xmlns:a16="http://schemas.microsoft.com/office/drawing/2014/main" id="{4F579CCF-9D5A-4B28-89FA-D137A5987EA1}"/>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67176" y="289293300"/>
          <a:ext cx="352424" cy="352424"/>
        </a:xfrm>
        <a:prstGeom prst="rect">
          <a:avLst/>
        </a:prstGeom>
      </xdr:spPr>
    </xdr:pic>
    <xdr:clientData/>
  </xdr:oneCellAnchor>
  <xdr:oneCellAnchor>
    <xdr:from>
      <xdr:col>4</xdr:col>
      <xdr:colOff>114300</xdr:colOff>
      <xdr:row>428</xdr:row>
      <xdr:rowOff>76200</xdr:rowOff>
    </xdr:from>
    <xdr:ext cx="381000" cy="381000"/>
    <xdr:pic>
      <xdr:nvPicPr>
        <xdr:cNvPr id="756" name="Gráfico 755" descr="Botella de agua">
          <a:extLst>
            <a:ext uri="{FF2B5EF4-FFF2-40B4-BE49-F238E27FC236}">
              <a16:creationId xmlns:a16="http://schemas.microsoft.com/office/drawing/2014/main" id="{B7324FFC-CC56-4A52-97F9-36F333A92C3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48200" y="289264725"/>
          <a:ext cx="381000" cy="381000"/>
        </a:xfrm>
        <a:prstGeom prst="rect">
          <a:avLst/>
        </a:prstGeom>
      </xdr:spPr>
    </xdr:pic>
    <xdr:clientData/>
  </xdr:oneCellAnchor>
  <xdr:oneCellAnchor>
    <xdr:from>
      <xdr:col>5</xdr:col>
      <xdr:colOff>85725</xdr:colOff>
      <xdr:row>428</xdr:row>
      <xdr:rowOff>95250</xdr:rowOff>
    </xdr:from>
    <xdr:ext cx="361950" cy="361950"/>
    <xdr:pic>
      <xdr:nvPicPr>
        <xdr:cNvPr id="757" name="Gráfico 756" descr="Manzana">
          <a:extLst>
            <a:ext uri="{FF2B5EF4-FFF2-40B4-BE49-F238E27FC236}">
              <a16:creationId xmlns:a16="http://schemas.microsoft.com/office/drawing/2014/main" id="{8FC66365-1110-4DD4-9982-167069BCD14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0650" y="289283775"/>
          <a:ext cx="361950" cy="361950"/>
        </a:xfrm>
        <a:prstGeom prst="rect">
          <a:avLst/>
        </a:prstGeom>
      </xdr:spPr>
    </xdr:pic>
    <xdr:clientData/>
  </xdr:oneCellAnchor>
  <xdr:oneCellAnchor>
    <xdr:from>
      <xdr:col>6</xdr:col>
      <xdr:colOff>95250</xdr:colOff>
      <xdr:row>428</xdr:row>
      <xdr:rowOff>104775</xdr:rowOff>
    </xdr:from>
    <xdr:ext cx="342900" cy="342900"/>
    <xdr:pic>
      <xdr:nvPicPr>
        <xdr:cNvPr id="758" name="Gráfico 757" descr="Buceo">
          <a:extLst>
            <a:ext uri="{FF2B5EF4-FFF2-40B4-BE49-F238E27FC236}">
              <a16:creationId xmlns:a16="http://schemas.microsoft.com/office/drawing/2014/main" id="{6BF6F7A5-39E5-4791-94BE-CF868AD8380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1200" y="289293300"/>
          <a:ext cx="342900" cy="342900"/>
        </a:xfrm>
        <a:prstGeom prst="rect">
          <a:avLst/>
        </a:prstGeom>
      </xdr:spPr>
    </xdr:pic>
    <xdr:clientData/>
  </xdr:oneCellAnchor>
  <xdr:oneCellAnchor>
    <xdr:from>
      <xdr:col>7</xdr:col>
      <xdr:colOff>114300</xdr:colOff>
      <xdr:row>428</xdr:row>
      <xdr:rowOff>114299</xdr:rowOff>
    </xdr:from>
    <xdr:ext cx="281199" cy="281199"/>
    <xdr:pic>
      <xdr:nvPicPr>
        <xdr:cNvPr id="759" name="Imagen 758">
          <a:extLst>
            <a:ext uri="{FF2B5EF4-FFF2-40B4-BE49-F238E27FC236}">
              <a16:creationId xmlns:a16="http://schemas.microsoft.com/office/drawing/2014/main" id="{99531716-5755-4727-A017-3DEE26E7BA0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1275" y="289302824"/>
          <a:ext cx="281199" cy="281199"/>
        </a:xfrm>
        <a:prstGeom prst="rect">
          <a:avLst/>
        </a:prstGeom>
      </xdr:spPr>
    </xdr:pic>
    <xdr:clientData/>
  </xdr:oneCellAnchor>
  <xdr:oneCellAnchor>
    <xdr:from>
      <xdr:col>2</xdr:col>
      <xdr:colOff>114301</xdr:colOff>
      <xdr:row>428</xdr:row>
      <xdr:rowOff>95250</xdr:rowOff>
    </xdr:from>
    <xdr:ext cx="315608" cy="315608"/>
    <xdr:pic>
      <xdr:nvPicPr>
        <xdr:cNvPr id="760" name="Imagen 759">
          <a:extLst>
            <a:ext uri="{FF2B5EF4-FFF2-40B4-BE49-F238E27FC236}">
              <a16:creationId xmlns:a16="http://schemas.microsoft.com/office/drawing/2014/main" id="{9CED9BF5-0A93-4E1D-ABAC-698F6931A1F2}"/>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86151" y="289283775"/>
          <a:ext cx="315608" cy="315608"/>
        </a:xfrm>
        <a:prstGeom prst="rect">
          <a:avLst/>
        </a:prstGeom>
      </xdr:spPr>
    </xdr:pic>
    <xdr:clientData/>
  </xdr:oneCellAnchor>
  <xdr:oneCellAnchor>
    <xdr:from>
      <xdr:col>2</xdr:col>
      <xdr:colOff>152400</xdr:colOff>
      <xdr:row>432</xdr:row>
      <xdr:rowOff>76200</xdr:rowOff>
    </xdr:from>
    <xdr:ext cx="323850" cy="323850"/>
    <xdr:pic>
      <xdr:nvPicPr>
        <xdr:cNvPr id="761" name="Gráfico 760" descr="Árbol de hojas podridas">
          <a:extLst>
            <a:ext uri="{FF2B5EF4-FFF2-40B4-BE49-F238E27FC236}">
              <a16:creationId xmlns:a16="http://schemas.microsoft.com/office/drawing/2014/main" id="{AA268729-2759-4563-904F-DBA6B0AEA1E2}"/>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4250" y="290369625"/>
          <a:ext cx="323850" cy="323850"/>
        </a:xfrm>
        <a:prstGeom prst="rect">
          <a:avLst/>
        </a:prstGeom>
      </xdr:spPr>
    </xdr:pic>
    <xdr:clientData/>
  </xdr:oneCellAnchor>
  <xdr:oneCellAnchor>
    <xdr:from>
      <xdr:col>2</xdr:col>
      <xdr:colOff>523874</xdr:colOff>
      <xdr:row>432</xdr:row>
      <xdr:rowOff>95250</xdr:rowOff>
    </xdr:from>
    <xdr:ext cx="693595" cy="285750"/>
    <xdr:pic>
      <xdr:nvPicPr>
        <xdr:cNvPr id="762" name="Imagen 761">
          <a:extLst>
            <a:ext uri="{FF2B5EF4-FFF2-40B4-BE49-F238E27FC236}">
              <a16:creationId xmlns:a16="http://schemas.microsoft.com/office/drawing/2014/main" id="{C0201CEA-EE6E-4FBA-96E1-19C537D9CDF3}"/>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895724" y="290388675"/>
          <a:ext cx="693595" cy="285750"/>
        </a:xfrm>
        <a:prstGeom prst="rect">
          <a:avLst/>
        </a:prstGeom>
      </xdr:spPr>
    </xdr:pic>
    <xdr:clientData/>
  </xdr:oneCellAnchor>
  <xdr:oneCellAnchor>
    <xdr:from>
      <xdr:col>4</xdr:col>
      <xdr:colOff>127001</xdr:colOff>
      <xdr:row>432</xdr:row>
      <xdr:rowOff>118532</xdr:rowOff>
    </xdr:from>
    <xdr:ext cx="317499" cy="317499"/>
    <xdr:pic>
      <xdr:nvPicPr>
        <xdr:cNvPr id="763" name="Imagen 762">
          <a:extLst>
            <a:ext uri="{FF2B5EF4-FFF2-40B4-BE49-F238E27FC236}">
              <a16:creationId xmlns:a16="http://schemas.microsoft.com/office/drawing/2014/main" id="{588B65B8-8BB9-43CB-96DC-310CA07CB3B5}"/>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0901" y="290411957"/>
          <a:ext cx="317499" cy="317499"/>
        </a:xfrm>
        <a:prstGeom prst="rect">
          <a:avLst/>
        </a:prstGeom>
      </xdr:spPr>
    </xdr:pic>
    <xdr:clientData/>
  </xdr:oneCellAnchor>
  <xdr:oneCellAnchor>
    <xdr:from>
      <xdr:col>5</xdr:col>
      <xdr:colOff>21167</xdr:colOff>
      <xdr:row>432</xdr:row>
      <xdr:rowOff>57401</xdr:rowOff>
    </xdr:from>
    <xdr:ext cx="539750" cy="378631"/>
    <xdr:pic>
      <xdr:nvPicPr>
        <xdr:cNvPr id="764" name="Imagen 763">
          <a:extLst>
            <a:ext uri="{FF2B5EF4-FFF2-40B4-BE49-F238E27FC236}">
              <a16:creationId xmlns:a16="http://schemas.microsoft.com/office/drawing/2014/main" id="{34C8244C-2D6D-4EBD-8F6D-1EFD8FD7C344}"/>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36092" y="290350826"/>
          <a:ext cx="539750" cy="378631"/>
        </a:xfrm>
        <a:prstGeom prst="rect">
          <a:avLst/>
        </a:prstGeom>
      </xdr:spPr>
    </xdr:pic>
    <xdr:clientData/>
  </xdr:oneCellAnchor>
  <xdr:oneCellAnchor>
    <xdr:from>
      <xdr:col>2</xdr:col>
      <xdr:colOff>561975</xdr:colOff>
      <xdr:row>440</xdr:row>
      <xdr:rowOff>28575</xdr:rowOff>
    </xdr:from>
    <xdr:ext cx="669925" cy="462224"/>
    <xdr:pic>
      <xdr:nvPicPr>
        <xdr:cNvPr id="766" name="Imagen 765">
          <a:extLst>
            <a:ext uri="{FF2B5EF4-FFF2-40B4-BE49-F238E27FC236}">
              <a16:creationId xmlns:a16="http://schemas.microsoft.com/office/drawing/2014/main" id="{EAEACC5E-0914-4FEA-9B11-8CF3A4AB50D1}"/>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3825" y="291426900"/>
          <a:ext cx="669925" cy="462224"/>
        </a:xfrm>
        <a:prstGeom prst="rect">
          <a:avLst/>
        </a:prstGeom>
      </xdr:spPr>
    </xdr:pic>
    <xdr:clientData/>
  </xdr:oneCellAnchor>
  <xdr:oneCellAnchor>
    <xdr:from>
      <xdr:col>2</xdr:col>
      <xdr:colOff>142876</xdr:colOff>
      <xdr:row>440</xdr:row>
      <xdr:rowOff>85725</xdr:rowOff>
    </xdr:from>
    <xdr:ext cx="333376" cy="333376"/>
    <xdr:pic>
      <xdr:nvPicPr>
        <xdr:cNvPr id="767" name="Imagen 766">
          <a:extLst>
            <a:ext uri="{FF2B5EF4-FFF2-40B4-BE49-F238E27FC236}">
              <a16:creationId xmlns:a16="http://schemas.microsoft.com/office/drawing/2014/main" id="{1C8E6F01-2286-4BED-BC9E-01EF2C73338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4726" y="291484050"/>
          <a:ext cx="333376" cy="333376"/>
        </a:xfrm>
        <a:prstGeom prst="rect">
          <a:avLst/>
        </a:prstGeom>
      </xdr:spPr>
    </xdr:pic>
    <xdr:clientData/>
  </xdr:oneCellAnchor>
  <xdr:oneCellAnchor>
    <xdr:from>
      <xdr:col>4</xdr:col>
      <xdr:colOff>66675</xdr:colOff>
      <xdr:row>440</xdr:row>
      <xdr:rowOff>128910</xdr:rowOff>
    </xdr:from>
    <xdr:ext cx="504825" cy="282360"/>
    <xdr:pic>
      <xdr:nvPicPr>
        <xdr:cNvPr id="768" name="Imagen 767">
          <a:extLst>
            <a:ext uri="{FF2B5EF4-FFF2-40B4-BE49-F238E27FC236}">
              <a16:creationId xmlns:a16="http://schemas.microsoft.com/office/drawing/2014/main" id="{6D914A24-8251-46F9-9334-D648F754CFC4}"/>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0575" y="291527235"/>
          <a:ext cx="504825" cy="282360"/>
        </a:xfrm>
        <a:prstGeom prst="rect">
          <a:avLst/>
        </a:prstGeom>
      </xdr:spPr>
    </xdr:pic>
    <xdr:clientData/>
  </xdr:oneCellAnchor>
  <xdr:oneCellAnchor>
    <xdr:from>
      <xdr:col>2</xdr:col>
      <xdr:colOff>85725</xdr:colOff>
      <xdr:row>446</xdr:row>
      <xdr:rowOff>63500</xdr:rowOff>
    </xdr:from>
    <xdr:ext cx="431682" cy="429683"/>
    <xdr:pic>
      <xdr:nvPicPr>
        <xdr:cNvPr id="769" name="Gráfico 768" descr="Barril de petróleo">
          <a:extLst>
            <a:ext uri="{FF2B5EF4-FFF2-40B4-BE49-F238E27FC236}">
              <a16:creationId xmlns:a16="http://schemas.microsoft.com/office/drawing/2014/main" id="{478A8AE7-F105-463C-8E3F-61B7C38B3DC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57575" y="292566725"/>
          <a:ext cx="431682" cy="429683"/>
        </a:xfrm>
        <a:prstGeom prst="rect">
          <a:avLst/>
        </a:prstGeom>
      </xdr:spPr>
    </xdr:pic>
    <xdr:clientData/>
  </xdr:oneCellAnchor>
  <xdr:oneCellAnchor>
    <xdr:from>
      <xdr:col>3</xdr:col>
      <xdr:colOff>104775</xdr:colOff>
      <xdr:row>446</xdr:row>
      <xdr:rowOff>133350</xdr:rowOff>
    </xdr:from>
    <xdr:ext cx="332318" cy="315504"/>
    <xdr:pic>
      <xdr:nvPicPr>
        <xdr:cNvPr id="770" name="Imagen 769">
          <a:extLst>
            <a:ext uri="{FF2B5EF4-FFF2-40B4-BE49-F238E27FC236}">
              <a16:creationId xmlns:a16="http://schemas.microsoft.com/office/drawing/2014/main" id="{211C7826-11BA-4C0F-AFC9-A47B973B98CA}"/>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57650" y="292636575"/>
          <a:ext cx="332318" cy="315504"/>
        </a:xfrm>
        <a:prstGeom prst="rect">
          <a:avLst/>
        </a:prstGeom>
      </xdr:spPr>
    </xdr:pic>
    <xdr:clientData/>
  </xdr:oneCellAnchor>
  <xdr:oneCellAnchor>
    <xdr:from>
      <xdr:col>4</xdr:col>
      <xdr:colOff>216958</xdr:colOff>
      <xdr:row>446</xdr:row>
      <xdr:rowOff>151302</xdr:rowOff>
    </xdr:from>
    <xdr:ext cx="259291" cy="272028"/>
    <xdr:pic>
      <xdr:nvPicPr>
        <xdr:cNvPr id="771" name="Imagen 770">
          <a:extLst>
            <a:ext uri="{FF2B5EF4-FFF2-40B4-BE49-F238E27FC236}">
              <a16:creationId xmlns:a16="http://schemas.microsoft.com/office/drawing/2014/main" id="{07F6F14C-B984-48AE-9FDC-783D57EB4F92}"/>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0858" y="292654527"/>
          <a:ext cx="259291" cy="272028"/>
        </a:xfrm>
        <a:prstGeom prst="rect">
          <a:avLst/>
        </a:prstGeom>
      </xdr:spPr>
    </xdr:pic>
    <xdr:clientData/>
  </xdr:oneCellAnchor>
  <xdr:oneCellAnchor>
    <xdr:from>
      <xdr:col>6</xdr:col>
      <xdr:colOff>76200</xdr:colOff>
      <xdr:row>446</xdr:row>
      <xdr:rowOff>69850</xdr:rowOff>
    </xdr:from>
    <xdr:ext cx="457200" cy="448468"/>
    <xdr:pic>
      <xdr:nvPicPr>
        <xdr:cNvPr id="772" name="Gráfico 771" descr="Convertible">
          <a:extLst>
            <a:ext uri="{FF2B5EF4-FFF2-40B4-BE49-F238E27FC236}">
              <a16:creationId xmlns:a16="http://schemas.microsoft.com/office/drawing/2014/main" id="{6F7E7959-A9CD-4D31-8E76-BA292B2EA3A6}"/>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92573075"/>
          <a:ext cx="457200" cy="448468"/>
        </a:xfrm>
        <a:prstGeom prst="rect">
          <a:avLst/>
        </a:prstGeom>
      </xdr:spPr>
    </xdr:pic>
    <xdr:clientData/>
  </xdr:oneCellAnchor>
  <xdr:oneCellAnchor>
    <xdr:from>
      <xdr:col>5</xdr:col>
      <xdr:colOff>105834</xdr:colOff>
      <xdr:row>446</xdr:row>
      <xdr:rowOff>74083</xdr:rowOff>
    </xdr:from>
    <xdr:ext cx="414685" cy="414685"/>
    <xdr:pic>
      <xdr:nvPicPr>
        <xdr:cNvPr id="773" name="Imagen 772">
          <a:extLst>
            <a:ext uri="{FF2B5EF4-FFF2-40B4-BE49-F238E27FC236}">
              <a16:creationId xmlns:a16="http://schemas.microsoft.com/office/drawing/2014/main" id="{5D840C92-F42E-4652-B6FD-1D93641E3C38}"/>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0759" y="292577308"/>
          <a:ext cx="414685" cy="414685"/>
        </a:xfrm>
        <a:prstGeom prst="rect">
          <a:avLst/>
        </a:prstGeom>
      </xdr:spPr>
    </xdr:pic>
    <xdr:clientData/>
  </xdr:oneCellAnchor>
  <xdr:oneCellAnchor>
    <xdr:from>
      <xdr:col>2</xdr:col>
      <xdr:colOff>59531</xdr:colOff>
      <xdr:row>453</xdr:row>
      <xdr:rowOff>83344</xdr:rowOff>
    </xdr:from>
    <xdr:ext cx="391901" cy="366338"/>
    <xdr:pic>
      <xdr:nvPicPr>
        <xdr:cNvPr id="774" name="Imagen 773">
          <a:extLst>
            <a:ext uri="{FF2B5EF4-FFF2-40B4-BE49-F238E27FC236}">
              <a16:creationId xmlns:a16="http://schemas.microsoft.com/office/drawing/2014/main" id="{F01C2C7B-B3DB-423D-82DD-96032D75078E}"/>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31381" y="293700994"/>
          <a:ext cx="391901" cy="366338"/>
        </a:xfrm>
        <a:prstGeom prst="rect">
          <a:avLst/>
        </a:prstGeom>
      </xdr:spPr>
    </xdr:pic>
    <xdr:clientData/>
  </xdr:oneCellAnchor>
  <xdr:oneCellAnchor>
    <xdr:from>
      <xdr:col>3</xdr:col>
      <xdr:colOff>178591</xdr:colOff>
      <xdr:row>453</xdr:row>
      <xdr:rowOff>107155</xdr:rowOff>
    </xdr:from>
    <xdr:ext cx="309563" cy="309563"/>
    <xdr:pic>
      <xdr:nvPicPr>
        <xdr:cNvPr id="775" name="Imagen 774">
          <a:extLst>
            <a:ext uri="{FF2B5EF4-FFF2-40B4-BE49-F238E27FC236}">
              <a16:creationId xmlns:a16="http://schemas.microsoft.com/office/drawing/2014/main" id="{2E3DEAD1-03AE-404F-9646-CF50EBDF7291}"/>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293724805"/>
          <a:ext cx="309563" cy="309563"/>
        </a:xfrm>
        <a:prstGeom prst="rect">
          <a:avLst/>
        </a:prstGeom>
      </xdr:spPr>
    </xdr:pic>
    <xdr:clientData/>
  </xdr:oneCellAnchor>
  <xdr:oneCellAnchor>
    <xdr:from>
      <xdr:col>4</xdr:col>
      <xdr:colOff>59531</xdr:colOff>
      <xdr:row>453</xdr:row>
      <xdr:rowOff>83343</xdr:rowOff>
    </xdr:from>
    <xdr:ext cx="457200" cy="448468"/>
    <xdr:pic>
      <xdr:nvPicPr>
        <xdr:cNvPr id="776" name="Gráfico 775" descr="Convertible">
          <a:extLst>
            <a:ext uri="{FF2B5EF4-FFF2-40B4-BE49-F238E27FC236}">
              <a16:creationId xmlns:a16="http://schemas.microsoft.com/office/drawing/2014/main" id="{CC848166-6DB0-4976-ACFC-131499A67BB6}"/>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3431" y="293700993"/>
          <a:ext cx="457200" cy="448468"/>
        </a:xfrm>
        <a:prstGeom prst="rect">
          <a:avLst/>
        </a:prstGeom>
      </xdr:spPr>
    </xdr:pic>
    <xdr:clientData/>
  </xdr:oneCellAnchor>
  <xdr:oneCellAnchor>
    <xdr:from>
      <xdr:col>6</xdr:col>
      <xdr:colOff>76200</xdr:colOff>
      <xdr:row>453</xdr:row>
      <xdr:rowOff>69850</xdr:rowOff>
    </xdr:from>
    <xdr:ext cx="457200" cy="448468"/>
    <xdr:pic>
      <xdr:nvPicPr>
        <xdr:cNvPr id="777" name="Gráfico 776" descr="Convertible">
          <a:extLst>
            <a:ext uri="{FF2B5EF4-FFF2-40B4-BE49-F238E27FC236}">
              <a16:creationId xmlns:a16="http://schemas.microsoft.com/office/drawing/2014/main" id="{4D9D8890-9EFD-48AF-AD98-7F265035C678}"/>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93687500"/>
          <a:ext cx="457200" cy="448468"/>
        </a:xfrm>
        <a:prstGeom prst="rect">
          <a:avLst/>
        </a:prstGeom>
      </xdr:spPr>
    </xdr:pic>
    <xdr:clientData/>
  </xdr:oneCellAnchor>
  <xdr:oneCellAnchor>
    <xdr:from>
      <xdr:col>4</xdr:col>
      <xdr:colOff>119743</xdr:colOff>
      <xdr:row>467</xdr:row>
      <xdr:rowOff>70758</xdr:rowOff>
    </xdr:from>
    <xdr:ext cx="360000" cy="360000"/>
    <xdr:pic>
      <xdr:nvPicPr>
        <xdr:cNvPr id="778" name="Gráfico 777" descr="Hogar">
          <a:extLst>
            <a:ext uri="{FF2B5EF4-FFF2-40B4-BE49-F238E27FC236}">
              <a16:creationId xmlns:a16="http://schemas.microsoft.com/office/drawing/2014/main" id="{AB099E9B-F90A-4E84-8CE6-6CFECD11627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53643" y="288154383"/>
          <a:ext cx="360000" cy="360000"/>
        </a:xfrm>
        <a:prstGeom prst="rect">
          <a:avLst/>
        </a:prstGeom>
      </xdr:spPr>
    </xdr:pic>
    <xdr:clientData/>
  </xdr:oneCellAnchor>
  <xdr:oneCellAnchor>
    <xdr:from>
      <xdr:col>3</xdr:col>
      <xdr:colOff>73330</xdr:colOff>
      <xdr:row>467</xdr:row>
      <xdr:rowOff>67651</xdr:rowOff>
    </xdr:from>
    <xdr:ext cx="358941" cy="367560"/>
    <xdr:pic>
      <xdr:nvPicPr>
        <xdr:cNvPr id="779" name="Gráfico 778" descr="Bombilla fluorescente">
          <a:extLst>
            <a:ext uri="{FF2B5EF4-FFF2-40B4-BE49-F238E27FC236}">
              <a16:creationId xmlns:a16="http://schemas.microsoft.com/office/drawing/2014/main" id="{5F40617E-46BC-47BA-96F7-CD61E64B92D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26205" y="288151276"/>
          <a:ext cx="358941" cy="367560"/>
        </a:xfrm>
        <a:prstGeom prst="rect">
          <a:avLst/>
        </a:prstGeom>
      </xdr:spPr>
    </xdr:pic>
    <xdr:clientData/>
  </xdr:oneCellAnchor>
  <xdr:oneCellAnchor>
    <xdr:from>
      <xdr:col>6</xdr:col>
      <xdr:colOff>133350</xdr:colOff>
      <xdr:row>467</xdr:row>
      <xdr:rowOff>77256</xdr:rowOff>
    </xdr:from>
    <xdr:ext cx="284694" cy="284694"/>
    <xdr:pic>
      <xdr:nvPicPr>
        <xdr:cNvPr id="780" name="Imagen 779">
          <a:extLst>
            <a:ext uri="{FF2B5EF4-FFF2-40B4-BE49-F238E27FC236}">
              <a16:creationId xmlns:a16="http://schemas.microsoft.com/office/drawing/2014/main" id="{72260024-B1C0-4E92-876A-C427FA504808}"/>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5829300" y="288160881"/>
          <a:ext cx="284694" cy="284694"/>
        </a:xfrm>
        <a:prstGeom prst="rect">
          <a:avLst/>
        </a:prstGeom>
      </xdr:spPr>
    </xdr:pic>
    <xdr:clientData/>
  </xdr:oneCellAnchor>
  <xdr:oneCellAnchor>
    <xdr:from>
      <xdr:col>7</xdr:col>
      <xdr:colOff>202407</xdr:colOff>
      <xdr:row>467</xdr:row>
      <xdr:rowOff>171450</xdr:rowOff>
    </xdr:from>
    <xdr:ext cx="159543" cy="144653"/>
    <xdr:pic>
      <xdr:nvPicPr>
        <xdr:cNvPr id="781" name="Imagen 780">
          <a:extLst>
            <a:ext uri="{FF2B5EF4-FFF2-40B4-BE49-F238E27FC236}">
              <a16:creationId xmlns:a16="http://schemas.microsoft.com/office/drawing/2014/main" id="{D0C95B58-55BA-46C6-B49D-2EC101FC28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479382" y="288255075"/>
          <a:ext cx="159543" cy="144653"/>
        </a:xfrm>
        <a:prstGeom prst="rect">
          <a:avLst/>
        </a:prstGeom>
      </xdr:spPr>
    </xdr:pic>
    <xdr:clientData/>
  </xdr:oneCellAnchor>
  <xdr:oneCellAnchor>
    <xdr:from>
      <xdr:col>4</xdr:col>
      <xdr:colOff>400050</xdr:colOff>
      <xdr:row>467</xdr:row>
      <xdr:rowOff>77007</xdr:rowOff>
    </xdr:from>
    <xdr:ext cx="200025" cy="204828"/>
    <xdr:pic>
      <xdr:nvPicPr>
        <xdr:cNvPr id="782" name="Gráfico 781" descr="Bombilla fluorescente">
          <a:extLst>
            <a:ext uri="{FF2B5EF4-FFF2-40B4-BE49-F238E27FC236}">
              <a16:creationId xmlns:a16="http://schemas.microsoft.com/office/drawing/2014/main" id="{28B5850C-D0D2-40EE-9072-3D5696CA84E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33950" y="288160632"/>
          <a:ext cx="200025" cy="204828"/>
        </a:xfrm>
        <a:prstGeom prst="rect">
          <a:avLst/>
        </a:prstGeom>
      </xdr:spPr>
    </xdr:pic>
    <xdr:clientData/>
  </xdr:oneCellAnchor>
  <xdr:oneCellAnchor>
    <xdr:from>
      <xdr:col>3</xdr:col>
      <xdr:colOff>114301</xdr:colOff>
      <xdr:row>478</xdr:row>
      <xdr:rowOff>104775</xdr:rowOff>
    </xdr:from>
    <xdr:ext cx="352424" cy="352424"/>
    <xdr:pic>
      <xdr:nvPicPr>
        <xdr:cNvPr id="783" name="Imagen 782">
          <a:extLst>
            <a:ext uri="{FF2B5EF4-FFF2-40B4-BE49-F238E27FC236}">
              <a16:creationId xmlns:a16="http://schemas.microsoft.com/office/drawing/2014/main" id="{C7C8E682-4B83-422F-A69D-46CC40EC3896}"/>
            </a:ext>
          </a:extLst>
        </xdr:cNvPr>
        <xdr:cNvPicPr>
          <a:picLocks noChangeAspect="1"/>
        </xdr:cNvPicPr>
      </xdr:nvPicPr>
      <xdr:blipFill>
        <a:blip xmlns:r="http://schemas.openxmlformats.org/officeDocument/2006/relationships" r:embed="rId16" cstate="print">
          <a:biLevel thresh="75000"/>
          <a:extLst>
            <a:ext uri="{BEBA8EAE-BF5A-486C-A8C5-ECC9F3942E4B}">
              <a14:imgProps xmlns:a14="http://schemas.microsoft.com/office/drawing/2010/main">
                <a14:imgLayer r:embed="rId17">
                  <a14:imgEffect>
                    <a14:saturation sat="0"/>
                  </a14:imgEffect>
                </a14:imgLayer>
              </a14:imgProps>
            </a:ext>
            <a:ext uri="{28A0092B-C50C-407E-A947-70E740481C1C}">
              <a14:useLocalDpi xmlns:a14="http://schemas.microsoft.com/office/drawing/2010/main" val="0"/>
            </a:ext>
          </a:extLst>
        </a:blip>
        <a:stretch>
          <a:fillRect/>
        </a:stretch>
      </xdr:blipFill>
      <xdr:spPr>
        <a:xfrm>
          <a:off x="4067176" y="289293300"/>
          <a:ext cx="352424" cy="352424"/>
        </a:xfrm>
        <a:prstGeom prst="rect">
          <a:avLst/>
        </a:prstGeom>
      </xdr:spPr>
    </xdr:pic>
    <xdr:clientData/>
  </xdr:oneCellAnchor>
  <xdr:oneCellAnchor>
    <xdr:from>
      <xdr:col>4</xdr:col>
      <xdr:colOff>114300</xdr:colOff>
      <xdr:row>478</xdr:row>
      <xdr:rowOff>76200</xdr:rowOff>
    </xdr:from>
    <xdr:ext cx="381000" cy="381000"/>
    <xdr:pic>
      <xdr:nvPicPr>
        <xdr:cNvPr id="784" name="Gráfico 783" descr="Botella de agua">
          <a:extLst>
            <a:ext uri="{FF2B5EF4-FFF2-40B4-BE49-F238E27FC236}">
              <a16:creationId xmlns:a16="http://schemas.microsoft.com/office/drawing/2014/main" id="{550D1F48-813A-4D20-8035-B886F2C9F87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648200" y="289264725"/>
          <a:ext cx="381000" cy="381000"/>
        </a:xfrm>
        <a:prstGeom prst="rect">
          <a:avLst/>
        </a:prstGeom>
      </xdr:spPr>
    </xdr:pic>
    <xdr:clientData/>
  </xdr:oneCellAnchor>
  <xdr:oneCellAnchor>
    <xdr:from>
      <xdr:col>5</xdr:col>
      <xdr:colOff>85725</xdr:colOff>
      <xdr:row>478</xdr:row>
      <xdr:rowOff>95250</xdr:rowOff>
    </xdr:from>
    <xdr:ext cx="361950" cy="361950"/>
    <xdr:pic>
      <xdr:nvPicPr>
        <xdr:cNvPr id="785" name="Gráfico 784" descr="Manzana">
          <a:extLst>
            <a:ext uri="{FF2B5EF4-FFF2-40B4-BE49-F238E27FC236}">
              <a16:creationId xmlns:a16="http://schemas.microsoft.com/office/drawing/2014/main" id="{13D2CE39-AA8E-445A-B5C1-C5514645BFB1}"/>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200650" y="289283775"/>
          <a:ext cx="361950" cy="361950"/>
        </a:xfrm>
        <a:prstGeom prst="rect">
          <a:avLst/>
        </a:prstGeom>
      </xdr:spPr>
    </xdr:pic>
    <xdr:clientData/>
  </xdr:oneCellAnchor>
  <xdr:oneCellAnchor>
    <xdr:from>
      <xdr:col>6</xdr:col>
      <xdr:colOff>95250</xdr:colOff>
      <xdr:row>478</xdr:row>
      <xdr:rowOff>104775</xdr:rowOff>
    </xdr:from>
    <xdr:ext cx="342900" cy="342900"/>
    <xdr:pic>
      <xdr:nvPicPr>
        <xdr:cNvPr id="786" name="Gráfico 785" descr="Buceo">
          <a:extLst>
            <a:ext uri="{FF2B5EF4-FFF2-40B4-BE49-F238E27FC236}">
              <a16:creationId xmlns:a16="http://schemas.microsoft.com/office/drawing/2014/main" id="{B6735A87-B254-40EC-BFA3-B94EA36A1A8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791200" y="289293300"/>
          <a:ext cx="342900" cy="342900"/>
        </a:xfrm>
        <a:prstGeom prst="rect">
          <a:avLst/>
        </a:prstGeom>
      </xdr:spPr>
    </xdr:pic>
    <xdr:clientData/>
  </xdr:oneCellAnchor>
  <xdr:oneCellAnchor>
    <xdr:from>
      <xdr:col>7</xdr:col>
      <xdr:colOff>114300</xdr:colOff>
      <xdr:row>478</xdr:row>
      <xdr:rowOff>114299</xdr:rowOff>
    </xdr:from>
    <xdr:ext cx="281199" cy="281199"/>
    <xdr:pic>
      <xdr:nvPicPr>
        <xdr:cNvPr id="787" name="Imagen 786">
          <a:extLst>
            <a:ext uri="{FF2B5EF4-FFF2-40B4-BE49-F238E27FC236}">
              <a16:creationId xmlns:a16="http://schemas.microsoft.com/office/drawing/2014/main" id="{B8BD13B7-C3F2-41CF-A73A-8B48FA58BC0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391275" y="289302824"/>
          <a:ext cx="281199" cy="281199"/>
        </a:xfrm>
        <a:prstGeom prst="rect">
          <a:avLst/>
        </a:prstGeom>
      </xdr:spPr>
    </xdr:pic>
    <xdr:clientData/>
  </xdr:oneCellAnchor>
  <xdr:oneCellAnchor>
    <xdr:from>
      <xdr:col>2</xdr:col>
      <xdr:colOff>114301</xdr:colOff>
      <xdr:row>478</xdr:row>
      <xdr:rowOff>95250</xdr:rowOff>
    </xdr:from>
    <xdr:ext cx="315608" cy="315608"/>
    <xdr:pic>
      <xdr:nvPicPr>
        <xdr:cNvPr id="788" name="Imagen 787">
          <a:extLst>
            <a:ext uri="{FF2B5EF4-FFF2-40B4-BE49-F238E27FC236}">
              <a16:creationId xmlns:a16="http://schemas.microsoft.com/office/drawing/2014/main" id="{710808A6-1EFF-4CA3-BFA9-BC240B841FD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486151" y="289283775"/>
          <a:ext cx="315608" cy="315608"/>
        </a:xfrm>
        <a:prstGeom prst="rect">
          <a:avLst/>
        </a:prstGeom>
      </xdr:spPr>
    </xdr:pic>
    <xdr:clientData/>
  </xdr:oneCellAnchor>
  <xdr:oneCellAnchor>
    <xdr:from>
      <xdr:col>2</xdr:col>
      <xdr:colOff>152400</xdr:colOff>
      <xdr:row>489</xdr:row>
      <xdr:rowOff>76200</xdr:rowOff>
    </xdr:from>
    <xdr:ext cx="323850" cy="323850"/>
    <xdr:pic>
      <xdr:nvPicPr>
        <xdr:cNvPr id="789" name="Gráfico 788" descr="Árbol de hojas podridas">
          <a:extLst>
            <a:ext uri="{FF2B5EF4-FFF2-40B4-BE49-F238E27FC236}">
              <a16:creationId xmlns:a16="http://schemas.microsoft.com/office/drawing/2014/main" id="{1E1FDEDE-B77E-4411-9216-AC6FA763B7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524250" y="290369625"/>
          <a:ext cx="323850" cy="323850"/>
        </a:xfrm>
        <a:prstGeom prst="rect">
          <a:avLst/>
        </a:prstGeom>
      </xdr:spPr>
    </xdr:pic>
    <xdr:clientData/>
  </xdr:oneCellAnchor>
  <xdr:oneCellAnchor>
    <xdr:from>
      <xdr:col>2</xdr:col>
      <xdr:colOff>523874</xdr:colOff>
      <xdr:row>489</xdr:row>
      <xdr:rowOff>95250</xdr:rowOff>
    </xdr:from>
    <xdr:ext cx="693595" cy="285750"/>
    <xdr:pic>
      <xdr:nvPicPr>
        <xdr:cNvPr id="790" name="Imagen 789">
          <a:extLst>
            <a:ext uri="{FF2B5EF4-FFF2-40B4-BE49-F238E27FC236}">
              <a16:creationId xmlns:a16="http://schemas.microsoft.com/office/drawing/2014/main" id="{63E69785-02A9-45F0-8B58-00F9B156238E}"/>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foregroundMark x1="25156" y1="43906" x2="25156" y2="43906"/>
                      <a14:foregroundMark x1="72500" y1="42344" x2="72500" y2="42344"/>
                      <a14:foregroundMark x1="47969" y1="35781" x2="47969" y2="35781"/>
                    </a14:backgroundRemoval>
                  </a14:imgEffect>
                </a14:imgLayer>
              </a14:imgProps>
            </a:ext>
            <a:ext uri="{28A0092B-C50C-407E-A947-70E740481C1C}">
              <a14:useLocalDpi xmlns:a14="http://schemas.microsoft.com/office/drawing/2010/main" val="0"/>
            </a:ext>
          </a:extLst>
        </a:blip>
        <a:srcRect t="27397" b="31507"/>
        <a:stretch/>
      </xdr:blipFill>
      <xdr:spPr>
        <a:xfrm>
          <a:off x="3895724" y="290388675"/>
          <a:ext cx="693595" cy="285750"/>
        </a:xfrm>
        <a:prstGeom prst="rect">
          <a:avLst/>
        </a:prstGeom>
      </xdr:spPr>
    </xdr:pic>
    <xdr:clientData/>
  </xdr:oneCellAnchor>
  <xdr:oneCellAnchor>
    <xdr:from>
      <xdr:col>4</xdr:col>
      <xdr:colOff>127001</xdr:colOff>
      <xdr:row>489</xdr:row>
      <xdr:rowOff>118532</xdr:rowOff>
    </xdr:from>
    <xdr:ext cx="317499" cy="317499"/>
    <xdr:pic>
      <xdr:nvPicPr>
        <xdr:cNvPr id="791" name="Imagen 790">
          <a:extLst>
            <a:ext uri="{FF2B5EF4-FFF2-40B4-BE49-F238E27FC236}">
              <a16:creationId xmlns:a16="http://schemas.microsoft.com/office/drawing/2014/main" id="{19B9DFF5-3A3A-4EF2-ADA9-957E9BCDF870}"/>
            </a:ext>
          </a:extLst>
        </xdr:cNvPr>
        <xdr:cNvPicPr>
          <a:picLocks noChangeAspect="1"/>
        </xdr:cNvPicPr>
      </xdr:nvPicPr>
      <xdr:blipFill>
        <a:blip xmlns:r="http://schemas.openxmlformats.org/officeDocument/2006/relationships" r:embed="rId68" cstate="print">
          <a:extLst>
            <a:ext uri="{BEBA8EAE-BF5A-486C-A8C5-ECC9F3942E4B}">
              <a14:imgProps xmlns:a14="http://schemas.microsoft.com/office/drawing/2010/main">
                <a14:imgLayer r:embed="rId69">
                  <a14:imgEffect>
                    <a14:backgroundRemoval t="9890" b="89973" l="9890" r="90110">
                      <a14:foregroundMark x1="46703" y1="49451" x2="31319" y2="66071"/>
                      <a14:foregroundMark x1="90110" y1="32143" x2="90110" y2="32143"/>
                    </a14:backgroundRemoval>
                  </a14:imgEffect>
                </a14:imgLayer>
              </a14:imgProps>
            </a:ext>
            <a:ext uri="{28A0092B-C50C-407E-A947-70E740481C1C}">
              <a14:useLocalDpi xmlns:a14="http://schemas.microsoft.com/office/drawing/2010/main" val="0"/>
            </a:ext>
          </a:extLst>
        </a:blip>
        <a:stretch>
          <a:fillRect/>
        </a:stretch>
      </xdr:blipFill>
      <xdr:spPr>
        <a:xfrm>
          <a:off x="4660901" y="290411957"/>
          <a:ext cx="317499" cy="317499"/>
        </a:xfrm>
        <a:prstGeom prst="rect">
          <a:avLst/>
        </a:prstGeom>
      </xdr:spPr>
    </xdr:pic>
    <xdr:clientData/>
  </xdr:oneCellAnchor>
  <xdr:oneCellAnchor>
    <xdr:from>
      <xdr:col>5</xdr:col>
      <xdr:colOff>21167</xdr:colOff>
      <xdr:row>489</xdr:row>
      <xdr:rowOff>57401</xdr:rowOff>
    </xdr:from>
    <xdr:ext cx="539750" cy="378631"/>
    <xdr:pic>
      <xdr:nvPicPr>
        <xdr:cNvPr id="792" name="Imagen 791">
          <a:extLst>
            <a:ext uri="{FF2B5EF4-FFF2-40B4-BE49-F238E27FC236}">
              <a16:creationId xmlns:a16="http://schemas.microsoft.com/office/drawing/2014/main" id="{6B106DA9-F0A8-40D3-BA06-75AC0A7A7373}"/>
            </a:ext>
          </a:extLst>
        </xdr:cNvPr>
        <xdr:cNvPicPr>
          <a:picLocks noChangeAspect="1"/>
        </xdr:cNvPicPr>
      </xdr:nvPicPr>
      <xdr:blipFill>
        <a:blip xmlns:r="http://schemas.openxmlformats.org/officeDocument/2006/relationships" r:embed="rId70" cstate="print">
          <a:extLst>
            <a:ext uri="{BEBA8EAE-BF5A-486C-A8C5-ECC9F3942E4B}">
              <a14:imgProps xmlns:a14="http://schemas.microsoft.com/office/drawing/2010/main">
                <a14:imgLayer r:embed="rId71">
                  <a14:imgEffect>
                    <a14:backgroundRemoval t="9574" b="90957" l="9701" r="89925">
                      <a14:foregroundMark x1="32463" y1="88830" x2="51119" y2="90957"/>
                    </a14:backgroundRemoval>
                  </a14:imgEffect>
                </a14:imgLayer>
              </a14:imgProps>
            </a:ext>
            <a:ext uri="{28A0092B-C50C-407E-A947-70E740481C1C}">
              <a14:useLocalDpi xmlns:a14="http://schemas.microsoft.com/office/drawing/2010/main" val="0"/>
            </a:ext>
          </a:extLst>
        </a:blip>
        <a:stretch>
          <a:fillRect/>
        </a:stretch>
      </xdr:blipFill>
      <xdr:spPr>
        <a:xfrm>
          <a:off x="5136092" y="290350826"/>
          <a:ext cx="539750" cy="378631"/>
        </a:xfrm>
        <a:prstGeom prst="rect">
          <a:avLst/>
        </a:prstGeom>
      </xdr:spPr>
    </xdr:pic>
    <xdr:clientData/>
  </xdr:oneCellAnchor>
  <xdr:oneCellAnchor>
    <xdr:from>
      <xdr:col>2</xdr:col>
      <xdr:colOff>561975</xdr:colOff>
      <xdr:row>500</xdr:row>
      <xdr:rowOff>28575</xdr:rowOff>
    </xdr:from>
    <xdr:ext cx="669925" cy="462224"/>
    <xdr:pic>
      <xdr:nvPicPr>
        <xdr:cNvPr id="794" name="Imagen 793">
          <a:extLst>
            <a:ext uri="{FF2B5EF4-FFF2-40B4-BE49-F238E27FC236}">
              <a16:creationId xmlns:a16="http://schemas.microsoft.com/office/drawing/2014/main" id="{45EA00D0-9C01-4AB3-A83B-623B0161BE1E}"/>
            </a:ext>
          </a:extLst>
        </xdr:cNvPr>
        <xdr:cNvPicPr>
          <a:picLocks noChangeAspect="1"/>
        </xdr:cNvPicPr>
      </xdr:nvPicPr>
      <xdr:blipFill>
        <a:blip xmlns:r="http://schemas.openxmlformats.org/officeDocument/2006/relationships" r:embed="rId30" cstate="print">
          <a:extLst>
            <a:ext uri="{BEBA8EAE-BF5A-486C-A8C5-ECC9F3942E4B}">
              <a14:imgProps xmlns:a14="http://schemas.microsoft.com/office/drawing/2010/main">
                <a14:imgLayer r:embed="rId31">
                  <a14:imgEffect>
                    <a14:backgroundRemoval t="10000" b="90000" l="10000" r="90000">
                      <a14:foregroundMark x1="32967" y1="43164" x2="32967" y2="43164"/>
                      <a14:foregroundMark x1="74176" y1="45117" x2="74176" y2="45117"/>
                      <a14:foregroundMark x1="60714" y1="58008" x2="60714" y2="58008"/>
                      <a14:foregroundMark x1="30632" y1="58789" x2="30632" y2="58789"/>
                    </a14:backgroundRemoval>
                  </a14:imgEffect>
                </a14:imgLayer>
              </a14:imgProps>
            </a:ext>
            <a:ext uri="{28A0092B-C50C-407E-A947-70E740481C1C}">
              <a14:useLocalDpi xmlns:a14="http://schemas.microsoft.com/office/drawing/2010/main" val="0"/>
            </a:ext>
          </a:extLst>
        </a:blip>
        <a:stretch>
          <a:fillRect/>
        </a:stretch>
      </xdr:blipFill>
      <xdr:spPr>
        <a:xfrm>
          <a:off x="3933825" y="291426900"/>
          <a:ext cx="669925" cy="462224"/>
        </a:xfrm>
        <a:prstGeom prst="rect">
          <a:avLst/>
        </a:prstGeom>
      </xdr:spPr>
    </xdr:pic>
    <xdr:clientData/>
  </xdr:oneCellAnchor>
  <xdr:oneCellAnchor>
    <xdr:from>
      <xdr:col>2</xdr:col>
      <xdr:colOff>142876</xdr:colOff>
      <xdr:row>500</xdr:row>
      <xdr:rowOff>85725</xdr:rowOff>
    </xdr:from>
    <xdr:ext cx="333376" cy="333376"/>
    <xdr:pic>
      <xdr:nvPicPr>
        <xdr:cNvPr id="795" name="Imagen 794">
          <a:extLst>
            <a:ext uri="{FF2B5EF4-FFF2-40B4-BE49-F238E27FC236}">
              <a16:creationId xmlns:a16="http://schemas.microsoft.com/office/drawing/2014/main" id="{C3C83817-3E78-4934-917B-840DC099D546}"/>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514726" y="291484050"/>
          <a:ext cx="333376" cy="333376"/>
        </a:xfrm>
        <a:prstGeom prst="rect">
          <a:avLst/>
        </a:prstGeom>
      </xdr:spPr>
    </xdr:pic>
    <xdr:clientData/>
  </xdr:oneCellAnchor>
  <xdr:oneCellAnchor>
    <xdr:from>
      <xdr:col>4</xdr:col>
      <xdr:colOff>66675</xdr:colOff>
      <xdr:row>500</xdr:row>
      <xdr:rowOff>128910</xdr:rowOff>
    </xdr:from>
    <xdr:ext cx="504825" cy="282360"/>
    <xdr:pic>
      <xdr:nvPicPr>
        <xdr:cNvPr id="796" name="Imagen 795">
          <a:extLst>
            <a:ext uri="{FF2B5EF4-FFF2-40B4-BE49-F238E27FC236}">
              <a16:creationId xmlns:a16="http://schemas.microsoft.com/office/drawing/2014/main" id="{D764F9DA-6973-42A9-8DFB-5FD1AF59E5AF}"/>
            </a:ext>
          </a:extLst>
        </xdr:cNvPr>
        <xdr:cNvPicPr>
          <a:picLocks noChangeAspect="1"/>
        </xdr:cNvPicPr>
      </xdr:nvPicPr>
      <xdr:blipFill>
        <a:blip xmlns:r="http://schemas.openxmlformats.org/officeDocument/2006/relationships" r:embed="rId33" cstate="print">
          <a:biLevel thresh="75000"/>
          <a:extLst>
            <a:ext uri="{28A0092B-C50C-407E-A947-70E740481C1C}">
              <a14:useLocalDpi xmlns:a14="http://schemas.microsoft.com/office/drawing/2010/main" val="0"/>
            </a:ext>
          </a:extLst>
        </a:blip>
        <a:stretch>
          <a:fillRect/>
        </a:stretch>
      </xdr:blipFill>
      <xdr:spPr>
        <a:xfrm>
          <a:off x="4600575" y="291527235"/>
          <a:ext cx="504825" cy="282360"/>
        </a:xfrm>
        <a:prstGeom prst="rect">
          <a:avLst/>
        </a:prstGeom>
      </xdr:spPr>
    </xdr:pic>
    <xdr:clientData/>
  </xdr:oneCellAnchor>
  <xdr:oneCellAnchor>
    <xdr:from>
      <xdr:col>2</xdr:col>
      <xdr:colOff>85725</xdr:colOff>
      <xdr:row>507</xdr:row>
      <xdr:rowOff>63500</xdr:rowOff>
    </xdr:from>
    <xdr:ext cx="431682" cy="429683"/>
    <xdr:pic>
      <xdr:nvPicPr>
        <xdr:cNvPr id="797" name="Gráfico 796" descr="Barril de petróleo">
          <a:extLst>
            <a:ext uri="{FF2B5EF4-FFF2-40B4-BE49-F238E27FC236}">
              <a16:creationId xmlns:a16="http://schemas.microsoft.com/office/drawing/2014/main" id="{4D90B227-4829-4B14-8442-846AE19E68C4}"/>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3457575" y="292566725"/>
          <a:ext cx="431682" cy="429683"/>
        </a:xfrm>
        <a:prstGeom prst="rect">
          <a:avLst/>
        </a:prstGeom>
      </xdr:spPr>
    </xdr:pic>
    <xdr:clientData/>
  </xdr:oneCellAnchor>
  <xdr:oneCellAnchor>
    <xdr:from>
      <xdr:col>3</xdr:col>
      <xdr:colOff>104775</xdr:colOff>
      <xdr:row>507</xdr:row>
      <xdr:rowOff>133350</xdr:rowOff>
    </xdr:from>
    <xdr:ext cx="332318" cy="315504"/>
    <xdr:pic>
      <xdr:nvPicPr>
        <xdr:cNvPr id="798" name="Imagen 797">
          <a:extLst>
            <a:ext uri="{FF2B5EF4-FFF2-40B4-BE49-F238E27FC236}">
              <a16:creationId xmlns:a16="http://schemas.microsoft.com/office/drawing/2014/main" id="{A2CAFF96-0128-4CD4-AB1B-259E6761F378}"/>
            </a:ext>
          </a:extLst>
        </xdr:cNvPr>
        <xdr:cNvPicPr>
          <a:picLocks noChangeAspect="1"/>
        </xdr:cNvPicPr>
      </xdr:nvPicPr>
      <xdr:blipFill>
        <a:blip xmlns:r="http://schemas.openxmlformats.org/officeDocument/2006/relationships" r:embed="rId36"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057650" y="292636575"/>
          <a:ext cx="332318" cy="315504"/>
        </a:xfrm>
        <a:prstGeom prst="rect">
          <a:avLst/>
        </a:prstGeom>
      </xdr:spPr>
    </xdr:pic>
    <xdr:clientData/>
  </xdr:oneCellAnchor>
  <xdr:oneCellAnchor>
    <xdr:from>
      <xdr:col>4</xdr:col>
      <xdr:colOff>216958</xdr:colOff>
      <xdr:row>507</xdr:row>
      <xdr:rowOff>151302</xdr:rowOff>
    </xdr:from>
    <xdr:ext cx="259291" cy="272028"/>
    <xdr:pic>
      <xdr:nvPicPr>
        <xdr:cNvPr id="799" name="Imagen 798">
          <a:extLst>
            <a:ext uri="{FF2B5EF4-FFF2-40B4-BE49-F238E27FC236}">
              <a16:creationId xmlns:a16="http://schemas.microsoft.com/office/drawing/2014/main" id="{89D13A91-4BB4-45F6-A2B5-4842B10E2392}"/>
            </a:ext>
          </a:extLst>
        </xdr:cNvPr>
        <xdr:cNvPicPr>
          <a:picLocks noChangeAspect="1"/>
        </xdr:cNvPicPr>
      </xdr:nvPicPr>
      <xdr:blipFill>
        <a:blip xmlns:r="http://schemas.openxmlformats.org/officeDocument/2006/relationships" r:embed="rId37" cstate="print">
          <a:biLevel thresh="75000"/>
          <a:extLst>
            <a:ext uri="{28A0092B-C50C-407E-A947-70E740481C1C}">
              <a14:useLocalDpi xmlns:a14="http://schemas.microsoft.com/office/drawing/2010/main" val="0"/>
            </a:ext>
          </a:extLst>
        </a:blip>
        <a:stretch>
          <a:fillRect/>
        </a:stretch>
      </xdr:blipFill>
      <xdr:spPr>
        <a:xfrm>
          <a:off x="4750858" y="292654527"/>
          <a:ext cx="259291" cy="272028"/>
        </a:xfrm>
        <a:prstGeom prst="rect">
          <a:avLst/>
        </a:prstGeom>
      </xdr:spPr>
    </xdr:pic>
    <xdr:clientData/>
  </xdr:oneCellAnchor>
  <xdr:oneCellAnchor>
    <xdr:from>
      <xdr:col>6</xdr:col>
      <xdr:colOff>76200</xdr:colOff>
      <xdr:row>507</xdr:row>
      <xdr:rowOff>69850</xdr:rowOff>
    </xdr:from>
    <xdr:ext cx="457200" cy="448468"/>
    <xdr:pic>
      <xdr:nvPicPr>
        <xdr:cNvPr id="800" name="Gráfico 799" descr="Convertible">
          <a:extLst>
            <a:ext uri="{FF2B5EF4-FFF2-40B4-BE49-F238E27FC236}">
              <a16:creationId xmlns:a16="http://schemas.microsoft.com/office/drawing/2014/main" id="{F65A46EB-CAE7-49B3-A58A-FC770B5701D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92573075"/>
          <a:ext cx="457200" cy="448468"/>
        </a:xfrm>
        <a:prstGeom prst="rect">
          <a:avLst/>
        </a:prstGeom>
      </xdr:spPr>
    </xdr:pic>
    <xdr:clientData/>
  </xdr:oneCellAnchor>
  <xdr:oneCellAnchor>
    <xdr:from>
      <xdr:col>5</xdr:col>
      <xdr:colOff>105834</xdr:colOff>
      <xdr:row>507</xdr:row>
      <xdr:rowOff>74083</xdr:rowOff>
    </xdr:from>
    <xdr:ext cx="414685" cy="414685"/>
    <xdr:pic>
      <xdr:nvPicPr>
        <xdr:cNvPr id="801" name="Imagen 800">
          <a:extLst>
            <a:ext uri="{FF2B5EF4-FFF2-40B4-BE49-F238E27FC236}">
              <a16:creationId xmlns:a16="http://schemas.microsoft.com/office/drawing/2014/main" id="{8DE0A5E9-EDEE-4F0D-A406-5693600401D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5220759" y="292577308"/>
          <a:ext cx="414685" cy="414685"/>
        </a:xfrm>
        <a:prstGeom prst="rect">
          <a:avLst/>
        </a:prstGeom>
      </xdr:spPr>
    </xdr:pic>
    <xdr:clientData/>
  </xdr:oneCellAnchor>
  <xdr:oneCellAnchor>
    <xdr:from>
      <xdr:col>2</xdr:col>
      <xdr:colOff>59531</xdr:colOff>
      <xdr:row>515</xdr:row>
      <xdr:rowOff>83344</xdr:rowOff>
    </xdr:from>
    <xdr:ext cx="391901" cy="366338"/>
    <xdr:pic>
      <xdr:nvPicPr>
        <xdr:cNvPr id="802" name="Imagen 801">
          <a:extLst>
            <a:ext uri="{FF2B5EF4-FFF2-40B4-BE49-F238E27FC236}">
              <a16:creationId xmlns:a16="http://schemas.microsoft.com/office/drawing/2014/main" id="{DEB8075C-446B-4FDB-8BF4-A29923CD6C7F}"/>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31381" y="293700994"/>
          <a:ext cx="391901" cy="366338"/>
        </a:xfrm>
        <a:prstGeom prst="rect">
          <a:avLst/>
        </a:prstGeom>
      </xdr:spPr>
    </xdr:pic>
    <xdr:clientData/>
  </xdr:oneCellAnchor>
  <xdr:oneCellAnchor>
    <xdr:from>
      <xdr:col>3</xdr:col>
      <xdr:colOff>178591</xdr:colOff>
      <xdr:row>515</xdr:row>
      <xdr:rowOff>107155</xdr:rowOff>
    </xdr:from>
    <xdr:ext cx="309563" cy="309563"/>
    <xdr:pic>
      <xdr:nvPicPr>
        <xdr:cNvPr id="803" name="Imagen 802">
          <a:extLst>
            <a:ext uri="{FF2B5EF4-FFF2-40B4-BE49-F238E27FC236}">
              <a16:creationId xmlns:a16="http://schemas.microsoft.com/office/drawing/2014/main" id="{A50C45E1-7908-431B-8BD4-2C2F447BBF05}"/>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293724805"/>
          <a:ext cx="309563" cy="309563"/>
        </a:xfrm>
        <a:prstGeom prst="rect">
          <a:avLst/>
        </a:prstGeom>
      </xdr:spPr>
    </xdr:pic>
    <xdr:clientData/>
  </xdr:oneCellAnchor>
  <xdr:oneCellAnchor>
    <xdr:from>
      <xdr:col>4</xdr:col>
      <xdr:colOff>59531</xdr:colOff>
      <xdr:row>515</xdr:row>
      <xdr:rowOff>83343</xdr:rowOff>
    </xdr:from>
    <xdr:ext cx="457200" cy="448468"/>
    <xdr:pic>
      <xdr:nvPicPr>
        <xdr:cNvPr id="804" name="Gráfico 803" descr="Convertible">
          <a:extLst>
            <a:ext uri="{FF2B5EF4-FFF2-40B4-BE49-F238E27FC236}">
              <a16:creationId xmlns:a16="http://schemas.microsoft.com/office/drawing/2014/main" id="{FFED6E73-8E24-4BE1-9EBD-3D081F3C7705}"/>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3431" y="293700993"/>
          <a:ext cx="457200" cy="448468"/>
        </a:xfrm>
        <a:prstGeom prst="rect">
          <a:avLst/>
        </a:prstGeom>
      </xdr:spPr>
    </xdr:pic>
    <xdr:clientData/>
  </xdr:oneCellAnchor>
  <xdr:oneCellAnchor>
    <xdr:from>
      <xdr:col>6</xdr:col>
      <xdr:colOff>76200</xdr:colOff>
      <xdr:row>515</xdr:row>
      <xdr:rowOff>69850</xdr:rowOff>
    </xdr:from>
    <xdr:ext cx="457200" cy="448468"/>
    <xdr:pic>
      <xdr:nvPicPr>
        <xdr:cNvPr id="805" name="Gráfico 804" descr="Convertible">
          <a:extLst>
            <a:ext uri="{FF2B5EF4-FFF2-40B4-BE49-F238E27FC236}">
              <a16:creationId xmlns:a16="http://schemas.microsoft.com/office/drawing/2014/main" id="{D8A79D12-275F-4926-B069-5CCC2EDE3B3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93687500"/>
          <a:ext cx="457200" cy="448468"/>
        </a:xfrm>
        <a:prstGeom prst="rect">
          <a:avLst/>
        </a:prstGeom>
      </xdr:spPr>
    </xdr:pic>
    <xdr:clientData/>
  </xdr:oneCellAnchor>
  <xdr:oneCellAnchor>
    <xdr:from>
      <xdr:col>2</xdr:col>
      <xdr:colOff>59531</xdr:colOff>
      <xdr:row>365</xdr:row>
      <xdr:rowOff>83344</xdr:rowOff>
    </xdr:from>
    <xdr:ext cx="391901" cy="366338"/>
    <xdr:pic>
      <xdr:nvPicPr>
        <xdr:cNvPr id="806" name="Imagen 805">
          <a:extLst>
            <a:ext uri="{FF2B5EF4-FFF2-40B4-BE49-F238E27FC236}">
              <a16:creationId xmlns:a16="http://schemas.microsoft.com/office/drawing/2014/main" id="{C90C14E3-36BC-4659-BDA7-DEF53A010499}"/>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431381" y="294101044"/>
          <a:ext cx="391901" cy="366338"/>
        </a:xfrm>
        <a:prstGeom prst="rect">
          <a:avLst/>
        </a:prstGeom>
      </xdr:spPr>
    </xdr:pic>
    <xdr:clientData/>
  </xdr:oneCellAnchor>
  <xdr:oneCellAnchor>
    <xdr:from>
      <xdr:col>3</xdr:col>
      <xdr:colOff>178591</xdr:colOff>
      <xdr:row>365</xdr:row>
      <xdr:rowOff>107155</xdr:rowOff>
    </xdr:from>
    <xdr:ext cx="309563" cy="309563"/>
    <xdr:pic>
      <xdr:nvPicPr>
        <xdr:cNvPr id="807" name="Imagen 806">
          <a:extLst>
            <a:ext uri="{FF2B5EF4-FFF2-40B4-BE49-F238E27FC236}">
              <a16:creationId xmlns:a16="http://schemas.microsoft.com/office/drawing/2014/main" id="{BDD63CCA-63D8-4167-B9F6-DE7BB06DD5C2}"/>
            </a:ext>
          </a:extLst>
        </xdr:cNvPr>
        <xdr:cNvPicPr>
          <a:picLocks noChangeAspect="1"/>
        </xdr:cNvPicPr>
      </xdr:nvPicPr>
      <xdr:blipFill>
        <a:blip xmlns:r="http://schemas.openxmlformats.org/officeDocument/2006/relationships" r:embed="rId73" cstate="print">
          <a:extLst>
            <a:ext uri="{BEBA8EAE-BF5A-486C-A8C5-ECC9F3942E4B}">
              <a14:imgProps xmlns:a14="http://schemas.microsoft.com/office/drawing/2010/main">
                <a14:imgLayer r:embed="rId74">
                  <a14:imgEffect>
                    <a14:backgroundRemoval t="3370" b="90000" l="3370" r="96957">
                      <a14:foregroundMark x1="34022" y1="42500" x2="34022" y2="42500"/>
                      <a14:foregroundMark x1="3370" y1="74783" x2="3370" y2="74783"/>
                      <a14:foregroundMark x1="35761" y1="61196" x2="35761" y2="61196"/>
                      <a14:foregroundMark x1="79891" y1="8478" x2="79891" y2="8478"/>
                      <a14:foregroundMark x1="96957" y1="3370" x2="96957" y2="3370"/>
                    </a14:backgroundRemoval>
                  </a14:imgEffect>
                </a14:imgLayer>
              </a14:imgProps>
            </a:ext>
            <a:ext uri="{28A0092B-C50C-407E-A947-70E740481C1C}">
              <a14:useLocalDpi xmlns:a14="http://schemas.microsoft.com/office/drawing/2010/main" val="0"/>
            </a:ext>
          </a:extLst>
        </a:blip>
        <a:stretch>
          <a:fillRect/>
        </a:stretch>
      </xdr:blipFill>
      <xdr:spPr>
        <a:xfrm>
          <a:off x="4131466" y="294124855"/>
          <a:ext cx="309563" cy="309563"/>
        </a:xfrm>
        <a:prstGeom prst="rect">
          <a:avLst/>
        </a:prstGeom>
      </xdr:spPr>
    </xdr:pic>
    <xdr:clientData/>
  </xdr:oneCellAnchor>
  <xdr:oneCellAnchor>
    <xdr:from>
      <xdr:col>4</xdr:col>
      <xdr:colOff>59531</xdr:colOff>
      <xdr:row>365</xdr:row>
      <xdr:rowOff>83343</xdr:rowOff>
    </xdr:from>
    <xdr:ext cx="457200" cy="448468"/>
    <xdr:pic>
      <xdr:nvPicPr>
        <xdr:cNvPr id="808" name="Gráfico 807" descr="Convertible">
          <a:extLst>
            <a:ext uri="{FF2B5EF4-FFF2-40B4-BE49-F238E27FC236}">
              <a16:creationId xmlns:a16="http://schemas.microsoft.com/office/drawing/2014/main" id="{55B487FD-B3A5-4C88-853E-5F5C49CFA4C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3431" y="294101043"/>
          <a:ext cx="457200" cy="448468"/>
        </a:xfrm>
        <a:prstGeom prst="rect">
          <a:avLst/>
        </a:prstGeom>
      </xdr:spPr>
    </xdr:pic>
    <xdr:clientData/>
  </xdr:oneCellAnchor>
  <xdr:oneCellAnchor>
    <xdr:from>
      <xdr:col>6</xdr:col>
      <xdr:colOff>76200</xdr:colOff>
      <xdr:row>365</xdr:row>
      <xdr:rowOff>69850</xdr:rowOff>
    </xdr:from>
    <xdr:ext cx="457200" cy="448468"/>
    <xdr:pic>
      <xdr:nvPicPr>
        <xdr:cNvPr id="809" name="Gráfico 808" descr="Convertible">
          <a:extLst>
            <a:ext uri="{FF2B5EF4-FFF2-40B4-BE49-F238E27FC236}">
              <a16:creationId xmlns:a16="http://schemas.microsoft.com/office/drawing/2014/main" id="{A5E1FA27-F6ED-41E5-8A6C-306E23BBF39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94087550"/>
          <a:ext cx="457200" cy="448468"/>
        </a:xfrm>
        <a:prstGeom prst="rect">
          <a:avLst/>
        </a:prstGeom>
      </xdr:spPr>
    </xdr:pic>
    <xdr:clientData/>
  </xdr:oneCellAnchor>
  <xdr:oneCellAnchor>
    <xdr:from>
      <xdr:col>10</xdr:col>
      <xdr:colOff>164090</xdr:colOff>
      <xdr:row>366</xdr:row>
      <xdr:rowOff>169429</xdr:rowOff>
    </xdr:from>
    <xdr:ext cx="1785937" cy="1121589"/>
    <mc:AlternateContent xmlns:mc="http://schemas.openxmlformats.org/markup-compatibility/2006" xmlns:a14="http://schemas.microsoft.com/office/drawing/2010/main">
      <mc:Choice Requires="a14">
        <xdr:sp macro="" textlink="">
          <xdr:nvSpPr>
            <xdr:cNvPr id="811" name="CuadroTexto 810">
              <a:extLst>
                <a:ext uri="{FF2B5EF4-FFF2-40B4-BE49-F238E27FC236}">
                  <a16:creationId xmlns:a16="http://schemas.microsoft.com/office/drawing/2014/main" id="{D919C25B-EAAD-4F8B-9677-7881F7FBE37B}"/>
                </a:ext>
              </a:extLst>
            </xdr:cNvPr>
            <xdr:cNvSpPr txBox="1"/>
          </xdr:nvSpPr>
          <xdr:spPr>
            <a:xfrm>
              <a:off x="10840749" y="28768588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=6.9</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kg</m:t>
                        </m:r>
                      </m:num>
                      <m:den>
                        <m:r>
                          <m:rPr>
                            <m:sty m:val="p"/>
                          </m:rPr>
                          <a:rPr lang="es-MX" sz="1050" b="0" i="0">
                            <a:solidFill>
                              <a:schemeClr val="tx1"/>
                            </a:solidFill>
                            <a:effectLst/>
                            <a:latin typeface="Cambria Math" panose="02040503050406030204" pitchFamily="18" charset="0"/>
                            <a:ea typeface="+mn-ea"/>
                            <a:cs typeface="+mn-cs"/>
                          </a:rPr>
                          <m:t>C</m:t>
                        </m:r>
                        <m:r>
                          <a:rPr lang="es-MX" sz="1050" b="0" i="1">
                            <a:solidFill>
                              <a:schemeClr val="tx1"/>
                            </a:solidFill>
                            <a:effectLst/>
                            <a:latin typeface="Cambria Math" panose="02040503050406030204" pitchFamily="18" charset="0"/>
                            <a:ea typeface="+mn-ea"/>
                            <a:cs typeface="+mn-cs"/>
                          </a:rPr>
                          <m:t>𝑜</m:t>
                        </m:r>
                        <m:r>
                          <a:rPr lang="es-MX" sz="1050" b="0" i="1">
                            <a:solidFill>
                              <a:schemeClr val="tx1"/>
                            </a:solidFill>
                            <a:effectLst/>
                            <a:latin typeface="Cambria Math" panose="02040503050406030204" pitchFamily="18" charset="0"/>
                            <a:ea typeface="+mn-ea"/>
                            <a:cs typeface="+mn-cs"/>
                          </a:rPr>
                          <m:t>2</m:t>
                        </m:r>
                      </m:den>
                    </m:f>
                  </m:oMath>
                </m:oMathPara>
              </a14:m>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𝐴𝑙𝑢</m:t>
                    </m:r>
                    <m:r>
                      <a:rPr lang="es-MX" sz="1100" b="0" i="1">
                        <a:solidFill>
                          <a:schemeClr val="tx1"/>
                        </a:solidFill>
                        <a:effectLst/>
                        <a:latin typeface="Cambria Math" panose="02040503050406030204" pitchFamily="18" charset="0"/>
                        <a:ea typeface="+mn-ea"/>
                        <a:cs typeface="+mn-cs"/>
                      </a:rPr>
                      <m:t>=6,900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kg</m:t>
                        </m:r>
                      </m:num>
                      <m:den>
                        <m:r>
                          <m:rPr>
                            <m:sty m:val="p"/>
                          </m:rPr>
                          <a:rPr lang="es-MX" sz="1100" b="0" i="0">
                            <a:solidFill>
                              <a:schemeClr val="tx1"/>
                            </a:solidFill>
                            <a:effectLst/>
                            <a:latin typeface="Cambria Math" panose="02040503050406030204" pitchFamily="18" charset="0"/>
                            <a:ea typeface="+mn-ea"/>
                            <a:cs typeface="+mn-cs"/>
                          </a:rPr>
                          <m:t>C</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2</m:t>
                        </m:r>
                      </m:den>
                    </m:f>
                  </m:oMath>
                </m:oMathPara>
              </a14:m>
              <a:endParaRPr lang="es-MX" sz="1050">
                <a:effectLst/>
              </a:endParaRPr>
            </a:p>
            <a:p>
              <a:endParaRPr lang="es-MX" sz="1050" b="0"/>
            </a:p>
          </xdr:txBody>
        </xdr:sp>
      </mc:Choice>
      <mc:Fallback xmlns="">
        <xdr:sp macro="" textlink="">
          <xdr:nvSpPr>
            <xdr:cNvPr id="811" name="CuadroTexto 810">
              <a:extLst>
                <a:ext uri="{FF2B5EF4-FFF2-40B4-BE49-F238E27FC236}">
                  <a16:creationId xmlns:a16="http://schemas.microsoft.com/office/drawing/2014/main" id="{D919C25B-EAAD-4F8B-9677-7881F7FBE37B}"/>
                </a:ext>
              </a:extLst>
            </xdr:cNvPr>
            <xdr:cNvSpPr txBox="1"/>
          </xdr:nvSpPr>
          <xdr:spPr>
            <a:xfrm>
              <a:off x="10840749" y="28768588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𝐴𝑙𝑢=6.9</a:t>
              </a:r>
              <a:r>
                <a:rPr lang="es-MX" sz="1050" b="0" i="0">
                  <a:solidFill>
                    <a:schemeClr val="tx1"/>
                  </a:solidFill>
                  <a:effectLst/>
                  <a:latin typeface="Cambria Math" panose="02040503050406030204" pitchFamily="18" charset="0"/>
                  <a:ea typeface="+mn-ea"/>
                  <a:cs typeface="+mn-cs"/>
                </a:rPr>
                <a:t> kg/C𝑜2</a:t>
              </a:r>
              <a:endParaRPr lang="es-MX" sz="1050" b="0"/>
            </a:p>
            <a:p>
              <a:pPr/>
              <a:endParaRPr lang="es-MX" sz="1050" b="0"/>
            </a:p>
            <a:p>
              <a:pPr/>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𝑇𝑜𝑛</a:t>
              </a:r>
              <a:r>
                <a:rPr lang="es-MX" sz="1100" b="0" i="0">
                  <a:solidFill>
                    <a:schemeClr val="tx1"/>
                  </a:solidFill>
                  <a:effectLst/>
                  <a:latin typeface="+mn-lt"/>
                  <a:ea typeface="+mn-ea"/>
                  <a:cs typeface="+mn-cs"/>
                </a:rPr>
                <a:t> 𝐴𝑙𝑢=6</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mn-lt"/>
                  <a:ea typeface="+mn-ea"/>
                  <a:cs typeface="+mn-cs"/>
                </a:rPr>
                <a:t>9</a:t>
              </a:r>
              <a:r>
                <a:rPr lang="es-MX" sz="1100" b="0" i="0">
                  <a:solidFill>
                    <a:schemeClr val="tx1"/>
                  </a:solidFill>
                  <a:effectLst/>
                  <a:latin typeface="Cambria Math" panose="02040503050406030204" pitchFamily="18" charset="0"/>
                  <a:ea typeface="+mn-ea"/>
                  <a:cs typeface="+mn-cs"/>
                </a:rPr>
                <a:t>00</a:t>
              </a:r>
              <a:r>
                <a:rPr lang="es-MX" sz="1100" b="0" i="0">
                  <a:solidFill>
                    <a:schemeClr val="tx1"/>
                  </a:solidFill>
                  <a:effectLst/>
                  <a:latin typeface="+mn-lt"/>
                  <a:ea typeface="+mn-ea"/>
                  <a:cs typeface="+mn-cs"/>
                </a:rPr>
                <a:t> kg/C𝑜2</a:t>
              </a:r>
              <a:endParaRPr lang="es-MX" sz="1050">
                <a:effectLst/>
              </a:endParaRPr>
            </a:p>
            <a:p>
              <a:pPr/>
              <a:endParaRPr lang="es-MX" sz="1050" b="0"/>
            </a:p>
          </xdr:txBody>
        </xdr:sp>
      </mc:Fallback>
    </mc:AlternateContent>
    <xdr:clientData/>
  </xdr:oneCellAnchor>
  <xdr:oneCellAnchor>
    <xdr:from>
      <xdr:col>12</xdr:col>
      <xdr:colOff>2381250</xdr:colOff>
      <xdr:row>366</xdr:row>
      <xdr:rowOff>1019174</xdr:rowOff>
    </xdr:from>
    <xdr:ext cx="409575" cy="416720"/>
    <xdr:pic>
      <xdr:nvPicPr>
        <xdr:cNvPr id="812" name="Gráfico 811" descr="Hogar">
          <a:hlinkClick xmlns:r="http://schemas.openxmlformats.org/officeDocument/2006/relationships" r:id="rId88"/>
          <a:extLst>
            <a:ext uri="{FF2B5EF4-FFF2-40B4-BE49-F238E27FC236}">
              <a16:creationId xmlns:a16="http://schemas.microsoft.com/office/drawing/2014/main" id="{6D484EC6-D70F-41DC-ACFD-D45DC9D7B94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30700" y="305438174"/>
          <a:ext cx="409575" cy="416720"/>
        </a:xfrm>
        <a:prstGeom prst="rect">
          <a:avLst/>
        </a:prstGeom>
      </xdr:spPr>
    </xdr:pic>
    <xdr:clientData/>
  </xdr:oneCellAnchor>
  <xdr:oneCellAnchor>
    <xdr:from>
      <xdr:col>9</xdr:col>
      <xdr:colOff>153459</xdr:colOff>
      <xdr:row>366</xdr:row>
      <xdr:rowOff>555626</xdr:rowOff>
    </xdr:from>
    <xdr:ext cx="2053166" cy="319511"/>
    <mc:AlternateContent xmlns:mc="http://schemas.openxmlformats.org/markup-compatibility/2006" xmlns:a14="http://schemas.microsoft.com/office/drawing/2010/main">
      <mc:Choice Requires="a14">
        <xdr:sp macro="" textlink="">
          <xdr:nvSpPr>
            <xdr:cNvPr id="813" name="CuadroTexto 812">
              <a:extLst>
                <a:ext uri="{FF2B5EF4-FFF2-40B4-BE49-F238E27FC236}">
                  <a16:creationId xmlns:a16="http://schemas.microsoft.com/office/drawing/2014/main" id="{88182074-8C23-4F90-BDF6-7558BE8F7B3F}"/>
                </a:ext>
              </a:extLst>
            </xdr:cNvPr>
            <xdr:cNvSpPr txBox="1"/>
          </xdr:nvSpPr>
          <xdr:spPr>
            <a:xfrm>
              <a:off x="9980084" y="3075940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𝐴𝑙𝑢</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6,900  </m:t>
                        </m:r>
                        <m:r>
                          <a:rPr lang="es-MX" sz="1000" b="0" i="1">
                            <a:solidFill>
                              <a:schemeClr val="tx1"/>
                            </a:solidFill>
                            <a:effectLst/>
                            <a:latin typeface="Cambria Math" panose="02040503050406030204" pitchFamily="18" charset="0"/>
                            <a:ea typeface="+mn-ea"/>
                            <a:cs typeface="+mn-cs"/>
                          </a:rPr>
                          <m:t>𝑘𝑔</m:t>
                        </m:r>
                      </m:num>
                      <m:den>
                        <m:r>
                          <a:rPr lang="es-MX" sz="1000" b="0" i="1">
                            <a:solidFill>
                              <a:schemeClr val="tx1"/>
                            </a:solidFill>
                            <a:effectLst/>
                            <a:latin typeface="Cambria Math" panose="02040503050406030204" pitchFamily="18" charset="0"/>
                            <a:ea typeface="+mn-ea"/>
                            <a:cs typeface="+mn-cs"/>
                          </a:rPr>
                          <m:t>?(6.9)</m:t>
                        </m:r>
                      </m:den>
                    </m:f>
                    <m:r>
                      <a:rPr lang="es-MX" sz="1000" b="0" i="1">
                        <a:latin typeface="Cambria Math" panose="02040503050406030204" pitchFamily="18" charset="0"/>
                      </a:rPr>
                      <m:t> </m:t>
                    </m:r>
                  </m:oMath>
                </m:oMathPara>
              </a14:m>
              <a:endParaRPr lang="es-MX" sz="1000"/>
            </a:p>
          </xdr:txBody>
        </xdr:sp>
      </mc:Choice>
      <mc:Fallback xmlns="">
        <xdr:sp macro="" textlink="">
          <xdr:nvSpPr>
            <xdr:cNvPr id="813" name="CuadroTexto 812">
              <a:extLst>
                <a:ext uri="{FF2B5EF4-FFF2-40B4-BE49-F238E27FC236}">
                  <a16:creationId xmlns:a16="http://schemas.microsoft.com/office/drawing/2014/main" id="{88182074-8C23-4F90-BDF6-7558BE8F7B3F}"/>
                </a:ext>
              </a:extLst>
            </xdr:cNvPr>
            <xdr:cNvSpPr txBox="1"/>
          </xdr:nvSpPr>
          <xdr:spPr>
            <a:xfrm>
              <a:off x="9980084" y="3075940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𝐴𝑙𝑢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6,900  𝑘𝑔)/(?(6.9))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296333</xdr:colOff>
      <xdr:row>370</xdr:row>
      <xdr:rowOff>333375</xdr:rowOff>
    </xdr:from>
    <xdr:ext cx="1589614" cy="287515"/>
    <mc:AlternateContent xmlns:mc="http://schemas.openxmlformats.org/markup-compatibility/2006" xmlns:a14="http://schemas.microsoft.com/office/drawing/2010/main">
      <mc:Choice Requires="a14">
        <xdr:sp macro="" textlink="">
          <xdr:nvSpPr>
            <xdr:cNvPr id="816" name="CuadroTexto 815">
              <a:extLst>
                <a:ext uri="{FF2B5EF4-FFF2-40B4-BE49-F238E27FC236}">
                  <a16:creationId xmlns:a16="http://schemas.microsoft.com/office/drawing/2014/main" id="{6B8E2FFD-A491-4E39-BE96-1349CB902400}"/>
                </a:ext>
              </a:extLst>
            </xdr:cNvPr>
            <xdr:cNvSpPr txBox="1"/>
          </xdr:nvSpPr>
          <xdr:spPr>
            <a:xfrm>
              <a:off x="10122958" y="3141503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?(3.29)</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2.4 </m:t>
                        </m:r>
                        <m:r>
                          <a:rPr lang="es-MX" sz="900" b="0" i="1">
                            <a:solidFill>
                              <a:schemeClr val="tx1"/>
                            </a:solidFill>
                            <a:effectLst/>
                            <a:latin typeface="Cambria Math" panose="02040503050406030204" pitchFamily="18" charset="0"/>
                            <a:ea typeface="+mn-ea"/>
                            <a:cs typeface="+mn-cs"/>
                          </a:rPr>
                          <m:t>𝑘𝑔𝐶𝑂</m:t>
                        </m:r>
                        <m:r>
                          <a:rPr lang="es-MX" sz="900" b="0" i="1">
                            <a:solidFill>
                              <a:schemeClr val="tx1"/>
                            </a:solidFill>
                            <a:effectLst/>
                            <a:latin typeface="Cambria Math" panose="02040503050406030204" pitchFamily="18" charset="0"/>
                            <a:ea typeface="+mn-ea"/>
                            <a:cs typeface="+mn-cs"/>
                          </a:rPr>
                          <m:t>2</m:t>
                        </m:r>
                      </m:num>
                      <m:den>
                        <m:r>
                          <a:rPr lang="es-MX" sz="900" b="0" i="0">
                            <a:solidFill>
                              <a:schemeClr val="tx1"/>
                            </a:solidFill>
                            <a:effectLst/>
                            <a:latin typeface="Cambria Math" panose="02040503050406030204" pitchFamily="18" charset="0"/>
                            <a:ea typeface="+mn-ea"/>
                            <a:cs typeface="+mn-cs"/>
                          </a:rPr>
                          <m:t>7.9</m:t>
                        </m:r>
                        <m:r>
                          <a:rPr lang="es-MX" sz="900" b="0" i="1">
                            <a:solidFill>
                              <a:schemeClr val="tx1"/>
                            </a:solidFill>
                            <a:effectLst/>
                            <a:latin typeface="Cambria Math" panose="02040503050406030204" pitchFamily="18" charset="0"/>
                            <a:ea typeface="+mn-ea"/>
                            <a:cs typeface="+mn-cs"/>
                          </a:rPr>
                          <m:t>28</m:t>
                        </m:r>
                      </m:den>
                    </m:f>
                    <m:r>
                      <a:rPr lang="es-MX" sz="900" b="0" i="1">
                        <a:latin typeface="Cambria Math" panose="02040503050406030204" pitchFamily="18" charset="0"/>
                      </a:rPr>
                      <m:t> </m:t>
                    </m:r>
                  </m:oMath>
                </m:oMathPara>
              </a14:m>
              <a:endParaRPr lang="es-MX" sz="900"/>
            </a:p>
          </xdr:txBody>
        </xdr:sp>
      </mc:Choice>
      <mc:Fallback xmlns="">
        <xdr:sp macro="" textlink="">
          <xdr:nvSpPr>
            <xdr:cNvPr id="816" name="CuadroTexto 815">
              <a:extLst>
                <a:ext uri="{FF2B5EF4-FFF2-40B4-BE49-F238E27FC236}">
                  <a16:creationId xmlns:a16="http://schemas.microsoft.com/office/drawing/2014/main" id="{6B8E2FFD-A491-4E39-BE96-1349CB902400}"/>
                </a:ext>
              </a:extLst>
            </xdr:cNvPr>
            <xdr:cNvSpPr txBox="1"/>
          </xdr:nvSpPr>
          <xdr:spPr>
            <a:xfrm>
              <a:off x="10122958" y="314150375"/>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)/(?(3.29))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2.4 𝑘𝑔𝐶𝑂2)/7.928 </a:t>
              </a:r>
              <a:r>
                <a:rPr lang="es-MX" sz="900" b="0" i="0">
                  <a:latin typeface="Cambria Math" panose="02040503050406030204" pitchFamily="18" charset="0"/>
                </a:rPr>
                <a:t> </a:t>
              </a:r>
              <a:endParaRPr lang="es-MX" sz="900"/>
            </a:p>
          </xdr:txBody>
        </xdr:sp>
      </mc:Fallback>
    </mc:AlternateContent>
    <xdr:clientData/>
  </xdr:oneCellAnchor>
  <xdr:oneCellAnchor>
    <xdr:from>
      <xdr:col>10</xdr:col>
      <xdr:colOff>267803</xdr:colOff>
      <xdr:row>370</xdr:row>
      <xdr:rowOff>358223</xdr:rowOff>
    </xdr:from>
    <xdr:ext cx="1797327" cy="628650"/>
    <mc:AlternateContent xmlns:mc="http://schemas.openxmlformats.org/markup-compatibility/2006" xmlns:a14="http://schemas.microsoft.com/office/drawing/2010/main">
      <mc:Choice Requires="a14">
        <xdr:sp macro="" textlink="">
          <xdr:nvSpPr>
            <xdr:cNvPr id="817" name="CuadroTexto 816">
              <a:extLst>
                <a:ext uri="{FF2B5EF4-FFF2-40B4-BE49-F238E27FC236}">
                  <a16:creationId xmlns:a16="http://schemas.microsoft.com/office/drawing/2014/main" id="{C5A4E2F6-A18B-4366-B141-79EE3CB23A74}"/>
                </a:ext>
              </a:extLst>
            </xdr:cNvPr>
            <xdr:cNvSpPr txBox="1"/>
          </xdr:nvSpPr>
          <xdr:spPr>
            <a:xfrm>
              <a:off x="12650303" y="314175223"/>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m:t>
                  </m:r>
                </m:oMath>
              </a14:m>
              <a:r>
                <a:rPr lang="es-MX" sz="1050" b="0" i="0">
                  <a:latin typeface="Cambria Math" panose="02040503050406030204" pitchFamily="18" charset="0"/>
                </a:rPr>
                <a:t> 3.30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3,303 </m:t>
                    </m:r>
                    <m:r>
                      <m:rPr>
                        <m:sty m:val="p"/>
                      </m:rPr>
                      <a:rPr lang="es-MX" sz="1050" b="0" i="0">
                        <a:solidFill>
                          <a:schemeClr val="tx1"/>
                        </a:solidFill>
                        <a:effectLst/>
                        <a:latin typeface="Cambria Math" panose="02040503050406030204" pitchFamily="18" charset="0"/>
                        <a:ea typeface="+mn-ea"/>
                        <a:cs typeface="+mn-cs"/>
                      </a:rPr>
                      <m:t>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gasolina</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817" name="CuadroTexto 816">
              <a:extLst>
                <a:ext uri="{FF2B5EF4-FFF2-40B4-BE49-F238E27FC236}">
                  <a16:creationId xmlns:a16="http://schemas.microsoft.com/office/drawing/2014/main" id="{C5A4E2F6-A18B-4366-B141-79EE3CB23A74}"/>
                </a:ext>
              </a:extLst>
            </xdr:cNvPr>
            <xdr:cNvSpPr txBox="1"/>
          </xdr:nvSpPr>
          <xdr:spPr>
            <a:xfrm>
              <a:off x="12650303" y="314175223"/>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𝐴𝑙𝑢= 3.30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𝐴𝑙𝑢=3,303 L gasolina</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164042</xdr:colOff>
      <xdr:row>371</xdr:row>
      <xdr:rowOff>259291</xdr:rowOff>
    </xdr:from>
    <xdr:ext cx="1947333" cy="319511"/>
    <mc:AlternateContent xmlns:mc="http://schemas.openxmlformats.org/markup-compatibility/2006" xmlns:a14="http://schemas.microsoft.com/office/drawing/2010/main">
      <mc:Choice Requires="a14">
        <xdr:sp macro="" textlink="">
          <xdr:nvSpPr>
            <xdr:cNvPr id="818" name="CuadroTexto 817">
              <a:extLst>
                <a:ext uri="{FF2B5EF4-FFF2-40B4-BE49-F238E27FC236}">
                  <a16:creationId xmlns:a16="http://schemas.microsoft.com/office/drawing/2014/main" id="{BE854AD5-A2BE-4B14-BE87-EE1CE0B3C481}"/>
                </a:ext>
              </a:extLst>
            </xdr:cNvPr>
            <xdr:cNvSpPr txBox="1"/>
          </xdr:nvSpPr>
          <xdr:spPr>
            <a:xfrm>
              <a:off x="7561792" y="31548916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L</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18" name="CuadroTexto 817">
              <a:extLst>
                <a:ext uri="{FF2B5EF4-FFF2-40B4-BE49-F238E27FC236}">
                  <a16:creationId xmlns:a16="http://schemas.microsoft.com/office/drawing/2014/main" id="{BE854AD5-A2BE-4B14-BE87-EE1CE0B3C481}"/>
                </a:ext>
              </a:extLst>
            </xdr:cNvPr>
            <xdr:cNvSpPr txBox="1"/>
          </xdr:nvSpPr>
          <xdr:spPr>
            <a:xfrm>
              <a:off x="7561792" y="315489166"/>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)/(n  L)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137583</xdr:colOff>
      <xdr:row>371</xdr:row>
      <xdr:rowOff>84666</xdr:rowOff>
    </xdr:from>
    <xdr:ext cx="1418167" cy="287515"/>
    <mc:AlternateContent xmlns:mc="http://schemas.openxmlformats.org/markup-compatibility/2006" xmlns:a14="http://schemas.microsoft.com/office/drawing/2010/main">
      <mc:Choice Requires="a14">
        <xdr:sp macro="" textlink="">
          <xdr:nvSpPr>
            <xdr:cNvPr id="819" name="CuadroTexto 818">
              <a:extLst>
                <a:ext uri="{FF2B5EF4-FFF2-40B4-BE49-F238E27FC236}">
                  <a16:creationId xmlns:a16="http://schemas.microsoft.com/office/drawing/2014/main" id="{D8298AB0-0B2E-43E6-ACDC-1DB423362206}"/>
                </a:ext>
              </a:extLst>
            </xdr:cNvPr>
            <xdr:cNvSpPr txBox="1"/>
          </xdr:nvSpPr>
          <xdr:spPr>
            <a:xfrm>
              <a:off x="8909242" y="8109912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0">
                            <a:solidFill>
                              <a:schemeClr val="tx1"/>
                            </a:solidFill>
                            <a:effectLst/>
                            <a:latin typeface="Cambria Math" panose="02040503050406030204" pitchFamily="18" charset="0"/>
                            <a:ea typeface="+mn-ea"/>
                            <a:cs typeface="+mn-cs"/>
                          </a:rPr>
                          <m:t>3.30</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20.09 </m:t>
                        </m:r>
                        <m:r>
                          <a:rPr lang="es-MX" sz="900" b="0" i="1">
                            <a:solidFill>
                              <a:schemeClr val="tx1"/>
                            </a:solidFill>
                            <a:effectLst/>
                            <a:latin typeface="Cambria Math" panose="02040503050406030204" pitchFamily="18" charset="0"/>
                            <a:ea typeface="+mn-ea"/>
                            <a:cs typeface="+mn-cs"/>
                          </a:rPr>
                          <m:t>𝑘𝑚</m:t>
                        </m:r>
                      </m:num>
                      <m:den>
                        <m:r>
                          <a:rPr lang="es-MX" sz="900" b="0" i="0">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66.36)</m:t>
                        </m:r>
                      </m:den>
                    </m:f>
                    <m:r>
                      <a:rPr lang="es-MX" sz="900" b="0" i="1">
                        <a:latin typeface="Cambria Math" panose="02040503050406030204" pitchFamily="18" charset="0"/>
                      </a:rPr>
                      <m:t> </m:t>
                    </m:r>
                  </m:oMath>
                </m:oMathPara>
              </a14:m>
              <a:endParaRPr lang="es-MX" sz="900"/>
            </a:p>
          </xdr:txBody>
        </xdr:sp>
      </mc:Choice>
      <mc:Fallback xmlns="">
        <xdr:sp macro="" textlink="">
          <xdr:nvSpPr>
            <xdr:cNvPr id="819" name="CuadroTexto 818">
              <a:extLst>
                <a:ext uri="{FF2B5EF4-FFF2-40B4-BE49-F238E27FC236}">
                  <a16:creationId xmlns:a16="http://schemas.microsoft.com/office/drawing/2014/main" id="{D8298AB0-0B2E-43E6-ACDC-1DB423362206}"/>
                </a:ext>
              </a:extLst>
            </xdr:cNvPr>
            <xdr:cNvSpPr txBox="1"/>
          </xdr:nvSpPr>
          <xdr:spPr>
            <a:xfrm>
              <a:off x="8909242" y="8109912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)/3.30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20.09 𝑘𝑚)/(?( 66.36)) </a:t>
              </a:r>
              <a:r>
                <a:rPr lang="es-MX" sz="900" b="0" i="0">
                  <a:latin typeface="Cambria Math" panose="02040503050406030204" pitchFamily="18" charset="0"/>
                </a:rPr>
                <a:t> </a:t>
              </a:r>
              <a:endParaRPr lang="es-MX" sz="900"/>
            </a:p>
          </xdr:txBody>
        </xdr:sp>
      </mc:Fallback>
    </mc:AlternateContent>
    <xdr:clientData/>
  </xdr:oneCellAnchor>
  <xdr:oneCellAnchor>
    <xdr:from>
      <xdr:col>8</xdr:col>
      <xdr:colOff>243417</xdr:colOff>
      <xdr:row>371</xdr:row>
      <xdr:rowOff>698500</xdr:rowOff>
    </xdr:from>
    <xdr:ext cx="1418167" cy="329770"/>
    <mc:AlternateContent xmlns:mc="http://schemas.openxmlformats.org/markup-compatibility/2006" xmlns:a14="http://schemas.microsoft.com/office/drawing/2010/main">
      <mc:Choice Requires="a14">
        <xdr:sp macro="" textlink="">
          <xdr:nvSpPr>
            <xdr:cNvPr id="820" name="CuadroTexto 819">
              <a:extLst>
                <a:ext uri="{FF2B5EF4-FFF2-40B4-BE49-F238E27FC236}">
                  <a16:creationId xmlns:a16="http://schemas.microsoft.com/office/drawing/2014/main" id="{738911A3-3374-4D33-B0CB-A3A79563AFA3}"/>
                </a:ext>
              </a:extLst>
            </xdr:cNvPr>
            <xdr:cNvSpPr txBox="1"/>
          </xdr:nvSpPr>
          <xdr:spPr>
            <a:xfrm>
              <a:off x="7101417" y="8171295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𝑘𝑚</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20" name="CuadroTexto 819">
              <a:extLst>
                <a:ext uri="{FF2B5EF4-FFF2-40B4-BE49-F238E27FC236}">
                  <a16:creationId xmlns:a16="http://schemas.microsoft.com/office/drawing/2014/main" id="{738911A3-3374-4D33-B0CB-A3A79563AFA3}"/>
                </a:ext>
              </a:extLst>
            </xdr:cNvPr>
            <xdr:cNvSpPr txBox="1"/>
          </xdr:nvSpPr>
          <xdr:spPr>
            <a:xfrm>
              <a:off x="7101417" y="8171295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)/(n  𝑘𝑚)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322102</xdr:colOff>
      <xdr:row>371</xdr:row>
      <xdr:rowOff>626717</xdr:rowOff>
    </xdr:from>
    <xdr:ext cx="1418167" cy="319511"/>
    <mc:AlternateContent xmlns:mc="http://schemas.openxmlformats.org/markup-compatibility/2006" xmlns:a14="http://schemas.microsoft.com/office/drawing/2010/main">
      <mc:Choice Requires="a14">
        <xdr:sp macro="" textlink="">
          <xdr:nvSpPr>
            <xdr:cNvPr id="821" name="CuadroTexto 820">
              <a:extLst>
                <a:ext uri="{FF2B5EF4-FFF2-40B4-BE49-F238E27FC236}">
                  <a16:creationId xmlns:a16="http://schemas.microsoft.com/office/drawing/2014/main" id="{5AA77791-C7F3-4903-B449-55F5DE493C49}"/>
                </a:ext>
              </a:extLst>
            </xdr:cNvPr>
            <xdr:cNvSpPr txBox="1"/>
          </xdr:nvSpPr>
          <xdr:spPr>
            <a:xfrm>
              <a:off x="9093761" y="8164117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66.36 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?(36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21" name="CuadroTexto 820">
              <a:extLst>
                <a:ext uri="{FF2B5EF4-FFF2-40B4-BE49-F238E27FC236}">
                  <a16:creationId xmlns:a16="http://schemas.microsoft.com/office/drawing/2014/main" id="{5AA77791-C7F3-4903-B449-55F5DE493C49}"/>
                </a:ext>
              </a:extLst>
            </xdr:cNvPr>
            <xdr:cNvSpPr txBox="1"/>
          </xdr:nvSpPr>
          <xdr:spPr>
            <a:xfrm>
              <a:off x="9093761" y="81641172"/>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)/(66.36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𝑚𝑖𝑛)/(?(36 ))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250825</xdr:colOff>
      <xdr:row>371</xdr:row>
      <xdr:rowOff>111124</xdr:rowOff>
    </xdr:from>
    <xdr:ext cx="2053167" cy="1403351"/>
    <mc:AlternateContent xmlns:mc="http://schemas.openxmlformats.org/markup-compatibility/2006" xmlns:a14="http://schemas.microsoft.com/office/drawing/2010/main">
      <mc:Choice Requires="a14">
        <xdr:sp macro="" textlink="">
          <xdr:nvSpPr>
            <xdr:cNvPr id="822" name="CuadroTexto 821">
              <a:extLst>
                <a:ext uri="{FF2B5EF4-FFF2-40B4-BE49-F238E27FC236}">
                  <a16:creationId xmlns:a16="http://schemas.microsoft.com/office/drawing/2014/main" id="{28963A1B-06D4-4891-A8B2-3A1674CEF7E3}"/>
                </a:ext>
              </a:extLst>
            </xdr:cNvPr>
            <xdr:cNvSpPr txBox="1"/>
          </xdr:nvSpPr>
          <xdr:spPr>
            <a:xfrm>
              <a:off x="12604750" y="316893574"/>
              <a:ext cx="2053167" cy="1403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m:t>
                  </m:r>
                  <m:r>
                    <a:rPr lang="es-MX" sz="1050" b="0" i="0">
                      <a:latin typeface="Cambria Math" panose="02040503050406030204" pitchFamily="18" charset="0"/>
                    </a:rPr>
                    <m:t>66 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m:t>
                  </m:r>
                </m:oMath>
              </a14:m>
              <a:r>
                <a:rPr lang="es-MX" sz="1050" b="0" i="0">
                  <a:latin typeface="Cambria Math" panose="02040503050406030204" pitchFamily="18" charset="0"/>
                </a:rPr>
                <a:t>36 minutos manejando </a:t>
              </a: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oMath>
              </a14:m>
              <a:r>
                <a:rPr lang="es-MX" sz="1050">
                  <a:effectLst/>
                </a:rPr>
                <a:t> 66 mil km en coche o 603 horas manejando </a:t>
              </a:r>
            </a:p>
            <a:p>
              <a:pPr algn="l"/>
              <a:endParaRPr lang="es-MX" sz="1050" b="0">
                <a:effectLst/>
              </a:endParaRPr>
            </a:p>
            <a:p>
              <a:pPr algn="l"/>
              <a:r>
                <a:rPr lang="es-MX" sz="1050" b="0">
                  <a:effectLst/>
                </a:rPr>
                <a:t>77 latas (.013g) - 36.2  min </a:t>
              </a:r>
            </a:p>
            <a:p>
              <a:pPr algn="l"/>
              <a:r>
                <a:rPr lang="es-MX" sz="1050" b="0">
                  <a:effectLst/>
                </a:rPr>
                <a:t>1 lata - .47 minutos</a:t>
              </a:r>
            </a:p>
            <a:p>
              <a:pPr algn="l"/>
              <a:r>
                <a:rPr lang="es-MX" sz="1050" b="0">
                  <a:effectLst/>
                </a:rPr>
                <a:t>10.6</a:t>
              </a:r>
              <a:r>
                <a:rPr lang="es-MX" sz="1050" b="0" baseline="0">
                  <a:effectLst/>
                </a:rPr>
                <a:t> latas - 5 minutos</a:t>
              </a:r>
              <a:endParaRPr lang="es-MX" sz="1050" b="0">
                <a:effectLst/>
              </a:endParaRPr>
            </a:p>
            <a:p>
              <a:pPr algn="l"/>
              <a:endParaRPr lang="es-MX" sz="1100" b="0"/>
            </a:p>
          </xdr:txBody>
        </xdr:sp>
      </mc:Choice>
      <mc:Fallback xmlns="">
        <xdr:sp macro="" textlink="">
          <xdr:nvSpPr>
            <xdr:cNvPr id="822" name="CuadroTexto 821">
              <a:extLst>
                <a:ext uri="{FF2B5EF4-FFF2-40B4-BE49-F238E27FC236}">
                  <a16:creationId xmlns:a16="http://schemas.microsoft.com/office/drawing/2014/main" id="{28963A1B-06D4-4891-A8B2-3A1674CEF7E3}"/>
                </a:ext>
              </a:extLst>
            </xdr:cNvPr>
            <xdr:cNvSpPr txBox="1"/>
          </xdr:nvSpPr>
          <xdr:spPr>
            <a:xfrm>
              <a:off x="12604750" y="316893574"/>
              <a:ext cx="2053167" cy="1403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𝐴𝑙𝑢=66 km en coche  o 36 minutos manejando </a:t>
              </a:r>
            </a:p>
            <a:p>
              <a:pPr algn="l"/>
              <a:r>
                <a:rPr lang="es-MX" sz="1050" b="0" i="0">
                  <a:solidFill>
                    <a:schemeClr val="tx1"/>
                  </a:solidFill>
                  <a:effectLst/>
                  <a:latin typeface="Cambria Math" panose="02040503050406030204" pitchFamily="18" charset="0"/>
                  <a:ea typeface="+mn-ea"/>
                  <a:cs typeface="+mn-cs"/>
                </a:rPr>
                <a:t>1 𝑡𝑜𝑛 𝐴𝑙𝑢=</a:t>
              </a:r>
              <a:r>
                <a:rPr lang="es-MX" sz="1050">
                  <a:effectLst/>
                </a:rPr>
                <a:t> 66 mil km en coche o 603 horas manejando </a:t>
              </a:r>
            </a:p>
            <a:p>
              <a:pPr algn="l"/>
              <a:endParaRPr lang="es-MX" sz="1050" b="0">
                <a:effectLst/>
              </a:endParaRPr>
            </a:p>
            <a:p>
              <a:pPr algn="l"/>
              <a:r>
                <a:rPr lang="es-MX" sz="1050" b="0">
                  <a:effectLst/>
                </a:rPr>
                <a:t>77 latas (.013g) - 36.2  min </a:t>
              </a:r>
            </a:p>
            <a:p>
              <a:pPr algn="l"/>
              <a:r>
                <a:rPr lang="es-MX" sz="1050" b="0">
                  <a:effectLst/>
                </a:rPr>
                <a:t>1 lata - .47 minutos</a:t>
              </a:r>
            </a:p>
            <a:p>
              <a:pPr algn="l"/>
              <a:r>
                <a:rPr lang="es-MX" sz="1050" b="0">
                  <a:effectLst/>
                </a:rPr>
                <a:t>10.6</a:t>
              </a:r>
              <a:r>
                <a:rPr lang="es-MX" sz="1050" b="0" baseline="0">
                  <a:effectLst/>
                </a:rPr>
                <a:t> latas - 5 minutos</a:t>
              </a:r>
              <a:endParaRPr lang="es-MX" sz="1050" b="0">
                <a:effectLst/>
              </a:endParaRPr>
            </a:p>
            <a:p>
              <a:pPr algn="l"/>
              <a:endParaRPr lang="es-MX" sz="1100" b="0"/>
            </a:p>
          </xdr:txBody>
        </xdr:sp>
      </mc:Fallback>
    </mc:AlternateContent>
    <xdr:clientData/>
  </xdr:oneCellAnchor>
  <xdr:oneCellAnchor>
    <xdr:from>
      <xdr:col>12</xdr:col>
      <xdr:colOff>2518834</xdr:colOff>
      <xdr:row>371</xdr:row>
      <xdr:rowOff>455084</xdr:rowOff>
    </xdr:from>
    <xdr:ext cx="295276" cy="295276"/>
    <xdr:pic>
      <xdr:nvPicPr>
        <xdr:cNvPr id="826" name="Gráfico 825" descr="Inalámbrico">
          <a:hlinkClick xmlns:r="http://schemas.openxmlformats.org/officeDocument/2006/relationships" r:id="rId62"/>
          <a:extLst>
            <a:ext uri="{FF2B5EF4-FFF2-40B4-BE49-F238E27FC236}">
              <a16:creationId xmlns:a16="http://schemas.microsoft.com/office/drawing/2014/main" id="{D13F75AC-137D-44FD-8938-97719F2BB6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8675" y="81469539"/>
          <a:ext cx="295276" cy="295276"/>
        </a:xfrm>
        <a:prstGeom prst="rect">
          <a:avLst/>
        </a:prstGeom>
      </xdr:spPr>
    </xdr:pic>
    <xdr:clientData/>
  </xdr:oneCellAnchor>
  <xdr:oneCellAnchor>
    <xdr:from>
      <xdr:col>12</xdr:col>
      <xdr:colOff>2286000</xdr:colOff>
      <xdr:row>371</xdr:row>
      <xdr:rowOff>493184</xdr:rowOff>
    </xdr:from>
    <xdr:ext cx="228600" cy="228600"/>
    <xdr:pic>
      <xdr:nvPicPr>
        <xdr:cNvPr id="827" name="Gráfico 826" descr="Hogar">
          <a:hlinkClick xmlns:r="http://schemas.openxmlformats.org/officeDocument/2006/relationships" r:id="rId63"/>
          <a:extLst>
            <a:ext uri="{FF2B5EF4-FFF2-40B4-BE49-F238E27FC236}">
              <a16:creationId xmlns:a16="http://schemas.microsoft.com/office/drawing/2014/main" id="{D4357051-8DA3-4483-AFDE-CDCEBBE791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45841" y="81507639"/>
          <a:ext cx="228600" cy="228600"/>
        </a:xfrm>
        <a:prstGeom prst="rect">
          <a:avLst/>
        </a:prstGeom>
      </xdr:spPr>
    </xdr:pic>
    <xdr:clientData/>
  </xdr:oneCellAnchor>
  <xdr:oneCellAnchor>
    <xdr:from>
      <xdr:col>12</xdr:col>
      <xdr:colOff>2579158</xdr:colOff>
      <xdr:row>371</xdr:row>
      <xdr:rowOff>1165225</xdr:rowOff>
    </xdr:from>
    <xdr:ext cx="295276" cy="295276"/>
    <xdr:pic>
      <xdr:nvPicPr>
        <xdr:cNvPr id="828" name="Gráfico 827" descr="Inalámbrico">
          <a:hlinkClick xmlns:r="http://schemas.openxmlformats.org/officeDocument/2006/relationships" r:id="rId66"/>
          <a:extLst>
            <a:ext uri="{FF2B5EF4-FFF2-40B4-BE49-F238E27FC236}">
              <a16:creationId xmlns:a16="http://schemas.microsoft.com/office/drawing/2014/main" id="{15CAAC6C-998E-421A-9C5A-A454AD1C567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38999" y="82179680"/>
          <a:ext cx="295276" cy="295276"/>
        </a:xfrm>
        <a:prstGeom prst="rect">
          <a:avLst/>
        </a:prstGeom>
      </xdr:spPr>
    </xdr:pic>
    <xdr:clientData/>
  </xdr:oneCellAnchor>
  <xdr:oneCellAnchor>
    <xdr:from>
      <xdr:col>10</xdr:col>
      <xdr:colOff>114734</xdr:colOff>
      <xdr:row>394</xdr:row>
      <xdr:rowOff>157308</xdr:rowOff>
    </xdr:from>
    <xdr:ext cx="1852084" cy="552738"/>
    <mc:AlternateContent xmlns:mc="http://schemas.openxmlformats.org/markup-compatibility/2006" xmlns:a14="http://schemas.microsoft.com/office/drawing/2010/main">
      <mc:Choice Requires="a14">
        <xdr:sp macro="" textlink="">
          <xdr:nvSpPr>
            <xdr:cNvPr id="829" name="CuadroTexto 828">
              <a:extLst>
                <a:ext uri="{FF2B5EF4-FFF2-40B4-BE49-F238E27FC236}">
                  <a16:creationId xmlns:a16="http://schemas.microsoft.com/office/drawing/2014/main" id="{975C2935-5B60-494C-BFE4-82D5D04128D3}"/>
                </a:ext>
              </a:extLst>
            </xdr:cNvPr>
            <xdr:cNvSpPr txBox="1"/>
          </xdr:nvSpPr>
          <xdr:spPr>
            <a:xfrm>
              <a:off x="10791393" y="296826422"/>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𝐻𝑜𝑗𝑎𝑙𝑎𝑡𝑎</m:t>
                    </m:r>
                    <m:r>
                      <a:rPr lang="es-MX" sz="1000" b="0" i="1">
                        <a:latin typeface="Cambria Math" panose="02040503050406030204" pitchFamily="18" charset="0"/>
                      </a:rPr>
                      <m:t>= .</m:t>
                    </m:r>
                    <m:r>
                      <a:rPr lang="es-MX" sz="1000" b="0" i="0">
                        <a:latin typeface="Cambria Math" panose="02040503050406030204" pitchFamily="18" charset="0"/>
                      </a:rPr>
                      <m:t> 037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𝐻𝑜𝑗𝑎𝑙𝑎𝑡𝑎</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37.453 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829" name="CuadroTexto 828">
              <a:extLst>
                <a:ext uri="{FF2B5EF4-FFF2-40B4-BE49-F238E27FC236}">
                  <a16:creationId xmlns:a16="http://schemas.microsoft.com/office/drawing/2014/main" id="{975C2935-5B60-494C-BFE4-82D5D04128D3}"/>
                </a:ext>
              </a:extLst>
            </xdr:cNvPr>
            <xdr:cNvSpPr txBox="1"/>
          </xdr:nvSpPr>
          <xdr:spPr>
            <a:xfrm>
              <a:off x="10791393" y="296826422"/>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𝐻𝑜𝑗𝑎𝑙𝑎𝑡𝑎= . 037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𝐻𝑜𝑗𝑎𝑙𝑎𝑡𝑎=37.453 m3</a:t>
              </a:r>
              <a:endParaRPr lang="es-MX" sz="1000">
                <a:effectLst/>
              </a:endParaRPr>
            </a:p>
            <a:p>
              <a:endParaRPr lang="es-MX" sz="1000" b="0"/>
            </a:p>
          </xdr:txBody>
        </xdr:sp>
      </mc:Fallback>
    </mc:AlternateContent>
    <xdr:clientData/>
  </xdr:oneCellAnchor>
  <xdr:oneCellAnchor>
    <xdr:from>
      <xdr:col>9</xdr:col>
      <xdr:colOff>111126</xdr:colOff>
      <xdr:row>394</xdr:row>
      <xdr:rowOff>198438</xdr:rowOff>
    </xdr:from>
    <xdr:ext cx="1897062" cy="351443"/>
    <mc:AlternateContent xmlns:mc="http://schemas.openxmlformats.org/markup-compatibility/2006" xmlns:a14="http://schemas.microsoft.com/office/drawing/2010/main">
      <mc:Choice Requires="a14">
        <xdr:sp macro="" textlink="">
          <xdr:nvSpPr>
            <xdr:cNvPr id="830" name="CuadroTexto 829">
              <a:extLst>
                <a:ext uri="{FF2B5EF4-FFF2-40B4-BE49-F238E27FC236}">
                  <a16:creationId xmlns:a16="http://schemas.microsoft.com/office/drawing/2014/main" id="{46B253F3-86C5-46B6-9EAF-C287C36332C0}"/>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26.7 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?( 37.453)</m:t>
                        </m:r>
                      </m:den>
                    </m:f>
                    <m:r>
                      <a:rPr lang="es-MX" sz="1600" b="0" i="1">
                        <a:latin typeface="Cambria Math" panose="02040503050406030204" pitchFamily="18" charset="0"/>
                      </a:rPr>
                      <m:t> </m:t>
                    </m:r>
                  </m:oMath>
                </m:oMathPara>
              </a14:m>
              <a:endParaRPr lang="es-MX" sz="1600"/>
            </a:p>
          </xdr:txBody>
        </xdr:sp>
      </mc:Choice>
      <mc:Fallback xmlns="">
        <xdr:sp macro="" textlink="">
          <xdr:nvSpPr>
            <xdr:cNvPr id="830" name="CuadroTexto 829">
              <a:extLst>
                <a:ext uri="{FF2B5EF4-FFF2-40B4-BE49-F238E27FC236}">
                  <a16:creationId xmlns:a16="http://schemas.microsoft.com/office/drawing/2014/main" id="{46B253F3-86C5-46B6-9EAF-C287C36332C0}"/>
                </a:ext>
              </a:extLst>
            </xdr:cNvPr>
            <xdr:cNvSpPr txBox="1"/>
          </xdr:nvSpPr>
          <xdr:spPr>
            <a:xfrm>
              <a:off x="8882785" y="200613097"/>
              <a:ext cx="1897062"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26.7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𝑚3)/(?( 37.453))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395</xdr:row>
      <xdr:rowOff>214842</xdr:rowOff>
    </xdr:from>
    <xdr:ext cx="1852084" cy="125227"/>
    <xdr:sp macro="" textlink="">
      <xdr:nvSpPr>
        <xdr:cNvPr id="831" name="CuadroTexto 830">
          <a:extLst>
            <a:ext uri="{FF2B5EF4-FFF2-40B4-BE49-F238E27FC236}">
              <a16:creationId xmlns:a16="http://schemas.microsoft.com/office/drawing/2014/main" id="{BF8BC138-2507-465B-A1D1-96A4C25C5E98}"/>
            </a:ext>
          </a:extLst>
        </xdr:cNvPr>
        <xdr:cNvSpPr txBox="1"/>
      </xdr:nvSpPr>
      <xdr:spPr>
        <a:xfrm>
          <a:off x="7001933" y="49995956"/>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94517</xdr:colOff>
      <xdr:row>395</xdr:row>
      <xdr:rowOff>646968</xdr:rowOff>
    </xdr:from>
    <xdr:ext cx="1868525" cy="375680"/>
    <mc:AlternateContent xmlns:mc="http://schemas.openxmlformats.org/markup-compatibility/2006" xmlns:a14="http://schemas.microsoft.com/office/drawing/2010/main">
      <mc:Choice Requires="a14">
        <xdr:sp macro="" textlink="">
          <xdr:nvSpPr>
            <xdr:cNvPr id="832" name="CuadroTexto 831">
              <a:extLst>
                <a:ext uri="{FF2B5EF4-FFF2-40B4-BE49-F238E27FC236}">
                  <a16:creationId xmlns:a16="http://schemas.microsoft.com/office/drawing/2014/main" id="{7A8EA52D-42F0-4109-883C-6DF9E09854E7}"/>
                </a:ext>
              </a:extLst>
            </xdr:cNvPr>
            <xdr:cNvSpPr txBox="1"/>
          </xdr:nvSpPr>
          <xdr:spPr>
            <a:xfrm>
              <a:off x="6952517" y="50428082"/>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832" name="CuadroTexto 831">
              <a:extLst>
                <a:ext uri="{FF2B5EF4-FFF2-40B4-BE49-F238E27FC236}">
                  <a16:creationId xmlns:a16="http://schemas.microsoft.com/office/drawing/2014/main" id="{7A8EA52D-42F0-4109-883C-6DF9E09854E7}"/>
                </a:ext>
              </a:extLst>
            </xdr:cNvPr>
            <xdr:cNvSpPr txBox="1"/>
          </xdr:nvSpPr>
          <xdr:spPr>
            <a:xfrm>
              <a:off x="6952517" y="50428082"/>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7</xdr:col>
      <xdr:colOff>484310</xdr:colOff>
      <xdr:row>395</xdr:row>
      <xdr:rowOff>267432</xdr:rowOff>
    </xdr:from>
    <xdr:ext cx="1852084" cy="292196"/>
    <mc:AlternateContent xmlns:mc="http://schemas.openxmlformats.org/markup-compatibility/2006" xmlns:a14="http://schemas.microsoft.com/office/drawing/2010/main">
      <mc:Choice Requires="a14">
        <xdr:sp macro="" textlink="">
          <xdr:nvSpPr>
            <xdr:cNvPr id="833" name="CuadroTexto 832">
              <a:extLst>
                <a:ext uri="{FF2B5EF4-FFF2-40B4-BE49-F238E27FC236}">
                  <a16:creationId xmlns:a16="http://schemas.microsoft.com/office/drawing/2014/main" id="{512EB7C2-D4DE-4B89-8FF2-749F7302AEBC}"/>
                </a:ext>
              </a:extLst>
            </xdr:cNvPr>
            <xdr:cNvSpPr txBox="1"/>
          </xdr:nvSpPr>
          <xdr:spPr>
            <a:xfrm>
              <a:off x="6762151" y="50048546"/>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833" name="CuadroTexto 832">
              <a:extLst>
                <a:ext uri="{FF2B5EF4-FFF2-40B4-BE49-F238E27FC236}">
                  <a16:creationId xmlns:a16="http://schemas.microsoft.com/office/drawing/2014/main" id="{512EB7C2-D4DE-4B89-8FF2-749F7302AEBC}"/>
                </a:ext>
              </a:extLst>
            </xdr:cNvPr>
            <xdr:cNvSpPr txBox="1"/>
          </xdr:nvSpPr>
          <xdr:spPr>
            <a:xfrm>
              <a:off x="6762151" y="50048546"/>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180975</xdr:colOff>
      <xdr:row>395</xdr:row>
      <xdr:rowOff>266700</xdr:rowOff>
    </xdr:from>
    <xdr:ext cx="1852084" cy="289246"/>
    <mc:AlternateContent xmlns:mc="http://schemas.openxmlformats.org/markup-compatibility/2006" xmlns:a14="http://schemas.microsoft.com/office/drawing/2010/main">
      <mc:Choice Requires="a14">
        <xdr:sp macro="" textlink="">
          <xdr:nvSpPr>
            <xdr:cNvPr id="834" name="CuadroTexto 833">
              <a:extLst>
                <a:ext uri="{FF2B5EF4-FFF2-40B4-BE49-F238E27FC236}">
                  <a16:creationId xmlns:a16="http://schemas.microsoft.com/office/drawing/2014/main" id="{30EA312C-7A57-471D-A5B8-E4683BF0DD42}"/>
                </a:ext>
              </a:extLst>
            </xdr:cNvPr>
            <xdr:cNvSpPr txBox="1"/>
          </xdr:nvSpPr>
          <xdr:spPr>
            <a:xfrm>
              <a:off x="10007600" y="328847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.037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834" name="CuadroTexto 833">
              <a:extLst>
                <a:ext uri="{FF2B5EF4-FFF2-40B4-BE49-F238E27FC236}">
                  <a16:creationId xmlns:a16="http://schemas.microsoft.com/office/drawing/2014/main" id="{30EA312C-7A57-471D-A5B8-E4683BF0DD42}"/>
                </a:ext>
              </a:extLst>
            </xdr:cNvPr>
            <xdr:cNvSpPr txBox="1"/>
          </xdr:nvSpPr>
          <xdr:spPr>
            <a:xfrm>
              <a:off x="10007600" y="328847450"/>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C𝑏=(.037 𝑚3)/(10 𝑚3)</a:t>
              </a:r>
              <a:endParaRPr lang="es-MX" sz="1000" b="0"/>
            </a:p>
          </xdr:txBody>
        </xdr:sp>
      </mc:Fallback>
    </mc:AlternateContent>
    <xdr:clientData/>
  </xdr:oneCellAnchor>
  <xdr:oneCellAnchor>
    <xdr:from>
      <xdr:col>10</xdr:col>
      <xdr:colOff>240722</xdr:colOff>
      <xdr:row>395</xdr:row>
      <xdr:rowOff>352137</xdr:rowOff>
    </xdr:from>
    <xdr:ext cx="1993324" cy="485261"/>
    <mc:AlternateContent xmlns:mc="http://schemas.openxmlformats.org/markup-compatibility/2006" xmlns:a14="http://schemas.microsoft.com/office/drawing/2010/main">
      <mc:Choice Requires="a14">
        <xdr:sp macro="" textlink="">
          <xdr:nvSpPr>
            <xdr:cNvPr id="835" name="CuadroTexto 834">
              <a:extLst>
                <a:ext uri="{FF2B5EF4-FFF2-40B4-BE49-F238E27FC236}">
                  <a16:creationId xmlns:a16="http://schemas.microsoft.com/office/drawing/2014/main" id="{9FD2D6E7-76D3-462C-AE60-B80B13ACD828}"/>
                </a:ext>
              </a:extLst>
            </xdr:cNvPr>
            <xdr:cNvSpPr txBox="1"/>
          </xdr:nvSpPr>
          <xdr:spPr>
            <a:xfrm>
              <a:off x="12623222" y="328932887"/>
              <a:ext cx="1993324"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𝐻𝑜𝑗𝑎𝑙𝑎𝑡𝑎</m:t>
                    </m:r>
                    <m:r>
                      <a:rPr lang="es-MX" sz="1000" b="0" i="1">
                        <a:latin typeface="Cambria Math" panose="02040503050406030204" pitchFamily="18" charset="0"/>
                      </a:rPr>
                      <m:t>=.</m:t>
                    </m:r>
                    <m:r>
                      <a:rPr lang="es-MX" sz="1000" b="0" i="0">
                        <a:latin typeface="Cambria Math" panose="02040503050406030204" pitchFamily="18" charset="0"/>
                      </a:rPr>
                      <m:t>003 </m:t>
                    </m:r>
                    <m:r>
                      <m:rPr>
                        <m:sty m:val="p"/>
                      </m:rPr>
                      <a:rPr lang="es-MX" sz="1000" b="0" i="0">
                        <a:latin typeface="Cambria Math" panose="02040503050406030204" pitchFamily="18" charset="0"/>
                      </a:rPr>
                      <m:t>camiones</m:t>
                    </m:r>
                  </m:oMath>
                </m:oMathPara>
              </a14:m>
              <a:endParaRPr lang="es-MX" sz="1000" b="0"/>
            </a:p>
            <a:p>
              <a:endParaRPr lang="es-MX" sz="1000" b="0"/>
            </a:p>
            <a:p>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𝐻𝑜𝑗𝑎𝑙𝑎𝑡𝑎</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3.7 </m:t>
                  </m:r>
                </m:oMath>
              </a14:m>
              <a:r>
                <a:rPr lang="es-MX" sz="1100" b="0">
                  <a:solidFill>
                    <a:schemeClr val="tx1"/>
                  </a:solidFill>
                  <a:effectLst/>
                  <a:latin typeface="+mn-lt"/>
                  <a:ea typeface="+mn-ea"/>
                  <a:cs typeface="+mn-cs"/>
                </a:rPr>
                <a:t>camiones</a:t>
              </a:r>
              <a:endParaRPr lang="es-MX" sz="1000" b="0"/>
            </a:p>
          </xdr:txBody>
        </xdr:sp>
      </mc:Choice>
      <mc:Fallback xmlns="">
        <xdr:sp macro="" textlink="">
          <xdr:nvSpPr>
            <xdr:cNvPr id="835" name="CuadroTexto 834">
              <a:extLst>
                <a:ext uri="{FF2B5EF4-FFF2-40B4-BE49-F238E27FC236}">
                  <a16:creationId xmlns:a16="http://schemas.microsoft.com/office/drawing/2014/main" id="{9FD2D6E7-76D3-462C-AE60-B80B13ACD828}"/>
                </a:ext>
              </a:extLst>
            </xdr:cNvPr>
            <xdr:cNvSpPr txBox="1"/>
          </xdr:nvSpPr>
          <xdr:spPr>
            <a:xfrm>
              <a:off x="12623222" y="328932887"/>
              <a:ext cx="1993324"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𝐻𝑜𝑗𝑎𝑙𝑎𝑡𝑎=.003 camiones</a:t>
              </a:r>
              <a:endParaRPr lang="es-MX" sz="1000" b="0"/>
            </a:p>
            <a:p>
              <a:endParaRPr lang="es-MX" sz="1000" b="0"/>
            </a:p>
            <a:p>
              <a:r>
                <a:rPr lang="es-MX" sz="1100" b="0" i="0">
                  <a:solidFill>
                    <a:schemeClr val="tx1"/>
                  </a:solidFill>
                  <a:effectLst/>
                  <a:latin typeface="Cambria Math" panose="02040503050406030204" pitchFamily="18" charset="0"/>
                  <a:ea typeface="+mn-ea"/>
                  <a:cs typeface="+mn-cs"/>
                </a:rPr>
                <a:t>1 𝑇𝑜𝑛 𝐻𝑜𝑗𝑎𝑙𝑎𝑡𝑎=3.7 </a:t>
              </a:r>
              <a:r>
                <a:rPr lang="es-MX" sz="1100" b="0">
                  <a:solidFill>
                    <a:schemeClr val="tx1"/>
                  </a:solidFill>
                  <a:effectLst/>
                  <a:latin typeface="+mn-lt"/>
                  <a:ea typeface="+mn-ea"/>
                  <a:cs typeface="+mn-cs"/>
                </a:rPr>
                <a:t>camiones</a:t>
              </a:r>
              <a:endParaRPr lang="es-MX" sz="1000" b="0"/>
            </a:p>
          </xdr:txBody>
        </xdr:sp>
      </mc:Fallback>
    </mc:AlternateContent>
    <xdr:clientData/>
  </xdr:oneCellAnchor>
  <xdr:oneCellAnchor>
    <xdr:from>
      <xdr:col>10</xdr:col>
      <xdr:colOff>305953</xdr:colOff>
      <xdr:row>399</xdr:row>
      <xdr:rowOff>120938</xdr:rowOff>
    </xdr:from>
    <xdr:ext cx="1809749" cy="1012537"/>
    <mc:AlternateContent xmlns:mc="http://schemas.openxmlformats.org/markup-compatibility/2006" xmlns:a14="http://schemas.microsoft.com/office/drawing/2010/main">
      <mc:Choice Requires="a14">
        <xdr:sp macro="" textlink="">
          <xdr:nvSpPr>
            <xdr:cNvPr id="837" name="CuadroTexto 836">
              <a:extLst>
                <a:ext uri="{FF2B5EF4-FFF2-40B4-BE49-F238E27FC236}">
                  <a16:creationId xmlns:a16="http://schemas.microsoft.com/office/drawing/2014/main" id="{068A9A2E-B1AD-4B58-B8FB-2EF04175A1AF}"/>
                </a:ext>
              </a:extLst>
            </xdr:cNvPr>
            <xdr:cNvSpPr txBox="1"/>
          </xdr:nvSpPr>
          <xdr:spPr>
            <a:xfrm>
              <a:off x="12688453" y="331035313"/>
              <a:ext cx="1809749" cy="10125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=.0036</m:t>
                    </m:r>
                    <m:f>
                      <m:fPr>
                        <m:ctrlPr>
                          <a:rPr lang="es-MX" sz="1050" i="1">
                            <a:solidFill>
                              <a:schemeClr val="tx1"/>
                            </a:solidFill>
                            <a:effectLst/>
                            <a:latin typeface="Cambria Math" panose="02040503050406030204" pitchFamily="18" charset="0"/>
                            <a:ea typeface="+mn-ea"/>
                            <a:cs typeface="+mn-cs"/>
                          </a:rPr>
                        </m:ctrlPr>
                      </m:fPr>
                      <m:num>
                        <m:r>
                          <a:rPr lang="es-MX" sz="1050" b="0" i="1">
                            <a:solidFill>
                              <a:schemeClr val="tx1"/>
                            </a:solidFill>
                            <a:effectLst/>
                            <a:latin typeface="Cambria Math" panose="02040503050406030204" pitchFamily="18" charset="0"/>
                            <a:ea typeface="+mn-ea"/>
                            <a:cs typeface="+mn-cs"/>
                          </a:rPr>
                          <m:t>𝐵𝑎𝑟𝑟𝑖𝑙𝑒𝑠</m:t>
                        </m:r>
                      </m:num>
                      <m:den>
                        <m:r>
                          <m:rPr>
                            <m:sty m:val="p"/>
                          </m:rPr>
                          <a:rPr lang="es-MX" sz="1050" b="0" i="0">
                            <a:solidFill>
                              <a:schemeClr val="tx1"/>
                            </a:solidFill>
                            <a:effectLst/>
                            <a:latin typeface="Cambria Math" panose="02040503050406030204" pitchFamily="18" charset="0"/>
                            <a:ea typeface="+mn-ea"/>
                            <a:cs typeface="+mn-cs"/>
                          </a:rPr>
                          <m:t>P</m:t>
                        </m:r>
                        <m:r>
                          <a:rPr lang="es-MX" sz="1050" b="0" i="1">
                            <a:solidFill>
                              <a:schemeClr val="tx1"/>
                            </a:solidFill>
                            <a:effectLst/>
                            <a:latin typeface="Cambria Math" panose="02040503050406030204" pitchFamily="18" charset="0"/>
                            <a:ea typeface="+mn-ea"/>
                            <a:cs typeface="+mn-cs"/>
                          </a:rPr>
                          <m:t>𝑒𝑡𝑟𝑜𝑙𝑒𝑜</m:t>
                        </m:r>
                      </m:den>
                    </m:f>
                  </m:oMath>
                </m:oMathPara>
              </a14:m>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𝐻𝑜𝑗</m:t>
                    </m:r>
                    <m:r>
                      <a:rPr lang="es-MX" sz="1100" b="0" i="1">
                        <a:solidFill>
                          <a:schemeClr val="tx1"/>
                        </a:solidFill>
                        <a:effectLst/>
                        <a:latin typeface="Cambria Math" panose="02040503050406030204" pitchFamily="18" charset="0"/>
                        <a:ea typeface="+mn-ea"/>
                        <a:cs typeface="+mn-cs"/>
                      </a:rPr>
                      <m:t>=3.60</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𝐵𝑎𝑟𝑟𝑖𝑙𝑒𝑠</m:t>
                        </m:r>
                      </m:num>
                      <m:den>
                        <m:r>
                          <m:rPr>
                            <m:sty m:val="p"/>
                          </m:rPr>
                          <a:rPr lang="es-MX" sz="1100" b="0" i="0">
                            <a:solidFill>
                              <a:schemeClr val="tx1"/>
                            </a:solidFill>
                            <a:effectLst/>
                            <a:latin typeface="Cambria Math" panose="02040503050406030204" pitchFamily="18" charset="0"/>
                            <a:ea typeface="+mn-ea"/>
                            <a:cs typeface="+mn-cs"/>
                          </a:rPr>
                          <m:t>P</m:t>
                        </m:r>
                        <m:r>
                          <a:rPr lang="es-MX" sz="1100" b="0" i="1">
                            <a:solidFill>
                              <a:schemeClr val="tx1"/>
                            </a:solidFill>
                            <a:effectLst/>
                            <a:latin typeface="Cambria Math" panose="02040503050406030204" pitchFamily="18" charset="0"/>
                            <a:ea typeface="+mn-ea"/>
                            <a:cs typeface="+mn-cs"/>
                          </a:rPr>
                          <m:t>𝑒𝑡𝑟𝑜𝑙𝑒𝑜</m:t>
                        </m:r>
                      </m:den>
                    </m:f>
                  </m:oMath>
                </m:oMathPara>
              </a14:m>
              <a:endParaRPr lang="es-MX">
                <a:effectLst/>
              </a:endParaRPr>
            </a:p>
            <a:p>
              <a:endParaRPr lang="es-MX" sz="1050" b="0"/>
            </a:p>
          </xdr:txBody>
        </xdr:sp>
      </mc:Choice>
      <mc:Fallback xmlns="">
        <xdr:sp macro="" textlink="">
          <xdr:nvSpPr>
            <xdr:cNvPr id="837" name="CuadroTexto 836">
              <a:extLst>
                <a:ext uri="{FF2B5EF4-FFF2-40B4-BE49-F238E27FC236}">
                  <a16:creationId xmlns:a16="http://schemas.microsoft.com/office/drawing/2014/main" id="{068A9A2E-B1AD-4B58-B8FB-2EF04175A1AF}"/>
                </a:ext>
              </a:extLst>
            </xdr:cNvPr>
            <xdr:cNvSpPr txBox="1"/>
          </xdr:nvSpPr>
          <xdr:spPr>
            <a:xfrm>
              <a:off x="12688453" y="331035313"/>
              <a:ext cx="1809749" cy="10125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𝐻𝑜𝑗=.0036</a:t>
              </a:r>
              <a:r>
                <a:rPr lang="es-MX" sz="1050" b="0" i="0">
                  <a:solidFill>
                    <a:schemeClr val="tx1"/>
                  </a:solidFill>
                  <a:effectLst/>
                  <a:latin typeface="Cambria Math" panose="02040503050406030204" pitchFamily="18" charset="0"/>
                  <a:ea typeface="+mn-ea"/>
                  <a:cs typeface="+mn-cs"/>
                </a:rPr>
                <a:t> 𝐵𝑎𝑟𝑟𝑖𝑙𝑒𝑠/P𝑒𝑡𝑟𝑜𝑙𝑒𝑜</a:t>
              </a:r>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𝐻𝑜𝑗=3.60 𝐵𝑎𝑟𝑟𝑖𝑙𝑒𝑠/P𝑒𝑡𝑟𝑜𝑙𝑒𝑜</a:t>
              </a:r>
              <a:endParaRPr lang="es-MX">
                <a:effectLst/>
              </a:endParaRPr>
            </a:p>
            <a:p>
              <a:endParaRPr lang="es-MX" sz="1050" b="0"/>
            </a:p>
          </xdr:txBody>
        </xdr:sp>
      </mc:Fallback>
    </mc:AlternateContent>
    <xdr:clientData/>
  </xdr:oneCellAnchor>
  <xdr:oneCellAnchor>
    <xdr:from>
      <xdr:col>9</xdr:col>
      <xdr:colOff>201084</xdr:colOff>
      <xdr:row>399</xdr:row>
      <xdr:rowOff>492126</xdr:rowOff>
    </xdr:from>
    <xdr:ext cx="2053166" cy="319511"/>
    <mc:AlternateContent xmlns:mc="http://schemas.openxmlformats.org/markup-compatibility/2006" xmlns:a14="http://schemas.microsoft.com/office/drawing/2010/main">
      <mc:Choice Requires="a14">
        <xdr:sp macro="" textlink="">
          <xdr:nvSpPr>
            <xdr:cNvPr id="839" name="CuadroTexto 838">
              <a:extLst>
                <a:ext uri="{FF2B5EF4-FFF2-40B4-BE49-F238E27FC236}">
                  <a16:creationId xmlns:a16="http://schemas.microsoft.com/office/drawing/2014/main" id="{6DD61E2A-7E58-4C81-A97C-6DADA9A5CF86}"/>
                </a:ext>
              </a:extLst>
            </xdr:cNvPr>
            <xdr:cNvSpPr txBox="1"/>
          </xdr:nvSpPr>
          <xdr:spPr>
            <a:xfrm>
              <a:off x="10027709" y="3314065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𝐻𝑜𝑗𝑎</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3.6 </m:t>
                        </m:r>
                        <m:r>
                          <a:rPr lang="es-MX" sz="1000" b="0" i="1">
                            <a:solidFill>
                              <a:schemeClr val="tx1"/>
                            </a:solidFill>
                            <a:effectLst/>
                            <a:latin typeface="Cambria Math" panose="02040503050406030204" pitchFamily="18" charset="0"/>
                            <a:ea typeface="+mn-ea"/>
                            <a:cs typeface="+mn-cs"/>
                          </a:rPr>
                          <m:t>𝐵𝑝</m:t>
                        </m:r>
                      </m:num>
                      <m:den>
                        <m:r>
                          <a:rPr lang="es-MX" sz="1000" b="0" i="1">
                            <a:solidFill>
                              <a:schemeClr val="tx1"/>
                            </a:solidFill>
                            <a:effectLst/>
                            <a:latin typeface="Cambria Math" panose="02040503050406030204" pitchFamily="18" charset="0"/>
                            <a:ea typeface="+mn-ea"/>
                            <a:cs typeface="+mn-cs"/>
                          </a:rPr>
                          <m:t>?(.0036)</m:t>
                        </m:r>
                      </m:den>
                    </m:f>
                    <m:r>
                      <a:rPr lang="es-MX" sz="1000" b="0" i="1">
                        <a:latin typeface="Cambria Math" panose="02040503050406030204" pitchFamily="18" charset="0"/>
                      </a:rPr>
                      <m:t> </m:t>
                    </m:r>
                  </m:oMath>
                </m:oMathPara>
              </a14:m>
              <a:endParaRPr lang="es-MX" sz="1000"/>
            </a:p>
          </xdr:txBody>
        </xdr:sp>
      </mc:Choice>
      <mc:Fallback xmlns="">
        <xdr:sp macro="" textlink="">
          <xdr:nvSpPr>
            <xdr:cNvPr id="839" name="CuadroTexto 838">
              <a:extLst>
                <a:ext uri="{FF2B5EF4-FFF2-40B4-BE49-F238E27FC236}">
                  <a16:creationId xmlns:a16="http://schemas.microsoft.com/office/drawing/2014/main" id="{6DD61E2A-7E58-4C81-A97C-6DADA9A5CF86}"/>
                </a:ext>
              </a:extLst>
            </xdr:cNvPr>
            <xdr:cNvSpPr txBox="1"/>
          </xdr:nvSpPr>
          <xdr:spPr>
            <a:xfrm>
              <a:off x="10027709" y="331406501"/>
              <a:ext cx="20531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𝐻𝑜𝑗𝑎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3.6 𝐵𝑝)/(?(.0036)) </a:t>
              </a:r>
              <a:r>
                <a:rPr lang="es-MX" sz="1000" b="0" i="0">
                  <a:latin typeface="Cambria Math" panose="02040503050406030204" pitchFamily="18" charset="0"/>
                </a:rPr>
                <a:t> </a:t>
              </a:r>
              <a:endParaRPr lang="es-MX" sz="1000"/>
            </a:p>
          </xdr:txBody>
        </xdr:sp>
      </mc:Fallback>
    </mc:AlternateContent>
    <xdr:clientData/>
  </xdr:oneCellAnchor>
  <xdr:oneCellAnchor>
    <xdr:from>
      <xdr:col>12</xdr:col>
      <xdr:colOff>2164774</xdr:colOff>
      <xdr:row>399</xdr:row>
      <xdr:rowOff>1039091</xdr:rowOff>
    </xdr:from>
    <xdr:ext cx="391583" cy="395432"/>
    <xdr:pic>
      <xdr:nvPicPr>
        <xdr:cNvPr id="841" name="Gráfico 840" descr="Hogar">
          <a:hlinkClick xmlns:r="http://schemas.openxmlformats.org/officeDocument/2006/relationships" r:id="rId89"/>
          <a:extLst>
            <a:ext uri="{FF2B5EF4-FFF2-40B4-BE49-F238E27FC236}">
              <a16:creationId xmlns:a16="http://schemas.microsoft.com/office/drawing/2014/main" id="{B3420FD2-7FF1-462A-864F-45DF994A85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24615" y="252135409"/>
          <a:ext cx="391583" cy="395432"/>
        </a:xfrm>
        <a:prstGeom prst="rect">
          <a:avLst/>
        </a:prstGeom>
      </xdr:spPr>
    </xdr:pic>
    <xdr:clientData/>
  </xdr:oneCellAnchor>
  <xdr:oneCellAnchor>
    <xdr:from>
      <xdr:col>12</xdr:col>
      <xdr:colOff>2398569</xdr:colOff>
      <xdr:row>399</xdr:row>
      <xdr:rowOff>995796</xdr:rowOff>
    </xdr:from>
    <xdr:ext cx="452966" cy="448733"/>
    <xdr:pic>
      <xdr:nvPicPr>
        <xdr:cNvPr id="842" name="Gráfico 841" descr="Inalámbrico">
          <a:hlinkClick xmlns:r="http://schemas.openxmlformats.org/officeDocument/2006/relationships" r:id="rId90"/>
          <a:extLst>
            <a:ext uri="{FF2B5EF4-FFF2-40B4-BE49-F238E27FC236}">
              <a16:creationId xmlns:a16="http://schemas.microsoft.com/office/drawing/2014/main" id="{A6FD71C2-BD2A-47EE-8B5F-9A269FF495C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58410" y="300782182"/>
          <a:ext cx="452966" cy="448733"/>
        </a:xfrm>
        <a:prstGeom prst="rect">
          <a:avLst/>
        </a:prstGeom>
      </xdr:spPr>
    </xdr:pic>
    <xdr:clientData/>
  </xdr:oneCellAnchor>
  <xdr:oneCellAnchor>
    <xdr:from>
      <xdr:col>10</xdr:col>
      <xdr:colOff>206375</xdr:colOff>
      <xdr:row>401</xdr:row>
      <xdr:rowOff>534458</xdr:rowOff>
    </xdr:from>
    <xdr:ext cx="2147455" cy="628650"/>
    <mc:AlternateContent xmlns:mc="http://schemas.openxmlformats.org/markup-compatibility/2006" xmlns:a14="http://schemas.microsoft.com/office/drawing/2010/main">
      <mc:Choice Requires="a14">
        <xdr:sp macro="" textlink="">
          <xdr:nvSpPr>
            <xdr:cNvPr id="844" name="CuadroTexto 843">
              <a:extLst>
                <a:ext uri="{FF2B5EF4-FFF2-40B4-BE49-F238E27FC236}">
                  <a16:creationId xmlns:a16="http://schemas.microsoft.com/office/drawing/2014/main" id="{566C236E-D3E2-4B92-B016-1527ABBDEC42}"/>
                </a:ext>
              </a:extLst>
            </xdr:cNvPr>
            <xdr:cNvSpPr txBox="1"/>
          </xdr:nvSpPr>
          <xdr:spPr>
            <a:xfrm>
              <a:off x="12588875" y="334798458"/>
              <a:ext cx="214745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m:t>
                  </m:r>
                  <m:r>
                    <a:rPr lang="es-MX" sz="1050" b="0" i="0">
                      <a:latin typeface="Cambria Math" panose="02040503050406030204" pitchFamily="18" charset="0"/>
                    </a:rPr>
                    <m:t>1.32 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Ahorrado</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1,320</m:t>
                    </m:r>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Ahorrado</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844" name="CuadroTexto 843">
              <a:extLst>
                <a:ext uri="{FF2B5EF4-FFF2-40B4-BE49-F238E27FC236}">
                  <a16:creationId xmlns:a16="http://schemas.microsoft.com/office/drawing/2014/main" id="{566C236E-D3E2-4B92-B016-1527ABBDEC42}"/>
                </a:ext>
              </a:extLst>
            </xdr:cNvPr>
            <xdr:cNvSpPr txBox="1"/>
          </xdr:nvSpPr>
          <xdr:spPr>
            <a:xfrm>
              <a:off x="12588875" y="334798458"/>
              <a:ext cx="214745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𝐻𝑜𝑗=1.32 kg Mat Ahorrado</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𝐻𝑜𝑗=1,320</a:t>
              </a:r>
              <a:r>
                <a:rPr lang="es-MX" sz="1100" b="0" i="0">
                  <a:solidFill>
                    <a:schemeClr val="tx1"/>
                  </a:solidFill>
                  <a:effectLst/>
                  <a:latin typeface="Cambria Math" panose="02040503050406030204" pitchFamily="18" charset="0"/>
                  <a:ea typeface="+mn-ea"/>
                  <a:cs typeface="+mn-cs"/>
                </a:rPr>
                <a:t> kg "Mat Ahorrado</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195793</xdr:colOff>
      <xdr:row>406</xdr:row>
      <xdr:rowOff>656166</xdr:rowOff>
    </xdr:from>
    <xdr:ext cx="1725082" cy="319511"/>
    <mc:AlternateContent xmlns:mc="http://schemas.openxmlformats.org/markup-compatibility/2006" xmlns:a14="http://schemas.microsoft.com/office/drawing/2010/main">
      <mc:Choice Requires="a14">
        <xdr:sp macro="" textlink="">
          <xdr:nvSpPr>
            <xdr:cNvPr id="845" name="CuadroTexto 844">
              <a:extLst>
                <a:ext uri="{FF2B5EF4-FFF2-40B4-BE49-F238E27FC236}">
                  <a16:creationId xmlns:a16="http://schemas.microsoft.com/office/drawing/2014/main" id="{ED753C68-2810-49D5-8142-3DF6854C06E1}"/>
                </a:ext>
              </a:extLst>
            </xdr:cNvPr>
            <xdr:cNvSpPr txBox="1"/>
          </xdr:nvSpPr>
          <xdr:spPr>
            <a:xfrm>
              <a:off x="7593543" y="342619541"/>
              <a:ext cx="172508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barriles</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45" name="CuadroTexto 844">
              <a:extLst>
                <a:ext uri="{FF2B5EF4-FFF2-40B4-BE49-F238E27FC236}">
                  <a16:creationId xmlns:a16="http://schemas.microsoft.com/office/drawing/2014/main" id="{ED753C68-2810-49D5-8142-3DF6854C06E1}"/>
                </a:ext>
              </a:extLst>
            </xdr:cNvPr>
            <xdr:cNvSpPr txBox="1"/>
          </xdr:nvSpPr>
          <xdr:spPr>
            <a:xfrm>
              <a:off x="7593543" y="342619541"/>
              <a:ext cx="172508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)/(n barriles)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 </a:t>
              </a:r>
              <a:r>
                <a:rPr lang="es-MX" sz="1000" b="0" i="0">
                  <a:latin typeface="Cambria Math" panose="02040503050406030204" pitchFamily="18" charset="0"/>
                </a:rPr>
                <a:t> </a:t>
              </a:r>
              <a:endParaRPr lang="es-MX" sz="1000"/>
            </a:p>
          </xdr:txBody>
        </xdr:sp>
      </mc:Fallback>
    </mc:AlternateContent>
    <xdr:clientData/>
  </xdr:oneCellAnchor>
  <xdr:oneCellAnchor>
    <xdr:from>
      <xdr:col>8</xdr:col>
      <xdr:colOff>143933</xdr:colOff>
      <xdr:row>406</xdr:row>
      <xdr:rowOff>214842</xdr:rowOff>
    </xdr:from>
    <xdr:ext cx="1852084" cy="125227"/>
    <xdr:sp macro="" textlink="">
      <xdr:nvSpPr>
        <xdr:cNvPr id="846" name="CuadroTexto 845">
          <a:extLst>
            <a:ext uri="{FF2B5EF4-FFF2-40B4-BE49-F238E27FC236}">
              <a16:creationId xmlns:a16="http://schemas.microsoft.com/office/drawing/2014/main" id="{8D9784E4-8871-4397-92C1-7159E491D643}"/>
            </a:ext>
          </a:extLst>
        </xdr:cNvPr>
        <xdr:cNvSpPr txBox="1"/>
      </xdr:nvSpPr>
      <xdr:spPr>
        <a:xfrm>
          <a:off x="7001933" y="66846547"/>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9</xdr:col>
      <xdr:colOff>232833</xdr:colOff>
      <xdr:row>406</xdr:row>
      <xdr:rowOff>709083</xdr:rowOff>
    </xdr:from>
    <xdr:ext cx="1587499" cy="316497"/>
    <mc:AlternateContent xmlns:mc="http://schemas.openxmlformats.org/markup-compatibility/2006" xmlns:a14="http://schemas.microsoft.com/office/drawing/2010/main">
      <mc:Choice Requires="a14">
        <xdr:sp macro="" textlink="">
          <xdr:nvSpPr>
            <xdr:cNvPr id="847" name="CuadroTexto 846">
              <a:extLst>
                <a:ext uri="{FF2B5EF4-FFF2-40B4-BE49-F238E27FC236}">
                  <a16:creationId xmlns:a16="http://schemas.microsoft.com/office/drawing/2014/main" id="{7ECBB9FD-FC21-4B37-B9FF-98682548E6DE}"/>
                </a:ext>
              </a:extLst>
            </xdr:cNvPr>
            <xdr:cNvSpPr txBox="1"/>
          </xdr:nvSpPr>
          <xdr:spPr>
            <a:xfrm>
              <a:off x="9004492" y="67340788"/>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𝐵𝑃</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3.60 </m:t>
                        </m:r>
                        <m:r>
                          <m:rPr>
                            <m:sty m:val="p"/>
                          </m:rPr>
                          <a:rPr lang="es-MX" sz="1000" b="0" i="0">
                            <a:solidFill>
                              <a:schemeClr val="tx1"/>
                            </a:solidFill>
                            <a:effectLst/>
                            <a:latin typeface="Cambria Math" panose="02040503050406030204" pitchFamily="18" charset="0"/>
                            <a:ea typeface="+mn-ea"/>
                            <a:cs typeface="+mn-cs"/>
                          </a:rPr>
                          <m:t>BP</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66 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237.6)</m:t>
                        </m:r>
                      </m:den>
                    </m:f>
                    <m:r>
                      <a:rPr lang="es-MX" sz="1000" b="0" i="1">
                        <a:latin typeface="Cambria Math" panose="02040503050406030204" pitchFamily="18" charset="0"/>
                      </a:rPr>
                      <m:t> </m:t>
                    </m:r>
                  </m:oMath>
                </m:oMathPara>
              </a14:m>
              <a:endParaRPr lang="es-MX" sz="1000"/>
            </a:p>
          </xdr:txBody>
        </xdr:sp>
      </mc:Choice>
      <mc:Fallback xmlns="">
        <xdr:sp macro="" textlink="">
          <xdr:nvSpPr>
            <xdr:cNvPr id="847" name="CuadroTexto 846">
              <a:extLst>
                <a:ext uri="{FF2B5EF4-FFF2-40B4-BE49-F238E27FC236}">
                  <a16:creationId xmlns:a16="http://schemas.microsoft.com/office/drawing/2014/main" id="{7ECBB9FD-FC21-4B37-B9FF-98682548E6DE}"/>
                </a:ext>
              </a:extLst>
            </xdr:cNvPr>
            <xdr:cNvSpPr txBox="1"/>
          </xdr:nvSpPr>
          <xdr:spPr>
            <a:xfrm>
              <a:off x="9004492" y="67340788"/>
              <a:ext cx="158749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𝐵𝑃 )/(3.60 BP)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66 𝐿 𝑔𝑎𝑠𝑜𝑙𝑖𝑛𝑎)/(?( 237.6))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259291</xdr:colOff>
      <xdr:row>406</xdr:row>
      <xdr:rowOff>465666</xdr:rowOff>
    </xdr:from>
    <xdr:ext cx="2053167" cy="628650"/>
    <mc:AlternateContent xmlns:mc="http://schemas.openxmlformats.org/markup-compatibility/2006" xmlns:a14="http://schemas.microsoft.com/office/drawing/2010/main">
      <mc:Choice Requires="a14">
        <xdr:sp macro="" textlink="">
          <xdr:nvSpPr>
            <xdr:cNvPr id="848" name="CuadroTexto 847">
              <a:extLst>
                <a:ext uri="{FF2B5EF4-FFF2-40B4-BE49-F238E27FC236}">
                  <a16:creationId xmlns:a16="http://schemas.microsoft.com/office/drawing/2014/main" id="{AFF572F3-8DCF-46C8-9E36-93507298A00A}"/>
                </a:ext>
              </a:extLst>
            </xdr:cNvPr>
            <xdr:cNvSpPr txBox="1"/>
          </xdr:nvSpPr>
          <xdr:spPr>
            <a:xfrm>
              <a:off x="12641791" y="342429041"/>
              <a:ext cx="205316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m:t>
                    </m:r>
                    <m:r>
                      <a:rPr lang="es-MX" sz="1050" b="0" i="0">
                        <a:latin typeface="Cambria Math" panose="02040503050406030204" pitchFamily="18" charset="0"/>
                      </a:rPr>
                      <m:t> .237 </m:t>
                    </m:r>
                    <m:r>
                      <m:rPr>
                        <m:sty m:val="p"/>
                      </m:rPr>
                      <a:rPr lang="es-MX" sz="1050" b="0" i="0">
                        <a:latin typeface="Cambria Math" panose="02040503050406030204" pitchFamily="18" charset="0"/>
                      </a:rPr>
                      <m:t>Litros</m:t>
                    </m:r>
                    <m:r>
                      <a:rPr lang="es-MX" sz="1050" b="0" i="0">
                        <a:latin typeface="Cambria Math" panose="02040503050406030204" pitchFamily="18" charset="0"/>
                      </a:rPr>
                      <m:t> </m:t>
                    </m:r>
                    <m:r>
                      <m:rPr>
                        <m:sty m:val="p"/>
                      </m:rPr>
                      <a:rPr lang="es-MX" sz="1050" b="0" i="0">
                        <a:latin typeface="Cambria Math" panose="02040503050406030204" pitchFamily="18" charset="0"/>
                      </a:rPr>
                      <m:t>de</m:t>
                    </m:r>
                    <m:r>
                      <a:rPr lang="es-MX" sz="1050" b="0" i="0">
                        <a:latin typeface="Cambria Math" panose="02040503050406030204" pitchFamily="18" charset="0"/>
                      </a:rPr>
                      <m:t> </m:t>
                    </m:r>
                    <m:r>
                      <m:rPr>
                        <m:sty m:val="p"/>
                      </m:rPr>
                      <a:rPr lang="es-MX" sz="1050" b="0" i="0">
                        <a:latin typeface="Cambria Math" panose="02040503050406030204" pitchFamily="18" charset="0"/>
                      </a:rPr>
                      <m:t>gasolina</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oMath>
              </a14:m>
              <a:r>
                <a:rPr lang="es-MX" sz="1050">
                  <a:effectLst/>
                </a:rPr>
                <a:t> 237.6 Litros de gasolina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Choice>
      <mc:Fallback xmlns="">
        <xdr:sp macro="" textlink="">
          <xdr:nvSpPr>
            <xdr:cNvPr id="848" name="CuadroTexto 847">
              <a:extLst>
                <a:ext uri="{FF2B5EF4-FFF2-40B4-BE49-F238E27FC236}">
                  <a16:creationId xmlns:a16="http://schemas.microsoft.com/office/drawing/2014/main" id="{AFF572F3-8DCF-46C8-9E36-93507298A00A}"/>
                </a:ext>
              </a:extLst>
            </xdr:cNvPr>
            <xdr:cNvSpPr txBox="1"/>
          </xdr:nvSpPr>
          <xdr:spPr>
            <a:xfrm>
              <a:off x="12641791" y="342429041"/>
              <a:ext cx="205316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𝐻𝑜𝑗= .237 Litros de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𝐻𝑜𝑗=</a:t>
              </a:r>
              <a:r>
                <a:rPr lang="es-MX" sz="1050">
                  <a:effectLst/>
                </a:rPr>
                <a:t> 237.6 Litros de gasolina </a:t>
              </a:r>
            </a:p>
            <a:p>
              <a:pPr marL="0" marR="0" lvl="0" indent="0" algn="l" defTabSz="914400" eaLnBrk="1" fontAlgn="auto" latinLnBrk="0" hangingPunct="1">
                <a:lnSpc>
                  <a:spcPct val="100000"/>
                </a:lnSpc>
                <a:spcBef>
                  <a:spcPts val="0"/>
                </a:spcBef>
                <a:spcAft>
                  <a:spcPts val="0"/>
                </a:spcAft>
                <a:buClrTx/>
                <a:buSzTx/>
                <a:buFontTx/>
                <a:buNone/>
                <a:tabLst/>
                <a:defRPr/>
              </a:pPr>
              <a:endParaRPr lang="es-MX" sz="1100">
                <a:effectLst/>
              </a:endParaRPr>
            </a:p>
            <a:p>
              <a:pPr algn="l"/>
              <a:endParaRPr lang="es-MX" sz="1100" b="0"/>
            </a:p>
          </xdr:txBody>
        </xdr:sp>
      </mc:Fallback>
    </mc:AlternateContent>
    <xdr:clientData/>
  </xdr:oneCellAnchor>
  <xdr:oneCellAnchor>
    <xdr:from>
      <xdr:col>12</xdr:col>
      <xdr:colOff>2517509</xdr:colOff>
      <xdr:row>406</xdr:row>
      <xdr:rowOff>1093888</xdr:rowOff>
    </xdr:from>
    <xdr:ext cx="376975" cy="376016"/>
    <xdr:pic>
      <xdr:nvPicPr>
        <xdr:cNvPr id="849" name="Gráfico 848" descr="Inalámbrico">
          <a:hlinkClick xmlns:r="http://schemas.openxmlformats.org/officeDocument/2006/relationships" r:id="rId57"/>
          <a:extLst>
            <a:ext uri="{FF2B5EF4-FFF2-40B4-BE49-F238E27FC236}">
              <a16:creationId xmlns:a16="http://schemas.microsoft.com/office/drawing/2014/main" id="{0E13D38A-561C-4766-9607-A0E5DB22654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67725593"/>
          <a:ext cx="376975" cy="376016"/>
        </a:xfrm>
        <a:prstGeom prst="rect">
          <a:avLst/>
        </a:prstGeom>
      </xdr:spPr>
    </xdr:pic>
    <xdr:clientData/>
  </xdr:oneCellAnchor>
  <xdr:oneCellAnchor>
    <xdr:from>
      <xdr:col>9</xdr:col>
      <xdr:colOff>359834</xdr:colOff>
      <xdr:row>407</xdr:row>
      <xdr:rowOff>481542</xdr:rowOff>
    </xdr:from>
    <xdr:ext cx="1862666" cy="319511"/>
    <mc:AlternateContent xmlns:mc="http://schemas.openxmlformats.org/markup-compatibility/2006" xmlns:a14="http://schemas.microsoft.com/office/drawing/2010/main">
      <mc:Choice Requires="a14">
        <xdr:sp macro="" textlink="">
          <xdr:nvSpPr>
            <xdr:cNvPr id="850" name="CuadroTexto 849">
              <a:extLst>
                <a:ext uri="{FF2B5EF4-FFF2-40B4-BE49-F238E27FC236}">
                  <a16:creationId xmlns:a16="http://schemas.microsoft.com/office/drawing/2014/main" id="{A22232AB-AD73-478F-AAD2-14781463C480}"/>
                </a:ext>
              </a:extLst>
            </xdr:cNvPr>
            <xdr:cNvSpPr txBox="1"/>
          </xdr:nvSpPr>
          <xdr:spPr>
            <a:xfrm>
              <a:off x="10186459" y="3438577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237</m:t>
                        </m:r>
                        <m:r>
                          <m:rPr>
                            <m:sty m:val="p"/>
                          </m:rPr>
                          <a:rPr lang="es-MX" sz="1000" b="0" i="0">
                            <a:solidFill>
                              <a:schemeClr val="tx1"/>
                            </a:solidFill>
                            <a:effectLst/>
                            <a:latin typeface="Cambria Math" panose="02040503050406030204" pitchFamily="18" charset="0"/>
                            <a:ea typeface="+mn-ea"/>
                            <a:cs typeface="+mn-cs"/>
                          </a:rPr>
                          <m:t>L</m:t>
                        </m:r>
                        <m:r>
                          <a:rPr lang="es-MX" sz="1000" b="0" i="0">
                            <a:solidFill>
                              <a:schemeClr val="tx1"/>
                            </a:solidFill>
                            <a:effectLst/>
                            <a:latin typeface="Cambria Math" panose="02040503050406030204" pitchFamily="18" charset="0"/>
                            <a:ea typeface="+mn-ea"/>
                            <a:cs typeface="+mn-cs"/>
                          </a:rPr>
                          <m:t> </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?(.000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50" name="CuadroTexto 849">
              <a:extLst>
                <a:ext uri="{FF2B5EF4-FFF2-40B4-BE49-F238E27FC236}">
                  <a16:creationId xmlns:a16="http://schemas.microsoft.com/office/drawing/2014/main" id="{A22232AB-AD73-478F-AAD2-14781463C480}"/>
                </a:ext>
              </a:extLst>
            </xdr:cNvPr>
            <xdr:cNvSpPr txBox="1"/>
          </xdr:nvSpPr>
          <xdr:spPr>
            <a:xfrm>
              <a:off x="10186459" y="343857792"/>
              <a:ext cx="1862666"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)/(.237L )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𝑝𝑖𝑝𝑎)/(?(.000 ))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213277</xdr:colOff>
      <xdr:row>407</xdr:row>
      <xdr:rowOff>238125</xdr:rowOff>
    </xdr:from>
    <xdr:ext cx="2014009" cy="792076"/>
    <mc:AlternateContent xmlns:mc="http://schemas.openxmlformats.org/markup-compatibility/2006" xmlns:a14="http://schemas.microsoft.com/office/drawing/2010/main">
      <mc:Choice Requires="a14">
        <xdr:sp macro="" textlink="">
          <xdr:nvSpPr>
            <xdr:cNvPr id="851" name="CuadroTexto 850">
              <a:extLst>
                <a:ext uri="{FF2B5EF4-FFF2-40B4-BE49-F238E27FC236}">
                  <a16:creationId xmlns:a16="http://schemas.microsoft.com/office/drawing/2014/main" id="{FEBB52F2-2C1E-415D-A847-3DCA28026A03}"/>
                </a:ext>
              </a:extLst>
            </xdr:cNvPr>
            <xdr:cNvSpPr txBox="1"/>
          </xdr:nvSpPr>
          <xdr:spPr>
            <a:xfrm>
              <a:off x="12595777" y="343614375"/>
              <a:ext cx="2014009"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𝐻𝑜𝑗</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0 </m:t>
                    </m:r>
                    <m:r>
                      <m:rPr>
                        <m:sty m:val="p"/>
                      </m:rPr>
                      <a:rPr lang="es-MX" sz="1100" b="0" i="0">
                        <a:solidFill>
                          <a:schemeClr val="tx1"/>
                        </a:solidFill>
                        <a:effectLst/>
                        <a:latin typeface="Cambria Math" panose="02040503050406030204" pitchFamily="18" charset="0"/>
                        <a:ea typeface="+mn-ea"/>
                        <a:cs typeface="+mn-cs"/>
                      </a:rPr>
                      <m:t>Pipas</m:t>
                    </m:r>
                    <m:r>
                      <a:rPr lang="es-MX" sz="1100" b="0" i="0">
                        <a:solidFill>
                          <a:schemeClr val="tx1"/>
                        </a:solidFill>
                        <a:effectLst/>
                        <a:latin typeface="Cambria Math" panose="02040503050406030204" pitchFamily="18" charset="0"/>
                        <a:ea typeface="+mn-ea"/>
                        <a:cs typeface="+mn-cs"/>
                      </a:rPr>
                      <m:t> </m:t>
                    </m:r>
                  </m:oMath>
                </m:oMathPara>
              </a14:m>
              <a:endParaRPr lang="es-MX" sz="1000">
                <a:effectLst/>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𝑇𝑜𝑛</m:t>
                    </m:r>
                    <m:r>
                      <a:rPr lang="es-MX" sz="1000" b="0" i="1">
                        <a:latin typeface="Cambria Math" panose="02040503050406030204" pitchFamily="18" charset="0"/>
                      </a:rPr>
                      <m:t> </m:t>
                    </m:r>
                    <m:r>
                      <a:rPr lang="es-MX" sz="1000" b="0" i="1">
                        <a:latin typeface="Cambria Math" panose="02040503050406030204" pitchFamily="18" charset="0"/>
                      </a:rPr>
                      <m:t>𝐻𝑜𝑗</m:t>
                    </m:r>
                    <m:r>
                      <a:rPr lang="es-MX" sz="1000" b="0" i="1">
                        <a:latin typeface="Cambria Math" panose="02040503050406030204" pitchFamily="18" charset="0"/>
                      </a:rPr>
                      <m:t>=</m:t>
                    </m:r>
                    <m:r>
                      <a:rPr lang="es-MX" sz="1000" b="0" i="0">
                        <a:latin typeface="Cambria Math" panose="02040503050406030204" pitchFamily="18" charset="0"/>
                      </a:rPr>
                      <m:t>.0286 </m:t>
                    </m:r>
                    <m:r>
                      <m:rPr>
                        <m:sty m:val="p"/>
                      </m:rPr>
                      <a:rPr lang="es-MX" sz="1000" b="0" i="0">
                        <a:latin typeface="Cambria Math" panose="02040503050406030204" pitchFamily="18" charset="0"/>
                      </a:rPr>
                      <m:t>Pipas</m:t>
                    </m:r>
                  </m:oMath>
                </m:oMathPara>
              </a14:m>
              <a:endParaRPr lang="es-MX" sz="1000" b="0"/>
            </a:p>
            <a:p>
              <a:endParaRPr lang="es-MX" sz="1000" b="0"/>
            </a:p>
            <a:p>
              <a:endParaRPr lang="es-MX" sz="1000" b="0"/>
            </a:p>
          </xdr:txBody>
        </xdr:sp>
      </mc:Choice>
      <mc:Fallback xmlns="">
        <xdr:sp macro="" textlink="">
          <xdr:nvSpPr>
            <xdr:cNvPr id="851" name="CuadroTexto 850">
              <a:extLst>
                <a:ext uri="{FF2B5EF4-FFF2-40B4-BE49-F238E27FC236}">
                  <a16:creationId xmlns:a16="http://schemas.microsoft.com/office/drawing/2014/main" id="{FEBB52F2-2C1E-415D-A847-3DCA28026A03}"/>
                </a:ext>
              </a:extLst>
            </xdr:cNvPr>
            <xdr:cNvSpPr txBox="1"/>
          </xdr:nvSpPr>
          <xdr:spPr>
            <a:xfrm>
              <a:off x="12595777" y="343614375"/>
              <a:ext cx="2014009" cy="792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𝑘𝑔 𝐻𝑜𝑗=0 Pipas </a:t>
              </a:r>
              <a:endParaRPr lang="es-MX" sz="1000">
                <a:effectLst/>
              </a:endParaRPr>
            </a:p>
            <a:p>
              <a:endParaRPr lang="es-MX" sz="1000" b="0" i="1">
                <a:latin typeface="Cambria Math" panose="02040503050406030204" pitchFamily="18" charset="0"/>
              </a:endParaRPr>
            </a:p>
            <a:p>
              <a:pPr/>
              <a:r>
                <a:rPr lang="es-MX" sz="1000" b="0" i="0">
                  <a:latin typeface="Cambria Math" panose="02040503050406030204" pitchFamily="18" charset="0"/>
                </a:rPr>
                <a:t>1 𝑇𝑜𝑛 𝐻𝑜𝑗=.0286 Pipas</a:t>
              </a:r>
              <a:endParaRPr lang="es-MX" sz="1000" b="0"/>
            </a:p>
            <a:p>
              <a:endParaRPr lang="es-MX" sz="1000" b="0"/>
            </a:p>
            <a:p>
              <a:endParaRPr lang="es-MX" sz="1000" b="0"/>
            </a:p>
          </xdr:txBody>
        </xdr:sp>
      </mc:Fallback>
    </mc:AlternateContent>
    <xdr:clientData/>
  </xdr:oneCellAnchor>
  <xdr:oneCellAnchor>
    <xdr:from>
      <xdr:col>12</xdr:col>
      <xdr:colOff>2464858</xdr:colOff>
      <xdr:row>407</xdr:row>
      <xdr:rowOff>1065227</xdr:rowOff>
    </xdr:from>
    <xdr:ext cx="415156" cy="411822"/>
    <xdr:pic>
      <xdr:nvPicPr>
        <xdr:cNvPr id="852" name="Gráfico 851" descr="Inalámbrico">
          <a:hlinkClick xmlns:r="http://schemas.openxmlformats.org/officeDocument/2006/relationships" r:id="rId41"/>
          <a:extLst>
            <a:ext uri="{FF2B5EF4-FFF2-40B4-BE49-F238E27FC236}">
              <a16:creationId xmlns:a16="http://schemas.microsoft.com/office/drawing/2014/main" id="{CCFC6C1A-F339-4253-B30C-A97F5890BB2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24699" y="69108363"/>
          <a:ext cx="415156" cy="411822"/>
        </a:xfrm>
        <a:prstGeom prst="rect">
          <a:avLst/>
        </a:prstGeom>
      </xdr:spPr>
    </xdr:pic>
    <xdr:clientData/>
  </xdr:oneCellAnchor>
  <xdr:oneCellAnchor>
    <xdr:from>
      <xdr:col>9</xdr:col>
      <xdr:colOff>137583</xdr:colOff>
      <xdr:row>408</xdr:row>
      <xdr:rowOff>84666</xdr:rowOff>
    </xdr:from>
    <xdr:ext cx="1795992" cy="319511"/>
    <mc:AlternateContent xmlns:mc="http://schemas.openxmlformats.org/markup-compatibility/2006" xmlns:a14="http://schemas.microsoft.com/office/drawing/2010/main">
      <mc:Choice Requires="a14">
        <xdr:sp macro="" textlink="">
          <xdr:nvSpPr>
            <xdr:cNvPr id="853" name="CuadroTexto 852">
              <a:extLst>
                <a:ext uri="{FF2B5EF4-FFF2-40B4-BE49-F238E27FC236}">
                  <a16:creationId xmlns:a16="http://schemas.microsoft.com/office/drawing/2014/main" id="{EE2B239C-1411-4710-8FF1-8E6A66467EB0}"/>
                </a:ext>
              </a:extLst>
            </xdr:cNvPr>
            <xdr:cNvSpPr txBox="1"/>
          </xdr:nvSpPr>
          <xdr:spPr>
            <a:xfrm>
              <a:off x="8909242" y="69539234"/>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.2</m:t>
                        </m:r>
                        <m:r>
                          <a:rPr lang="es-MX" sz="1000" b="0" i="1">
                            <a:solidFill>
                              <a:schemeClr val="tx1"/>
                            </a:solidFill>
                            <a:effectLst/>
                            <a:latin typeface="Cambria Math" panose="02040503050406030204" pitchFamily="18" charset="0"/>
                            <a:ea typeface="+mn-ea"/>
                            <a:cs typeface="+mn-cs"/>
                          </a:rPr>
                          <m:t>37</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4.76 </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53" name="CuadroTexto 852">
              <a:extLst>
                <a:ext uri="{FF2B5EF4-FFF2-40B4-BE49-F238E27FC236}">
                  <a16:creationId xmlns:a16="http://schemas.microsoft.com/office/drawing/2014/main" id="{EE2B239C-1411-4710-8FF1-8E6A66467EB0}"/>
                </a:ext>
              </a:extLst>
            </xdr:cNvPr>
            <xdr:cNvSpPr txBox="1"/>
          </xdr:nvSpPr>
          <xdr:spPr>
            <a:xfrm>
              <a:off x="8909242" y="69539234"/>
              <a:ext cx="1795992"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)/.237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𝑘𝑚)/(?( 4.76 𝑘𝑚))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262467</xdr:colOff>
      <xdr:row>408</xdr:row>
      <xdr:rowOff>558800</xdr:rowOff>
    </xdr:from>
    <xdr:ext cx="1418167" cy="319511"/>
    <mc:AlternateContent xmlns:mc="http://schemas.openxmlformats.org/markup-compatibility/2006" xmlns:a14="http://schemas.microsoft.com/office/drawing/2010/main">
      <mc:Choice Requires="a14">
        <xdr:sp macro="" textlink="">
          <xdr:nvSpPr>
            <xdr:cNvPr id="854" name="CuadroTexto 853">
              <a:extLst>
                <a:ext uri="{FF2B5EF4-FFF2-40B4-BE49-F238E27FC236}">
                  <a16:creationId xmlns:a16="http://schemas.microsoft.com/office/drawing/2014/main" id="{6D9B6B93-7CA8-4BB6-B091-2CBF7C03A1C2}"/>
                </a:ext>
              </a:extLst>
            </xdr:cNvPr>
            <xdr:cNvSpPr txBox="1"/>
          </xdr:nvSpPr>
          <xdr:spPr>
            <a:xfrm>
              <a:off x="9034126" y="70013368"/>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110 </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4.76 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m:t>
                        </m:r>
                        <m:r>
                          <a:rPr lang="es-MX" sz="1000" b="0" i="1">
                            <a:solidFill>
                              <a:schemeClr val="tx1"/>
                            </a:solidFill>
                            <a:effectLst/>
                            <a:latin typeface="Cambria Math" panose="02040503050406030204" pitchFamily="18" charset="0"/>
                            <a:ea typeface="+mn-ea"/>
                            <a:cs typeface="+mn-cs"/>
                          </a:rPr>
                          <m:t>2.59)</m:t>
                        </m:r>
                      </m:den>
                    </m:f>
                    <m:r>
                      <a:rPr lang="es-MX" sz="1000" b="0" i="1">
                        <a:latin typeface="Cambria Math" panose="02040503050406030204" pitchFamily="18" charset="0"/>
                      </a:rPr>
                      <m:t> </m:t>
                    </m:r>
                  </m:oMath>
                </m:oMathPara>
              </a14:m>
              <a:endParaRPr lang="es-MX" sz="1000"/>
            </a:p>
          </xdr:txBody>
        </xdr:sp>
      </mc:Choice>
      <mc:Fallback xmlns="">
        <xdr:sp macro="" textlink="">
          <xdr:nvSpPr>
            <xdr:cNvPr id="854" name="CuadroTexto 853">
              <a:extLst>
                <a:ext uri="{FF2B5EF4-FFF2-40B4-BE49-F238E27FC236}">
                  <a16:creationId xmlns:a16="http://schemas.microsoft.com/office/drawing/2014/main" id="{6D9B6B93-7CA8-4BB6-B091-2CBF7C03A1C2}"/>
                </a:ext>
              </a:extLst>
            </xdr:cNvPr>
            <xdr:cNvSpPr txBox="1"/>
          </xdr:nvSpPr>
          <xdr:spPr>
            <a:xfrm>
              <a:off x="9034126" y="70013368"/>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 𝑘𝑚 )/(4.76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𝑚𝑖𝑛)/(?(2.59))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255380</xdr:colOff>
      <xdr:row>408</xdr:row>
      <xdr:rowOff>479700</xdr:rowOff>
    </xdr:from>
    <xdr:ext cx="2053167" cy="994833"/>
    <mc:AlternateContent xmlns:mc="http://schemas.openxmlformats.org/markup-compatibility/2006" xmlns:a14="http://schemas.microsoft.com/office/drawing/2010/main">
      <mc:Choice Requires="a14">
        <xdr:sp macro="" textlink="">
          <xdr:nvSpPr>
            <xdr:cNvPr id="855" name="CuadroTexto 854">
              <a:extLst>
                <a:ext uri="{FF2B5EF4-FFF2-40B4-BE49-F238E27FC236}">
                  <a16:creationId xmlns:a16="http://schemas.microsoft.com/office/drawing/2014/main" id="{44D21D61-0DD7-4E05-BE1B-FA4CE796A9B1}"/>
                </a:ext>
              </a:extLst>
            </xdr:cNvPr>
            <xdr:cNvSpPr txBox="1"/>
          </xdr:nvSpPr>
          <xdr:spPr>
            <a:xfrm>
              <a:off x="12637880" y="345268825"/>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h𝑜𝑗𝑎</m:t>
                    </m:r>
                    <m:r>
                      <a:rPr lang="es-MX" sz="1050" b="0" i="0">
                        <a:latin typeface="Cambria Math" panose="02040503050406030204" pitchFamily="18" charset="0"/>
                      </a:rPr>
                      <m:t>=4.76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2.6 </m:t>
                    </m:r>
                    <m:r>
                      <m:rPr>
                        <m:sty m:val="p"/>
                      </m:rPr>
                      <a:rPr lang="es-MX" sz="1050" b="0" i="0">
                        <a:latin typeface="Cambria Math" panose="02040503050406030204" pitchFamily="18" charset="0"/>
                      </a:rPr>
                      <m:t>minutos</m:t>
                    </m:r>
                    <m:r>
                      <a:rPr lang="es-MX" sz="1050" b="0" i="0">
                        <a:latin typeface="Cambria Math" panose="02040503050406030204" pitchFamily="18" charset="0"/>
                      </a:rPr>
                      <m:t>  </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oMath>
              </a14:m>
              <a:r>
                <a:rPr lang="es-MX" sz="1050">
                  <a:effectLst/>
                </a:rPr>
                <a:t> 4,773 km en coche o 43.3</a:t>
              </a:r>
              <a:r>
                <a:rPr lang="es-MX" sz="1050" baseline="0">
                  <a:effectLst/>
                </a:rPr>
                <a:t> horas</a:t>
              </a:r>
              <a:endParaRPr lang="es-MX" sz="1100" b="0"/>
            </a:p>
          </xdr:txBody>
        </xdr:sp>
      </mc:Choice>
      <mc:Fallback xmlns="">
        <xdr:sp macro="" textlink="">
          <xdr:nvSpPr>
            <xdr:cNvPr id="855" name="CuadroTexto 854">
              <a:extLst>
                <a:ext uri="{FF2B5EF4-FFF2-40B4-BE49-F238E27FC236}">
                  <a16:creationId xmlns:a16="http://schemas.microsoft.com/office/drawing/2014/main" id="{44D21D61-0DD7-4E05-BE1B-FA4CE796A9B1}"/>
                </a:ext>
              </a:extLst>
            </xdr:cNvPr>
            <xdr:cNvSpPr txBox="1"/>
          </xdr:nvSpPr>
          <xdr:spPr>
            <a:xfrm>
              <a:off x="12637880" y="345268825"/>
              <a:ext cx="20531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ℎ𝑜𝑗𝑎=4.76 km en coche o 2.6 minutos  </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𝐻𝑜𝑗=</a:t>
              </a:r>
              <a:r>
                <a:rPr lang="es-MX" sz="1050">
                  <a:effectLst/>
                </a:rPr>
                <a:t> 4,773 km en coche o 43.3</a:t>
              </a:r>
              <a:r>
                <a:rPr lang="es-MX" sz="1050" baseline="0">
                  <a:effectLst/>
                </a:rPr>
                <a:t> horas</a:t>
              </a:r>
              <a:endParaRPr lang="es-MX" sz="1100" b="0"/>
            </a:p>
          </xdr:txBody>
        </xdr:sp>
      </mc:Fallback>
    </mc:AlternateContent>
    <xdr:clientData/>
  </xdr:oneCellAnchor>
  <xdr:oneCellAnchor>
    <xdr:from>
      <xdr:col>12</xdr:col>
      <xdr:colOff>2181225</xdr:colOff>
      <xdr:row>409</xdr:row>
      <xdr:rowOff>478366</xdr:rowOff>
    </xdr:from>
    <xdr:ext cx="356660" cy="356660"/>
    <xdr:pic>
      <xdr:nvPicPr>
        <xdr:cNvPr id="856" name="Gráfico 855" descr="Inalámbrico">
          <a:hlinkClick xmlns:r="http://schemas.openxmlformats.org/officeDocument/2006/relationships" r:id="rId85"/>
          <a:extLst>
            <a:ext uri="{FF2B5EF4-FFF2-40B4-BE49-F238E27FC236}">
              <a16:creationId xmlns:a16="http://schemas.microsoft.com/office/drawing/2014/main" id="{DA43BD29-CC5B-40B6-ACAD-4FD10442042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841066" y="73734275"/>
          <a:ext cx="356660" cy="356660"/>
        </a:xfrm>
        <a:prstGeom prst="rect">
          <a:avLst/>
        </a:prstGeom>
      </xdr:spPr>
    </xdr:pic>
    <xdr:clientData/>
  </xdr:oneCellAnchor>
  <xdr:oneCellAnchor>
    <xdr:from>
      <xdr:col>10</xdr:col>
      <xdr:colOff>210608</xdr:colOff>
      <xdr:row>409</xdr:row>
      <xdr:rowOff>228601</xdr:rowOff>
    </xdr:from>
    <xdr:ext cx="1852083" cy="829732"/>
    <mc:AlternateContent xmlns:mc="http://schemas.openxmlformats.org/markup-compatibility/2006" xmlns:a14="http://schemas.microsoft.com/office/drawing/2010/main">
      <mc:Choice Requires="a14">
        <xdr:sp macro="" textlink="">
          <xdr:nvSpPr>
            <xdr:cNvPr id="857" name="CuadroTexto 856">
              <a:extLst>
                <a:ext uri="{FF2B5EF4-FFF2-40B4-BE49-F238E27FC236}">
                  <a16:creationId xmlns:a16="http://schemas.microsoft.com/office/drawing/2014/main" id="{E2FC831F-A215-4F02-BA77-19B2DBF96812}"/>
                </a:ext>
              </a:extLst>
            </xdr:cNvPr>
            <xdr:cNvSpPr txBox="1"/>
          </xdr:nvSpPr>
          <xdr:spPr>
            <a:xfrm>
              <a:off x="12593108" y="348811851"/>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m:t>
                  </m:r>
                </m:oMath>
              </a14:m>
              <a:r>
                <a:rPr lang="es-MX" sz="1050" b="0" i="0">
                  <a:latin typeface="Cambria Math" panose="02040503050406030204" pitchFamily="18" charset="0"/>
                </a:rPr>
                <a:t>.0064 tanques con gasolina</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oMath>
              </a14:m>
              <a:r>
                <a:rPr lang="es-MX" sz="1050">
                  <a:effectLst/>
                </a:rPr>
                <a:t> 6.4</a:t>
              </a:r>
              <a:r>
                <a:rPr lang="es-MX" sz="1050" baseline="0">
                  <a:effectLst/>
                </a:rPr>
                <a:t> tanques con gasolina</a:t>
              </a:r>
              <a:endParaRPr lang="es-MX" sz="1100" b="0"/>
            </a:p>
          </xdr:txBody>
        </xdr:sp>
      </mc:Choice>
      <mc:Fallback xmlns="">
        <xdr:sp macro="" textlink="">
          <xdr:nvSpPr>
            <xdr:cNvPr id="857" name="CuadroTexto 856">
              <a:extLst>
                <a:ext uri="{FF2B5EF4-FFF2-40B4-BE49-F238E27FC236}">
                  <a16:creationId xmlns:a16="http://schemas.microsoft.com/office/drawing/2014/main" id="{E2FC831F-A215-4F02-BA77-19B2DBF96812}"/>
                </a:ext>
              </a:extLst>
            </xdr:cNvPr>
            <xdr:cNvSpPr txBox="1"/>
          </xdr:nvSpPr>
          <xdr:spPr>
            <a:xfrm>
              <a:off x="12593108" y="348811851"/>
              <a:ext cx="1852083" cy="829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𝐻𝑜𝑗=.0064 tanques con gasolina</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𝐻𝑜𝑗=</a:t>
              </a:r>
              <a:r>
                <a:rPr lang="es-MX" sz="1050">
                  <a:effectLst/>
                </a:rPr>
                <a:t> 6.4</a:t>
              </a:r>
              <a:r>
                <a:rPr lang="es-MX" sz="1050" baseline="0">
                  <a:effectLst/>
                </a:rPr>
                <a:t> tanques con gasolina</a:t>
              </a:r>
              <a:endParaRPr lang="es-MX" sz="1100" b="0"/>
            </a:p>
          </xdr:txBody>
        </xdr:sp>
      </mc:Fallback>
    </mc:AlternateContent>
    <xdr:clientData/>
  </xdr:oneCellAnchor>
  <xdr:oneCellAnchor>
    <xdr:from>
      <xdr:col>9</xdr:col>
      <xdr:colOff>133350</xdr:colOff>
      <xdr:row>409</xdr:row>
      <xdr:rowOff>333375</xdr:rowOff>
    </xdr:from>
    <xdr:ext cx="2076450" cy="319511"/>
    <mc:AlternateContent xmlns:mc="http://schemas.openxmlformats.org/markup-compatibility/2006" xmlns:a14="http://schemas.microsoft.com/office/drawing/2010/main">
      <mc:Choice Requires="a14">
        <xdr:sp macro="" textlink="">
          <xdr:nvSpPr>
            <xdr:cNvPr id="858" name="CuadroTexto 857">
              <a:extLst>
                <a:ext uri="{FF2B5EF4-FFF2-40B4-BE49-F238E27FC236}">
                  <a16:creationId xmlns:a16="http://schemas.microsoft.com/office/drawing/2014/main" id="{63DEDE8F-7DCF-4266-819D-384D142C3A5F}"/>
                </a:ext>
              </a:extLst>
            </xdr:cNvPr>
            <xdr:cNvSpPr txBox="1"/>
          </xdr:nvSpPr>
          <xdr:spPr>
            <a:xfrm>
              <a:off x="9959975" y="348916625"/>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37 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d>
                          <m:dPr>
                            <m:ctrlPr>
                              <a:rPr lang="es-MX" sz="1000" b="0" i="1">
                                <a:solidFill>
                                  <a:schemeClr val="tx1"/>
                                </a:solidFill>
                                <a:effectLst/>
                                <a:latin typeface="Cambria Math" panose="02040503050406030204" pitchFamily="18" charset="0"/>
                                <a:ea typeface="+mn-ea"/>
                                <a:cs typeface="+mn-cs"/>
                              </a:rPr>
                            </m:ctrlPr>
                          </m:dPr>
                          <m:e>
                            <m:r>
                              <a:rPr lang="es-MX" sz="1100" b="0" i="0">
                                <a:solidFill>
                                  <a:schemeClr val="tx1"/>
                                </a:solidFill>
                                <a:effectLst/>
                                <a:latin typeface="Cambria Math" panose="02040503050406030204" pitchFamily="18" charset="0"/>
                                <a:ea typeface="+mn-ea"/>
                                <a:cs typeface="+mn-cs"/>
                              </a:rPr>
                              <m:t>.237</m:t>
                            </m:r>
                          </m:e>
                        </m:d>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𝑇𝑎𝑛𝑞𝑢𝑒</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.0064)</m:t>
                        </m:r>
                      </m:den>
                    </m:f>
                    <m:r>
                      <a:rPr lang="es-MX" sz="1000" b="0" i="1">
                        <a:latin typeface="Cambria Math" panose="02040503050406030204" pitchFamily="18" charset="0"/>
                      </a:rPr>
                      <m:t> </m:t>
                    </m:r>
                  </m:oMath>
                </m:oMathPara>
              </a14:m>
              <a:endParaRPr lang="es-MX" sz="1000"/>
            </a:p>
          </xdr:txBody>
        </xdr:sp>
      </mc:Choice>
      <mc:Fallback xmlns="">
        <xdr:sp macro="" textlink="">
          <xdr:nvSpPr>
            <xdr:cNvPr id="858" name="CuadroTexto 857">
              <a:extLst>
                <a:ext uri="{FF2B5EF4-FFF2-40B4-BE49-F238E27FC236}">
                  <a16:creationId xmlns:a16="http://schemas.microsoft.com/office/drawing/2014/main" id="{63DEDE8F-7DCF-4266-819D-384D142C3A5F}"/>
                </a:ext>
              </a:extLst>
            </xdr:cNvPr>
            <xdr:cNvSpPr txBox="1"/>
          </xdr:nvSpPr>
          <xdr:spPr>
            <a:xfrm>
              <a:off x="9959975" y="348916625"/>
              <a:ext cx="2076450"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37 𝐿 𝑔𝑎𝑠𝑜𝑙𝑖𝑛𝑎  )/((</a:t>
              </a:r>
              <a:r>
                <a:rPr lang="es-MX" sz="1100" b="0" i="0">
                  <a:solidFill>
                    <a:schemeClr val="tx1"/>
                  </a:solidFill>
                  <a:effectLst/>
                  <a:latin typeface="Cambria Math" panose="02040503050406030204" pitchFamily="18" charset="0"/>
                  <a:ea typeface="+mn-ea"/>
                  <a:cs typeface="+mn-cs"/>
                </a:rPr>
                <a:t>.237) </a:t>
              </a:r>
              <a:r>
                <a:rPr lang="es-MX" sz="1000" b="0" i="0">
                  <a:solidFill>
                    <a:schemeClr val="tx1"/>
                  </a:solidFill>
                  <a:effectLst/>
                  <a:latin typeface="Cambria Math" panose="02040503050406030204" pitchFamily="18" charset="0"/>
                  <a:ea typeface="+mn-ea"/>
                  <a:cs typeface="+mn-cs"/>
                </a:rPr>
                <a:t>)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𝑇𝑎𝑛𝑞𝑢𝑒)/(?( .0064))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371475</xdr:colOff>
      <xdr:row>400</xdr:row>
      <xdr:rowOff>219075</xdr:rowOff>
    </xdr:from>
    <xdr:ext cx="1352550" cy="351443"/>
    <mc:AlternateContent xmlns:mc="http://schemas.openxmlformats.org/markup-compatibility/2006" xmlns:a14="http://schemas.microsoft.com/office/drawing/2010/main">
      <mc:Choice Requires="a14">
        <xdr:sp macro="" textlink="">
          <xdr:nvSpPr>
            <xdr:cNvPr id="859" name="CuadroTexto 858">
              <a:extLst>
                <a:ext uri="{FF2B5EF4-FFF2-40B4-BE49-F238E27FC236}">
                  <a16:creationId xmlns:a16="http://schemas.microsoft.com/office/drawing/2014/main" id="{143CDD74-E21F-47B6-B233-17768A6A8D82}"/>
                </a:ext>
              </a:extLst>
            </xdr:cNvPr>
            <xdr:cNvSpPr txBox="1"/>
          </xdr:nvSpPr>
          <xdr:spPr>
            <a:xfrm>
              <a:off x="9143134" y="64027916"/>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.0036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 .572)</m:t>
                        </m:r>
                      </m:den>
                    </m:f>
                    <m:r>
                      <a:rPr lang="es-MX" sz="1600" b="0" i="1">
                        <a:latin typeface="Cambria Math" panose="02040503050406030204" pitchFamily="18" charset="0"/>
                      </a:rPr>
                      <m:t> </m:t>
                    </m:r>
                  </m:oMath>
                </m:oMathPara>
              </a14:m>
              <a:endParaRPr lang="es-MX" sz="1600"/>
            </a:p>
          </xdr:txBody>
        </xdr:sp>
      </mc:Choice>
      <mc:Fallback xmlns="">
        <xdr:sp macro="" textlink="">
          <xdr:nvSpPr>
            <xdr:cNvPr id="859" name="CuadroTexto 858">
              <a:extLst>
                <a:ext uri="{FF2B5EF4-FFF2-40B4-BE49-F238E27FC236}">
                  <a16:creationId xmlns:a16="http://schemas.microsoft.com/office/drawing/2014/main" id="{143CDD74-E21F-47B6-B233-17768A6A8D82}"/>
                </a:ext>
              </a:extLst>
            </xdr:cNvPr>
            <xdr:cNvSpPr txBox="1"/>
          </xdr:nvSpPr>
          <xdr:spPr>
            <a:xfrm>
              <a:off x="9143134" y="64027916"/>
              <a:ext cx="1352550"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)/(.0036 )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 .572))</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323850</xdr:colOff>
      <xdr:row>400</xdr:row>
      <xdr:rowOff>257175</xdr:rowOff>
    </xdr:from>
    <xdr:ext cx="1537759" cy="628650"/>
    <mc:AlternateContent xmlns:mc="http://schemas.openxmlformats.org/markup-compatibility/2006" xmlns:a14="http://schemas.microsoft.com/office/drawing/2010/main">
      <mc:Choice Requires="a14">
        <xdr:sp macro="" textlink="">
          <xdr:nvSpPr>
            <xdr:cNvPr id="860" name="CuadroTexto 859">
              <a:extLst>
                <a:ext uri="{FF2B5EF4-FFF2-40B4-BE49-F238E27FC236}">
                  <a16:creationId xmlns:a16="http://schemas.microsoft.com/office/drawing/2014/main" id="{13E7DBFA-43B4-4A83-9AF6-46543FD63E9C}"/>
                </a:ext>
              </a:extLst>
            </xdr:cNvPr>
            <xdr:cNvSpPr txBox="1"/>
          </xdr:nvSpPr>
          <xdr:spPr>
            <a:xfrm>
              <a:off x="11000509" y="64066016"/>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m:t>
                    </m:r>
                    <m:r>
                      <a:rPr lang="es-MX" sz="1050" b="0" i="0">
                        <a:latin typeface="Cambria Math" panose="02040503050406030204" pitchFamily="18" charset="0"/>
                      </a:rPr>
                      <m:t> .572 </m:t>
                    </m:r>
                    <m:r>
                      <m:rPr>
                        <m:sty m:val="p"/>
                      </m:rPr>
                      <a:rPr lang="es-MX" sz="1050" b="0" i="0">
                        <a:latin typeface="Cambria Math" panose="02040503050406030204" pitchFamily="18" charset="0"/>
                      </a:rPr>
                      <m:t>Lp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572.4 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860" name="CuadroTexto 859">
              <a:extLst>
                <a:ext uri="{FF2B5EF4-FFF2-40B4-BE49-F238E27FC236}">
                  <a16:creationId xmlns:a16="http://schemas.microsoft.com/office/drawing/2014/main" id="{13E7DBFA-43B4-4A83-9AF6-46543FD63E9C}"/>
                </a:ext>
              </a:extLst>
            </xdr:cNvPr>
            <xdr:cNvSpPr txBox="1"/>
          </xdr:nvSpPr>
          <xdr:spPr>
            <a:xfrm>
              <a:off x="11000509" y="64066016"/>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𝐻𝑜𝑗= .572 Lp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𝐻𝑜𝑗=572.4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2150268</xdr:colOff>
      <xdr:row>406</xdr:row>
      <xdr:rowOff>1092466</xdr:rowOff>
    </xdr:from>
    <xdr:ext cx="327653" cy="330871"/>
    <xdr:pic>
      <xdr:nvPicPr>
        <xdr:cNvPr id="861" name="Gráfico 860" descr="Hogar">
          <a:hlinkClick xmlns:r="http://schemas.openxmlformats.org/officeDocument/2006/relationships" r:id="rId79"/>
          <a:extLst>
            <a:ext uri="{FF2B5EF4-FFF2-40B4-BE49-F238E27FC236}">
              <a16:creationId xmlns:a16="http://schemas.microsoft.com/office/drawing/2014/main" id="{164B9DC6-81E4-4BE6-B88F-787267E28C4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67724171"/>
          <a:ext cx="327653" cy="330871"/>
        </a:xfrm>
        <a:prstGeom prst="rect">
          <a:avLst/>
        </a:prstGeom>
      </xdr:spPr>
    </xdr:pic>
    <xdr:clientData/>
  </xdr:oneCellAnchor>
  <xdr:oneCellAnchor>
    <xdr:from>
      <xdr:col>12</xdr:col>
      <xdr:colOff>2517509</xdr:colOff>
      <xdr:row>400</xdr:row>
      <xdr:rowOff>1095374</xdr:rowOff>
    </xdr:from>
    <xdr:ext cx="374254" cy="372798"/>
    <xdr:pic>
      <xdr:nvPicPr>
        <xdr:cNvPr id="862" name="Gráfico 861" descr="Inalámbrico">
          <a:hlinkClick xmlns:r="http://schemas.openxmlformats.org/officeDocument/2006/relationships" r:id="rId57"/>
          <a:extLst>
            <a:ext uri="{FF2B5EF4-FFF2-40B4-BE49-F238E27FC236}">
              <a16:creationId xmlns:a16="http://schemas.microsoft.com/office/drawing/2014/main" id="{5FA5780B-8FC0-4625-9F8E-19D697445E8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350" y="64904215"/>
          <a:ext cx="374254" cy="372798"/>
        </a:xfrm>
        <a:prstGeom prst="rect">
          <a:avLst/>
        </a:prstGeom>
      </xdr:spPr>
    </xdr:pic>
    <xdr:clientData/>
  </xdr:oneCellAnchor>
  <xdr:oneCellAnchor>
    <xdr:from>
      <xdr:col>12</xdr:col>
      <xdr:colOff>2150268</xdr:colOff>
      <xdr:row>400</xdr:row>
      <xdr:rowOff>1093952</xdr:rowOff>
    </xdr:from>
    <xdr:ext cx="327654" cy="327654"/>
    <xdr:pic>
      <xdr:nvPicPr>
        <xdr:cNvPr id="863" name="Gráfico 862" descr="Hogar">
          <a:hlinkClick xmlns:r="http://schemas.openxmlformats.org/officeDocument/2006/relationships" r:id="rId79"/>
          <a:extLst>
            <a:ext uri="{FF2B5EF4-FFF2-40B4-BE49-F238E27FC236}">
              <a16:creationId xmlns:a16="http://schemas.microsoft.com/office/drawing/2014/main" id="{0B0A43BB-50DE-4B49-A4C4-64AB41257D7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10109" y="64902793"/>
          <a:ext cx="327654" cy="327654"/>
        </a:xfrm>
        <a:prstGeom prst="rect">
          <a:avLst/>
        </a:prstGeom>
      </xdr:spPr>
    </xdr:pic>
    <xdr:clientData/>
  </xdr:oneCellAnchor>
  <xdr:oneCellAnchor>
    <xdr:from>
      <xdr:col>12</xdr:col>
      <xdr:colOff>2133600</xdr:colOff>
      <xdr:row>407</xdr:row>
      <xdr:rowOff>1068320</xdr:rowOff>
    </xdr:from>
    <xdr:ext cx="360430" cy="362162"/>
    <xdr:pic>
      <xdr:nvPicPr>
        <xdr:cNvPr id="864" name="Gráfico 863" descr="Hogar">
          <a:hlinkClick xmlns:r="http://schemas.openxmlformats.org/officeDocument/2006/relationships" r:id="rId86"/>
          <a:extLst>
            <a:ext uri="{FF2B5EF4-FFF2-40B4-BE49-F238E27FC236}">
              <a16:creationId xmlns:a16="http://schemas.microsoft.com/office/drawing/2014/main" id="{FDAE555E-46FC-487C-82C3-3A43B6A535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93441" y="69111456"/>
          <a:ext cx="360430" cy="362162"/>
        </a:xfrm>
        <a:prstGeom prst="rect">
          <a:avLst/>
        </a:prstGeom>
      </xdr:spPr>
    </xdr:pic>
    <xdr:clientData/>
  </xdr:oneCellAnchor>
  <xdr:oneCellAnchor>
    <xdr:from>
      <xdr:col>12</xdr:col>
      <xdr:colOff>2556934</xdr:colOff>
      <xdr:row>408</xdr:row>
      <xdr:rowOff>466725</xdr:rowOff>
    </xdr:from>
    <xdr:ext cx="295276" cy="295276"/>
    <xdr:pic>
      <xdr:nvPicPr>
        <xdr:cNvPr id="865" name="Gráfico 864" descr="Inalámbrico">
          <a:hlinkClick xmlns:r="http://schemas.openxmlformats.org/officeDocument/2006/relationships" r:id="rId58"/>
          <a:extLst>
            <a:ext uri="{FF2B5EF4-FFF2-40B4-BE49-F238E27FC236}">
              <a16:creationId xmlns:a16="http://schemas.microsoft.com/office/drawing/2014/main" id="{A37219B9-F274-4716-8AD8-E6522A6F5F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6775" y="69921293"/>
          <a:ext cx="295276" cy="295276"/>
        </a:xfrm>
        <a:prstGeom prst="rect">
          <a:avLst/>
        </a:prstGeom>
      </xdr:spPr>
    </xdr:pic>
    <xdr:clientData/>
  </xdr:oneCellAnchor>
  <xdr:oneCellAnchor>
    <xdr:from>
      <xdr:col>12</xdr:col>
      <xdr:colOff>2324100</xdr:colOff>
      <xdr:row>408</xdr:row>
      <xdr:rowOff>504825</xdr:rowOff>
    </xdr:from>
    <xdr:ext cx="228600" cy="228600"/>
    <xdr:pic>
      <xdr:nvPicPr>
        <xdr:cNvPr id="866" name="Gráfico 865" descr="Hogar">
          <a:hlinkClick xmlns:r="http://schemas.openxmlformats.org/officeDocument/2006/relationships" r:id="rId59"/>
          <a:extLst>
            <a:ext uri="{FF2B5EF4-FFF2-40B4-BE49-F238E27FC236}">
              <a16:creationId xmlns:a16="http://schemas.microsoft.com/office/drawing/2014/main" id="{2187B16E-94DD-45B0-92F5-BC3995B9C5A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941" y="69959393"/>
          <a:ext cx="228600" cy="228600"/>
        </a:xfrm>
        <a:prstGeom prst="rect">
          <a:avLst/>
        </a:prstGeom>
      </xdr:spPr>
    </xdr:pic>
    <xdr:clientData/>
  </xdr:oneCellAnchor>
  <xdr:oneCellAnchor>
    <xdr:from>
      <xdr:col>12</xdr:col>
      <xdr:colOff>2556934</xdr:colOff>
      <xdr:row>408</xdr:row>
      <xdr:rowOff>742950</xdr:rowOff>
    </xdr:from>
    <xdr:ext cx="295276" cy="295276"/>
    <xdr:pic>
      <xdr:nvPicPr>
        <xdr:cNvPr id="867" name="Gráfico 866" descr="Inalámbrico">
          <a:hlinkClick xmlns:r="http://schemas.openxmlformats.org/officeDocument/2006/relationships" r:id="rId60"/>
          <a:extLst>
            <a:ext uri="{FF2B5EF4-FFF2-40B4-BE49-F238E27FC236}">
              <a16:creationId xmlns:a16="http://schemas.microsoft.com/office/drawing/2014/main" id="{009512FA-22F2-4CE5-9BC8-875DD99F115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6775" y="70197518"/>
          <a:ext cx="295276" cy="295276"/>
        </a:xfrm>
        <a:prstGeom prst="rect">
          <a:avLst/>
        </a:prstGeom>
      </xdr:spPr>
    </xdr:pic>
    <xdr:clientData/>
  </xdr:oneCellAnchor>
  <xdr:oneCellAnchor>
    <xdr:from>
      <xdr:col>12</xdr:col>
      <xdr:colOff>2324100</xdr:colOff>
      <xdr:row>408</xdr:row>
      <xdr:rowOff>781050</xdr:rowOff>
    </xdr:from>
    <xdr:ext cx="228600" cy="228600"/>
    <xdr:pic>
      <xdr:nvPicPr>
        <xdr:cNvPr id="868" name="Gráfico 867" descr="Hogar">
          <a:hlinkClick xmlns:r="http://schemas.openxmlformats.org/officeDocument/2006/relationships" r:id="rId61"/>
          <a:extLst>
            <a:ext uri="{FF2B5EF4-FFF2-40B4-BE49-F238E27FC236}">
              <a16:creationId xmlns:a16="http://schemas.microsoft.com/office/drawing/2014/main" id="{0A1F30A9-D098-4502-879F-6234E36CFC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83941" y="70235618"/>
          <a:ext cx="228600" cy="228600"/>
        </a:xfrm>
        <a:prstGeom prst="rect">
          <a:avLst/>
        </a:prstGeom>
      </xdr:spPr>
    </xdr:pic>
    <xdr:clientData/>
  </xdr:oneCellAnchor>
  <xdr:oneCellAnchor>
    <xdr:from>
      <xdr:col>12</xdr:col>
      <xdr:colOff>2566459</xdr:colOff>
      <xdr:row>408</xdr:row>
      <xdr:rowOff>1276350</xdr:rowOff>
    </xdr:from>
    <xdr:ext cx="295276" cy="295276"/>
    <xdr:pic>
      <xdr:nvPicPr>
        <xdr:cNvPr id="869" name="Gráfico 868" descr="Inalámbrico">
          <a:hlinkClick xmlns:r="http://schemas.openxmlformats.org/officeDocument/2006/relationships" r:id="rId62"/>
          <a:extLst>
            <a:ext uri="{FF2B5EF4-FFF2-40B4-BE49-F238E27FC236}">
              <a16:creationId xmlns:a16="http://schemas.microsoft.com/office/drawing/2014/main" id="{E2B479AF-5F20-4F53-9497-553B31649C5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26300" y="70730918"/>
          <a:ext cx="295276" cy="295276"/>
        </a:xfrm>
        <a:prstGeom prst="rect">
          <a:avLst/>
        </a:prstGeom>
      </xdr:spPr>
    </xdr:pic>
    <xdr:clientData/>
  </xdr:oneCellAnchor>
  <xdr:oneCellAnchor>
    <xdr:from>
      <xdr:col>12</xdr:col>
      <xdr:colOff>2333625</xdr:colOff>
      <xdr:row>408</xdr:row>
      <xdr:rowOff>1314450</xdr:rowOff>
    </xdr:from>
    <xdr:ext cx="228600" cy="228600"/>
    <xdr:pic>
      <xdr:nvPicPr>
        <xdr:cNvPr id="870" name="Gráfico 869" descr="Hogar">
          <a:hlinkClick xmlns:r="http://schemas.openxmlformats.org/officeDocument/2006/relationships" r:id="rId63"/>
          <a:extLst>
            <a:ext uri="{FF2B5EF4-FFF2-40B4-BE49-F238E27FC236}">
              <a16:creationId xmlns:a16="http://schemas.microsoft.com/office/drawing/2014/main" id="{0CB108D7-CBA5-4E49-9C0A-1247BA1092C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93466" y="70769018"/>
          <a:ext cx="228600" cy="228600"/>
        </a:xfrm>
        <a:prstGeom prst="rect">
          <a:avLst/>
        </a:prstGeom>
      </xdr:spPr>
    </xdr:pic>
    <xdr:clientData/>
  </xdr:oneCellAnchor>
  <xdr:oneCellAnchor>
    <xdr:from>
      <xdr:col>12</xdr:col>
      <xdr:colOff>2533650</xdr:colOff>
      <xdr:row>408</xdr:row>
      <xdr:rowOff>1943100</xdr:rowOff>
    </xdr:from>
    <xdr:ext cx="295276" cy="295276"/>
    <xdr:pic>
      <xdr:nvPicPr>
        <xdr:cNvPr id="871" name="Gráfico 870" descr="Inalámbrico">
          <a:hlinkClick xmlns:r="http://schemas.openxmlformats.org/officeDocument/2006/relationships" r:id="rId64"/>
          <a:extLst>
            <a:ext uri="{FF2B5EF4-FFF2-40B4-BE49-F238E27FC236}">
              <a16:creationId xmlns:a16="http://schemas.microsoft.com/office/drawing/2014/main" id="{2661946F-4564-4B56-9EC0-D19EC2F7E72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3491" y="71397668"/>
          <a:ext cx="295276" cy="295276"/>
        </a:xfrm>
        <a:prstGeom prst="rect">
          <a:avLst/>
        </a:prstGeom>
      </xdr:spPr>
    </xdr:pic>
    <xdr:clientData/>
  </xdr:oneCellAnchor>
  <xdr:oneCellAnchor>
    <xdr:from>
      <xdr:col>12</xdr:col>
      <xdr:colOff>2305050</xdr:colOff>
      <xdr:row>408</xdr:row>
      <xdr:rowOff>2000250</xdr:rowOff>
    </xdr:from>
    <xdr:ext cx="228600" cy="228600"/>
    <xdr:pic>
      <xdr:nvPicPr>
        <xdr:cNvPr id="872" name="Gráfico 871" descr="Hogar">
          <a:hlinkClick xmlns:r="http://schemas.openxmlformats.org/officeDocument/2006/relationships" r:id="rId65"/>
          <a:extLst>
            <a:ext uri="{FF2B5EF4-FFF2-40B4-BE49-F238E27FC236}">
              <a16:creationId xmlns:a16="http://schemas.microsoft.com/office/drawing/2014/main" id="{ACD100EE-7D87-46E6-843E-82EFC39A1CE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4891" y="71454818"/>
          <a:ext cx="228600" cy="228600"/>
        </a:xfrm>
        <a:prstGeom prst="rect">
          <a:avLst/>
        </a:prstGeom>
      </xdr:spPr>
    </xdr:pic>
    <xdr:clientData/>
  </xdr:oneCellAnchor>
  <xdr:oneCellAnchor>
    <xdr:from>
      <xdr:col>12</xdr:col>
      <xdr:colOff>2552700</xdr:colOff>
      <xdr:row>408</xdr:row>
      <xdr:rowOff>2600325</xdr:rowOff>
    </xdr:from>
    <xdr:ext cx="295276" cy="295276"/>
    <xdr:pic>
      <xdr:nvPicPr>
        <xdr:cNvPr id="873" name="Gráfico 872" descr="Inalámbrico">
          <a:hlinkClick xmlns:r="http://schemas.openxmlformats.org/officeDocument/2006/relationships" r:id="rId66"/>
          <a:extLst>
            <a:ext uri="{FF2B5EF4-FFF2-40B4-BE49-F238E27FC236}">
              <a16:creationId xmlns:a16="http://schemas.microsoft.com/office/drawing/2014/main" id="{CFEDF5A7-39F7-46C7-BEBB-4D2B61AB266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2541" y="72054893"/>
          <a:ext cx="295276" cy="295276"/>
        </a:xfrm>
        <a:prstGeom prst="rect">
          <a:avLst/>
        </a:prstGeom>
      </xdr:spPr>
    </xdr:pic>
    <xdr:clientData/>
  </xdr:oneCellAnchor>
  <xdr:oneCellAnchor>
    <xdr:from>
      <xdr:col>12</xdr:col>
      <xdr:colOff>2514600</xdr:colOff>
      <xdr:row>409</xdr:row>
      <xdr:rowOff>474133</xdr:rowOff>
    </xdr:from>
    <xdr:ext cx="356660" cy="356660"/>
    <xdr:pic>
      <xdr:nvPicPr>
        <xdr:cNvPr id="874" name="Gráfico 873" descr="Inalámbrico">
          <a:hlinkClick xmlns:r="http://schemas.openxmlformats.org/officeDocument/2006/relationships" r:id="rId87"/>
          <a:extLst>
            <a:ext uri="{FF2B5EF4-FFF2-40B4-BE49-F238E27FC236}">
              <a16:creationId xmlns:a16="http://schemas.microsoft.com/office/drawing/2014/main" id="{579D8006-0BCC-4F93-B4B5-23AE066A776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4441" y="73730042"/>
          <a:ext cx="356660" cy="356660"/>
        </a:xfrm>
        <a:prstGeom prst="rect">
          <a:avLst/>
        </a:prstGeom>
      </xdr:spPr>
    </xdr:pic>
    <xdr:clientData/>
  </xdr:oneCellAnchor>
  <xdr:oneCellAnchor>
    <xdr:from>
      <xdr:col>8</xdr:col>
      <xdr:colOff>289719</xdr:colOff>
      <xdr:row>407</xdr:row>
      <xdr:rowOff>579437</xdr:rowOff>
    </xdr:from>
    <xdr:ext cx="1746249" cy="316497"/>
    <mc:AlternateContent xmlns:mc="http://schemas.openxmlformats.org/markup-compatibility/2006" xmlns:a14="http://schemas.microsoft.com/office/drawing/2010/main">
      <mc:Choice Requires="a14">
        <xdr:sp macro="" textlink="">
          <xdr:nvSpPr>
            <xdr:cNvPr id="876" name="CuadroTexto 875">
              <a:extLst>
                <a:ext uri="{FF2B5EF4-FFF2-40B4-BE49-F238E27FC236}">
                  <a16:creationId xmlns:a16="http://schemas.microsoft.com/office/drawing/2014/main" id="{CF48B2E9-D63B-40F1-8C51-CE3411D8C6F4}"/>
                </a:ext>
              </a:extLst>
            </xdr:cNvPr>
            <xdr:cNvSpPr txBox="1"/>
          </xdr:nvSpPr>
          <xdr:spPr>
            <a:xfrm>
              <a:off x="7687469" y="343955687"/>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𝑝𝑒𝑡𝑟</m:t>
                        </m:r>
                        <m:r>
                          <a:rPr lang="es-MX" sz="1000" b="0" i="1">
                            <a:solidFill>
                              <a:schemeClr val="tx1"/>
                            </a:solidFill>
                            <a:effectLst/>
                            <a:latin typeface="Cambria Math" panose="02040503050406030204" pitchFamily="18" charset="0"/>
                            <a:ea typeface="+mn-ea"/>
                            <a:cs typeface="+mn-cs"/>
                          </a:rPr>
                          <m:t>ó</m:t>
                        </m:r>
                        <m:r>
                          <a:rPr lang="es-MX" sz="1000" b="0" i="1">
                            <a:solidFill>
                              <a:schemeClr val="tx1"/>
                            </a:solidFill>
                            <a:effectLst/>
                            <a:latin typeface="Cambria Math" panose="02040503050406030204" pitchFamily="18" charset="0"/>
                            <a:ea typeface="+mn-ea"/>
                            <a:cs typeface="+mn-cs"/>
                          </a:rPr>
                          <m:t>𝑙𝑒𝑜</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𝑝𝑖𝑝𝑎</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76" name="CuadroTexto 875">
              <a:extLst>
                <a:ext uri="{FF2B5EF4-FFF2-40B4-BE49-F238E27FC236}">
                  <a16:creationId xmlns:a16="http://schemas.microsoft.com/office/drawing/2014/main" id="{CF48B2E9-D63B-40F1-8C51-CE3411D8C6F4}"/>
                </a:ext>
              </a:extLst>
            </xdr:cNvPr>
            <xdr:cNvSpPr txBox="1"/>
          </xdr:nvSpPr>
          <xdr:spPr>
            <a:xfrm>
              <a:off x="7687469" y="343955687"/>
              <a:ext cx="1746249" cy="316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20,000 𝐿  )/(n 𝐿 𝑝𝑒𝑡𝑟ó𝑙𝑒𝑜)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𝑝𝑖𝑝𝑎)/(?( )) </a:t>
              </a:r>
              <a:r>
                <a:rPr lang="es-MX" sz="1000" b="0" i="0">
                  <a:latin typeface="Cambria Math" panose="02040503050406030204" pitchFamily="18" charset="0"/>
                </a:rPr>
                <a:t> </a:t>
              </a:r>
              <a:endParaRPr lang="es-MX" sz="1000"/>
            </a:p>
          </xdr:txBody>
        </xdr:sp>
      </mc:Fallback>
    </mc:AlternateContent>
    <xdr:clientData/>
  </xdr:oneCellAnchor>
  <xdr:oneCellAnchor>
    <xdr:from>
      <xdr:col>8</xdr:col>
      <xdr:colOff>190500</xdr:colOff>
      <xdr:row>401</xdr:row>
      <xdr:rowOff>554182</xdr:rowOff>
    </xdr:from>
    <xdr:ext cx="1590255" cy="172227"/>
    <mc:AlternateContent xmlns:mc="http://schemas.openxmlformats.org/markup-compatibility/2006" xmlns:a14="http://schemas.microsoft.com/office/drawing/2010/main">
      <mc:Choice Requires="a14">
        <xdr:sp macro="" textlink="">
          <xdr:nvSpPr>
            <xdr:cNvPr id="879" name="CuadroTexto 878">
              <a:extLst>
                <a:ext uri="{FF2B5EF4-FFF2-40B4-BE49-F238E27FC236}">
                  <a16:creationId xmlns:a16="http://schemas.microsoft.com/office/drawing/2014/main" id="{30F45F95-05AD-45A5-96BC-E01A4AB243D3}"/>
                </a:ext>
              </a:extLst>
            </xdr:cNvPr>
            <xdr:cNvSpPr txBox="1"/>
          </xdr:nvSpPr>
          <xdr:spPr>
            <a:xfrm>
              <a:off x="7048500" y="303172091"/>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0"/>
                <a:t>MP</a:t>
              </a:r>
              <a14:m>
                <m:oMath xmlns:m="http://schemas.openxmlformats.org/officeDocument/2006/math">
                  <m:r>
                    <a:rPr lang="es-MX" sz="1100" b="0" i="1">
                      <a:latin typeface="Cambria Math" panose="02040503050406030204" pitchFamily="18" charset="0"/>
                    </a:rPr>
                    <m:t>𝐴</m:t>
                  </m:r>
                  <m:r>
                    <a:rPr lang="es-MX" sz="1100" i="1">
                      <a:latin typeface="Cambria Math" panose="02040503050406030204" pitchFamily="18" charset="0"/>
                    </a:rPr>
                    <m:t>=</m:t>
                  </m:r>
                  <m:r>
                    <a:rPr lang="es-MX" sz="1100" b="0" i="1">
                      <a:latin typeface="Cambria Math" panose="02040503050406030204" pitchFamily="18" charset="0"/>
                    </a:rPr>
                    <m:t>𝑀𝑃𝑉</m:t>
                  </m:r>
                  <m:r>
                    <a:rPr lang="es-MX" sz="1100" b="0" i="1">
                      <a:latin typeface="Cambria Math" panose="02040503050406030204" pitchFamily="18" charset="0"/>
                    </a:rPr>
                    <m:t> −</m:t>
                  </m:r>
                  <m:r>
                    <a:rPr lang="es-MX" sz="1100" b="0" i="1">
                      <a:latin typeface="Cambria Math" panose="02040503050406030204" pitchFamily="18" charset="0"/>
                    </a:rPr>
                    <m:t>𝑀𝑃𝑅</m:t>
                  </m:r>
                  <m:r>
                    <a:rPr lang="es-MX" sz="1100" b="0" i="1">
                      <a:latin typeface="Cambria Math" panose="02040503050406030204" pitchFamily="18" charset="0"/>
                    </a:rPr>
                    <m:t> </m:t>
                  </m:r>
                </m:oMath>
              </a14:m>
              <a:endParaRPr lang="es-MX" sz="1100"/>
            </a:p>
          </xdr:txBody>
        </xdr:sp>
      </mc:Choice>
      <mc:Fallback xmlns="">
        <xdr:sp macro="" textlink="">
          <xdr:nvSpPr>
            <xdr:cNvPr id="879" name="CuadroTexto 878">
              <a:extLst>
                <a:ext uri="{FF2B5EF4-FFF2-40B4-BE49-F238E27FC236}">
                  <a16:creationId xmlns:a16="http://schemas.microsoft.com/office/drawing/2014/main" id="{30F45F95-05AD-45A5-96BC-E01A4AB243D3}"/>
                </a:ext>
              </a:extLst>
            </xdr:cNvPr>
            <xdr:cNvSpPr txBox="1"/>
          </xdr:nvSpPr>
          <xdr:spPr>
            <a:xfrm>
              <a:off x="7048500" y="303172091"/>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a:t>MP</a:t>
              </a:r>
              <a:r>
                <a:rPr lang="es-MX" sz="1100" b="0" i="0">
                  <a:latin typeface="Cambria Math" panose="02040503050406030204" pitchFamily="18" charset="0"/>
                </a:rPr>
                <a:t>𝐴</a:t>
              </a:r>
              <a:r>
                <a:rPr lang="es-MX" sz="1100" i="0">
                  <a:latin typeface="Cambria Math" panose="02040503050406030204" pitchFamily="18" charset="0"/>
                </a:rPr>
                <a:t>=</a:t>
              </a:r>
              <a:r>
                <a:rPr lang="es-MX" sz="1100" b="0" i="0">
                  <a:latin typeface="Cambria Math" panose="02040503050406030204" pitchFamily="18" charset="0"/>
                </a:rPr>
                <a:t>𝑀𝑃𝑉 −𝑀𝑃𝑅 </a:t>
              </a:r>
              <a:endParaRPr lang="es-MX" sz="1100"/>
            </a:p>
          </xdr:txBody>
        </xdr:sp>
      </mc:Fallback>
    </mc:AlternateContent>
    <xdr:clientData/>
  </xdr:oneCellAnchor>
  <xdr:oneCellAnchor>
    <xdr:from>
      <xdr:col>9</xdr:col>
      <xdr:colOff>294409</xdr:colOff>
      <xdr:row>401</xdr:row>
      <xdr:rowOff>571500</xdr:rowOff>
    </xdr:from>
    <xdr:ext cx="1590255" cy="172227"/>
    <mc:AlternateContent xmlns:mc="http://schemas.openxmlformats.org/markup-compatibility/2006" xmlns:a14="http://schemas.microsoft.com/office/drawing/2010/main">
      <mc:Choice Requires="a14">
        <xdr:sp macro="" textlink="">
          <xdr:nvSpPr>
            <xdr:cNvPr id="881" name="CuadroTexto 880">
              <a:extLst>
                <a:ext uri="{FF2B5EF4-FFF2-40B4-BE49-F238E27FC236}">
                  <a16:creationId xmlns:a16="http://schemas.microsoft.com/office/drawing/2014/main" id="{473CE038-6718-4E2E-A220-805A954D0077}"/>
                </a:ext>
              </a:extLst>
            </xdr:cNvPr>
            <xdr:cNvSpPr txBox="1"/>
          </xdr:nvSpPr>
          <xdr:spPr>
            <a:xfrm>
              <a:off x="9066068" y="303189409"/>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0"/>
                <a:t>MP</a:t>
              </a:r>
              <a14:m>
                <m:oMath xmlns:m="http://schemas.openxmlformats.org/officeDocument/2006/math">
                  <m:r>
                    <a:rPr lang="es-MX" sz="1100" b="0" i="1">
                      <a:latin typeface="Cambria Math" panose="02040503050406030204" pitchFamily="18" charset="0"/>
                    </a:rPr>
                    <m:t>𝐴</m:t>
                  </m:r>
                  <m:r>
                    <a:rPr lang="es-MX" sz="1100" i="1">
                      <a:latin typeface="Cambria Math" panose="02040503050406030204" pitchFamily="18" charset="0"/>
                    </a:rPr>
                    <m:t>=</m:t>
                  </m:r>
                  <m:r>
                    <a:rPr lang="es-MX" sz="1100" b="0" i="1">
                      <a:latin typeface="Cambria Math" panose="02040503050406030204" pitchFamily="18" charset="0"/>
                    </a:rPr>
                    <m:t>3,493 −2,173 </m:t>
                  </m:r>
                </m:oMath>
              </a14:m>
              <a:endParaRPr lang="es-MX" sz="1100"/>
            </a:p>
          </xdr:txBody>
        </xdr:sp>
      </mc:Choice>
      <mc:Fallback xmlns="">
        <xdr:sp macro="" textlink="">
          <xdr:nvSpPr>
            <xdr:cNvPr id="881" name="CuadroTexto 880">
              <a:extLst>
                <a:ext uri="{FF2B5EF4-FFF2-40B4-BE49-F238E27FC236}">
                  <a16:creationId xmlns:a16="http://schemas.microsoft.com/office/drawing/2014/main" id="{473CE038-6718-4E2E-A220-805A954D0077}"/>
                </a:ext>
              </a:extLst>
            </xdr:cNvPr>
            <xdr:cNvSpPr txBox="1"/>
          </xdr:nvSpPr>
          <xdr:spPr>
            <a:xfrm>
              <a:off x="9066068" y="303189409"/>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a:t>MP</a:t>
              </a:r>
              <a:r>
                <a:rPr lang="es-MX" sz="1100" b="0" i="0">
                  <a:latin typeface="Cambria Math" panose="02040503050406030204" pitchFamily="18" charset="0"/>
                </a:rPr>
                <a:t>𝐴</a:t>
              </a:r>
              <a:r>
                <a:rPr lang="es-MX" sz="1100" i="0">
                  <a:latin typeface="Cambria Math" panose="02040503050406030204" pitchFamily="18" charset="0"/>
                </a:rPr>
                <a:t>=</a:t>
              </a:r>
              <a:r>
                <a:rPr lang="es-MX" sz="1100" b="0" i="0">
                  <a:latin typeface="Cambria Math" panose="02040503050406030204" pitchFamily="18" charset="0"/>
                </a:rPr>
                <a:t>3,493 −2,173 </a:t>
              </a:r>
              <a:endParaRPr lang="es-MX" sz="1100"/>
            </a:p>
          </xdr:txBody>
        </xdr:sp>
      </mc:Fallback>
    </mc:AlternateContent>
    <xdr:clientData/>
  </xdr:oneCellAnchor>
  <xdr:oneCellAnchor>
    <xdr:from>
      <xdr:col>10</xdr:col>
      <xdr:colOff>161925</xdr:colOff>
      <xdr:row>402</xdr:row>
      <xdr:rowOff>811213</xdr:rowOff>
    </xdr:from>
    <xdr:ext cx="1852084" cy="317459"/>
    <mc:AlternateContent xmlns:mc="http://schemas.openxmlformats.org/markup-compatibility/2006" xmlns:a14="http://schemas.microsoft.com/office/drawing/2010/main">
      <mc:Choice Requires="a14">
        <xdr:sp macro="" textlink="">
          <xdr:nvSpPr>
            <xdr:cNvPr id="882" name="CuadroTexto 881">
              <a:extLst>
                <a:ext uri="{FF2B5EF4-FFF2-40B4-BE49-F238E27FC236}">
                  <a16:creationId xmlns:a16="http://schemas.microsoft.com/office/drawing/2014/main" id="{C05ABAB1-DA01-477E-9ED6-6C812845C649}"/>
                </a:ext>
              </a:extLst>
            </xdr:cNvPr>
            <xdr:cNvSpPr txBox="1"/>
          </xdr:nvSpPr>
          <xdr:spPr>
            <a:xfrm>
              <a:off x="12544425" y="337123088"/>
              <a:ext cx="1852084" cy="317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𝑇𝑜𝑛</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m:t>
                    </m:r>
                    <m:r>
                      <a:rPr lang="es-MX" sz="1050" b="0" i="0">
                        <a:latin typeface="Cambria Math" panose="02040503050406030204" pitchFamily="18" charset="0"/>
                      </a:rPr>
                      <m:t>1,500</m:t>
                    </m:r>
                    <m:f>
                      <m:fPr>
                        <m:ctrlPr>
                          <a:rPr lang="es-MX" sz="1050" i="1">
                            <a:solidFill>
                              <a:schemeClr val="tx1"/>
                            </a:solidFill>
                            <a:effectLst/>
                            <a:latin typeface="Cambria Math" panose="02040503050406030204" pitchFamily="18" charset="0"/>
                            <a:ea typeface="+mn-ea"/>
                            <a:cs typeface="+mn-cs"/>
                          </a:rPr>
                        </m:ctrlPr>
                      </m:fPr>
                      <m:num>
                        <m:r>
                          <a:rPr lang="es-MX" sz="1050" b="0" i="1">
                            <a:solidFill>
                              <a:schemeClr val="tx1"/>
                            </a:solidFill>
                            <a:effectLst/>
                            <a:latin typeface="Cambria Math" panose="02040503050406030204" pitchFamily="18" charset="0"/>
                            <a:ea typeface="+mn-ea"/>
                            <a:cs typeface="+mn-cs"/>
                          </a:rPr>
                          <m:t>𝑘𝑔</m:t>
                        </m:r>
                      </m:num>
                      <m:den>
                        <m:r>
                          <m:rPr>
                            <m:sty m:val="p"/>
                          </m:rPr>
                          <a:rPr lang="es-MX" sz="1050" b="0" i="0">
                            <a:solidFill>
                              <a:schemeClr val="tx1"/>
                            </a:solidFill>
                            <a:effectLst/>
                            <a:latin typeface="Cambria Math" panose="02040503050406030204" pitchFamily="18" charset="0"/>
                            <a:ea typeface="+mn-ea"/>
                            <a:cs typeface="+mn-cs"/>
                          </a:rPr>
                          <m:t>MF</m:t>
                        </m:r>
                      </m:den>
                    </m:f>
                  </m:oMath>
                </m:oMathPara>
              </a14:m>
              <a:endParaRPr lang="es-MX" sz="1050" b="0"/>
            </a:p>
          </xdr:txBody>
        </xdr:sp>
      </mc:Choice>
      <mc:Fallback xmlns="">
        <xdr:sp macro="" textlink="">
          <xdr:nvSpPr>
            <xdr:cNvPr id="882" name="CuadroTexto 881">
              <a:extLst>
                <a:ext uri="{FF2B5EF4-FFF2-40B4-BE49-F238E27FC236}">
                  <a16:creationId xmlns:a16="http://schemas.microsoft.com/office/drawing/2014/main" id="{C05ABAB1-DA01-477E-9ED6-6C812845C649}"/>
                </a:ext>
              </a:extLst>
            </xdr:cNvPr>
            <xdr:cNvSpPr txBox="1"/>
          </xdr:nvSpPr>
          <xdr:spPr>
            <a:xfrm>
              <a:off x="12544425" y="337123088"/>
              <a:ext cx="1852084" cy="317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𝑇𝑜𝑛 𝐻𝑜𝑗=1,500</a:t>
              </a:r>
              <a:r>
                <a:rPr lang="es-MX" sz="1050" b="0" i="0">
                  <a:solidFill>
                    <a:schemeClr val="tx1"/>
                  </a:solidFill>
                  <a:effectLst/>
                  <a:latin typeface="Cambria Math" panose="02040503050406030204" pitchFamily="18" charset="0"/>
                  <a:ea typeface="+mn-ea"/>
                  <a:cs typeface="+mn-cs"/>
                </a:rPr>
                <a:t> 𝑘𝑔/MF</a:t>
              </a:r>
              <a:endParaRPr lang="es-MX" sz="1050" b="0"/>
            </a:p>
          </xdr:txBody>
        </xdr:sp>
      </mc:Fallback>
    </mc:AlternateContent>
    <xdr:clientData/>
  </xdr:oneCellAnchor>
  <xdr:oneCellAnchor>
    <xdr:from>
      <xdr:col>10</xdr:col>
      <xdr:colOff>265113</xdr:colOff>
      <xdr:row>402</xdr:row>
      <xdr:rowOff>196850</xdr:rowOff>
    </xdr:from>
    <xdr:ext cx="1785937" cy="306815"/>
    <mc:AlternateContent xmlns:mc="http://schemas.openxmlformats.org/markup-compatibility/2006" xmlns:a14="http://schemas.microsoft.com/office/drawing/2010/main">
      <mc:Choice Requires="a14">
        <xdr:sp macro="" textlink="">
          <xdr:nvSpPr>
            <xdr:cNvPr id="883" name="CuadroTexto 882">
              <a:extLst>
                <a:ext uri="{FF2B5EF4-FFF2-40B4-BE49-F238E27FC236}">
                  <a16:creationId xmlns:a16="http://schemas.microsoft.com/office/drawing/2014/main" id="{C158656B-3F3A-4410-B210-E792BFF2CCBB}"/>
                </a:ext>
              </a:extLst>
            </xdr:cNvPr>
            <xdr:cNvSpPr txBox="1"/>
          </xdr:nvSpPr>
          <xdr:spPr>
            <a:xfrm>
              <a:off x="12647613" y="336508725"/>
              <a:ext cx="1785937"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𝐻𝑜𝑗</m:t>
                    </m:r>
                    <m:r>
                      <a:rPr lang="es-MX" sz="1050" b="0" i="1">
                        <a:latin typeface="Cambria Math" panose="02040503050406030204" pitchFamily="18" charset="0"/>
                      </a:rPr>
                      <m:t>=1.5</m:t>
                    </m:r>
                    <m:f>
                      <m:fPr>
                        <m:ctrlPr>
                          <a:rPr lang="es-MX" sz="1050" i="1">
                            <a:solidFill>
                              <a:schemeClr val="tx1"/>
                            </a:solidFill>
                            <a:effectLst/>
                            <a:latin typeface="Cambria Math" panose="02040503050406030204" pitchFamily="18" charset="0"/>
                            <a:ea typeface="+mn-ea"/>
                            <a:cs typeface="+mn-cs"/>
                          </a:rPr>
                        </m:ctrlPr>
                      </m:fPr>
                      <m:num>
                        <m:r>
                          <a:rPr lang="es-MX" sz="1050" b="0" i="1">
                            <a:solidFill>
                              <a:schemeClr val="tx1"/>
                            </a:solidFill>
                            <a:effectLst/>
                            <a:latin typeface="Cambria Math" panose="02040503050406030204" pitchFamily="18" charset="0"/>
                            <a:ea typeface="+mn-ea"/>
                            <a:cs typeface="+mn-cs"/>
                          </a:rPr>
                          <m:t>𝑘𝑔</m:t>
                        </m:r>
                        <m:r>
                          <a:rPr lang="es-MX" sz="1050" b="0" i="1">
                            <a:solidFill>
                              <a:schemeClr val="tx1"/>
                            </a:solidFill>
                            <a:effectLst/>
                            <a:latin typeface="Cambria Math" panose="02040503050406030204" pitchFamily="18" charset="0"/>
                            <a:ea typeface="+mn-ea"/>
                            <a:cs typeface="+mn-cs"/>
                          </a:rPr>
                          <m:t> </m:t>
                        </m:r>
                      </m:num>
                      <m:den>
                        <m:r>
                          <m:rPr>
                            <m:sty m:val="p"/>
                          </m:rPr>
                          <a:rPr lang="es-MX" sz="1050" b="0" i="0">
                            <a:solidFill>
                              <a:schemeClr val="tx1"/>
                            </a:solidFill>
                            <a:effectLst/>
                            <a:latin typeface="Cambria Math" panose="02040503050406030204" pitchFamily="18" charset="0"/>
                            <a:ea typeface="+mn-ea"/>
                            <a:cs typeface="+mn-cs"/>
                          </a:rPr>
                          <m:t>Mineral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de</m:t>
                        </m:r>
                        <m:r>
                          <a:rPr lang="es-MX" sz="1050" b="0" i="0">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𝐹</m:t>
                        </m:r>
                      </m:den>
                    </m:f>
                  </m:oMath>
                </m:oMathPara>
              </a14:m>
              <a:endParaRPr lang="es-MX" sz="1050" b="0"/>
            </a:p>
          </xdr:txBody>
        </xdr:sp>
      </mc:Choice>
      <mc:Fallback xmlns="">
        <xdr:sp macro="" textlink="">
          <xdr:nvSpPr>
            <xdr:cNvPr id="883" name="CuadroTexto 882">
              <a:extLst>
                <a:ext uri="{FF2B5EF4-FFF2-40B4-BE49-F238E27FC236}">
                  <a16:creationId xmlns:a16="http://schemas.microsoft.com/office/drawing/2014/main" id="{C158656B-3F3A-4410-B210-E792BFF2CCBB}"/>
                </a:ext>
              </a:extLst>
            </xdr:cNvPr>
            <xdr:cNvSpPr txBox="1"/>
          </xdr:nvSpPr>
          <xdr:spPr>
            <a:xfrm>
              <a:off x="12647613" y="336508725"/>
              <a:ext cx="1785937"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𝐻𝑜𝑗=1.5</a:t>
              </a:r>
              <a:r>
                <a:rPr lang="es-MX" sz="1050" b="0" i="0">
                  <a:solidFill>
                    <a:schemeClr val="tx1"/>
                  </a:solidFill>
                  <a:effectLst/>
                  <a:latin typeface="Cambria Math" panose="02040503050406030204" pitchFamily="18" charset="0"/>
                  <a:ea typeface="+mn-ea"/>
                  <a:cs typeface="+mn-cs"/>
                </a:rPr>
                <a:t> (𝑘𝑔 )/(Mineral de 𝐹)</a:t>
              </a:r>
              <a:endParaRPr lang="es-MX" sz="1050" b="0"/>
            </a:p>
          </xdr:txBody>
        </xdr:sp>
      </mc:Fallback>
    </mc:AlternateContent>
    <xdr:clientData/>
  </xdr:oneCellAnchor>
  <xdr:oneCellAnchor>
    <xdr:from>
      <xdr:col>9</xdr:col>
      <xdr:colOff>311727</xdr:colOff>
      <xdr:row>402</xdr:row>
      <xdr:rowOff>516661</xdr:rowOff>
    </xdr:from>
    <xdr:ext cx="1789545" cy="329770"/>
    <mc:AlternateContent xmlns:mc="http://schemas.openxmlformats.org/markup-compatibility/2006" xmlns:a14="http://schemas.microsoft.com/office/drawing/2010/main">
      <mc:Choice Requires="a14">
        <xdr:sp macro="" textlink="">
          <xdr:nvSpPr>
            <xdr:cNvPr id="884" name="CuadroTexto 883">
              <a:extLst>
                <a:ext uri="{FF2B5EF4-FFF2-40B4-BE49-F238E27FC236}">
                  <a16:creationId xmlns:a16="http://schemas.microsoft.com/office/drawing/2014/main" id="{05747054-2A22-46D4-B030-B38214596E51}"/>
                </a:ext>
              </a:extLst>
            </xdr:cNvPr>
            <xdr:cNvSpPr txBox="1"/>
          </xdr:nvSpPr>
          <xdr:spPr>
            <a:xfrm>
              <a:off x="10138352" y="336828536"/>
              <a:ext cx="1789545"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h𝑜𝑗𝑎𝑙𝑎𝑡𝑎</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1,500 </m:t>
                        </m:r>
                      </m:num>
                      <m:den>
                        <m:r>
                          <a:rPr lang="es-MX" sz="1000" b="0" i="1">
                            <a:solidFill>
                              <a:schemeClr val="tx1"/>
                            </a:solidFill>
                            <a:effectLst/>
                            <a:latin typeface="Cambria Math" panose="02040503050406030204" pitchFamily="18" charset="0"/>
                            <a:ea typeface="+mn-ea"/>
                            <a:cs typeface="+mn-cs"/>
                          </a:rPr>
                          <m:t>?(1.5)</m:t>
                        </m:r>
                      </m:den>
                    </m:f>
                    <m:r>
                      <a:rPr lang="es-MX" sz="1000" b="0" i="1">
                        <a:latin typeface="Cambria Math" panose="02040503050406030204" pitchFamily="18" charset="0"/>
                      </a:rPr>
                      <m:t> </m:t>
                    </m:r>
                  </m:oMath>
                </m:oMathPara>
              </a14:m>
              <a:endParaRPr lang="es-MX" sz="1000"/>
            </a:p>
          </xdr:txBody>
        </xdr:sp>
      </mc:Choice>
      <mc:Fallback xmlns="">
        <xdr:sp macro="" textlink="">
          <xdr:nvSpPr>
            <xdr:cNvPr id="884" name="CuadroTexto 883">
              <a:extLst>
                <a:ext uri="{FF2B5EF4-FFF2-40B4-BE49-F238E27FC236}">
                  <a16:creationId xmlns:a16="http://schemas.microsoft.com/office/drawing/2014/main" id="{05747054-2A22-46D4-B030-B38214596E51}"/>
                </a:ext>
              </a:extLst>
            </xdr:cNvPr>
            <xdr:cNvSpPr txBox="1"/>
          </xdr:nvSpPr>
          <xdr:spPr>
            <a:xfrm>
              <a:off x="10138352" y="336828536"/>
              <a:ext cx="1789545"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ℎ𝑜𝑗𝑎𝑙𝑎𝑡𝑎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1,500 )/(?(1.5)) </a:t>
              </a:r>
              <a:r>
                <a:rPr lang="es-MX" sz="1000" b="0" i="0">
                  <a:latin typeface="Cambria Math" panose="02040503050406030204" pitchFamily="18" charset="0"/>
                </a:rPr>
                <a:t> </a:t>
              </a:r>
              <a:endParaRPr lang="es-MX" sz="1000"/>
            </a:p>
          </xdr:txBody>
        </xdr:sp>
      </mc:Fallback>
    </mc:AlternateContent>
    <xdr:clientData/>
  </xdr:oneCellAnchor>
  <xdr:oneCellAnchor>
    <xdr:from>
      <xdr:col>12</xdr:col>
      <xdr:colOff>2511136</xdr:colOff>
      <xdr:row>402</xdr:row>
      <xdr:rowOff>1091045</xdr:rowOff>
    </xdr:from>
    <xdr:ext cx="374254" cy="372798"/>
    <xdr:pic>
      <xdr:nvPicPr>
        <xdr:cNvPr id="885" name="Gráfico 884" descr="Inalámbrico">
          <a:hlinkClick xmlns:r="http://schemas.openxmlformats.org/officeDocument/2006/relationships" r:id="rId91"/>
          <a:extLst>
            <a:ext uri="{FF2B5EF4-FFF2-40B4-BE49-F238E27FC236}">
              <a16:creationId xmlns:a16="http://schemas.microsoft.com/office/drawing/2014/main" id="{6CF999F5-2294-4C94-B5E7-F7BDB399640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0977" y="305120386"/>
          <a:ext cx="374254" cy="372798"/>
        </a:xfrm>
        <a:prstGeom prst="rect">
          <a:avLst/>
        </a:prstGeom>
      </xdr:spPr>
    </xdr:pic>
    <xdr:clientData/>
  </xdr:oneCellAnchor>
  <xdr:oneCellAnchor>
    <xdr:from>
      <xdr:col>12</xdr:col>
      <xdr:colOff>2242705</xdr:colOff>
      <xdr:row>402</xdr:row>
      <xdr:rowOff>1065068</xdr:rowOff>
    </xdr:from>
    <xdr:ext cx="327654" cy="327654"/>
    <xdr:pic>
      <xdr:nvPicPr>
        <xdr:cNvPr id="886" name="Gráfico 885" descr="Hogar">
          <a:hlinkClick xmlns:r="http://schemas.openxmlformats.org/officeDocument/2006/relationships" r:id="rId92"/>
          <a:extLst>
            <a:ext uri="{FF2B5EF4-FFF2-40B4-BE49-F238E27FC236}">
              <a16:creationId xmlns:a16="http://schemas.microsoft.com/office/drawing/2014/main" id="{57842ED2-F69E-4AFD-A025-03FD34D1B2F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02546" y="305094409"/>
          <a:ext cx="327654" cy="327654"/>
        </a:xfrm>
        <a:prstGeom prst="rect">
          <a:avLst/>
        </a:prstGeom>
      </xdr:spPr>
    </xdr:pic>
    <xdr:clientData/>
  </xdr:oneCellAnchor>
  <xdr:oneCellAnchor>
    <xdr:from>
      <xdr:col>10</xdr:col>
      <xdr:colOff>238125</xdr:colOff>
      <xdr:row>403</xdr:row>
      <xdr:rowOff>305857</xdr:rowOff>
    </xdr:from>
    <xdr:ext cx="1443470" cy="881303"/>
    <mc:AlternateContent xmlns:mc="http://schemas.openxmlformats.org/markup-compatibility/2006" xmlns:a14="http://schemas.microsoft.com/office/drawing/2010/main">
      <mc:Choice Requires="a14">
        <xdr:sp macro="" textlink="">
          <xdr:nvSpPr>
            <xdr:cNvPr id="887" name="CuadroTexto 886">
              <a:extLst>
                <a:ext uri="{FF2B5EF4-FFF2-40B4-BE49-F238E27FC236}">
                  <a16:creationId xmlns:a16="http://schemas.microsoft.com/office/drawing/2014/main" id="{14D3F176-E633-4C8D-94DB-4FF6BB1C08F5}"/>
                </a:ext>
              </a:extLst>
            </xdr:cNvPr>
            <xdr:cNvSpPr txBox="1"/>
          </xdr:nvSpPr>
          <xdr:spPr>
            <a:xfrm>
              <a:off x="10915650" y="301467307"/>
              <a:ext cx="1443470" cy="881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𝐴𝑐𝑒𝑟𝑜</m:t>
                  </m:r>
                  <m:r>
                    <a:rPr lang="es-MX" sz="1050" b="0" i="1">
                      <a:latin typeface="Cambria Math" panose="02040503050406030204" pitchFamily="18" charset="0"/>
                    </a:rPr>
                    <m:t>=</m:t>
                  </m:r>
                  <m:r>
                    <a:rPr lang="es-MX" sz="1050" b="0" i="0">
                      <a:latin typeface="Cambria Math" panose="02040503050406030204" pitchFamily="18" charset="0"/>
                    </a:rPr>
                    <m:t>1.82 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Ahorrado</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𝐴𝑐𝑒𝑟𝑜</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1,821</m:t>
                    </m:r>
                  </m:oMath>
                </m:oMathPara>
              </a14:m>
              <a:endParaRPr lang="es-MX" sz="1050" b="0" i="0">
                <a:solidFill>
                  <a:schemeClr val="tx1"/>
                </a:solidFill>
                <a:effectLst/>
                <a:latin typeface="Cambria Math" panose="02040503050406030204" pitchFamily="18" charset="0"/>
                <a:ea typeface="+mn-ea"/>
                <a:cs typeface="+mn-cs"/>
              </a:endParaRPr>
            </a:p>
            <a:p>
              <a:pPr/>
              <a14:m>
                <m:oMathPara xmlns:m="http://schemas.openxmlformats.org/officeDocument/2006/math">
                  <m:oMathParaPr>
                    <m:jc m:val="centerGroup"/>
                  </m:oMathParaPr>
                  <m:oMath xmlns:m="http://schemas.openxmlformats.org/officeDocument/2006/math">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Ahorrado</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887" name="CuadroTexto 886">
              <a:extLst>
                <a:ext uri="{FF2B5EF4-FFF2-40B4-BE49-F238E27FC236}">
                  <a16:creationId xmlns:a16="http://schemas.microsoft.com/office/drawing/2014/main" id="{14D3F176-E633-4C8D-94DB-4FF6BB1C08F5}"/>
                </a:ext>
              </a:extLst>
            </xdr:cNvPr>
            <xdr:cNvSpPr txBox="1"/>
          </xdr:nvSpPr>
          <xdr:spPr>
            <a:xfrm>
              <a:off x="10915650" y="301467307"/>
              <a:ext cx="1443470" cy="881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𝐴𝑐𝑒𝑟𝑜=1.82 kg Mat Ahorrado</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𝐴𝑐𝑒𝑟𝑜=1,821</a:t>
              </a:r>
            </a:p>
            <a:p>
              <a:pPr/>
              <a:r>
                <a:rPr lang="es-MX" sz="1100" b="0" i="0">
                  <a:solidFill>
                    <a:schemeClr val="tx1"/>
                  </a:solidFill>
                  <a:effectLst/>
                  <a:latin typeface="Cambria Math" panose="02040503050406030204" pitchFamily="18" charset="0"/>
                  <a:ea typeface="+mn-ea"/>
                  <a:cs typeface="+mn-cs"/>
                </a:rPr>
                <a:t> kg "Mat Ahorrado</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9</xdr:col>
      <xdr:colOff>228600</xdr:colOff>
      <xdr:row>403</xdr:row>
      <xdr:rowOff>554182</xdr:rowOff>
    </xdr:from>
    <xdr:ext cx="1586922" cy="329770"/>
    <mc:AlternateContent xmlns:mc="http://schemas.openxmlformats.org/markup-compatibility/2006" xmlns:a14="http://schemas.microsoft.com/office/drawing/2010/main">
      <mc:Choice Requires="a14">
        <xdr:sp macro="" textlink="">
          <xdr:nvSpPr>
            <xdr:cNvPr id="890" name="CuadroTexto 889">
              <a:extLst>
                <a:ext uri="{FF2B5EF4-FFF2-40B4-BE49-F238E27FC236}">
                  <a16:creationId xmlns:a16="http://schemas.microsoft.com/office/drawing/2014/main" id="{B9889ECA-B880-4562-8EBD-5B05963B398C}"/>
                </a:ext>
              </a:extLst>
            </xdr:cNvPr>
            <xdr:cNvSpPr txBox="1"/>
          </xdr:nvSpPr>
          <xdr:spPr>
            <a:xfrm>
              <a:off x="9001125" y="301715632"/>
              <a:ext cx="1586922"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𝑎𝑐𝑒𝑟𝑜</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1,821</m:t>
                        </m:r>
                      </m:num>
                      <m:den>
                        <m:r>
                          <a:rPr lang="es-MX" sz="1000" b="0" i="1">
                            <a:solidFill>
                              <a:schemeClr val="tx1"/>
                            </a:solidFill>
                            <a:effectLst/>
                            <a:latin typeface="Cambria Math" panose="02040503050406030204" pitchFamily="18" charset="0"/>
                            <a:ea typeface="+mn-ea"/>
                            <a:cs typeface="+mn-cs"/>
                          </a:rPr>
                          <m:t>?(1.821)</m:t>
                        </m:r>
                      </m:den>
                    </m:f>
                  </m:oMath>
                </m:oMathPara>
              </a14:m>
              <a:endParaRPr lang="es-MX" sz="1000"/>
            </a:p>
          </xdr:txBody>
        </xdr:sp>
      </mc:Choice>
      <mc:Fallback xmlns="">
        <xdr:sp macro="" textlink="">
          <xdr:nvSpPr>
            <xdr:cNvPr id="890" name="CuadroTexto 889">
              <a:extLst>
                <a:ext uri="{FF2B5EF4-FFF2-40B4-BE49-F238E27FC236}">
                  <a16:creationId xmlns:a16="http://schemas.microsoft.com/office/drawing/2014/main" id="{B9889ECA-B880-4562-8EBD-5B05963B398C}"/>
                </a:ext>
              </a:extLst>
            </xdr:cNvPr>
            <xdr:cNvSpPr txBox="1"/>
          </xdr:nvSpPr>
          <xdr:spPr>
            <a:xfrm>
              <a:off x="9001125" y="301715632"/>
              <a:ext cx="1586922"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𝑎𝑐𝑒𝑟𝑜 )/1 </a:t>
              </a:r>
              <a:r>
                <a:rPr lang="es-MX" sz="1000" b="0" i="0">
                  <a:latin typeface="Cambria Math" panose="02040503050406030204" pitchFamily="18" charset="0"/>
                </a:rPr>
                <a:t> →</a:t>
              </a:r>
              <a:r>
                <a:rPr lang="es-MX" sz="1000" b="0" i="0">
                  <a:solidFill>
                    <a:schemeClr val="tx1"/>
                  </a:solidFill>
                  <a:effectLst/>
                  <a:latin typeface="Cambria Math" panose="02040503050406030204" pitchFamily="18" charset="0"/>
                  <a:ea typeface="+mn-ea"/>
                  <a:cs typeface="+mn-cs"/>
                </a:rPr>
                <a:t>1,821/(?(1.821))</a:t>
              </a:r>
              <a:endParaRPr lang="es-MX" sz="1000"/>
            </a:p>
          </xdr:txBody>
        </xdr:sp>
      </mc:Fallback>
    </mc:AlternateContent>
    <xdr:clientData/>
  </xdr:oneCellAnchor>
  <xdr:oneCellAnchor>
    <xdr:from>
      <xdr:col>12</xdr:col>
      <xdr:colOff>1964749</xdr:colOff>
      <xdr:row>403</xdr:row>
      <xdr:rowOff>543791</xdr:rowOff>
    </xdr:from>
    <xdr:ext cx="391583" cy="395432"/>
    <xdr:pic>
      <xdr:nvPicPr>
        <xdr:cNvPr id="891" name="Gráfico 890" descr="Hogar">
          <a:hlinkClick xmlns:r="http://schemas.openxmlformats.org/officeDocument/2006/relationships" r:id="rId93"/>
          <a:extLst>
            <a:ext uri="{FF2B5EF4-FFF2-40B4-BE49-F238E27FC236}">
              <a16:creationId xmlns:a16="http://schemas.microsoft.com/office/drawing/2014/main" id="{48CB6D2D-D1C3-4520-AC6A-139F3293F12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23724" y="317878691"/>
          <a:ext cx="391583" cy="395432"/>
        </a:xfrm>
        <a:prstGeom prst="rect">
          <a:avLst/>
        </a:prstGeom>
      </xdr:spPr>
    </xdr:pic>
    <xdr:clientData/>
  </xdr:oneCellAnchor>
  <xdr:oneCellAnchor>
    <xdr:from>
      <xdr:col>12</xdr:col>
      <xdr:colOff>2389044</xdr:colOff>
      <xdr:row>403</xdr:row>
      <xdr:rowOff>548121</xdr:rowOff>
    </xdr:from>
    <xdr:ext cx="452966" cy="448733"/>
    <xdr:pic>
      <xdr:nvPicPr>
        <xdr:cNvPr id="892" name="Gráfico 891" descr="Inalámbrico">
          <a:hlinkClick xmlns:r="http://schemas.openxmlformats.org/officeDocument/2006/relationships" r:id="rId94"/>
          <a:extLst>
            <a:ext uri="{FF2B5EF4-FFF2-40B4-BE49-F238E27FC236}">
              <a16:creationId xmlns:a16="http://schemas.microsoft.com/office/drawing/2014/main" id="{ED1FF784-6186-48E9-A224-49A3394E663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48019" y="317883021"/>
          <a:ext cx="452966" cy="448733"/>
        </a:xfrm>
        <a:prstGeom prst="rect">
          <a:avLst/>
        </a:prstGeom>
      </xdr:spPr>
    </xdr:pic>
    <xdr:clientData/>
  </xdr:oneCellAnchor>
  <xdr:oneCellAnchor>
    <xdr:from>
      <xdr:col>10</xdr:col>
      <xdr:colOff>460375</xdr:colOff>
      <xdr:row>423</xdr:row>
      <xdr:rowOff>184150</xdr:rowOff>
    </xdr:from>
    <xdr:ext cx="1628775" cy="1119281"/>
    <mc:AlternateContent xmlns:mc="http://schemas.openxmlformats.org/markup-compatibility/2006" xmlns:a14="http://schemas.microsoft.com/office/drawing/2010/main">
      <mc:Choice Requires="a14">
        <xdr:sp macro="" textlink="">
          <xdr:nvSpPr>
            <xdr:cNvPr id="815" name="CuadroTexto 814">
              <a:extLst>
                <a:ext uri="{FF2B5EF4-FFF2-40B4-BE49-F238E27FC236}">
                  <a16:creationId xmlns:a16="http://schemas.microsoft.com/office/drawing/2014/main" id="{1F334CF7-2370-4A32-8805-5F83CCC7F330}"/>
                </a:ext>
              </a:extLst>
            </xdr:cNvPr>
            <xdr:cNvSpPr txBox="1"/>
          </xdr:nvSpPr>
          <xdr:spPr>
            <a:xfrm>
              <a:off x="12842875" y="355990525"/>
              <a:ext cx="1628775" cy="11192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m:t>
                    </m:r>
                    <m:r>
                      <a:rPr lang="es-MX" sz="1050" b="0" i="0">
                        <a:latin typeface="Cambria Math" panose="02040503050406030204" pitchFamily="18" charset="0"/>
                      </a:rPr>
                      <m:t>1.6</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m:t>
                        </m:r>
                        <m:r>
                          <a:rPr lang="es-MX" sz="1050" b="0" i="1">
                            <a:solidFill>
                              <a:schemeClr val="tx1"/>
                            </a:solidFill>
                            <a:effectLst/>
                            <a:latin typeface="Cambria Math" panose="02040503050406030204" pitchFamily="18" charset="0"/>
                            <a:ea typeface="+mn-ea"/>
                            <a:cs typeface="+mn-cs"/>
                          </a:rPr>
                          <m:t>𝑤</m:t>
                        </m:r>
                      </m:num>
                      <m:den>
                        <m:r>
                          <m:rPr>
                            <m:sty m:val="p"/>
                          </m:rPr>
                          <a:rPr lang="es-MX" sz="1050" b="0" i="0">
                            <a:solidFill>
                              <a:schemeClr val="tx1"/>
                            </a:solidFill>
                            <a:effectLst/>
                            <a:latin typeface="Cambria Math" panose="02040503050406030204" pitchFamily="18" charset="0"/>
                            <a:ea typeface="+mn-ea"/>
                            <a:cs typeface="+mn-cs"/>
                          </a:rPr>
                          <m:t>h</m:t>
                        </m:r>
                      </m:den>
                    </m:f>
                  </m:oMath>
                </m:oMathPara>
              </a14:m>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𝑉𝑖𝑑𝑟𝑖𝑜</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,600</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𝑘𝑤</m:t>
                        </m:r>
                      </m:num>
                      <m:den>
                        <m:r>
                          <m:rPr>
                            <m:sty m:val="p"/>
                          </m:rPr>
                          <a:rPr lang="es-MX" sz="1100" b="0" i="0">
                            <a:solidFill>
                              <a:schemeClr val="tx1"/>
                            </a:solidFill>
                            <a:effectLst/>
                            <a:latin typeface="Cambria Math" panose="02040503050406030204" pitchFamily="18" charset="0"/>
                            <a:ea typeface="+mn-ea"/>
                            <a:cs typeface="+mn-cs"/>
                          </a:rPr>
                          <m:t>h</m:t>
                        </m:r>
                      </m:den>
                    </m:f>
                  </m:oMath>
                </m:oMathPara>
              </a14:m>
              <a:endParaRPr lang="es-MX" sz="1050">
                <a:effectLst/>
              </a:endParaRPr>
            </a:p>
            <a:p>
              <a:endParaRPr lang="es-MX" sz="1050" b="0"/>
            </a:p>
            <a:p>
              <a:endParaRPr lang="es-MX" sz="1050" b="0"/>
            </a:p>
          </xdr:txBody>
        </xdr:sp>
      </mc:Choice>
      <mc:Fallback xmlns="">
        <xdr:sp macro="" textlink="">
          <xdr:nvSpPr>
            <xdr:cNvPr id="815" name="CuadroTexto 814">
              <a:extLst>
                <a:ext uri="{FF2B5EF4-FFF2-40B4-BE49-F238E27FC236}">
                  <a16:creationId xmlns:a16="http://schemas.microsoft.com/office/drawing/2014/main" id="{1F334CF7-2370-4A32-8805-5F83CCC7F330}"/>
                </a:ext>
              </a:extLst>
            </xdr:cNvPr>
            <xdr:cNvSpPr txBox="1"/>
          </xdr:nvSpPr>
          <xdr:spPr>
            <a:xfrm>
              <a:off x="12842875" y="355990525"/>
              <a:ext cx="1628775" cy="11192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𝑉𝑖𝑑𝑟𝑖𝑜=1.6</a:t>
              </a:r>
              <a:r>
                <a:rPr lang="es-MX" sz="1050" b="0" i="0">
                  <a:solidFill>
                    <a:schemeClr val="tx1"/>
                  </a:solidFill>
                  <a:effectLst/>
                  <a:latin typeface="Cambria Math" panose="02040503050406030204" pitchFamily="18" charset="0"/>
                  <a:ea typeface="+mn-ea"/>
                  <a:cs typeface="+mn-cs"/>
                </a:rPr>
                <a:t> k𝑤/h</a:t>
              </a:r>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𝑉𝑖𝑑𝑟𝑖𝑜=1,600 𝑘𝑤/h</a:t>
              </a:r>
              <a:endParaRPr lang="es-MX" sz="1050">
                <a:effectLst/>
              </a:endParaRPr>
            </a:p>
            <a:p>
              <a:endParaRPr lang="es-MX" sz="1050" b="0"/>
            </a:p>
            <a:p>
              <a:endParaRPr lang="es-MX" sz="1050" b="0"/>
            </a:p>
          </xdr:txBody>
        </xdr:sp>
      </mc:Fallback>
    </mc:AlternateContent>
    <xdr:clientData/>
  </xdr:oneCellAnchor>
  <xdr:oneCellAnchor>
    <xdr:from>
      <xdr:col>9</xdr:col>
      <xdr:colOff>264584</xdr:colOff>
      <xdr:row>423</xdr:row>
      <xdr:rowOff>495301</xdr:rowOff>
    </xdr:from>
    <xdr:ext cx="1745191" cy="319511"/>
    <mc:AlternateContent xmlns:mc="http://schemas.openxmlformats.org/markup-compatibility/2006" xmlns:a14="http://schemas.microsoft.com/office/drawing/2010/main">
      <mc:Choice Requires="a14">
        <xdr:sp macro="" textlink="">
          <xdr:nvSpPr>
            <xdr:cNvPr id="836" name="CuadroTexto 835">
              <a:extLst>
                <a:ext uri="{FF2B5EF4-FFF2-40B4-BE49-F238E27FC236}">
                  <a16:creationId xmlns:a16="http://schemas.microsoft.com/office/drawing/2014/main" id="{4CC56518-39B8-4DB9-8296-E96443B08440}"/>
                </a:ext>
              </a:extLst>
            </xdr:cNvPr>
            <xdr:cNvSpPr txBox="1"/>
          </xdr:nvSpPr>
          <xdr:spPr>
            <a:xfrm>
              <a:off x="10091209" y="356301676"/>
              <a:ext cx="1745191"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1,600 </m:t>
                        </m:r>
                        <m:r>
                          <a:rPr lang="es-MX" sz="1000" b="0" i="1">
                            <a:solidFill>
                              <a:schemeClr val="tx1"/>
                            </a:solidFill>
                            <a:effectLst/>
                            <a:latin typeface="Cambria Math" panose="02040503050406030204" pitchFamily="18" charset="0"/>
                            <a:ea typeface="+mn-ea"/>
                            <a:cs typeface="+mn-cs"/>
                          </a:rPr>
                          <m:t>𝑘𝑤h</m:t>
                        </m:r>
                      </m:num>
                      <m:den>
                        <m:r>
                          <a:rPr lang="es-MX" sz="1000" b="0" i="1">
                            <a:solidFill>
                              <a:schemeClr val="tx1"/>
                            </a:solidFill>
                            <a:effectLst/>
                            <a:latin typeface="Cambria Math" panose="02040503050406030204" pitchFamily="18" charset="0"/>
                            <a:ea typeface="+mn-ea"/>
                            <a:cs typeface="+mn-cs"/>
                          </a:rPr>
                          <m:t>?(1.6)</m:t>
                        </m:r>
                      </m:den>
                    </m:f>
                    <m:r>
                      <a:rPr lang="es-MX" sz="1000" b="0" i="1">
                        <a:latin typeface="Cambria Math" panose="02040503050406030204" pitchFamily="18" charset="0"/>
                      </a:rPr>
                      <m:t> </m:t>
                    </m:r>
                  </m:oMath>
                </m:oMathPara>
              </a14:m>
              <a:endParaRPr lang="es-MX" sz="1000"/>
            </a:p>
          </xdr:txBody>
        </xdr:sp>
      </mc:Choice>
      <mc:Fallback xmlns="">
        <xdr:sp macro="" textlink="">
          <xdr:nvSpPr>
            <xdr:cNvPr id="836" name="CuadroTexto 835">
              <a:extLst>
                <a:ext uri="{FF2B5EF4-FFF2-40B4-BE49-F238E27FC236}">
                  <a16:creationId xmlns:a16="http://schemas.microsoft.com/office/drawing/2014/main" id="{4CC56518-39B8-4DB9-8296-E96443B08440}"/>
                </a:ext>
              </a:extLst>
            </xdr:cNvPr>
            <xdr:cNvSpPr txBox="1"/>
          </xdr:nvSpPr>
          <xdr:spPr>
            <a:xfrm>
              <a:off x="10091209" y="356301676"/>
              <a:ext cx="1745191"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𝑣𝑖𝑑𝑟𝑖𝑜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1,600 𝑘𝑤ℎ)/(?(1.6))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358775</xdr:colOff>
      <xdr:row>422</xdr:row>
      <xdr:rowOff>482600</xdr:rowOff>
    </xdr:from>
    <xdr:ext cx="1628775" cy="665439"/>
    <mc:AlternateContent xmlns:mc="http://schemas.openxmlformats.org/markup-compatibility/2006" xmlns:a14="http://schemas.microsoft.com/office/drawing/2010/main">
      <mc:Choice Requires="a14">
        <xdr:sp macro="" textlink="">
          <xdr:nvSpPr>
            <xdr:cNvPr id="838" name="CuadroTexto 837">
              <a:extLst>
                <a:ext uri="{FF2B5EF4-FFF2-40B4-BE49-F238E27FC236}">
                  <a16:creationId xmlns:a16="http://schemas.microsoft.com/office/drawing/2014/main" id="{DA31AE72-0AA0-4C0E-A876-F0D759D28524}"/>
                </a:ext>
              </a:extLst>
            </xdr:cNvPr>
            <xdr:cNvSpPr txBox="1"/>
          </xdr:nvSpPr>
          <xdr:spPr>
            <a:xfrm>
              <a:off x="12741275" y="354876100"/>
              <a:ext cx="1628775" cy="665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m:t>
                    </m:r>
                    <m:r>
                      <a:rPr lang="es-MX" sz="1050" b="0" i="0">
                        <a:latin typeface="Cambria Math" panose="02040503050406030204" pitchFamily="18" charset="0"/>
                      </a:rPr>
                      <m:t>1.</m:t>
                    </m:r>
                    <m:r>
                      <a:rPr lang="es-MX" sz="1050" b="0" i="1">
                        <a:latin typeface="Cambria Math" panose="02040503050406030204" pitchFamily="18" charset="0"/>
                      </a:rPr>
                      <m:t>44 </m:t>
                    </m:r>
                    <m:r>
                      <a:rPr lang="es-MX" sz="1050" b="0" i="1">
                        <a:latin typeface="Cambria Math" panose="02040503050406030204" pitchFamily="18" charset="0"/>
                      </a:rPr>
                      <m:t>𝑘𝑤h</m:t>
                    </m:r>
                  </m:oMath>
                </m:oMathPara>
              </a14:m>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𝑉𝑖𝑑𝑟𝑖𝑜</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,440 </m:t>
                    </m:r>
                    <m:r>
                      <a:rPr lang="es-MX" sz="1100" b="0" i="1">
                        <a:solidFill>
                          <a:schemeClr val="tx1"/>
                        </a:solidFill>
                        <a:effectLst/>
                        <a:latin typeface="Cambria Math" panose="02040503050406030204" pitchFamily="18" charset="0"/>
                        <a:ea typeface="+mn-ea"/>
                        <a:cs typeface="+mn-cs"/>
                      </a:rPr>
                      <m:t>𝑘𝑤h</m:t>
                    </m:r>
                  </m:oMath>
                </m:oMathPara>
              </a14:m>
              <a:endParaRPr lang="es-MX" sz="1050">
                <a:effectLst/>
              </a:endParaRPr>
            </a:p>
            <a:p>
              <a:endParaRPr lang="es-MX" sz="1050" b="0"/>
            </a:p>
            <a:p>
              <a:endParaRPr lang="es-MX" sz="1050" b="0"/>
            </a:p>
          </xdr:txBody>
        </xdr:sp>
      </mc:Choice>
      <mc:Fallback xmlns="">
        <xdr:sp macro="" textlink="">
          <xdr:nvSpPr>
            <xdr:cNvPr id="838" name="CuadroTexto 837">
              <a:extLst>
                <a:ext uri="{FF2B5EF4-FFF2-40B4-BE49-F238E27FC236}">
                  <a16:creationId xmlns:a16="http://schemas.microsoft.com/office/drawing/2014/main" id="{DA31AE72-0AA0-4C0E-A876-F0D759D28524}"/>
                </a:ext>
              </a:extLst>
            </xdr:cNvPr>
            <xdr:cNvSpPr txBox="1"/>
          </xdr:nvSpPr>
          <xdr:spPr>
            <a:xfrm>
              <a:off x="12741275" y="354876100"/>
              <a:ext cx="1628775" cy="665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𝑉𝑖𝑑𝑟𝑖𝑜=1.44 𝑘𝑤ℎ</a:t>
              </a:r>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𝑉𝑖𝑑𝑟𝑖𝑜=1,440 𝑘𝑤ℎ</a:t>
              </a:r>
              <a:endParaRPr lang="es-MX" sz="1050">
                <a:effectLst/>
              </a:endParaRPr>
            </a:p>
            <a:p>
              <a:endParaRPr lang="es-MX" sz="1050" b="0"/>
            </a:p>
            <a:p>
              <a:endParaRPr lang="es-MX" sz="1050" b="0"/>
            </a:p>
          </xdr:txBody>
        </xdr:sp>
      </mc:Fallback>
    </mc:AlternateContent>
    <xdr:clientData/>
  </xdr:oneCellAnchor>
  <xdr:oneCellAnchor>
    <xdr:from>
      <xdr:col>12</xdr:col>
      <xdr:colOff>2095500</xdr:colOff>
      <xdr:row>422</xdr:row>
      <xdr:rowOff>1000124</xdr:rowOff>
    </xdr:from>
    <xdr:ext cx="409575" cy="416720"/>
    <xdr:pic>
      <xdr:nvPicPr>
        <xdr:cNvPr id="840" name="Gráfico 839" descr="Hogar">
          <a:hlinkClick xmlns:r="http://schemas.openxmlformats.org/officeDocument/2006/relationships" r:id="rId95"/>
          <a:extLst>
            <a:ext uri="{FF2B5EF4-FFF2-40B4-BE49-F238E27FC236}">
              <a16:creationId xmlns:a16="http://schemas.microsoft.com/office/drawing/2014/main" id="{CDD93351-78E3-4CF6-9047-7ED2577DEE9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54475" y="319601849"/>
          <a:ext cx="409575" cy="416720"/>
        </a:xfrm>
        <a:prstGeom prst="rect">
          <a:avLst/>
        </a:prstGeom>
      </xdr:spPr>
    </xdr:pic>
    <xdr:clientData/>
  </xdr:oneCellAnchor>
  <xdr:oneCellAnchor>
    <xdr:from>
      <xdr:col>9</xdr:col>
      <xdr:colOff>328084</xdr:colOff>
      <xdr:row>422</xdr:row>
      <xdr:rowOff>590551</xdr:rowOff>
    </xdr:from>
    <xdr:ext cx="1745191" cy="319511"/>
    <mc:AlternateContent xmlns:mc="http://schemas.openxmlformats.org/markup-compatibility/2006" xmlns:a14="http://schemas.microsoft.com/office/drawing/2010/main">
      <mc:Choice Requires="a14">
        <xdr:sp macro="" textlink="">
          <xdr:nvSpPr>
            <xdr:cNvPr id="843" name="CuadroTexto 842">
              <a:extLst>
                <a:ext uri="{FF2B5EF4-FFF2-40B4-BE49-F238E27FC236}">
                  <a16:creationId xmlns:a16="http://schemas.microsoft.com/office/drawing/2014/main" id="{88196DAC-96CA-4DA4-BE58-3FF61A2CC98F}"/>
                </a:ext>
              </a:extLst>
            </xdr:cNvPr>
            <xdr:cNvSpPr txBox="1"/>
          </xdr:nvSpPr>
          <xdr:spPr>
            <a:xfrm>
              <a:off x="10154709" y="354984051"/>
              <a:ext cx="1745191"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1000</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1.44 </m:t>
                        </m:r>
                        <m:r>
                          <a:rPr lang="es-MX" sz="1000" b="0" i="1">
                            <a:solidFill>
                              <a:schemeClr val="tx1"/>
                            </a:solidFill>
                            <a:effectLst/>
                            <a:latin typeface="Cambria Math" panose="02040503050406030204" pitchFamily="18" charset="0"/>
                            <a:ea typeface="+mn-ea"/>
                            <a:cs typeface="+mn-cs"/>
                          </a:rPr>
                          <m:t>𝑘𝑤h</m:t>
                        </m:r>
                      </m:num>
                      <m:den>
                        <m:r>
                          <a:rPr lang="es-MX" sz="1000" b="0" i="1">
                            <a:solidFill>
                              <a:schemeClr val="tx1"/>
                            </a:solidFill>
                            <a:effectLst/>
                            <a:latin typeface="Cambria Math" panose="02040503050406030204" pitchFamily="18" charset="0"/>
                            <a:ea typeface="+mn-ea"/>
                            <a:cs typeface="+mn-cs"/>
                          </a:rPr>
                          <m:t>?(1,440)</m:t>
                        </m:r>
                      </m:den>
                    </m:f>
                    <m:r>
                      <a:rPr lang="es-MX" sz="1000" b="0" i="1">
                        <a:latin typeface="Cambria Math" panose="02040503050406030204" pitchFamily="18" charset="0"/>
                      </a:rPr>
                      <m:t> </m:t>
                    </m:r>
                  </m:oMath>
                </m:oMathPara>
              </a14:m>
              <a:endParaRPr lang="es-MX" sz="1000"/>
            </a:p>
          </xdr:txBody>
        </xdr:sp>
      </mc:Choice>
      <mc:Fallback xmlns="">
        <xdr:sp macro="" textlink="">
          <xdr:nvSpPr>
            <xdr:cNvPr id="843" name="CuadroTexto 842">
              <a:extLst>
                <a:ext uri="{FF2B5EF4-FFF2-40B4-BE49-F238E27FC236}">
                  <a16:creationId xmlns:a16="http://schemas.microsoft.com/office/drawing/2014/main" id="{88196DAC-96CA-4DA4-BE58-3FF61A2CC98F}"/>
                </a:ext>
              </a:extLst>
            </xdr:cNvPr>
            <xdr:cNvSpPr txBox="1"/>
          </xdr:nvSpPr>
          <xdr:spPr>
            <a:xfrm>
              <a:off x="10154709" y="354984051"/>
              <a:ext cx="1745191"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𝑘𝑔 𝑣𝑖𝑑𝑟𝑖𝑜 )/1000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1.44 𝑘𝑤ℎ)/(?(1,440)) </a:t>
              </a:r>
              <a:r>
                <a:rPr lang="es-MX" sz="1000" b="0" i="0">
                  <a:latin typeface="Cambria Math" panose="02040503050406030204" pitchFamily="18" charset="0"/>
                </a:rPr>
                <a:t> </a:t>
              </a:r>
              <a:endParaRPr lang="es-MX" sz="1000"/>
            </a:p>
          </xdr:txBody>
        </xdr:sp>
      </mc:Fallback>
    </mc:AlternateContent>
    <xdr:clientData/>
  </xdr:oneCellAnchor>
  <xdr:oneCellAnchor>
    <xdr:from>
      <xdr:col>12</xdr:col>
      <xdr:colOff>2486025</xdr:colOff>
      <xdr:row>422</xdr:row>
      <xdr:rowOff>1076325</xdr:rowOff>
    </xdr:from>
    <xdr:ext cx="356660" cy="356660"/>
    <xdr:pic>
      <xdr:nvPicPr>
        <xdr:cNvPr id="875" name="Gráfico 874" descr="Inalámbrico">
          <a:hlinkClick xmlns:r="http://schemas.openxmlformats.org/officeDocument/2006/relationships" r:id="rId96"/>
          <a:extLst>
            <a:ext uri="{FF2B5EF4-FFF2-40B4-BE49-F238E27FC236}">
              <a16:creationId xmlns:a16="http://schemas.microsoft.com/office/drawing/2014/main" id="{B9FFB58E-8DFD-4464-9FAF-402939E5D02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45000" y="319678050"/>
          <a:ext cx="356660" cy="356660"/>
        </a:xfrm>
        <a:prstGeom prst="rect">
          <a:avLst/>
        </a:prstGeom>
      </xdr:spPr>
    </xdr:pic>
    <xdr:clientData/>
  </xdr:oneCellAnchor>
  <xdr:oneCellAnchor>
    <xdr:from>
      <xdr:col>12</xdr:col>
      <xdr:colOff>2562225</xdr:colOff>
      <xdr:row>423</xdr:row>
      <xdr:rowOff>114299</xdr:rowOff>
    </xdr:from>
    <xdr:ext cx="175685" cy="175685"/>
    <xdr:pic>
      <xdr:nvPicPr>
        <xdr:cNvPr id="877" name="Gráfico 876" descr="Inalámbrico">
          <a:hlinkClick xmlns:r="http://schemas.openxmlformats.org/officeDocument/2006/relationships" r:id="rId90"/>
          <a:extLst>
            <a:ext uri="{FF2B5EF4-FFF2-40B4-BE49-F238E27FC236}">
              <a16:creationId xmlns:a16="http://schemas.microsoft.com/office/drawing/2014/main" id="{D3CA41EE-A1EB-4926-9577-93FC9EF45C6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21200" y="320125724"/>
          <a:ext cx="175685" cy="175685"/>
        </a:xfrm>
        <a:prstGeom prst="rect">
          <a:avLst/>
        </a:prstGeom>
      </xdr:spPr>
    </xdr:pic>
    <xdr:clientData/>
  </xdr:oneCellAnchor>
  <xdr:oneCellAnchor>
    <xdr:from>
      <xdr:col>12</xdr:col>
      <xdr:colOff>2212399</xdr:colOff>
      <xdr:row>423</xdr:row>
      <xdr:rowOff>53962</xdr:rowOff>
    </xdr:from>
    <xdr:ext cx="206951" cy="208985"/>
    <xdr:pic>
      <xdr:nvPicPr>
        <xdr:cNvPr id="880" name="Gráfico 879" descr="Hogar">
          <a:hlinkClick xmlns:r="http://schemas.openxmlformats.org/officeDocument/2006/relationships" r:id="rId89"/>
          <a:extLst>
            <a:ext uri="{FF2B5EF4-FFF2-40B4-BE49-F238E27FC236}">
              <a16:creationId xmlns:a16="http://schemas.microsoft.com/office/drawing/2014/main" id="{AB958257-CF1D-48BC-B009-DFDBBDC959F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71374" y="320065387"/>
          <a:ext cx="206951" cy="208985"/>
        </a:xfrm>
        <a:prstGeom prst="rect">
          <a:avLst/>
        </a:prstGeom>
      </xdr:spPr>
    </xdr:pic>
    <xdr:clientData/>
  </xdr:oneCellAnchor>
  <xdr:oneCellAnchor>
    <xdr:from>
      <xdr:col>12</xdr:col>
      <xdr:colOff>2533650</xdr:colOff>
      <xdr:row>423</xdr:row>
      <xdr:rowOff>333375</xdr:rowOff>
    </xdr:from>
    <xdr:ext cx="223310" cy="223310"/>
    <xdr:pic>
      <xdr:nvPicPr>
        <xdr:cNvPr id="889" name="Gráfico 888" descr="Inalámbrico">
          <a:hlinkClick xmlns:r="http://schemas.openxmlformats.org/officeDocument/2006/relationships" r:id="rId78"/>
          <a:extLst>
            <a:ext uri="{FF2B5EF4-FFF2-40B4-BE49-F238E27FC236}">
              <a16:creationId xmlns:a16="http://schemas.microsoft.com/office/drawing/2014/main" id="{9314F74D-3E50-4C91-9A51-6F9A5B5D7BF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2625" y="320344800"/>
          <a:ext cx="223310" cy="223310"/>
        </a:xfrm>
        <a:prstGeom prst="rect">
          <a:avLst/>
        </a:prstGeom>
      </xdr:spPr>
    </xdr:pic>
    <xdr:clientData/>
  </xdr:oneCellAnchor>
  <xdr:oneCellAnchor>
    <xdr:from>
      <xdr:col>12</xdr:col>
      <xdr:colOff>2200276</xdr:colOff>
      <xdr:row>423</xdr:row>
      <xdr:rowOff>288223</xdr:rowOff>
    </xdr:from>
    <xdr:ext cx="247650" cy="250084"/>
    <xdr:pic>
      <xdr:nvPicPr>
        <xdr:cNvPr id="893" name="Gráfico 892" descr="Hogar">
          <a:hlinkClick xmlns:r="http://schemas.openxmlformats.org/officeDocument/2006/relationships" r:id="rId97"/>
          <a:extLst>
            <a:ext uri="{FF2B5EF4-FFF2-40B4-BE49-F238E27FC236}">
              <a16:creationId xmlns:a16="http://schemas.microsoft.com/office/drawing/2014/main" id="{6E337889-DDA0-4297-AEC7-5E80284A848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59251" y="320299648"/>
          <a:ext cx="247650" cy="250084"/>
        </a:xfrm>
        <a:prstGeom prst="rect">
          <a:avLst/>
        </a:prstGeom>
      </xdr:spPr>
    </xdr:pic>
    <xdr:clientData/>
  </xdr:oneCellAnchor>
  <xdr:oneCellAnchor>
    <xdr:from>
      <xdr:col>8</xdr:col>
      <xdr:colOff>1909762</xdr:colOff>
      <xdr:row>433</xdr:row>
      <xdr:rowOff>363537</xdr:rowOff>
    </xdr:from>
    <xdr:ext cx="1795463" cy="140872"/>
    <mc:AlternateContent xmlns:mc="http://schemas.openxmlformats.org/markup-compatibility/2006" xmlns:a14="http://schemas.microsoft.com/office/drawing/2010/main">
      <mc:Choice Requires="a14">
        <xdr:sp macro="" textlink="">
          <xdr:nvSpPr>
            <xdr:cNvPr id="894" name="CuadroTexto 893">
              <a:extLst>
                <a:ext uri="{FF2B5EF4-FFF2-40B4-BE49-F238E27FC236}">
                  <a16:creationId xmlns:a16="http://schemas.microsoft.com/office/drawing/2014/main" id="{BB708932-C851-4A4C-A6B3-832C44B4DC04}"/>
                </a:ext>
              </a:extLst>
            </xdr:cNvPr>
            <xdr:cNvSpPr txBox="1"/>
          </xdr:nvSpPr>
          <xdr:spPr>
            <a:xfrm>
              <a:off x="8767762" y="259805487"/>
              <a:ext cx="1795463"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900" b="0" i="1">
                        <a:latin typeface="Cambria Math" panose="02040503050406030204" pitchFamily="18" charset="0"/>
                      </a:rPr>
                      <m:t> </m:t>
                    </m:r>
                  </m:oMath>
                </m:oMathPara>
              </a14:m>
              <a:endParaRPr lang="es-MX" sz="900"/>
            </a:p>
          </xdr:txBody>
        </xdr:sp>
      </mc:Choice>
      <mc:Fallback xmlns="">
        <xdr:sp macro="" textlink="">
          <xdr:nvSpPr>
            <xdr:cNvPr id="894" name="CuadroTexto 893">
              <a:extLst>
                <a:ext uri="{FF2B5EF4-FFF2-40B4-BE49-F238E27FC236}">
                  <a16:creationId xmlns:a16="http://schemas.microsoft.com/office/drawing/2014/main" id="{BB708932-C851-4A4C-A6B3-832C44B4DC04}"/>
                </a:ext>
              </a:extLst>
            </xdr:cNvPr>
            <xdr:cNvSpPr txBox="1"/>
          </xdr:nvSpPr>
          <xdr:spPr>
            <a:xfrm>
              <a:off x="8767762" y="259805487"/>
              <a:ext cx="1795463" cy="140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b="0" i="0">
                  <a:latin typeface="Cambria Math" panose="02040503050406030204" pitchFamily="18" charset="0"/>
                </a:rPr>
                <a:t> </a:t>
              </a:r>
              <a:endParaRPr lang="es-MX" sz="900"/>
            </a:p>
          </xdr:txBody>
        </xdr:sp>
      </mc:Fallback>
    </mc:AlternateContent>
    <xdr:clientData/>
  </xdr:oneCellAnchor>
  <xdr:oneCellAnchor>
    <xdr:from>
      <xdr:col>12</xdr:col>
      <xdr:colOff>2536031</xdr:colOff>
      <xdr:row>433</xdr:row>
      <xdr:rowOff>1103313</xdr:rowOff>
    </xdr:from>
    <xdr:ext cx="352425" cy="352425"/>
    <xdr:pic>
      <xdr:nvPicPr>
        <xdr:cNvPr id="895" name="Gráfico 894" descr="Hogar">
          <a:hlinkClick xmlns:r="http://schemas.openxmlformats.org/officeDocument/2006/relationships" r:id="rId84"/>
          <a:extLst>
            <a:ext uri="{FF2B5EF4-FFF2-40B4-BE49-F238E27FC236}">
              <a16:creationId xmlns:a16="http://schemas.microsoft.com/office/drawing/2014/main" id="{2E244AC2-85D3-49C5-9E8E-BF3FC3E098F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95006" y="260545263"/>
          <a:ext cx="352425" cy="352425"/>
        </a:xfrm>
        <a:prstGeom prst="rect">
          <a:avLst/>
        </a:prstGeom>
      </xdr:spPr>
    </xdr:pic>
    <xdr:clientData/>
  </xdr:oneCellAnchor>
  <xdr:oneCellAnchor>
    <xdr:from>
      <xdr:col>12</xdr:col>
      <xdr:colOff>2464594</xdr:colOff>
      <xdr:row>434</xdr:row>
      <xdr:rowOff>1047750</xdr:rowOff>
    </xdr:from>
    <xdr:ext cx="352425" cy="352425"/>
    <xdr:pic>
      <xdr:nvPicPr>
        <xdr:cNvPr id="896" name="Gráfico 895" descr="Hogar">
          <a:hlinkClick xmlns:r="http://schemas.openxmlformats.org/officeDocument/2006/relationships" r:id="rId84"/>
          <a:extLst>
            <a:ext uri="{FF2B5EF4-FFF2-40B4-BE49-F238E27FC236}">
              <a16:creationId xmlns:a16="http://schemas.microsoft.com/office/drawing/2014/main" id="{C90AF8C0-348A-452D-A32E-4F198AD7C9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123569" y="261908925"/>
          <a:ext cx="352425" cy="352425"/>
        </a:xfrm>
        <a:prstGeom prst="rect">
          <a:avLst/>
        </a:prstGeom>
      </xdr:spPr>
    </xdr:pic>
    <xdr:clientData/>
  </xdr:oneCellAnchor>
  <xdr:oneCellAnchor>
    <xdr:from>
      <xdr:col>9</xdr:col>
      <xdr:colOff>505692</xdr:colOff>
      <xdr:row>433</xdr:row>
      <xdr:rowOff>299026</xdr:rowOff>
    </xdr:from>
    <xdr:ext cx="1401762" cy="545524"/>
    <mc:AlternateContent xmlns:mc="http://schemas.openxmlformats.org/markup-compatibility/2006" xmlns:a14="http://schemas.microsoft.com/office/drawing/2010/main">
      <mc:Choice Requires="a14">
        <xdr:sp macro="" textlink="">
          <xdr:nvSpPr>
            <xdr:cNvPr id="897" name="CuadroTexto 896">
              <a:extLst>
                <a:ext uri="{FF2B5EF4-FFF2-40B4-BE49-F238E27FC236}">
                  <a16:creationId xmlns:a16="http://schemas.microsoft.com/office/drawing/2014/main" id="{DBD70AAB-7FE5-4B62-BB6E-5F8954B746FC}"/>
                </a:ext>
              </a:extLst>
            </xdr:cNvPr>
            <xdr:cNvSpPr txBox="1"/>
          </xdr:nvSpPr>
          <xdr:spPr>
            <a:xfrm>
              <a:off x="10332317" y="362391901"/>
              <a:ext cx="1401762" cy="5455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 á</m:t>
                        </m:r>
                        <m:r>
                          <a:rPr lang="es-MX" sz="800" b="0" i="1">
                            <a:solidFill>
                              <a:schemeClr val="tx1"/>
                            </a:solidFill>
                            <a:effectLst/>
                            <a:latin typeface="Cambria Math" panose="02040503050406030204" pitchFamily="18" charset="0"/>
                            <a:ea typeface="+mn-ea"/>
                            <a:cs typeface="+mn-cs"/>
                          </a:rPr>
                          <m:t>𝑟𝑏𝑜𝑙</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38.46 </m:t>
                        </m:r>
                        <m:r>
                          <a:rPr lang="es-MX" sz="800" b="0" i="1">
                            <a:solidFill>
                              <a:schemeClr val="tx1"/>
                            </a:solidFill>
                            <a:effectLst/>
                            <a:latin typeface="Cambria Math" panose="02040503050406030204" pitchFamily="18" charset="0"/>
                            <a:ea typeface="+mn-ea"/>
                            <a:cs typeface="+mn-cs"/>
                          </a:rPr>
                          <m:t>𝑘𝑔𝐶𝑜</m:t>
                        </m:r>
                        <m:r>
                          <a:rPr lang="es-MX" sz="800" b="0" i="1">
                            <a:solidFill>
                              <a:schemeClr val="tx1"/>
                            </a:solidFill>
                            <a:effectLst/>
                            <a:latin typeface="Cambria Math" panose="02040503050406030204" pitchFamily="18" charset="0"/>
                            <a:ea typeface="+mn-ea"/>
                            <a:cs typeface="+mn-cs"/>
                          </a:rPr>
                          <m:t>2 </m:t>
                        </m:r>
                      </m:num>
                      <m:den>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Co</m:t>
                        </m:r>
                        <m:r>
                          <a:rPr lang="es-MX" sz="800" b="0" i="0">
                            <a:solidFill>
                              <a:schemeClr val="tx1"/>
                            </a:solidFill>
                            <a:effectLst/>
                            <a:latin typeface="Cambria Math" panose="02040503050406030204" pitchFamily="18" charset="0"/>
                            <a:ea typeface="+mn-ea"/>
                            <a:cs typeface="+mn-cs"/>
                          </a:rPr>
                          <m:t>2</m:t>
                        </m:r>
                      </m:den>
                    </m:f>
                    <m:r>
                      <a:rPr lang="es-MX" sz="800" b="0" i="1">
                        <a:solidFill>
                          <a:schemeClr val="tx1"/>
                        </a:solidFill>
                        <a:effectLst/>
                        <a:latin typeface="Cambria Math" panose="02040503050406030204" pitchFamily="18" charset="0"/>
                        <a:ea typeface="+mn-ea"/>
                        <a:cs typeface="+mn-cs"/>
                      </a:rPr>
                      <m:t> </m:t>
                    </m:r>
                  </m:oMath>
                </m:oMathPara>
              </a14:m>
              <a:endParaRPr lang="es-MX" sz="800"/>
            </a:p>
            <a:p>
              <a:endParaRPr lang="es-MX" sz="800"/>
            </a:p>
            <a:p>
              <a:endParaRPr lang="es-MX" sz="800"/>
            </a:p>
          </xdr:txBody>
        </xdr:sp>
      </mc:Choice>
      <mc:Fallback xmlns="">
        <xdr:sp macro="" textlink="">
          <xdr:nvSpPr>
            <xdr:cNvPr id="897" name="CuadroTexto 896">
              <a:extLst>
                <a:ext uri="{FF2B5EF4-FFF2-40B4-BE49-F238E27FC236}">
                  <a16:creationId xmlns:a16="http://schemas.microsoft.com/office/drawing/2014/main" id="{DBD70AAB-7FE5-4B62-BB6E-5F8954B746FC}"/>
                </a:ext>
              </a:extLst>
            </xdr:cNvPr>
            <xdr:cNvSpPr txBox="1"/>
          </xdr:nvSpPr>
          <xdr:spPr>
            <a:xfrm>
              <a:off x="10332317" y="362391901"/>
              <a:ext cx="1401762" cy="5455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 á𝑟𝑏𝑜𝑙  )/(?())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38.46 𝑘𝑔𝐶𝑜2 )/( kg Co2)  </a:t>
              </a:r>
              <a:endParaRPr lang="es-MX" sz="800"/>
            </a:p>
            <a:p>
              <a:endParaRPr lang="es-MX" sz="800"/>
            </a:p>
            <a:p>
              <a:endParaRPr lang="es-MX" sz="800"/>
            </a:p>
          </xdr:txBody>
        </xdr:sp>
      </mc:Fallback>
    </mc:AlternateContent>
    <xdr:clientData/>
  </xdr:oneCellAnchor>
  <xdr:oneCellAnchor>
    <xdr:from>
      <xdr:col>10</xdr:col>
      <xdr:colOff>342397</xdr:colOff>
      <xdr:row>433</xdr:row>
      <xdr:rowOff>135711</xdr:rowOff>
    </xdr:from>
    <xdr:ext cx="1372104" cy="479084"/>
    <mc:AlternateContent xmlns:mc="http://schemas.openxmlformats.org/markup-compatibility/2006" xmlns:a14="http://schemas.microsoft.com/office/drawing/2010/main">
      <mc:Choice Requires="a14">
        <xdr:sp macro="" textlink="">
          <xdr:nvSpPr>
            <xdr:cNvPr id="898" name="CuadroTexto 897">
              <a:extLst>
                <a:ext uri="{FF2B5EF4-FFF2-40B4-BE49-F238E27FC236}">
                  <a16:creationId xmlns:a16="http://schemas.microsoft.com/office/drawing/2014/main" id="{9CCCD81C-DE30-4E82-9C4D-357FD4F39D34}"/>
                </a:ext>
              </a:extLst>
            </xdr:cNvPr>
            <xdr:cNvSpPr txBox="1"/>
          </xdr:nvSpPr>
          <xdr:spPr>
            <a:xfrm>
              <a:off x="11019922" y="259577661"/>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1 </m:t>
                    </m:r>
                    <m:r>
                      <a:rPr lang="es-MX" sz="800" b="0" i="1">
                        <a:latin typeface="Cambria Math" panose="02040503050406030204" pitchFamily="18" charset="0"/>
                      </a:rPr>
                      <m:t>𝑘𝑔</m:t>
                    </m:r>
                    <m:r>
                      <a:rPr lang="es-MX" sz="800" b="0" i="1">
                        <a:latin typeface="Cambria Math" panose="02040503050406030204" pitchFamily="18" charset="0"/>
                      </a:rPr>
                      <m:t> </m:t>
                    </m:r>
                    <m:r>
                      <a:rPr lang="es-MX" sz="800" b="0" i="1">
                        <a:latin typeface="Cambria Math" panose="02040503050406030204" pitchFamily="18" charset="0"/>
                      </a:rPr>
                      <m:t>𝑉𝑖𝑑𝑟𝑖𝑜</m:t>
                    </m:r>
                    <m:r>
                      <a:rPr lang="es-MX" sz="800" b="0" i="1">
                        <a:latin typeface="Cambria Math" panose="02040503050406030204" pitchFamily="18" charset="0"/>
                      </a:rPr>
                      <m:t>=</m:t>
                    </m:r>
                    <m:r>
                      <a:rPr lang="es-MX" sz="800" b="0" i="0">
                        <a:latin typeface="Cambria Math" panose="02040503050406030204" pitchFamily="18" charset="0"/>
                      </a:rPr>
                      <m:t>  á</m:t>
                    </m:r>
                    <m:r>
                      <m:rPr>
                        <m:sty m:val="p"/>
                      </m:rPr>
                      <a:rPr lang="es-MX" sz="800" b="0" i="0">
                        <a:latin typeface="Cambria Math" panose="02040503050406030204" pitchFamily="18" charset="0"/>
                      </a:rPr>
                      <m:t>rboles</m:t>
                    </m:r>
                  </m:oMath>
                </m:oMathPara>
              </a14:m>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800" b="0" i="1">
                        <a:solidFill>
                          <a:schemeClr val="tx1"/>
                        </a:solidFill>
                        <a:effectLst/>
                        <a:latin typeface="Cambria Math" panose="02040503050406030204" pitchFamily="18" charset="0"/>
                        <a:ea typeface="+mn-ea"/>
                        <a:cs typeface="+mn-cs"/>
                      </a:rPr>
                      <m:t>1 </m:t>
                    </m:r>
                    <m:r>
                      <a:rPr lang="es-MX" sz="800" b="0" i="1">
                        <a:solidFill>
                          <a:schemeClr val="tx1"/>
                        </a:solidFill>
                        <a:effectLst/>
                        <a:latin typeface="Cambria Math" panose="02040503050406030204" pitchFamily="18" charset="0"/>
                        <a:ea typeface="+mn-ea"/>
                        <a:cs typeface="+mn-cs"/>
                      </a:rPr>
                      <m:t>𝑡𝑜𝑛</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𝑉𝑖𝑑𝑟𝑖𝑜</m:t>
                    </m:r>
                    <m:r>
                      <a:rPr lang="es-MX" sz="800" b="0" i="1">
                        <a:solidFill>
                          <a:schemeClr val="tx1"/>
                        </a:solidFill>
                        <a:effectLst/>
                        <a:latin typeface="Cambria Math" panose="02040503050406030204" pitchFamily="18" charset="0"/>
                        <a:ea typeface="+mn-ea"/>
                        <a:cs typeface="+mn-cs"/>
                      </a:rPr>
                      <m:t>=</m:t>
                    </m:r>
                    <m:r>
                      <a:rPr lang="es-MX" sz="800" b="0" i="0">
                        <a:solidFill>
                          <a:schemeClr val="tx1"/>
                        </a:solidFill>
                        <a:effectLst/>
                        <a:latin typeface="Cambria Math" panose="02040503050406030204" pitchFamily="18" charset="0"/>
                        <a:ea typeface="+mn-ea"/>
                        <a:cs typeface="+mn-cs"/>
                      </a:rPr>
                      <m:t> á</m:t>
                    </m:r>
                    <m:r>
                      <m:rPr>
                        <m:sty m:val="p"/>
                      </m:rPr>
                      <a:rPr lang="es-MX" sz="800" b="0" i="0">
                        <a:solidFill>
                          <a:schemeClr val="tx1"/>
                        </a:solidFill>
                        <a:effectLst/>
                        <a:latin typeface="Cambria Math" panose="02040503050406030204" pitchFamily="18" charset="0"/>
                        <a:ea typeface="+mn-ea"/>
                        <a:cs typeface="+mn-cs"/>
                      </a:rPr>
                      <m:t>rboles</m:t>
                    </m:r>
                  </m:oMath>
                </m:oMathPara>
              </a14:m>
              <a:endParaRPr lang="es-MX" sz="800">
                <a:effectLst/>
              </a:endParaRPr>
            </a:p>
          </xdr:txBody>
        </xdr:sp>
      </mc:Choice>
      <mc:Fallback xmlns="">
        <xdr:sp macro="" textlink="">
          <xdr:nvSpPr>
            <xdr:cNvPr id="898" name="CuadroTexto 897">
              <a:extLst>
                <a:ext uri="{FF2B5EF4-FFF2-40B4-BE49-F238E27FC236}">
                  <a16:creationId xmlns:a16="http://schemas.microsoft.com/office/drawing/2014/main" id="{9CCCD81C-DE30-4E82-9C4D-357FD4F39D34}"/>
                </a:ext>
              </a:extLst>
            </xdr:cNvPr>
            <xdr:cNvSpPr txBox="1"/>
          </xdr:nvSpPr>
          <xdr:spPr>
            <a:xfrm>
              <a:off x="11019922" y="259577661"/>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r>
                <a:rPr lang="es-MX" sz="800" b="0" i="0">
                  <a:latin typeface="Cambria Math" panose="02040503050406030204" pitchFamily="18" charset="0"/>
                </a:rPr>
                <a:t>1 𝑘𝑔 𝑉𝑖𝑑𝑟𝑖𝑜=  árboles</a:t>
              </a:r>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0">
                  <a:solidFill>
                    <a:schemeClr val="tx1"/>
                  </a:solidFill>
                  <a:effectLst/>
                  <a:latin typeface="Cambria Math" panose="02040503050406030204" pitchFamily="18" charset="0"/>
                  <a:ea typeface="+mn-ea"/>
                  <a:cs typeface="+mn-cs"/>
                </a:rPr>
                <a:t>1 𝑡𝑜𝑛 𝑉𝑖𝑑𝑟𝑖𝑜= árboles</a:t>
              </a:r>
              <a:endParaRPr lang="es-MX" sz="800">
                <a:effectLst/>
              </a:endParaRPr>
            </a:p>
          </xdr:txBody>
        </xdr:sp>
      </mc:Fallback>
    </mc:AlternateContent>
    <xdr:clientData/>
  </xdr:oneCellAnchor>
  <xdr:oneCellAnchor>
    <xdr:from>
      <xdr:col>9</xdr:col>
      <xdr:colOff>251113</xdr:colOff>
      <xdr:row>434</xdr:row>
      <xdr:rowOff>319808</xdr:rowOff>
    </xdr:from>
    <xdr:ext cx="1827069" cy="738043"/>
    <mc:AlternateContent xmlns:mc="http://schemas.openxmlformats.org/markup-compatibility/2006" xmlns:a14="http://schemas.microsoft.com/office/drawing/2010/main">
      <mc:Choice Requires="a14">
        <xdr:sp macro="" textlink="">
          <xdr:nvSpPr>
            <xdr:cNvPr id="899" name="CuadroTexto 898">
              <a:extLst>
                <a:ext uri="{FF2B5EF4-FFF2-40B4-BE49-F238E27FC236}">
                  <a16:creationId xmlns:a16="http://schemas.microsoft.com/office/drawing/2014/main" id="{453CFC46-4471-48C0-A2D3-E06693BAB99E}"/>
                </a:ext>
              </a:extLst>
            </xdr:cNvPr>
            <xdr:cNvSpPr txBox="1"/>
          </xdr:nvSpPr>
          <xdr:spPr>
            <a:xfrm>
              <a:off x="10077738" y="363825558"/>
              <a:ext cx="1827069" cy="738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274,000,000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726 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1</m:t>
                        </m:r>
                      </m:den>
                    </m:f>
                    <m:r>
                      <a:rPr lang="es-MX" sz="800" b="0" i="1">
                        <a:latin typeface="Cambria Math" panose="02040503050406030204" pitchFamily="18" charset="0"/>
                      </a:rPr>
                      <m:t> </m:t>
                    </m:r>
                  </m:oMath>
                </m:oMathPara>
              </a14:m>
              <a:endParaRPr lang="es-MX" sz="800" b="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 1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899" name="CuadroTexto 898">
              <a:extLst>
                <a:ext uri="{FF2B5EF4-FFF2-40B4-BE49-F238E27FC236}">
                  <a16:creationId xmlns:a16="http://schemas.microsoft.com/office/drawing/2014/main" id="{453CFC46-4471-48C0-A2D3-E06693BAB99E}"/>
                </a:ext>
              </a:extLst>
            </xdr:cNvPr>
            <xdr:cNvSpPr txBox="1"/>
          </xdr:nvSpPr>
          <xdr:spPr>
            <a:xfrm>
              <a:off x="10077738" y="363825558"/>
              <a:ext cx="1827069" cy="738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274,000,000 á𝑟𝑏𝑜𝑙𝑒𝑠 )/(?())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726 𝐵. 𝐶ℎ𝑎𝑝𝑢)/1 </a:t>
              </a:r>
              <a:r>
                <a:rPr lang="es-MX" sz="800" b="0" i="0">
                  <a:latin typeface="Cambria Math" panose="02040503050406030204" pitchFamily="18" charset="0"/>
                </a:rPr>
                <a:t> </a:t>
              </a:r>
              <a:endParaRPr lang="es-MX" sz="800" b="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 á𝑟𝑏𝑜𝑙𝑒𝑠 )/(?())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 1 𝐵. 𝐶ℎ𝑎𝑝𝑢)/(?())  </a:t>
              </a:r>
              <a:endParaRPr lang="es-MX" sz="800"/>
            </a:p>
          </xdr:txBody>
        </xdr:sp>
      </mc:Fallback>
    </mc:AlternateContent>
    <xdr:clientData/>
  </xdr:oneCellAnchor>
  <xdr:oneCellAnchor>
    <xdr:from>
      <xdr:col>10</xdr:col>
      <xdr:colOff>222106</xdr:colOff>
      <xdr:row>434</xdr:row>
      <xdr:rowOff>202019</xdr:rowOff>
    </xdr:from>
    <xdr:ext cx="1762126" cy="500810"/>
    <mc:AlternateContent xmlns:mc="http://schemas.openxmlformats.org/markup-compatibility/2006" xmlns:a14="http://schemas.microsoft.com/office/drawing/2010/main">
      <mc:Choice Requires="a14">
        <xdr:sp macro="" textlink="">
          <xdr:nvSpPr>
            <xdr:cNvPr id="900" name="CuadroTexto 899">
              <a:extLst>
                <a:ext uri="{FF2B5EF4-FFF2-40B4-BE49-F238E27FC236}">
                  <a16:creationId xmlns:a16="http://schemas.microsoft.com/office/drawing/2014/main" id="{814E640F-11A0-40D5-9999-F3209A464E46}"/>
                </a:ext>
              </a:extLst>
            </xdr:cNvPr>
            <xdr:cNvSpPr txBox="1"/>
          </xdr:nvSpPr>
          <xdr:spPr>
            <a:xfrm>
              <a:off x="12604606" y="363707769"/>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𝐵𝑜𝑠𝑞𝑢𝑒</m:t>
                    </m:r>
                    <m:r>
                      <a:rPr lang="es-MX" sz="1000" b="0" i="1">
                        <a:latin typeface="Cambria Math" panose="02040503050406030204" pitchFamily="18" charset="0"/>
                      </a:rPr>
                      <m:t>=377,410 á</m:t>
                    </m:r>
                    <m:r>
                      <a:rPr lang="es-MX" sz="1000" b="0" i="1">
                        <a:latin typeface="Cambria Math" panose="02040503050406030204" pitchFamily="18" charset="0"/>
                      </a:rPr>
                      <m:t>𝑟𝑏𝑜𝑙𝑒𝑠</m:t>
                    </m:r>
                  </m:oMath>
                </m:oMathPara>
              </a14:m>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m:t>
                    </m:r>
                    <m:r>
                      <a:rPr lang="es-MX" sz="1000" b="0" i="0">
                        <a:latin typeface="Cambria Math" panose="02040503050406030204" pitchFamily="18" charset="0"/>
                      </a:rPr>
                      <m:t>0 </m:t>
                    </m:r>
                    <m:r>
                      <m:rPr>
                        <m:sty m:val="p"/>
                      </m:rPr>
                      <a:rPr lang="es-MX" sz="1000" b="0" i="0">
                        <a:latin typeface="Cambria Math" panose="02040503050406030204" pitchFamily="18" charset="0"/>
                      </a:rPr>
                      <m:t>B</m:t>
                    </m:r>
                    <m:r>
                      <a:rPr lang="es-MX" sz="1000" b="0" i="0">
                        <a:latin typeface="Cambria Math" panose="02040503050406030204" pitchFamily="18" charset="0"/>
                      </a:rPr>
                      <m:t>. </m:t>
                    </m:r>
                    <m:r>
                      <m:rPr>
                        <m:sty m:val="p"/>
                      </m:rPr>
                      <a:rPr lang="es-MX" sz="1000" b="0" i="0">
                        <a:latin typeface="Cambria Math" panose="02040503050406030204" pitchFamily="18" charset="0"/>
                      </a:rPr>
                      <m:t>Chapu</m:t>
                    </m:r>
                  </m:oMath>
                </m:oMathPara>
              </a14:m>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m:t>
                    </m:r>
                    <m:r>
                      <m:rPr>
                        <m:sty m:val="p"/>
                      </m:rPr>
                      <a:rPr lang="es-MX" sz="1000" b="0" i="0">
                        <a:solidFill>
                          <a:schemeClr val="tx1"/>
                        </a:solidFill>
                        <a:effectLst/>
                        <a:latin typeface="Cambria Math" panose="02040503050406030204" pitchFamily="18" charset="0"/>
                        <a:ea typeface="+mn-ea"/>
                        <a:cs typeface="+mn-cs"/>
                      </a:rPr>
                      <m:t>B</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Chap</m:t>
                    </m:r>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900" name="CuadroTexto 899">
              <a:extLst>
                <a:ext uri="{FF2B5EF4-FFF2-40B4-BE49-F238E27FC236}">
                  <a16:creationId xmlns:a16="http://schemas.microsoft.com/office/drawing/2014/main" id="{814E640F-11A0-40D5-9999-F3209A464E46}"/>
                </a:ext>
              </a:extLst>
            </xdr:cNvPr>
            <xdr:cNvSpPr txBox="1"/>
          </xdr:nvSpPr>
          <xdr:spPr>
            <a:xfrm>
              <a:off x="12604606" y="363707769"/>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𝐵𝑜𝑠𝑞𝑢𝑒=377,410 á𝑟𝑏𝑜𝑙𝑒𝑠</a:t>
              </a:r>
              <a:endParaRPr lang="es-MX" sz="1000" b="0" i="1">
                <a:latin typeface="Cambria Math" panose="02040503050406030204" pitchFamily="18" charset="0"/>
              </a:endParaRPr>
            </a:p>
            <a:p>
              <a:pPr/>
              <a:r>
                <a:rPr lang="es-MX" sz="1000" b="0" i="0">
                  <a:latin typeface="Cambria Math" panose="02040503050406030204" pitchFamily="18" charset="0"/>
                </a:rPr>
                <a:t>1 𝑘𝑔 𝑣𝑖𝑑𝑟𝑖𝑜=0 B. Chapu</a:t>
              </a: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𝑣𝑖𝑑𝑟𝑖𝑜=B.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9</xdr:col>
      <xdr:colOff>114734</xdr:colOff>
      <xdr:row>441</xdr:row>
      <xdr:rowOff>157308</xdr:rowOff>
    </xdr:from>
    <xdr:ext cx="1742641" cy="552738"/>
    <mc:AlternateContent xmlns:mc="http://schemas.openxmlformats.org/markup-compatibility/2006" xmlns:a14="http://schemas.microsoft.com/office/drawing/2010/main">
      <mc:Choice Requires="a14">
        <xdr:sp macro="" textlink="">
          <xdr:nvSpPr>
            <xdr:cNvPr id="901" name="CuadroTexto 900">
              <a:extLst>
                <a:ext uri="{FF2B5EF4-FFF2-40B4-BE49-F238E27FC236}">
                  <a16:creationId xmlns:a16="http://schemas.microsoft.com/office/drawing/2014/main" id="{7203A72D-9010-459F-96CD-8E8B8F458C47}"/>
                </a:ext>
              </a:extLst>
            </xdr:cNvPr>
            <xdr:cNvSpPr txBox="1"/>
          </xdr:nvSpPr>
          <xdr:spPr>
            <a:xfrm>
              <a:off x="8887259" y="33175113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 </m:t>
                    </m:r>
                    <m:r>
                      <a:rPr lang="es-MX" sz="1000" b="0" i="0">
                        <a:latin typeface="Cambria Math" panose="02040503050406030204" pitchFamily="18" charset="0"/>
                      </a:rPr>
                      <m:t>.006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6.57 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901" name="CuadroTexto 900">
              <a:extLst>
                <a:ext uri="{FF2B5EF4-FFF2-40B4-BE49-F238E27FC236}">
                  <a16:creationId xmlns:a16="http://schemas.microsoft.com/office/drawing/2014/main" id="{7203A72D-9010-459F-96CD-8E8B8F458C47}"/>
                </a:ext>
              </a:extLst>
            </xdr:cNvPr>
            <xdr:cNvSpPr txBox="1"/>
          </xdr:nvSpPr>
          <xdr:spPr>
            <a:xfrm>
              <a:off x="8887259" y="33175113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𝑣𝑖𝑑𝑟𝑖𝑜= .006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𝑣𝑖𝑑𝑟𝑖𝑜=6.57 m3</a:t>
              </a:r>
              <a:endParaRPr lang="es-MX" sz="1000">
                <a:effectLst/>
              </a:endParaRPr>
            </a:p>
            <a:p>
              <a:endParaRPr lang="es-MX" sz="1000" b="0"/>
            </a:p>
          </xdr:txBody>
        </xdr:sp>
      </mc:Fallback>
    </mc:AlternateContent>
    <xdr:clientData/>
  </xdr:oneCellAnchor>
  <xdr:oneCellAnchor>
    <xdr:from>
      <xdr:col>8</xdr:col>
      <xdr:colOff>238126</xdr:colOff>
      <xdr:row>441</xdr:row>
      <xdr:rowOff>246063</xdr:rowOff>
    </xdr:from>
    <xdr:ext cx="1689099" cy="351443"/>
    <mc:AlternateContent xmlns:mc="http://schemas.openxmlformats.org/markup-compatibility/2006" xmlns:a14="http://schemas.microsoft.com/office/drawing/2010/main">
      <mc:Choice Requires="a14">
        <xdr:sp macro="" textlink="">
          <xdr:nvSpPr>
            <xdr:cNvPr id="902" name="CuadroTexto 901">
              <a:extLst>
                <a:ext uri="{FF2B5EF4-FFF2-40B4-BE49-F238E27FC236}">
                  <a16:creationId xmlns:a16="http://schemas.microsoft.com/office/drawing/2014/main" id="{0F339F19-3968-43DF-B9F2-35C76F7F4388}"/>
                </a:ext>
              </a:extLst>
            </xdr:cNvPr>
            <xdr:cNvSpPr txBox="1"/>
          </xdr:nvSpPr>
          <xdr:spPr>
            <a:xfrm>
              <a:off x="7635876" y="369117563"/>
              <a:ext cx="16890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152 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 .006)</m:t>
                        </m:r>
                      </m:den>
                    </m:f>
                    <m:r>
                      <a:rPr lang="es-MX" sz="1600" b="0" i="1">
                        <a:latin typeface="Cambria Math" panose="02040503050406030204" pitchFamily="18" charset="0"/>
                      </a:rPr>
                      <m:t> </m:t>
                    </m:r>
                  </m:oMath>
                </m:oMathPara>
              </a14:m>
              <a:endParaRPr lang="es-MX" sz="1600"/>
            </a:p>
          </xdr:txBody>
        </xdr:sp>
      </mc:Choice>
      <mc:Fallback xmlns="">
        <xdr:sp macro="" textlink="">
          <xdr:nvSpPr>
            <xdr:cNvPr id="902" name="CuadroTexto 901">
              <a:extLst>
                <a:ext uri="{FF2B5EF4-FFF2-40B4-BE49-F238E27FC236}">
                  <a16:creationId xmlns:a16="http://schemas.microsoft.com/office/drawing/2014/main" id="{0F339F19-3968-43DF-B9F2-35C76F7F4388}"/>
                </a:ext>
              </a:extLst>
            </xdr:cNvPr>
            <xdr:cNvSpPr txBox="1"/>
          </xdr:nvSpPr>
          <xdr:spPr>
            <a:xfrm>
              <a:off x="7635876" y="369117563"/>
              <a:ext cx="16890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152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𝑚3)/(?( .006))</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443</xdr:row>
      <xdr:rowOff>214842</xdr:rowOff>
    </xdr:from>
    <xdr:ext cx="1852084" cy="125227"/>
    <xdr:sp macro="" textlink="">
      <xdr:nvSpPr>
        <xdr:cNvPr id="903" name="CuadroTexto 902">
          <a:extLst>
            <a:ext uri="{FF2B5EF4-FFF2-40B4-BE49-F238E27FC236}">
              <a16:creationId xmlns:a16="http://schemas.microsoft.com/office/drawing/2014/main" id="{57A70B70-6149-4C47-BC6C-2CE3B8241B22}"/>
            </a:ext>
          </a:extLst>
        </xdr:cNvPr>
        <xdr:cNvSpPr txBox="1"/>
      </xdr:nvSpPr>
      <xdr:spPr>
        <a:xfrm>
          <a:off x="7001933" y="298461642"/>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269142</xdr:colOff>
      <xdr:row>443</xdr:row>
      <xdr:rowOff>694593</xdr:rowOff>
    </xdr:from>
    <xdr:ext cx="1868525" cy="375680"/>
    <mc:AlternateContent xmlns:mc="http://schemas.openxmlformats.org/markup-compatibility/2006" xmlns:a14="http://schemas.microsoft.com/office/drawing/2010/main">
      <mc:Choice Requires="a14">
        <xdr:sp macro="" textlink="">
          <xdr:nvSpPr>
            <xdr:cNvPr id="904" name="CuadroTexto 903">
              <a:extLst>
                <a:ext uri="{FF2B5EF4-FFF2-40B4-BE49-F238E27FC236}">
                  <a16:creationId xmlns:a16="http://schemas.microsoft.com/office/drawing/2014/main" id="{DE21837A-2185-46CD-8B0B-D7129651A258}"/>
                </a:ext>
              </a:extLst>
            </xdr:cNvPr>
            <xdr:cNvSpPr txBox="1"/>
          </xdr:nvSpPr>
          <xdr:spPr>
            <a:xfrm>
              <a:off x="7666892" y="3723918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904" name="CuadroTexto 903">
              <a:extLst>
                <a:ext uri="{FF2B5EF4-FFF2-40B4-BE49-F238E27FC236}">
                  <a16:creationId xmlns:a16="http://schemas.microsoft.com/office/drawing/2014/main" id="{DE21837A-2185-46CD-8B0B-D7129651A258}"/>
                </a:ext>
              </a:extLst>
            </xdr:cNvPr>
            <xdr:cNvSpPr txBox="1"/>
          </xdr:nvSpPr>
          <xdr:spPr>
            <a:xfrm>
              <a:off x="7666892" y="372391843"/>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420810</xdr:colOff>
      <xdr:row>443</xdr:row>
      <xdr:rowOff>283307</xdr:rowOff>
    </xdr:from>
    <xdr:ext cx="1852084" cy="292196"/>
    <mc:AlternateContent xmlns:mc="http://schemas.openxmlformats.org/markup-compatibility/2006" xmlns:a14="http://schemas.microsoft.com/office/drawing/2010/main">
      <mc:Choice Requires="a14">
        <xdr:sp macro="" textlink="">
          <xdr:nvSpPr>
            <xdr:cNvPr id="905" name="CuadroTexto 904">
              <a:extLst>
                <a:ext uri="{FF2B5EF4-FFF2-40B4-BE49-F238E27FC236}">
                  <a16:creationId xmlns:a16="http://schemas.microsoft.com/office/drawing/2014/main" id="{AC818697-E19C-479C-BF92-2BE845F58666}"/>
                </a:ext>
              </a:extLst>
            </xdr:cNvPr>
            <xdr:cNvSpPr txBox="1"/>
          </xdr:nvSpPr>
          <xdr:spPr>
            <a:xfrm>
              <a:off x="7818560" y="371980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905" name="CuadroTexto 904">
              <a:extLst>
                <a:ext uri="{FF2B5EF4-FFF2-40B4-BE49-F238E27FC236}">
                  <a16:creationId xmlns:a16="http://schemas.microsoft.com/office/drawing/2014/main" id="{AC818697-E19C-479C-BF92-2BE845F58666}"/>
                </a:ext>
              </a:extLst>
            </xdr:cNvPr>
            <xdr:cNvSpPr txBox="1"/>
          </xdr:nvSpPr>
          <xdr:spPr>
            <a:xfrm>
              <a:off x="7818560" y="371980557"/>
              <a:ext cx="1852084" cy="292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133350</xdr:colOff>
      <xdr:row>443</xdr:row>
      <xdr:rowOff>377825</xdr:rowOff>
    </xdr:from>
    <xdr:ext cx="1852084" cy="289246"/>
    <mc:AlternateContent xmlns:mc="http://schemas.openxmlformats.org/markup-compatibility/2006" xmlns:a14="http://schemas.microsoft.com/office/drawing/2010/main">
      <mc:Choice Requires="a14">
        <xdr:sp macro="" textlink="">
          <xdr:nvSpPr>
            <xdr:cNvPr id="906" name="CuadroTexto 905">
              <a:extLst>
                <a:ext uri="{FF2B5EF4-FFF2-40B4-BE49-F238E27FC236}">
                  <a16:creationId xmlns:a16="http://schemas.microsoft.com/office/drawing/2014/main" id="{838A8F12-005D-49AD-BCF3-093D200235A4}"/>
                </a:ext>
              </a:extLst>
            </xdr:cNvPr>
            <xdr:cNvSpPr txBox="1"/>
          </xdr:nvSpPr>
          <xdr:spPr>
            <a:xfrm>
              <a:off x="9959975" y="3720750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.006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906" name="CuadroTexto 905">
              <a:extLst>
                <a:ext uri="{FF2B5EF4-FFF2-40B4-BE49-F238E27FC236}">
                  <a16:creationId xmlns:a16="http://schemas.microsoft.com/office/drawing/2014/main" id="{838A8F12-005D-49AD-BCF3-093D200235A4}"/>
                </a:ext>
              </a:extLst>
            </xdr:cNvPr>
            <xdr:cNvSpPr txBox="1"/>
          </xdr:nvSpPr>
          <xdr:spPr>
            <a:xfrm>
              <a:off x="9959975" y="37207507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C𝑏=(.006 𝑚3)/(10 𝑚3)</a:t>
              </a:r>
              <a:endParaRPr lang="es-MX" sz="1000" b="0"/>
            </a:p>
          </xdr:txBody>
        </xdr:sp>
      </mc:Fallback>
    </mc:AlternateContent>
    <xdr:clientData/>
  </xdr:oneCellAnchor>
  <xdr:oneCellAnchor>
    <xdr:from>
      <xdr:col>10</xdr:col>
      <xdr:colOff>320097</xdr:colOff>
      <xdr:row>443</xdr:row>
      <xdr:rowOff>431512</xdr:rowOff>
    </xdr:from>
    <xdr:ext cx="1993324" cy="485261"/>
    <mc:AlternateContent xmlns:mc="http://schemas.openxmlformats.org/markup-compatibility/2006" xmlns:a14="http://schemas.microsoft.com/office/drawing/2010/main">
      <mc:Choice Requires="a14">
        <xdr:sp macro="" textlink="">
          <xdr:nvSpPr>
            <xdr:cNvPr id="907" name="CuadroTexto 906">
              <a:extLst>
                <a:ext uri="{FF2B5EF4-FFF2-40B4-BE49-F238E27FC236}">
                  <a16:creationId xmlns:a16="http://schemas.microsoft.com/office/drawing/2014/main" id="{EB610F4D-2F30-4DCA-B303-7FA6BF79357B}"/>
                </a:ext>
              </a:extLst>
            </xdr:cNvPr>
            <xdr:cNvSpPr txBox="1"/>
          </xdr:nvSpPr>
          <xdr:spPr>
            <a:xfrm>
              <a:off x="12702597" y="372128762"/>
              <a:ext cx="1993324"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m:t>
                    </m:r>
                    <m:r>
                      <a:rPr lang="es-MX" sz="1000" b="0" i="0">
                        <a:latin typeface="Cambria Math" panose="02040503050406030204" pitchFamily="18" charset="0"/>
                      </a:rPr>
                      <m:t>006 </m:t>
                    </m:r>
                    <m:r>
                      <m:rPr>
                        <m:sty m:val="p"/>
                      </m:rPr>
                      <a:rPr lang="es-MX" sz="1000" b="0" i="0">
                        <a:latin typeface="Cambria Math" panose="02040503050406030204" pitchFamily="18" charset="0"/>
                      </a:rPr>
                      <m:t>camiones</m:t>
                    </m:r>
                  </m:oMath>
                </m:oMathPara>
              </a14:m>
              <a:endParaRPr lang="es-MX" sz="1000" b="0"/>
            </a:p>
            <a:p>
              <a:endParaRPr lang="es-MX" sz="1000" b="0"/>
            </a:p>
            <a:p>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𝑣𝑖𝑑𝑟𝑖𝑜</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6.57 </m:t>
                  </m:r>
                </m:oMath>
              </a14:m>
              <a:r>
                <a:rPr lang="es-MX" sz="1100" b="0">
                  <a:solidFill>
                    <a:schemeClr val="tx1"/>
                  </a:solidFill>
                  <a:effectLst/>
                  <a:latin typeface="+mn-lt"/>
                  <a:ea typeface="+mn-ea"/>
                  <a:cs typeface="+mn-cs"/>
                </a:rPr>
                <a:t>camiones</a:t>
              </a:r>
              <a:endParaRPr lang="es-MX" sz="1000" b="0"/>
            </a:p>
          </xdr:txBody>
        </xdr:sp>
      </mc:Choice>
      <mc:Fallback xmlns="">
        <xdr:sp macro="" textlink="">
          <xdr:nvSpPr>
            <xdr:cNvPr id="907" name="CuadroTexto 906">
              <a:extLst>
                <a:ext uri="{FF2B5EF4-FFF2-40B4-BE49-F238E27FC236}">
                  <a16:creationId xmlns:a16="http://schemas.microsoft.com/office/drawing/2014/main" id="{EB610F4D-2F30-4DCA-B303-7FA6BF79357B}"/>
                </a:ext>
              </a:extLst>
            </xdr:cNvPr>
            <xdr:cNvSpPr txBox="1"/>
          </xdr:nvSpPr>
          <xdr:spPr>
            <a:xfrm>
              <a:off x="12702597" y="372128762"/>
              <a:ext cx="1993324"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𝑣𝑖𝑑𝑟𝑖𝑜=.006 camiones</a:t>
              </a:r>
              <a:endParaRPr lang="es-MX" sz="1000" b="0"/>
            </a:p>
            <a:p>
              <a:endParaRPr lang="es-MX" sz="1000" b="0"/>
            </a:p>
            <a:p>
              <a:r>
                <a:rPr lang="es-MX" sz="1100" b="0" i="0">
                  <a:solidFill>
                    <a:schemeClr val="tx1"/>
                  </a:solidFill>
                  <a:effectLst/>
                  <a:latin typeface="Cambria Math" panose="02040503050406030204" pitchFamily="18" charset="0"/>
                  <a:ea typeface="+mn-ea"/>
                  <a:cs typeface="+mn-cs"/>
                </a:rPr>
                <a:t>1 𝑇𝑜𝑛 𝑣𝑖𝑑𝑟𝑖𝑜=6.57 </a:t>
              </a:r>
              <a:r>
                <a:rPr lang="es-MX" sz="1100" b="0">
                  <a:solidFill>
                    <a:schemeClr val="tx1"/>
                  </a:solidFill>
                  <a:effectLst/>
                  <a:latin typeface="+mn-lt"/>
                  <a:ea typeface="+mn-ea"/>
                  <a:cs typeface="+mn-cs"/>
                </a:rPr>
                <a:t>camiones</a:t>
              </a:r>
              <a:endParaRPr lang="es-MX" sz="1000" b="0"/>
            </a:p>
          </xdr:txBody>
        </xdr:sp>
      </mc:Fallback>
    </mc:AlternateContent>
    <xdr:clientData/>
  </xdr:oneCellAnchor>
  <xdr:oneCellAnchor>
    <xdr:from>
      <xdr:col>12</xdr:col>
      <xdr:colOff>2095500</xdr:colOff>
      <xdr:row>448</xdr:row>
      <xdr:rowOff>1000124</xdr:rowOff>
    </xdr:from>
    <xdr:ext cx="409575" cy="416720"/>
    <xdr:pic>
      <xdr:nvPicPr>
        <xdr:cNvPr id="908" name="Gráfico 907" descr="Hogar">
          <a:hlinkClick xmlns:r="http://schemas.openxmlformats.org/officeDocument/2006/relationships" r:id="rId98"/>
          <a:extLst>
            <a:ext uri="{FF2B5EF4-FFF2-40B4-BE49-F238E27FC236}">
              <a16:creationId xmlns:a16="http://schemas.microsoft.com/office/drawing/2014/main" id="{EAD80681-5678-42E5-ABCA-7F14D7761DC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54475" y="319601849"/>
          <a:ext cx="409575" cy="416720"/>
        </a:xfrm>
        <a:prstGeom prst="rect">
          <a:avLst/>
        </a:prstGeom>
      </xdr:spPr>
    </xdr:pic>
    <xdr:clientData/>
  </xdr:oneCellAnchor>
  <xdr:oneCellAnchor>
    <xdr:from>
      <xdr:col>12</xdr:col>
      <xdr:colOff>2486025</xdr:colOff>
      <xdr:row>448</xdr:row>
      <xdr:rowOff>1076325</xdr:rowOff>
    </xdr:from>
    <xdr:ext cx="356660" cy="356660"/>
    <xdr:pic>
      <xdr:nvPicPr>
        <xdr:cNvPr id="909" name="Gráfico 908" descr="Inalámbrico">
          <a:hlinkClick xmlns:r="http://schemas.openxmlformats.org/officeDocument/2006/relationships" r:id="rId96"/>
          <a:extLst>
            <a:ext uri="{FF2B5EF4-FFF2-40B4-BE49-F238E27FC236}">
              <a16:creationId xmlns:a16="http://schemas.microsoft.com/office/drawing/2014/main" id="{0DA3E25D-EDFE-4B1A-85A3-AA41B611FC5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45000" y="319678050"/>
          <a:ext cx="356660" cy="356660"/>
        </a:xfrm>
        <a:prstGeom prst="rect">
          <a:avLst/>
        </a:prstGeom>
      </xdr:spPr>
    </xdr:pic>
    <xdr:clientData/>
  </xdr:oneCellAnchor>
  <xdr:oneCellAnchor>
    <xdr:from>
      <xdr:col>10</xdr:col>
      <xdr:colOff>273484</xdr:colOff>
      <xdr:row>449</xdr:row>
      <xdr:rowOff>430358</xdr:rowOff>
    </xdr:from>
    <xdr:ext cx="1742641" cy="552738"/>
    <mc:AlternateContent xmlns:mc="http://schemas.openxmlformats.org/markup-compatibility/2006" xmlns:a14="http://schemas.microsoft.com/office/drawing/2010/main">
      <mc:Choice Requires="a14">
        <xdr:sp macro="" textlink="">
          <xdr:nvSpPr>
            <xdr:cNvPr id="910" name="CuadroTexto 909">
              <a:extLst>
                <a:ext uri="{FF2B5EF4-FFF2-40B4-BE49-F238E27FC236}">
                  <a16:creationId xmlns:a16="http://schemas.microsoft.com/office/drawing/2014/main" id="{1033E8EA-2754-42E7-98E8-9DDE981EBFBA}"/>
                </a:ext>
              </a:extLst>
            </xdr:cNvPr>
            <xdr:cNvSpPr txBox="1"/>
          </xdr:nvSpPr>
          <xdr:spPr>
            <a:xfrm>
              <a:off x="12655984" y="37728698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 </m:t>
                  </m:r>
                  <m:r>
                    <a:rPr lang="es-MX" sz="1000" b="0" i="0">
                      <a:latin typeface="Cambria Math" panose="02040503050406030204" pitchFamily="18" charset="0"/>
                    </a:rPr>
                    <m:t>1.33 </m:t>
                  </m:r>
                  <m:r>
                    <m:rPr>
                      <m:sty m:val="p"/>
                    </m:rPr>
                    <a:rPr lang="es-MX" sz="1000" b="0" i="0">
                      <a:latin typeface="Cambria Math" panose="02040503050406030204" pitchFamily="18" charset="0"/>
                    </a:rPr>
                    <m:t>kg</m:t>
                  </m:r>
                </m:oMath>
              </a14:m>
              <a:r>
                <a:rPr lang="es-MX" sz="1000" b="0"/>
                <a:t> Ahorro</a:t>
              </a: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1,330 </m:t>
                  </m:r>
                  <m:r>
                    <m:rPr>
                      <m:sty m:val="p"/>
                    </m:rPr>
                    <a:rPr lang="es-MX" sz="1000" b="0" i="0">
                      <a:solidFill>
                        <a:schemeClr val="tx1"/>
                      </a:solidFill>
                      <a:effectLst/>
                      <a:latin typeface="Cambria Math" panose="02040503050406030204" pitchFamily="18" charset="0"/>
                      <a:ea typeface="+mn-ea"/>
                      <a:cs typeface="+mn-cs"/>
                    </a:rPr>
                    <m:t>kg</m:t>
                  </m:r>
                </m:oMath>
              </a14:m>
              <a:r>
                <a:rPr lang="es-MX" sz="1000">
                  <a:effectLst/>
                </a:rPr>
                <a:t> Ahorro</a:t>
              </a:r>
            </a:p>
            <a:p>
              <a:endParaRPr lang="es-MX" sz="1000" b="0"/>
            </a:p>
          </xdr:txBody>
        </xdr:sp>
      </mc:Choice>
      <mc:Fallback xmlns="">
        <xdr:sp macro="" textlink="">
          <xdr:nvSpPr>
            <xdr:cNvPr id="910" name="CuadroTexto 909">
              <a:extLst>
                <a:ext uri="{FF2B5EF4-FFF2-40B4-BE49-F238E27FC236}">
                  <a16:creationId xmlns:a16="http://schemas.microsoft.com/office/drawing/2014/main" id="{1033E8EA-2754-42E7-98E8-9DDE981EBFBA}"/>
                </a:ext>
              </a:extLst>
            </xdr:cNvPr>
            <xdr:cNvSpPr txBox="1"/>
          </xdr:nvSpPr>
          <xdr:spPr>
            <a:xfrm>
              <a:off x="12655984" y="37728698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1 𝑘𝑔 𝑣𝑖𝑑𝑟𝑖𝑜= 1.33 kg</a:t>
              </a:r>
              <a:r>
                <a:rPr lang="es-MX" sz="1000" b="0"/>
                <a:t> Ahorro</a:t>
              </a: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𝑣𝑖𝑑𝑟𝑖𝑜=1,330 kg</a:t>
              </a:r>
              <a:r>
                <a:rPr lang="es-MX" sz="1000">
                  <a:effectLst/>
                </a:rPr>
                <a:t> Ahorro</a:t>
              </a:r>
            </a:p>
            <a:p>
              <a:endParaRPr lang="es-MX" sz="1000" b="0"/>
            </a:p>
          </xdr:txBody>
        </xdr:sp>
      </mc:Fallback>
    </mc:AlternateContent>
    <xdr:clientData/>
  </xdr:oneCellAnchor>
  <xdr:oneCellAnchor>
    <xdr:from>
      <xdr:col>9</xdr:col>
      <xdr:colOff>260351</xdr:colOff>
      <xdr:row>449</xdr:row>
      <xdr:rowOff>468313</xdr:rowOff>
    </xdr:from>
    <xdr:ext cx="1727199" cy="351443"/>
    <mc:AlternateContent xmlns:mc="http://schemas.openxmlformats.org/markup-compatibility/2006" xmlns:a14="http://schemas.microsoft.com/office/drawing/2010/main">
      <mc:Choice Requires="a14">
        <xdr:sp macro="" textlink="">
          <xdr:nvSpPr>
            <xdr:cNvPr id="911" name="CuadroTexto 910">
              <a:extLst>
                <a:ext uri="{FF2B5EF4-FFF2-40B4-BE49-F238E27FC236}">
                  <a16:creationId xmlns:a16="http://schemas.microsoft.com/office/drawing/2014/main" id="{C62B8D0D-5670-493C-8503-BBCE4FFD2760}"/>
                </a:ext>
              </a:extLst>
            </xdr:cNvPr>
            <xdr:cNvSpPr txBox="1"/>
          </xdr:nvSpPr>
          <xdr:spPr>
            <a:xfrm>
              <a:off x="10086976" y="377324938"/>
              <a:ext cx="17271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1330 </m:t>
                        </m:r>
                        <m:r>
                          <a:rPr lang="es-MX" sz="1100" b="0" i="1">
                            <a:solidFill>
                              <a:schemeClr val="tx1"/>
                            </a:solidFill>
                            <a:effectLst/>
                            <a:latin typeface="Cambria Math" panose="02040503050406030204" pitchFamily="18" charset="0"/>
                            <a:ea typeface="+mn-ea"/>
                            <a:cs typeface="+mn-cs"/>
                          </a:rPr>
                          <m:t>𝑎h𝑜𝑟𝑟𝑜</m:t>
                        </m:r>
                      </m:num>
                      <m:den>
                        <m:r>
                          <a:rPr lang="es-MX" sz="1100" b="0" i="0">
                            <a:solidFill>
                              <a:schemeClr val="tx1"/>
                            </a:solidFill>
                            <a:effectLst/>
                            <a:latin typeface="Cambria Math" panose="02040503050406030204" pitchFamily="18" charset="0"/>
                            <a:ea typeface="+mn-ea"/>
                            <a:cs typeface="+mn-cs"/>
                          </a:rPr>
                          <m:t>?( 1.33)</m:t>
                        </m:r>
                      </m:den>
                    </m:f>
                    <m:r>
                      <a:rPr lang="es-MX" sz="1600" b="0" i="1">
                        <a:latin typeface="Cambria Math" panose="02040503050406030204" pitchFamily="18" charset="0"/>
                      </a:rPr>
                      <m:t> </m:t>
                    </m:r>
                  </m:oMath>
                </m:oMathPara>
              </a14:m>
              <a:endParaRPr lang="es-MX" sz="1600"/>
            </a:p>
          </xdr:txBody>
        </xdr:sp>
      </mc:Choice>
      <mc:Fallback xmlns="">
        <xdr:sp macro="" textlink="">
          <xdr:nvSpPr>
            <xdr:cNvPr id="911" name="CuadroTexto 910">
              <a:extLst>
                <a:ext uri="{FF2B5EF4-FFF2-40B4-BE49-F238E27FC236}">
                  <a16:creationId xmlns:a16="http://schemas.microsoft.com/office/drawing/2014/main" id="{C62B8D0D-5670-493C-8503-BBCE4FFD2760}"/>
                </a:ext>
              </a:extLst>
            </xdr:cNvPr>
            <xdr:cNvSpPr txBox="1"/>
          </xdr:nvSpPr>
          <xdr:spPr>
            <a:xfrm>
              <a:off x="10086976" y="377324938"/>
              <a:ext cx="17271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1330 𝑎ℎ𝑜𝑟𝑟𝑜)/(?( 1.33))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289359</xdr:colOff>
      <xdr:row>448</xdr:row>
      <xdr:rowOff>350983</xdr:rowOff>
    </xdr:from>
    <xdr:ext cx="1742641" cy="552738"/>
    <mc:AlternateContent xmlns:mc="http://schemas.openxmlformats.org/markup-compatibility/2006" xmlns:a14="http://schemas.microsoft.com/office/drawing/2010/main">
      <mc:Choice Requires="a14">
        <xdr:sp macro="" textlink="">
          <xdr:nvSpPr>
            <xdr:cNvPr id="912" name="CuadroTexto 911">
              <a:extLst>
                <a:ext uri="{FF2B5EF4-FFF2-40B4-BE49-F238E27FC236}">
                  <a16:creationId xmlns:a16="http://schemas.microsoft.com/office/drawing/2014/main" id="{D32E3960-EA03-47E2-A35D-FC8D22C08BA7}"/>
                </a:ext>
              </a:extLst>
            </xdr:cNvPr>
            <xdr:cNvSpPr txBox="1"/>
          </xdr:nvSpPr>
          <xdr:spPr>
            <a:xfrm>
              <a:off x="12671859" y="37579473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 </m:t>
                  </m:r>
                  <m:r>
                    <a:rPr lang="es-MX" sz="1000" b="0" i="0">
                      <a:latin typeface="Cambria Math" panose="02040503050406030204" pitchFamily="18" charset="0"/>
                    </a:rPr>
                    <m:t>1.2 </m:t>
                  </m:r>
                  <m:r>
                    <m:rPr>
                      <m:sty m:val="p"/>
                    </m:rPr>
                    <a:rPr lang="es-MX" sz="1000" b="0" i="0">
                      <a:latin typeface="Cambria Math" panose="02040503050406030204" pitchFamily="18" charset="0"/>
                    </a:rPr>
                    <m:t>kg</m:t>
                  </m:r>
                </m:oMath>
              </a14:m>
              <a:r>
                <a:rPr lang="es-MX" sz="1000" b="0"/>
                <a:t> Ahorro</a:t>
              </a: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1,200 </m:t>
                  </m:r>
                  <m:r>
                    <m:rPr>
                      <m:sty m:val="p"/>
                    </m:rPr>
                    <a:rPr lang="es-MX" sz="1000" b="0" i="0">
                      <a:solidFill>
                        <a:schemeClr val="tx1"/>
                      </a:solidFill>
                      <a:effectLst/>
                      <a:latin typeface="Cambria Math" panose="02040503050406030204" pitchFamily="18" charset="0"/>
                      <a:ea typeface="+mn-ea"/>
                      <a:cs typeface="+mn-cs"/>
                    </a:rPr>
                    <m:t>kg</m:t>
                  </m:r>
                </m:oMath>
              </a14:m>
              <a:r>
                <a:rPr lang="es-MX" sz="1000">
                  <a:effectLst/>
                </a:rPr>
                <a:t> Ahorro</a:t>
              </a:r>
            </a:p>
            <a:p>
              <a:endParaRPr lang="es-MX" sz="1000" b="0"/>
            </a:p>
          </xdr:txBody>
        </xdr:sp>
      </mc:Choice>
      <mc:Fallback xmlns="">
        <xdr:sp macro="" textlink="">
          <xdr:nvSpPr>
            <xdr:cNvPr id="912" name="CuadroTexto 911">
              <a:extLst>
                <a:ext uri="{FF2B5EF4-FFF2-40B4-BE49-F238E27FC236}">
                  <a16:creationId xmlns:a16="http://schemas.microsoft.com/office/drawing/2014/main" id="{D32E3960-EA03-47E2-A35D-FC8D22C08BA7}"/>
                </a:ext>
              </a:extLst>
            </xdr:cNvPr>
            <xdr:cNvSpPr txBox="1"/>
          </xdr:nvSpPr>
          <xdr:spPr>
            <a:xfrm>
              <a:off x="12671859" y="375794733"/>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00" b="0" i="0">
                  <a:latin typeface="Cambria Math" panose="02040503050406030204" pitchFamily="18" charset="0"/>
                </a:rPr>
                <a:t>1 𝑘𝑔 𝑣𝑖𝑑𝑟𝑖𝑜= 1.2 kg</a:t>
              </a:r>
              <a:r>
                <a:rPr lang="es-MX" sz="1000" b="0"/>
                <a:t> Ahorro</a:t>
              </a:r>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𝑣𝑖𝑑𝑟𝑖𝑜=1,200 kg</a:t>
              </a:r>
              <a:r>
                <a:rPr lang="es-MX" sz="1000">
                  <a:effectLst/>
                </a:rPr>
                <a:t> Ahorro</a:t>
              </a:r>
            </a:p>
            <a:p>
              <a:endParaRPr lang="es-MX" sz="1000" b="0"/>
            </a:p>
          </xdr:txBody>
        </xdr:sp>
      </mc:Fallback>
    </mc:AlternateContent>
    <xdr:clientData/>
  </xdr:oneCellAnchor>
  <xdr:oneCellAnchor>
    <xdr:from>
      <xdr:col>9</xdr:col>
      <xdr:colOff>339726</xdr:colOff>
      <xdr:row>448</xdr:row>
      <xdr:rowOff>436563</xdr:rowOff>
    </xdr:from>
    <xdr:ext cx="1727199" cy="351443"/>
    <mc:AlternateContent xmlns:mc="http://schemas.openxmlformats.org/markup-compatibility/2006" xmlns:a14="http://schemas.microsoft.com/office/drawing/2010/main">
      <mc:Choice Requires="a14">
        <xdr:sp macro="" textlink="">
          <xdr:nvSpPr>
            <xdr:cNvPr id="913" name="CuadroTexto 912">
              <a:extLst>
                <a:ext uri="{FF2B5EF4-FFF2-40B4-BE49-F238E27FC236}">
                  <a16:creationId xmlns:a16="http://schemas.microsoft.com/office/drawing/2014/main" id="{500073FC-0EC7-43F7-B269-B07F38329635}"/>
                </a:ext>
              </a:extLst>
            </xdr:cNvPr>
            <xdr:cNvSpPr txBox="1"/>
          </xdr:nvSpPr>
          <xdr:spPr>
            <a:xfrm>
              <a:off x="10166351" y="375880313"/>
              <a:ext cx="17271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1200 </m:t>
                        </m:r>
                        <m:r>
                          <a:rPr lang="es-MX" sz="1100" b="0" i="1">
                            <a:solidFill>
                              <a:schemeClr val="tx1"/>
                            </a:solidFill>
                            <a:effectLst/>
                            <a:latin typeface="Cambria Math" panose="02040503050406030204" pitchFamily="18" charset="0"/>
                            <a:ea typeface="+mn-ea"/>
                            <a:cs typeface="+mn-cs"/>
                          </a:rPr>
                          <m:t>𝑎h𝑜𝑟𝑟𝑜</m:t>
                        </m:r>
                      </m:num>
                      <m:den>
                        <m:r>
                          <a:rPr lang="es-MX" sz="1100" b="0" i="0">
                            <a:solidFill>
                              <a:schemeClr val="tx1"/>
                            </a:solidFill>
                            <a:effectLst/>
                            <a:latin typeface="Cambria Math" panose="02040503050406030204" pitchFamily="18" charset="0"/>
                            <a:ea typeface="+mn-ea"/>
                            <a:cs typeface="+mn-cs"/>
                          </a:rPr>
                          <m:t>?( 1.2)</m:t>
                        </m:r>
                      </m:den>
                    </m:f>
                    <m:r>
                      <a:rPr lang="es-MX" sz="1600" b="0" i="1">
                        <a:latin typeface="Cambria Math" panose="02040503050406030204" pitchFamily="18" charset="0"/>
                      </a:rPr>
                      <m:t> </m:t>
                    </m:r>
                  </m:oMath>
                </m:oMathPara>
              </a14:m>
              <a:endParaRPr lang="es-MX" sz="1600"/>
            </a:p>
          </xdr:txBody>
        </xdr:sp>
      </mc:Choice>
      <mc:Fallback xmlns="">
        <xdr:sp macro="" textlink="">
          <xdr:nvSpPr>
            <xdr:cNvPr id="913" name="CuadroTexto 912">
              <a:extLst>
                <a:ext uri="{FF2B5EF4-FFF2-40B4-BE49-F238E27FC236}">
                  <a16:creationId xmlns:a16="http://schemas.microsoft.com/office/drawing/2014/main" id="{500073FC-0EC7-43F7-B269-B07F38329635}"/>
                </a:ext>
              </a:extLst>
            </xdr:cNvPr>
            <xdr:cNvSpPr txBox="1"/>
          </xdr:nvSpPr>
          <xdr:spPr>
            <a:xfrm>
              <a:off x="10166351" y="375880313"/>
              <a:ext cx="1727199"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1200 𝑎ℎ𝑜𝑟𝑟𝑜)/(?( 1.2))</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12</xdr:col>
      <xdr:colOff>2095500</xdr:colOff>
      <xdr:row>448</xdr:row>
      <xdr:rowOff>1000124</xdr:rowOff>
    </xdr:from>
    <xdr:ext cx="409575" cy="416720"/>
    <xdr:pic>
      <xdr:nvPicPr>
        <xdr:cNvPr id="914" name="Gráfico 913" descr="Hogar">
          <a:hlinkClick xmlns:r="http://schemas.openxmlformats.org/officeDocument/2006/relationships" r:id="rId95"/>
          <a:extLst>
            <a:ext uri="{FF2B5EF4-FFF2-40B4-BE49-F238E27FC236}">
              <a16:creationId xmlns:a16="http://schemas.microsoft.com/office/drawing/2014/main" id="{F55788D5-3D9E-4DB5-859F-A5BB831E1F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754475" y="319601849"/>
          <a:ext cx="409575" cy="416720"/>
        </a:xfrm>
        <a:prstGeom prst="rect">
          <a:avLst/>
        </a:prstGeom>
      </xdr:spPr>
    </xdr:pic>
    <xdr:clientData/>
  </xdr:oneCellAnchor>
  <xdr:oneCellAnchor>
    <xdr:from>
      <xdr:col>12</xdr:col>
      <xdr:colOff>2486025</xdr:colOff>
      <xdr:row>448</xdr:row>
      <xdr:rowOff>1076325</xdr:rowOff>
    </xdr:from>
    <xdr:ext cx="356660" cy="356660"/>
    <xdr:pic>
      <xdr:nvPicPr>
        <xdr:cNvPr id="915" name="Gráfico 914" descr="Inalámbrico">
          <a:hlinkClick xmlns:r="http://schemas.openxmlformats.org/officeDocument/2006/relationships" r:id="rId96"/>
          <a:extLst>
            <a:ext uri="{FF2B5EF4-FFF2-40B4-BE49-F238E27FC236}">
              <a16:creationId xmlns:a16="http://schemas.microsoft.com/office/drawing/2014/main" id="{A287D6B1-7FFD-45FC-9FF6-B0CAB290973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45000" y="319678050"/>
          <a:ext cx="356660" cy="356660"/>
        </a:xfrm>
        <a:prstGeom prst="rect">
          <a:avLst/>
        </a:prstGeom>
      </xdr:spPr>
    </xdr:pic>
    <xdr:clientData/>
  </xdr:oneCellAnchor>
  <xdr:oneCellAnchor>
    <xdr:from>
      <xdr:col>12</xdr:col>
      <xdr:colOff>2533650</xdr:colOff>
      <xdr:row>449</xdr:row>
      <xdr:rowOff>333375</xdr:rowOff>
    </xdr:from>
    <xdr:ext cx="223310" cy="223310"/>
    <xdr:pic>
      <xdr:nvPicPr>
        <xdr:cNvPr id="918" name="Gráfico 917" descr="Inalámbrico">
          <a:hlinkClick xmlns:r="http://schemas.openxmlformats.org/officeDocument/2006/relationships" r:id="rId78"/>
          <a:extLst>
            <a:ext uri="{FF2B5EF4-FFF2-40B4-BE49-F238E27FC236}">
              <a16:creationId xmlns:a16="http://schemas.microsoft.com/office/drawing/2014/main" id="{2BC0EB85-2EB9-4CB8-A04A-EAA1AC82307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2625" y="320344800"/>
          <a:ext cx="223310" cy="223310"/>
        </a:xfrm>
        <a:prstGeom prst="rect">
          <a:avLst/>
        </a:prstGeom>
      </xdr:spPr>
    </xdr:pic>
    <xdr:clientData/>
  </xdr:oneCellAnchor>
  <xdr:oneCellAnchor>
    <xdr:from>
      <xdr:col>12</xdr:col>
      <xdr:colOff>2200276</xdr:colOff>
      <xdr:row>449</xdr:row>
      <xdr:rowOff>288223</xdr:rowOff>
    </xdr:from>
    <xdr:ext cx="247650" cy="250084"/>
    <xdr:pic>
      <xdr:nvPicPr>
        <xdr:cNvPr id="919" name="Gráfico 918" descr="Hogar">
          <a:hlinkClick xmlns:r="http://schemas.openxmlformats.org/officeDocument/2006/relationships" r:id="rId97"/>
          <a:extLst>
            <a:ext uri="{FF2B5EF4-FFF2-40B4-BE49-F238E27FC236}">
              <a16:creationId xmlns:a16="http://schemas.microsoft.com/office/drawing/2014/main" id="{97416272-F27E-47CB-AA52-3DBB6965B62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59251" y="320299648"/>
          <a:ext cx="247650" cy="250084"/>
        </a:xfrm>
        <a:prstGeom prst="rect">
          <a:avLst/>
        </a:prstGeom>
      </xdr:spPr>
    </xdr:pic>
    <xdr:clientData/>
  </xdr:oneCellAnchor>
  <xdr:oneCellAnchor>
    <xdr:from>
      <xdr:col>4</xdr:col>
      <xdr:colOff>59531</xdr:colOff>
      <xdr:row>453</xdr:row>
      <xdr:rowOff>83343</xdr:rowOff>
    </xdr:from>
    <xdr:ext cx="457200" cy="448468"/>
    <xdr:pic>
      <xdr:nvPicPr>
        <xdr:cNvPr id="920" name="Gráfico 919" descr="Convertible">
          <a:extLst>
            <a:ext uri="{FF2B5EF4-FFF2-40B4-BE49-F238E27FC236}">
              <a16:creationId xmlns:a16="http://schemas.microsoft.com/office/drawing/2014/main" id="{1854AB83-5D41-4BAA-88E3-836DB6DD18B6}"/>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593431" y="287043018"/>
          <a:ext cx="457200" cy="448468"/>
        </a:xfrm>
        <a:prstGeom prst="rect">
          <a:avLst/>
        </a:prstGeom>
      </xdr:spPr>
    </xdr:pic>
    <xdr:clientData/>
  </xdr:oneCellAnchor>
  <xdr:oneCellAnchor>
    <xdr:from>
      <xdr:col>6</xdr:col>
      <xdr:colOff>76200</xdr:colOff>
      <xdr:row>453</xdr:row>
      <xdr:rowOff>69850</xdr:rowOff>
    </xdr:from>
    <xdr:ext cx="457200" cy="448468"/>
    <xdr:pic>
      <xdr:nvPicPr>
        <xdr:cNvPr id="921" name="Gráfico 920" descr="Convertible">
          <a:extLst>
            <a:ext uri="{FF2B5EF4-FFF2-40B4-BE49-F238E27FC236}">
              <a16:creationId xmlns:a16="http://schemas.microsoft.com/office/drawing/2014/main" id="{C66A6FEA-9870-457B-A364-47796C602C3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287029525"/>
          <a:ext cx="457200" cy="448468"/>
        </a:xfrm>
        <a:prstGeom prst="rect">
          <a:avLst/>
        </a:prstGeom>
      </xdr:spPr>
    </xdr:pic>
    <xdr:clientData/>
  </xdr:oneCellAnchor>
  <xdr:oneCellAnchor>
    <xdr:from>
      <xdr:col>10</xdr:col>
      <xdr:colOff>164090</xdr:colOff>
      <xdr:row>454</xdr:row>
      <xdr:rowOff>169429</xdr:rowOff>
    </xdr:from>
    <xdr:ext cx="1785937" cy="1121589"/>
    <mc:AlternateContent xmlns:mc="http://schemas.openxmlformats.org/markup-compatibility/2006" xmlns:a14="http://schemas.microsoft.com/office/drawing/2010/main">
      <mc:Choice Requires="a14">
        <xdr:sp macro="" textlink="">
          <xdr:nvSpPr>
            <xdr:cNvPr id="922" name="CuadroTexto 921">
              <a:extLst>
                <a:ext uri="{FF2B5EF4-FFF2-40B4-BE49-F238E27FC236}">
                  <a16:creationId xmlns:a16="http://schemas.microsoft.com/office/drawing/2014/main" id="{49160FD4-5167-4EF7-96F8-544FF401A576}"/>
                </a:ext>
              </a:extLst>
            </xdr:cNvPr>
            <xdr:cNvSpPr txBox="1"/>
          </xdr:nvSpPr>
          <xdr:spPr>
            <a:xfrm>
              <a:off x="10841615" y="28764345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=.315</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kg</m:t>
                        </m:r>
                      </m:num>
                      <m:den>
                        <m:r>
                          <m:rPr>
                            <m:sty m:val="p"/>
                          </m:rPr>
                          <a:rPr lang="es-MX" sz="1050" b="0" i="0">
                            <a:solidFill>
                              <a:schemeClr val="tx1"/>
                            </a:solidFill>
                            <a:effectLst/>
                            <a:latin typeface="Cambria Math" panose="02040503050406030204" pitchFamily="18" charset="0"/>
                            <a:ea typeface="+mn-ea"/>
                            <a:cs typeface="+mn-cs"/>
                          </a:rPr>
                          <m:t>C</m:t>
                        </m:r>
                        <m:r>
                          <a:rPr lang="es-MX" sz="1050" b="0" i="1">
                            <a:solidFill>
                              <a:schemeClr val="tx1"/>
                            </a:solidFill>
                            <a:effectLst/>
                            <a:latin typeface="Cambria Math" panose="02040503050406030204" pitchFamily="18" charset="0"/>
                            <a:ea typeface="+mn-ea"/>
                            <a:cs typeface="+mn-cs"/>
                          </a:rPr>
                          <m:t>𝑜</m:t>
                        </m:r>
                        <m:r>
                          <a:rPr lang="es-MX" sz="1050" b="0" i="1">
                            <a:solidFill>
                              <a:schemeClr val="tx1"/>
                            </a:solidFill>
                            <a:effectLst/>
                            <a:latin typeface="Cambria Math" panose="02040503050406030204" pitchFamily="18" charset="0"/>
                            <a:ea typeface="+mn-ea"/>
                            <a:cs typeface="+mn-cs"/>
                          </a:rPr>
                          <m:t>2</m:t>
                        </m:r>
                      </m:den>
                    </m:f>
                  </m:oMath>
                </m:oMathPara>
              </a14:m>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𝑉𝑖𝑑𝑟𝑖𝑜</m:t>
                    </m:r>
                    <m:r>
                      <a:rPr lang="es-MX" sz="1100" b="0" i="1">
                        <a:solidFill>
                          <a:schemeClr val="tx1"/>
                        </a:solidFill>
                        <a:effectLst/>
                        <a:latin typeface="Cambria Math" panose="02040503050406030204" pitchFamily="18" charset="0"/>
                        <a:ea typeface="+mn-ea"/>
                        <a:cs typeface="+mn-cs"/>
                      </a:rPr>
                      <m:t>=315</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kg</m:t>
                        </m:r>
                      </m:num>
                      <m:den>
                        <m:r>
                          <m:rPr>
                            <m:sty m:val="p"/>
                          </m:rPr>
                          <a:rPr lang="es-MX" sz="1100" b="0" i="0">
                            <a:solidFill>
                              <a:schemeClr val="tx1"/>
                            </a:solidFill>
                            <a:effectLst/>
                            <a:latin typeface="Cambria Math" panose="02040503050406030204" pitchFamily="18" charset="0"/>
                            <a:ea typeface="+mn-ea"/>
                            <a:cs typeface="+mn-cs"/>
                          </a:rPr>
                          <m:t>C</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2</m:t>
                        </m:r>
                      </m:den>
                    </m:f>
                  </m:oMath>
                </m:oMathPara>
              </a14:m>
              <a:endParaRPr lang="es-MX" sz="1050">
                <a:effectLst/>
              </a:endParaRPr>
            </a:p>
            <a:p>
              <a:endParaRPr lang="es-MX" sz="1050" b="0"/>
            </a:p>
          </xdr:txBody>
        </xdr:sp>
      </mc:Choice>
      <mc:Fallback xmlns="">
        <xdr:sp macro="" textlink="">
          <xdr:nvSpPr>
            <xdr:cNvPr id="922" name="CuadroTexto 921">
              <a:extLst>
                <a:ext uri="{FF2B5EF4-FFF2-40B4-BE49-F238E27FC236}">
                  <a16:creationId xmlns:a16="http://schemas.microsoft.com/office/drawing/2014/main" id="{49160FD4-5167-4EF7-96F8-544FF401A576}"/>
                </a:ext>
              </a:extLst>
            </xdr:cNvPr>
            <xdr:cNvSpPr txBox="1"/>
          </xdr:nvSpPr>
          <xdr:spPr>
            <a:xfrm>
              <a:off x="10841615" y="28764345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𝑉𝑖𝑑𝑟𝑖𝑜=.315</a:t>
              </a:r>
              <a:r>
                <a:rPr lang="es-MX" sz="1050" b="0" i="0">
                  <a:solidFill>
                    <a:schemeClr val="tx1"/>
                  </a:solidFill>
                  <a:effectLst/>
                  <a:latin typeface="Cambria Math" panose="02040503050406030204" pitchFamily="18" charset="0"/>
                  <a:ea typeface="+mn-ea"/>
                  <a:cs typeface="+mn-cs"/>
                </a:rPr>
                <a:t> kg/C𝑜2</a:t>
              </a:r>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𝑉𝑖𝑑𝑟𝑖𝑜=315 kg/C𝑜2</a:t>
              </a:r>
              <a:endParaRPr lang="es-MX" sz="1050">
                <a:effectLst/>
              </a:endParaRPr>
            </a:p>
            <a:p>
              <a:endParaRPr lang="es-MX" sz="1050" b="0"/>
            </a:p>
          </xdr:txBody>
        </xdr:sp>
      </mc:Fallback>
    </mc:AlternateContent>
    <xdr:clientData/>
  </xdr:oneCellAnchor>
  <xdr:oneCellAnchor>
    <xdr:from>
      <xdr:col>12</xdr:col>
      <xdr:colOff>2238376</xdr:colOff>
      <xdr:row>454</xdr:row>
      <xdr:rowOff>1125444</xdr:rowOff>
    </xdr:from>
    <xdr:ext cx="323850" cy="329500"/>
    <xdr:pic>
      <xdr:nvPicPr>
        <xdr:cNvPr id="923" name="Gráfico 922" descr="Hogar">
          <a:hlinkClick xmlns:r="http://schemas.openxmlformats.org/officeDocument/2006/relationships" r:id="rId99"/>
          <a:extLst>
            <a:ext uri="{FF2B5EF4-FFF2-40B4-BE49-F238E27FC236}">
              <a16:creationId xmlns:a16="http://schemas.microsoft.com/office/drawing/2014/main" id="{0E005319-2D90-411F-9B65-4CF84BB7B73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97351" y="343006269"/>
          <a:ext cx="323850" cy="329500"/>
        </a:xfrm>
        <a:prstGeom prst="rect">
          <a:avLst/>
        </a:prstGeom>
      </xdr:spPr>
    </xdr:pic>
    <xdr:clientData/>
  </xdr:oneCellAnchor>
  <xdr:oneCellAnchor>
    <xdr:from>
      <xdr:col>9</xdr:col>
      <xdr:colOff>393699</xdr:colOff>
      <xdr:row>454</xdr:row>
      <xdr:rowOff>428626</xdr:rowOff>
    </xdr:from>
    <xdr:ext cx="1717675" cy="319511"/>
    <mc:AlternateContent xmlns:mc="http://schemas.openxmlformats.org/markup-compatibility/2006" xmlns:a14="http://schemas.microsoft.com/office/drawing/2010/main">
      <mc:Choice Requires="a14">
        <xdr:sp macro="" textlink="">
          <xdr:nvSpPr>
            <xdr:cNvPr id="924" name="CuadroTexto 923">
              <a:extLst>
                <a:ext uri="{FF2B5EF4-FFF2-40B4-BE49-F238E27FC236}">
                  <a16:creationId xmlns:a16="http://schemas.microsoft.com/office/drawing/2014/main" id="{99620C0A-AC03-4504-A6D7-1FD1EE4D0152}"/>
                </a:ext>
              </a:extLst>
            </xdr:cNvPr>
            <xdr:cNvSpPr txBox="1"/>
          </xdr:nvSpPr>
          <xdr:spPr>
            <a:xfrm>
              <a:off x="10220324" y="381031751"/>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315 </m:t>
                        </m:r>
                        <m:r>
                          <a:rPr lang="es-MX" sz="1000" b="0" i="1">
                            <a:solidFill>
                              <a:schemeClr val="tx1"/>
                            </a:solidFill>
                            <a:effectLst/>
                            <a:latin typeface="Cambria Math" panose="02040503050406030204" pitchFamily="18" charset="0"/>
                            <a:ea typeface="+mn-ea"/>
                            <a:cs typeface="+mn-cs"/>
                          </a:rPr>
                          <m:t>𝑘𝑔</m:t>
                        </m:r>
                      </m:num>
                      <m:den>
                        <m:r>
                          <a:rPr lang="es-MX" sz="1000" b="0" i="1">
                            <a:solidFill>
                              <a:schemeClr val="tx1"/>
                            </a:solidFill>
                            <a:effectLst/>
                            <a:latin typeface="Cambria Math" panose="02040503050406030204" pitchFamily="18" charset="0"/>
                            <a:ea typeface="+mn-ea"/>
                            <a:cs typeface="+mn-cs"/>
                          </a:rPr>
                          <m:t>?(.315)</m:t>
                        </m:r>
                      </m:den>
                    </m:f>
                    <m:r>
                      <a:rPr lang="es-MX" sz="1000" b="0" i="1">
                        <a:latin typeface="Cambria Math" panose="02040503050406030204" pitchFamily="18" charset="0"/>
                      </a:rPr>
                      <m:t> </m:t>
                    </m:r>
                  </m:oMath>
                </m:oMathPara>
              </a14:m>
              <a:endParaRPr lang="es-MX" sz="1000"/>
            </a:p>
          </xdr:txBody>
        </xdr:sp>
      </mc:Choice>
      <mc:Fallback xmlns="">
        <xdr:sp macro="" textlink="">
          <xdr:nvSpPr>
            <xdr:cNvPr id="924" name="CuadroTexto 923">
              <a:extLst>
                <a:ext uri="{FF2B5EF4-FFF2-40B4-BE49-F238E27FC236}">
                  <a16:creationId xmlns:a16="http://schemas.microsoft.com/office/drawing/2014/main" id="{99620C0A-AC03-4504-A6D7-1FD1EE4D0152}"/>
                </a:ext>
              </a:extLst>
            </xdr:cNvPr>
            <xdr:cNvSpPr txBox="1"/>
          </xdr:nvSpPr>
          <xdr:spPr>
            <a:xfrm>
              <a:off x="10220324" y="381031751"/>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315 𝑘𝑔)/(?(.315))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375708</xdr:colOff>
      <xdr:row>458</xdr:row>
      <xdr:rowOff>396875</xdr:rowOff>
    </xdr:from>
    <xdr:ext cx="1589614" cy="287515"/>
    <mc:AlternateContent xmlns:mc="http://schemas.openxmlformats.org/markup-compatibility/2006" xmlns:a14="http://schemas.microsoft.com/office/drawing/2010/main">
      <mc:Choice Requires="a14">
        <xdr:sp macro="" textlink="">
          <xdr:nvSpPr>
            <xdr:cNvPr id="925" name="CuadroTexto 924">
              <a:extLst>
                <a:ext uri="{FF2B5EF4-FFF2-40B4-BE49-F238E27FC236}">
                  <a16:creationId xmlns:a16="http://schemas.microsoft.com/office/drawing/2014/main" id="{EC94A47D-B275-4805-937E-2F164288DB9E}"/>
                </a:ext>
              </a:extLst>
            </xdr:cNvPr>
            <xdr:cNvSpPr txBox="1"/>
          </xdr:nvSpPr>
          <xdr:spPr>
            <a:xfrm>
              <a:off x="10202333" y="386651500"/>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1">
                            <a:solidFill>
                              <a:schemeClr val="tx1"/>
                            </a:solidFill>
                            <a:effectLst/>
                            <a:latin typeface="Cambria Math" panose="02040503050406030204" pitchFamily="18" charset="0"/>
                            <a:ea typeface="+mn-ea"/>
                            <a:cs typeface="+mn-cs"/>
                          </a:rPr>
                          <m:t>?(.069)</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2.4 </m:t>
                        </m:r>
                        <m:r>
                          <a:rPr lang="es-MX" sz="900" b="0" i="1">
                            <a:solidFill>
                              <a:schemeClr val="tx1"/>
                            </a:solidFill>
                            <a:effectLst/>
                            <a:latin typeface="Cambria Math" panose="02040503050406030204" pitchFamily="18" charset="0"/>
                            <a:ea typeface="+mn-ea"/>
                            <a:cs typeface="+mn-cs"/>
                          </a:rPr>
                          <m:t>𝑘𝑔𝐶𝑂</m:t>
                        </m:r>
                        <m:r>
                          <a:rPr lang="es-MX" sz="900" b="0" i="1">
                            <a:solidFill>
                              <a:schemeClr val="tx1"/>
                            </a:solidFill>
                            <a:effectLst/>
                            <a:latin typeface="Cambria Math" panose="02040503050406030204" pitchFamily="18" charset="0"/>
                            <a:ea typeface="+mn-ea"/>
                            <a:cs typeface="+mn-cs"/>
                          </a:rPr>
                          <m:t>2</m:t>
                        </m:r>
                      </m:num>
                      <m:den>
                        <m:r>
                          <a:rPr lang="es-MX" sz="900" b="0" i="0">
                            <a:solidFill>
                              <a:schemeClr val="tx1"/>
                            </a:solidFill>
                            <a:effectLst/>
                            <a:latin typeface="Cambria Math" panose="02040503050406030204" pitchFamily="18" charset="0"/>
                            <a:ea typeface="+mn-ea"/>
                            <a:cs typeface="+mn-cs"/>
                          </a:rPr>
                          <m:t>.</m:t>
                        </m:r>
                        <m:r>
                          <a:rPr lang="es-MX" sz="900" b="0" i="1">
                            <a:solidFill>
                              <a:schemeClr val="tx1"/>
                            </a:solidFill>
                            <a:effectLst/>
                            <a:latin typeface="Cambria Math" panose="02040503050406030204" pitchFamily="18" charset="0"/>
                            <a:ea typeface="+mn-ea"/>
                            <a:cs typeface="+mn-cs"/>
                          </a:rPr>
                          <m:t>166</m:t>
                        </m:r>
                      </m:den>
                    </m:f>
                    <m:r>
                      <a:rPr lang="es-MX" sz="900" b="0" i="1">
                        <a:latin typeface="Cambria Math" panose="02040503050406030204" pitchFamily="18" charset="0"/>
                      </a:rPr>
                      <m:t> </m:t>
                    </m:r>
                  </m:oMath>
                </m:oMathPara>
              </a14:m>
              <a:endParaRPr lang="es-MX" sz="900"/>
            </a:p>
          </xdr:txBody>
        </xdr:sp>
      </mc:Choice>
      <mc:Fallback xmlns="">
        <xdr:sp macro="" textlink="">
          <xdr:nvSpPr>
            <xdr:cNvPr id="925" name="CuadroTexto 924">
              <a:extLst>
                <a:ext uri="{FF2B5EF4-FFF2-40B4-BE49-F238E27FC236}">
                  <a16:creationId xmlns:a16="http://schemas.microsoft.com/office/drawing/2014/main" id="{EC94A47D-B275-4805-937E-2F164288DB9E}"/>
                </a:ext>
              </a:extLst>
            </xdr:cNvPr>
            <xdr:cNvSpPr txBox="1"/>
          </xdr:nvSpPr>
          <xdr:spPr>
            <a:xfrm>
              <a:off x="10202333" y="386651500"/>
              <a:ext cx="1589614"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)/(?(.069))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2.4 𝑘𝑔𝐶𝑂2)/.166 </a:t>
              </a:r>
              <a:r>
                <a:rPr lang="es-MX" sz="900" b="0" i="0">
                  <a:latin typeface="Cambria Math" panose="02040503050406030204" pitchFamily="18" charset="0"/>
                </a:rPr>
                <a:t> </a:t>
              </a:r>
              <a:endParaRPr lang="es-MX" sz="900"/>
            </a:p>
          </xdr:txBody>
        </xdr:sp>
      </mc:Fallback>
    </mc:AlternateContent>
    <xdr:clientData/>
  </xdr:oneCellAnchor>
  <xdr:oneCellAnchor>
    <xdr:from>
      <xdr:col>10</xdr:col>
      <xdr:colOff>299553</xdr:colOff>
      <xdr:row>458</xdr:row>
      <xdr:rowOff>358223</xdr:rowOff>
    </xdr:from>
    <xdr:ext cx="1797327" cy="628650"/>
    <mc:AlternateContent xmlns:mc="http://schemas.openxmlformats.org/markup-compatibility/2006" xmlns:a14="http://schemas.microsoft.com/office/drawing/2010/main">
      <mc:Choice Requires="a14">
        <xdr:sp macro="" textlink="">
          <xdr:nvSpPr>
            <xdr:cNvPr id="926" name="CuadroTexto 925">
              <a:extLst>
                <a:ext uri="{FF2B5EF4-FFF2-40B4-BE49-F238E27FC236}">
                  <a16:creationId xmlns:a16="http://schemas.microsoft.com/office/drawing/2014/main" id="{E4F8E084-17DE-4D50-91FB-DFA442D3B44D}"/>
                </a:ext>
              </a:extLst>
            </xdr:cNvPr>
            <xdr:cNvSpPr txBox="1"/>
          </xdr:nvSpPr>
          <xdr:spPr>
            <a:xfrm>
              <a:off x="12682053" y="386612848"/>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m:t>
                  </m:r>
                </m:oMath>
              </a14:m>
              <a:r>
                <a:rPr lang="es-MX" sz="1050" b="0" i="0">
                  <a:latin typeface="Cambria Math" panose="02040503050406030204" pitchFamily="18" charset="0"/>
                </a:rPr>
                <a:t> .069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𝐴𝑙𝑢</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69.1 </m:t>
                    </m:r>
                    <m:r>
                      <m:rPr>
                        <m:sty m:val="p"/>
                      </m:rPr>
                      <a:rPr lang="es-MX" sz="1050" b="0" i="0">
                        <a:solidFill>
                          <a:schemeClr val="tx1"/>
                        </a:solidFill>
                        <a:effectLst/>
                        <a:latin typeface="Cambria Math" panose="02040503050406030204" pitchFamily="18" charset="0"/>
                        <a:ea typeface="+mn-ea"/>
                        <a:cs typeface="+mn-cs"/>
                      </a:rPr>
                      <m:t>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gasolina</m:t>
                    </m:r>
                  </m:oMath>
                </m:oMathPara>
              </a14:m>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926" name="CuadroTexto 925">
              <a:extLst>
                <a:ext uri="{FF2B5EF4-FFF2-40B4-BE49-F238E27FC236}">
                  <a16:creationId xmlns:a16="http://schemas.microsoft.com/office/drawing/2014/main" id="{E4F8E084-17DE-4D50-91FB-DFA442D3B44D}"/>
                </a:ext>
              </a:extLst>
            </xdr:cNvPr>
            <xdr:cNvSpPr txBox="1"/>
          </xdr:nvSpPr>
          <xdr:spPr>
            <a:xfrm>
              <a:off x="12682053" y="386612848"/>
              <a:ext cx="1797327"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𝑉𝑖𝑑𝑟𝑖𝑜= .069 L gasolina</a:t>
              </a:r>
            </a:p>
            <a:p>
              <a:endParaRPr lang="es-MX" sz="1050" b="0" i="0">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050" b="0" i="0">
                  <a:solidFill>
                    <a:schemeClr val="tx1"/>
                  </a:solidFill>
                  <a:effectLst/>
                  <a:latin typeface="Cambria Math" panose="02040503050406030204" pitchFamily="18" charset="0"/>
                  <a:ea typeface="+mn-ea"/>
                  <a:cs typeface="+mn-cs"/>
                </a:rPr>
                <a:t>1 𝑡𝑜𝑛 𝐴𝑙𝑢=69.1 L gasolina</a:t>
              </a:r>
              <a:endParaRPr lang="es-MX" sz="1050">
                <a:effectLst/>
              </a:endParaRPr>
            </a:p>
            <a:p>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8</xdr:col>
      <xdr:colOff>243417</xdr:colOff>
      <xdr:row>459</xdr:row>
      <xdr:rowOff>195791</xdr:rowOff>
    </xdr:from>
    <xdr:ext cx="1947333" cy="319511"/>
    <mc:AlternateContent xmlns:mc="http://schemas.openxmlformats.org/markup-compatibility/2006" xmlns:a14="http://schemas.microsoft.com/office/drawing/2010/main">
      <mc:Choice Requires="a14">
        <xdr:sp macro="" textlink="">
          <xdr:nvSpPr>
            <xdr:cNvPr id="927" name="CuadroTexto 926">
              <a:extLst>
                <a:ext uri="{FF2B5EF4-FFF2-40B4-BE49-F238E27FC236}">
                  <a16:creationId xmlns:a16="http://schemas.microsoft.com/office/drawing/2014/main" id="{84F56667-12CE-4C3F-BA60-D8D7CF2577E2}"/>
                </a:ext>
              </a:extLst>
            </xdr:cNvPr>
            <xdr:cNvSpPr txBox="1"/>
          </xdr:nvSpPr>
          <xdr:spPr>
            <a:xfrm>
              <a:off x="7641167" y="387863291"/>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𝑔𝑎𝑠𝑜𝑙𝑖𝑛𝑎</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L</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20.09 </m:t>
                        </m:r>
                        <m:r>
                          <a:rPr lang="es-MX" sz="1000" b="0" i="1">
                            <a:solidFill>
                              <a:schemeClr val="tx1"/>
                            </a:solidFill>
                            <a:effectLst/>
                            <a:latin typeface="Cambria Math" panose="02040503050406030204" pitchFamily="18" charset="0"/>
                            <a:ea typeface="+mn-ea"/>
                            <a:cs typeface="+mn-cs"/>
                          </a:rPr>
                          <m:t>𝑘𝑚</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927" name="CuadroTexto 926">
              <a:extLst>
                <a:ext uri="{FF2B5EF4-FFF2-40B4-BE49-F238E27FC236}">
                  <a16:creationId xmlns:a16="http://schemas.microsoft.com/office/drawing/2014/main" id="{84F56667-12CE-4C3F-BA60-D8D7CF2577E2}"/>
                </a:ext>
              </a:extLst>
            </xdr:cNvPr>
            <xdr:cNvSpPr txBox="1"/>
          </xdr:nvSpPr>
          <xdr:spPr>
            <a:xfrm>
              <a:off x="7641167" y="387863291"/>
              <a:ext cx="1947333"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 𝐿 𝑔𝑎𝑠𝑜𝑙𝑖𝑛𝑎 )/(n  L)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20.09 𝑘𝑚)/(?(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378883</xdr:colOff>
      <xdr:row>459</xdr:row>
      <xdr:rowOff>176741</xdr:rowOff>
    </xdr:from>
    <xdr:ext cx="1418167" cy="287515"/>
    <mc:AlternateContent xmlns:mc="http://schemas.openxmlformats.org/markup-compatibility/2006" xmlns:a14="http://schemas.microsoft.com/office/drawing/2010/main">
      <mc:Choice Requires="a14">
        <xdr:sp macro="" textlink="">
          <xdr:nvSpPr>
            <xdr:cNvPr id="928" name="CuadroTexto 927">
              <a:extLst>
                <a:ext uri="{FF2B5EF4-FFF2-40B4-BE49-F238E27FC236}">
                  <a16:creationId xmlns:a16="http://schemas.microsoft.com/office/drawing/2014/main" id="{81F61CBD-7979-42AF-BF6D-0F3B881555B5}"/>
                </a:ext>
              </a:extLst>
            </xdr:cNvPr>
            <xdr:cNvSpPr txBox="1"/>
          </xdr:nvSpPr>
          <xdr:spPr>
            <a:xfrm>
              <a:off x="10205508" y="3878442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1 </m:t>
                        </m:r>
                        <m:r>
                          <a:rPr lang="es-MX" sz="900" b="0" i="1">
                            <a:solidFill>
                              <a:schemeClr val="tx1"/>
                            </a:solidFill>
                            <a:effectLst/>
                            <a:latin typeface="Cambria Math" panose="02040503050406030204" pitchFamily="18" charset="0"/>
                            <a:ea typeface="+mn-ea"/>
                            <a:cs typeface="+mn-cs"/>
                          </a:rPr>
                          <m:t>𝐿</m:t>
                        </m:r>
                        <m:r>
                          <a:rPr lang="es-MX" sz="900" b="0" i="1">
                            <a:solidFill>
                              <a:schemeClr val="tx1"/>
                            </a:solidFill>
                            <a:effectLst/>
                            <a:latin typeface="Cambria Math" panose="02040503050406030204" pitchFamily="18" charset="0"/>
                            <a:ea typeface="+mn-ea"/>
                            <a:cs typeface="+mn-cs"/>
                          </a:rPr>
                          <m:t> </m:t>
                        </m:r>
                        <m:r>
                          <a:rPr lang="es-MX" sz="900" b="0" i="1">
                            <a:solidFill>
                              <a:schemeClr val="tx1"/>
                            </a:solidFill>
                            <a:effectLst/>
                            <a:latin typeface="Cambria Math" panose="02040503050406030204" pitchFamily="18" charset="0"/>
                            <a:ea typeface="+mn-ea"/>
                            <a:cs typeface="+mn-cs"/>
                          </a:rPr>
                          <m:t>𝑔𝑎𝑠𝑜𝑙𝑖𝑛𝑎</m:t>
                        </m:r>
                        <m:r>
                          <a:rPr lang="es-MX" sz="900" b="0" i="1">
                            <a:solidFill>
                              <a:schemeClr val="tx1"/>
                            </a:solidFill>
                            <a:effectLst/>
                            <a:latin typeface="Cambria Math" panose="02040503050406030204" pitchFamily="18" charset="0"/>
                            <a:ea typeface="+mn-ea"/>
                            <a:cs typeface="+mn-cs"/>
                          </a:rPr>
                          <m:t> </m:t>
                        </m:r>
                      </m:num>
                      <m:den>
                        <m:r>
                          <a:rPr lang="es-MX" sz="900" b="0" i="0">
                            <a:solidFill>
                              <a:schemeClr val="tx1"/>
                            </a:solidFill>
                            <a:effectLst/>
                            <a:latin typeface="Cambria Math" panose="02040503050406030204" pitchFamily="18" charset="0"/>
                            <a:ea typeface="+mn-ea"/>
                            <a:cs typeface="+mn-cs"/>
                          </a:rPr>
                          <m:t>.</m:t>
                        </m:r>
                        <m:r>
                          <a:rPr lang="es-MX" sz="900" b="0" i="1">
                            <a:solidFill>
                              <a:schemeClr val="tx1"/>
                            </a:solidFill>
                            <a:effectLst/>
                            <a:latin typeface="Cambria Math" panose="02040503050406030204" pitchFamily="18" charset="0"/>
                            <a:ea typeface="+mn-ea"/>
                            <a:cs typeface="+mn-cs"/>
                          </a:rPr>
                          <m:t>069</m:t>
                        </m:r>
                      </m:den>
                    </m:f>
                    <m:r>
                      <a:rPr lang="es-MX" sz="900" b="0" i="1">
                        <a:latin typeface="Cambria Math" panose="02040503050406030204" pitchFamily="18" charset="0"/>
                      </a:rPr>
                      <m:t> </m:t>
                    </m:r>
                    <m:r>
                      <a:rPr lang="es-MX" sz="900" b="0" i="0">
                        <a:latin typeface="Cambria Math" panose="02040503050406030204" pitchFamily="18" charset="0"/>
                      </a:rPr>
                      <m:t>→</m:t>
                    </m:r>
                    <m:f>
                      <m:fPr>
                        <m:ctrlPr>
                          <a:rPr lang="es-MX" sz="900" i="1">
                            <a:solidFill>
                              <a:schemeClr val="tx1"/>
                            </a:solidFill>
                            <a:effectLst/>
                            <a:latin typeface="Cambria Math" panose="02040503050406030204" pitchFamily="18" charset="0"/>
                            <a:ea typeface="+mn-ea"/>
                            <a:cs typeface="+mn-cs"/>
                          </a:rPr>
                        </m:ctrlPr>
                      </m:fPr>
                      <m:num>
                        <m:r>
                          <a:rPr lang="es-MX" sz="900" b="0" i="1">
                            <a:solidFill>
                              <a:schemeClr val="tx1"/>
                            </a:solidFill>
                            <a:effectLst/>
                            <a:latin typeface="Cambria Math" panose="02040503050406030204" pitchFamily="18" charset="0"/>
                            <a:ea typeface="+mn-ea"/>
                            <a:cs typeface="+mn-cs"/>
                          </a:rPr>
                          <m:t>20.09 </m:t>
                        </m:r>
                        <m:r>
                          <a:rPr lang="es-MX" sz="900" b="0" i="1">
                            <a:solidFill>
                              <a:schemeClr val="tx1"/>
                            </a:solidFill>
                            <a:effectLst/>
                            <a:latin typeface="Cambria Math" panose="02040503050406030204" pitchFamily="18" charset="0"/>
                            <a:ea typeface="+mn-ea"/>
                            <a:cs typeface="+mn-cs"/>
                          </a:rPr>
                          <m:t>𝑘𝑚</m:t>
                        </m:r>
                      </m:num>
                      <m:den>
                        <m:r>
                          <a:rPr lang="es-MX" sz="900" b="0" i="0">
                            <a:solidFill>
                              <a:schemeClr val="tx1"/>
                            </a:solidFill>
                            <a:effectLst/>
                            <a:latin typeface="Cambria Math" panose="02040503050406030204" pitchFamily="18" charset="0"/>
                            <a:ea typeface="+mn-ea"/>
                            <a:cs typeface="+mn-cs"/>
                          </a:rPr>
                          <m:t>?(1.386 </m:t>
                        </m:r>
                      </m:den>
                    </m:f>
                  </m:oMath>
                </m:oMathPara>
              </a14:m>
              <a:endParaRPr lang="es-MX" sz="900"/>
            </a:p>
          </xdr:txBody>
        </xdr:sp>
      </mc:Choice>
      <mc:Fallback xmlns="">
        <xdr:sp macro="" textlink="">
          <xdr:nvSpPr>
            <xdr:cNvPr id="928" name="CuadroTexto 927">
              <a:extLst>
                <a:ext uri="{FF2B5EF4-FFF2-40B4-BE49-F238E27FC236}">
                  <a16:creationId xmlns:a16="http://schemas.microsoft.com/office/drawing/2014/main" id="{81F61CBD-7979-42AF-BF6D-0F3B881555B5}"/>
                </a:ext>
              </a:extLst>
            </xdr:cNvPr>
            <xdr:cNvSpPr txBox="1"/>
          </xdr:nvSpPr>
          <xdr:spPr>
            <a:xfrm>
              <a:off x="10205508" y="387844241"/>
              <a:ext cx="1418167" cy="287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1 𝐿 𝑔𝑎𝑠𝑜𝑙𝑖𝑛𝑎 )/.069 </a:t>
              </a:r>
              <a:r>
                <a:rPr lang="es-MX" sz="900" b="0" i="0">
                  <a:latin typeface="Cambria Math" panose="02040503050406030204" pitchFamily="18" charset="0"/>
                </a:rPr>
                <a:t> →</a:t>
              </a:r>
              <a:r>
                <a:rPr lang="es-MX" sz="900" i="0">
                  <a:solidFill>
                    <a:schemeClr val="tx1"/>
                  </a:solidFill>
                  <a:effectLst/>
                  <a:latin typeface="Cambria Math" panose="02040503050406030204" pitchFamily="18" charset="0"/>
                  <a:ea typeface="+mn-ea"/>
                  <a:cs typeface="+mn-cs"/>
                </a:rPr>
                <a:t>(</a:t>
              </a:r>
              <a:r>
                <a:rPr lang="es-MX" sz="900" b="0" i="0">
                  <a:solidFill>
                    <a:schemeClr val="tx1"/>
                  </a:solidFill>
                  <a:effectLst/>
                  <a:latin typeface="Cambria Math" panose="02040503050406030204" pitchFamily="18" charset="0"/>
                  <a:ea typeface="+mn-ea"/>
                  <a:cs typeface="+mn-cs"/>
                </a:rPr>
                <a:t>20.09 𝑘𝑚)/(?(1.386 )</a:t>
              </a:r>
              <a:endParaRPr lang="es-MX" sz="900"/>
            </a:p>
          </xdr:txBody>
        </xdr:sp>
      </mc:Fallback>
    </mc:AlternateContent>
    <xdr:clientData/>
  </xdr:oneCellAnchor>
  <xdr:oneCellAnchor>
    <xdr:from>
      <xdr:col>8</xdr:col>
      <xdr:colOff>560917</xdr:colOff>
      <xdr:row>459</xdr:row>
      <xdr:rowOff>809625</xdr:rowOff>
    </xdr:from>
    <xdr:ext cx="1418167" cy="329770"/>
    <mc:AlternateContent xmlns:mc="http://schemas.openxmlformats.org/markup-compatibility/2006" xmlns:a14="http://schemas.microsoft.com/office/drawing/2010/main">
      <mc:Choice Requires="a14">
        <xdr:sp macro="" textlink="">
          <xdr:nvSpPr>
            <xdr:cNvPr id="929" name="CuadroTexto 928">
              <a:extLst>
                <a:ext uri="{FF2B5EF4-FFF2-40B4-BE49-F238E27FC236}">
                  <a16:creationId xmlns:a16="http://schemas.microsoft.com/office/drawing/2014/main" id="{37AD5AA1-900A-4B9F-A200-3859DCD81141}"/>
                </a:ext>
              </a:extLst>
            </xdr:cNvPr>
            <xdr:cNvSpPr txBox="1"/>
          </xdr:nvSpPr>
          <xdr:spPr>
            <a:xfrm>
              <a:off x="7958667" y="3884771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m:rPr>
                            <m:sty m:val="p"/>
                          </m:rPr>
                          <a:rPr lang="es-MX" sz="1000" b="0" i="0">
                            <a:solidFill>
                              <a:schemeClr val="tx1"/>
                            </a:solidFill>
                            <a:effectLst/>
                            <a:latin typeface="Cambria Math" panose="02040503050406030204" pitchFamily="18" charset="0"/>
                            <a:ea typeface="+mn-ea"/>
                            <a:cs typeface="+mn-cs"/>
                          </a:rPr>
                          <m:t>n</m:t>
                        </m:r>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𝑘𝑚</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929" name="CuadroTexto 928">
              <a:extLst>
                <a:ext uri="{FF2B5EF4-FFF2-40B4-BE49-F238E27FC236}">
                  <a16:creationId xmlns:a16="http://schemas.microsoft.com/office/drawing/2014/main" id="{37AD5AA1-900A-4B9F-A200-3859DCD81141}"/>
                </a:ext>
              </a:extLst>
            </xdr:cNvPr>
            <xdr:cNvSpPr txBox="1"/>
          </xdr:nvSpPr>
          <xdr:spPr>
            <a:xfrm>
              <a:off x="7958667" y="3884771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)/(n  𝑘𝑚)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 ))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433227</xdr:colOff>
      <xdr:row>459</xdr:row>
      <xdr:rowOff>721967</xdr:rowOff>
    </xdr:from>
    <xdr:ext cx="1418167" cy="319511"/>
    <mc:AlternateContent xmlns:mc="http://schemas.openxmlformats.org/markup-compatibility/2006" xmlns:a14="http://schemas.microsoft.com/office/drawing/2010/main">
      <mc:Choice Requires="a14">
        <xdr:sp macro="" textlink="">
          <xdr:nvSpPr>
            <xdr:cNvPr id="930" name="CuadroTexto 929">
              <a:extLst>
                <a:ext uri="{FF2B5EF4-FFF2-40B4-BE49-F238E27FC236}">
                  <a16:creationId xmlns:a16="http://schemas.microsoft.com/office/drawing/2014/main" id="{1B4ECF77-D81C-4439-864F-C0ED77AD56FD}"/>
                </a:ext>
              </a:extLst>
            </xdr:cNvPr>
            <xdr:cNvSpPr txBox="1"/>
          </xdr:nvSpPr>
          <xdr:spPr>
            <a:xfrm>
              <a:off x="10259852" y="388389467"/>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110</m:t>
                        </m:r>
                        <m:r>
                          <a:rPr lang="es-MX" sz="1000" b="0" i="1">
                            <a:solidFill>
                              <a:schemeClr val="tx1"/>
                            </a:solidFill>
                            <a:effectLst/>
                            <a:latin typeface="Cambria Math" panose="02040503050406030204" pitchFamily="18" charset="0"/>
                            <a:ea typeface="+mn-ea"/>
                            <a:cs typeface="+mn-cs"/>
                          </a:rPr>
                          <m:t>𝑘𝑚</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1.38 </m:t>
                        </m:r>
                        <m:r>
                          <m:rPr>
                            <m:sty m:val="p"/>
                          </m:rPr>
                          <a:rPr lang="es-MX" sz="1000" b="0" i="0">
                            <a:solidFill>
                              <a:schemeClr val="tx1"/>
                            </a:solidFill>
                            <a:effectLst/>
                            <a:latin typeface="Cambria Math" panose="02040503050406030204" pitchFamily="18" charset="0"/>
                            <a:ea typeface="+mn-ea"/>
                            <a:cs typeface="+mn-cs"/>
                          </a:rPr>
                          <m:t>km</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60 </m:t>
                        </m:r>
                        <m:r>
                          <a:rPr lang="es-MX" sz="1000" b="0" i="1">
                            <a:solidFill>
                              <a:schemeClr val="tx1"/>
                            </a:solidFill>
                            <a:effectLst/>
                            <a:latin typeface="Cambria Math" panose="02040503050406030204" pitchFamily="18" charset="0"/>
                            <a:ea typeface="+mn-ea"/>
                            <a:cs typeface="+mn-cs"/>
                          </a:rPr>
                          <m:t>𝑚𝑖𝑛</m:t>
                        </m:r>
                      </m:num>
                      <m:den>
                        <m:r>
                          <a:rPr lang="es-MX" sz="1000" b="0" i="0">
                            <a:solidFill>
                              <a:schemeClr val="tx1"/>
                            </a:solidFill>
                            <a:effectLst/>
                            <a:latin typeface="Cambria Math" panose="02040503050406030204" pitchFamily="18" charset="0"/>
                            <a:ea typeface="+mn-ea"/>
                            <a:cs typeface="+mn-cs"/>
                          </a:rPr>
                          <m:t>?(.75 </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930" name="CuadroTexto 929">
              <a:extLst>
                <a:ext uri="{FF2B5EF4-FFF2-40B4-BE49-F238E27FC236}">
                  <a16:creationId xmlns:a16="http://schemas.microsoft.com/office/drawing/2014/main" id="{1B4ECF77-D81C-4439-864F-C0ED77AD56FD}"/>
                </a:ext>
              </a:extLst>
            </xdr:cNvPr>
            <xdr:cNvSpPr txBox="1"/>
          </xdr:nvSpPr>
          <xdr:spPr>
            <a:xfrm>
              <a:off x="10259852" y="388389467"/>
              <a:ext cx="1418167" cy="31951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110𝑘𝑚 )/(1.38 km)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60 𝑚𝑖𝑛)/(?(.75 ))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269875</xdr:colOff>
      <xdr:row>459</xdr:row>
      <xdr:rowOff>266699</xdr:rowOff>
    </xdr:from>
    <xdr:ext cx="1976967" cy="994833"/>
    <mc:AlternateContent xmlns:mc="http://schemas.openxmlformats.org/markup-compatibility/2006" xmlns:a14="http://schemas.microsoft.com/office/drawing/2010/main">
      <mc:Choice Requires="a14">
        <xdr:sp macro="" textlink="">
          <xdr:nvSpPr>
            <xdr:cNvPr id="931" name="CuadroTexto 930">
              <a:extLst>
                <a:ext uri="{FF2B5EF4-FFF2-40B4-BE49-F238E27FC236}">
                  <a16:creationId xmlns:a16="http://schemas.microsoft.com/office/drawing/2014/main" id="{C2A3D6DD-0955-46F6-B0A9-831EA01A76AB}"/>
                </a:ext>
              </a:extLst>
            </xdr:cNvPr>
            <xdr:cNvSpPr txBox="1"/>
          </xdr:nvSpPr>
          <xdr:spPr>
            <a:xfrm>
              <a:off x="12652375" y="387934199"/>
              <a:ext cx="19769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m:t>
                  </m:r>
                  <m:r>
                    <a:rPr lang="es-MX" sz="1050" b="0" i="1">
                      <a:latin typeface="Cambria Math" panose="02040503050406030204" pitchFamily="18" charset="0"/>
                    </a:rPr>
                    <m:t>=</m:t>
                  </m:r>
                  <m:r>
                    <a:rPr lang="es-MX" sz="1050" b="0" i="0">
                      <a:latin typeface="Cambria Math" panose="02040503050406030204" pitchFamily="18" charset="0"/>
                    </a:rPr>
                    <m:t>1.386 </m:t>
                  </m:r>
                  <m:r>
                    <m:rPr>
                      <m:sty m:val="p"/>
                    </m:rPr>
                    <a:rPr lang="es-MX" sz="1050" b="0" i="0">
                      <a:latin typeface="Cambria Math" panose="02040503050406030204" pitchFamily="18" charset="0"/>
                    </a:rPr>
                    <m:t>km</m:t>
                  </m:r>
                  <m:r>
                    <a:rPr lang="es-MX" sz="1050" b="0" i="0">
                      <a:latin typeface="Cambria Math" panose="02040503050406030204" pitchFamily="18" charset="0"/>
                    </a:rPr>
                    <m:t> </m:t>
                  </m:r>
                  <m:r>
                    <m:rPr>
                      <m:sty m:val="p"/>
                    </m:rPr>
                    <a:rPr lang="es-MX" sz="1050" b="0" i="0">
                      <a:latin typeface="Cambria Math" panose="02040503050406030204" pitchFamily="18" charset="0"/>
                    </a:rPr>
                    <m:t>en</m:t>
                  </m:r>
                  <m:r>
                    <a:rPr lang="es-MX" sz="1050" b="0" i="0">
                      <a:latin typeface="Cambria Math" panose="02040503050406030204" pitchFamily="18" charset="0"/>
                    </a:rPr>
                    <m:t> </m:t>
                  </m:r>
                  <m:r>
                    <m:rPr>
                      <m:sty m:val="p"/>
                    </m:rPr>
                    <a:rPr lang="es-MX" sz="1050" b="0" i="0">
                      <a:latin typeface="Cambria Math" panose="02040503050406030204" pitchFamily="18" charset="0"/>
                    </a:rPr>
                    <m:t>coche</m:t>
                  </m:r>
                  <m:r>
                    <a:rPr lang="es-MX" sz="1050" b="0" i="0">
                      <a:latin typeface="Cambria Math" panose="02040503050406030204" pitchFamily="18" charset="0"/>
                    </a:rPr>
                    <m:t> </m:t>
                  </m:r>
                  <m:r>
                    <m:rPr>
                      <m:sty m:val="p"/>
                    </m:rPr>
                    <a:rPr lang="es-MX" sz="1050" b="0" i="0">
                      <a:latin typeface="Cambria Math" panose="02040503050406030204" pitchFamily="18" charset="0"/>
                    </a:rPr>
                    <m:t>o</m:t>
                  </m:r>
                  <m:r>
                    <a:rPr lang="es-MX" sz="1050" b="0" i="0">
                      <a:latin typeface="Cambria Math" panose="02040503050406030204" pitchFamily="18" charset="0"/>
                    </a:rPr>
                    <m:t> .756 </m:t>
                  </m:r>
                  <m:r>
                    <m:rPr>
                      <m:sty m:val="p"/>
                    </m:rPr>
                    <a:rPr lang="es-MX" sz="1050" b="0" i="0">
                      <a:latin typeface="Cambria Math" panose="02040503050406030204" pitchFamily="18" charset="0"/>
                    </a:rPr>
                    <m:t>minutos</m:t>
                  </m:r>
                  <m:r>
                    <a:rPr lang="es-MX" sz="1050" b="0" i="0">
                      <a:latin typeface="Cambria Math" panose="02040503050406030204" pitchFamily="18" charset="0"/>
                    </a:rPr>
                    <m:t>   </m:t>
                  </m:r>
                </m:oMath>
              </a14:m>
              <a:r>
                <a:rPr lang="es-MX" sz="1050" b="0" i="0">
                  <a:latin typeface="Cambria Math" panose="02040503050406030204" pitchFamily="18" charset="0"/>
                </a:rPr>
                <a:t> </a:t>
              </a:r>
            </a:p>
            <a:p>
              <a:pPr algn="l"/>
              <a:endParaRPr lang="es-MX" sz="1050" b="0" i="0">
                <a:latin typeface="Cambria Math" panose="02040503050406030204" pitchFamily="18" charset="0"/>
              </a:endParaRPr>
            </a:p>
            <a:p>
              <a:pPr algn="l"/>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𝑉𝑖𝑑</m:t>
                  </m:r>
                  <m:r>
                    <a:rPr lang="es-MX" sz="1050" b="0" i="1">
                      <a:solidFill>
                        <a:schemeClr val="tx1"/>
                      </a:solidFill>
                      <a:effectLst/>
                      <a:latin typeface="Cambria Math" panose="02040503050406030204" pitchFamily="18" charset="0"/>
                      <a:ea typeface="+mn-ea"/>
                      <a:cs typeface="+mn-cs"/>
                    </a:rPr>
                    <m:t>=</m:t>
                  </m:r>
                </m:oMath>
              </a14:m>
              <a:r>
                <a:rPr lang="es-MX" sz="1050">
                  <a:effectLst/>
                </a:rPr>
                <a:t> 1,386  km en coche o 756/12</a:t>
              </a:r>
              <a:r>
                <a:rPr lang="es-MX" sz="1050" baseline="0">
                  <a:effectLst/>
                </a:rPr>
                <a:t> horas</a:t>
              </a:r>
              <a:endParaRPr lang="es-MX" sz="1100" b="0"/>
            </a:p>
          </xdr:txBody>
        </xdr:sp>
      </mc:Choice>
      <mc:Fallback xmlns="">
        <xdr:sp macro="" textlink="">
          <xdr:nvSpPr>
            <xdr:cNvPr id="931" name="CuadroTexto 930">
              <a:extLst>
                <a:ext uri="{FF2B5EF4-FFF2-40B4-BE49-F238E27FC236}">
                  <a16:creationId xmlns:a16="http://schemas.microsoft.com/office/drawing/2014/main" id="{C2A3D6DD-0955-46F6-B0A9-831EA01A76AB}"/>
                </a:ext>
              </a:extLst>
            </xdr:cNvPr>
            <xdr:cNvSpPr txBox="1"/>
          </xdr:nvSpPr>
          <xdr:spPr>
            <a:xfrm>
              <a:off x="12652375" y="387934199"/>
              <a:ext cx="1976967"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𝑉𝑖𝑑=1.386 km en coche o .756 minutos    </a:t>
              </a:r>
            </a:p>
            <a:p>
              <a:pPr algn="l"/>
              <a:endParaRPr lang="es-MX" sz="1050" b="0" i="0">
                <a:latin typeface="Cambria Math" panose="02040503050406030204" pitchFamily="18" charset="0"/>
              </a:endParaRPr>
            </a:p>
            <a:p>
              <a:pPr algn="l"/>
              <a:r>
                <a:rPr lang="es-MX" sz="1050" b="0" i="0">
                  <a:solidFill>
                    <a:schemeClr val="tx1"/>
                  </a:solidFill>
                  <a:effectLst/>
                  <a:latin typeface="Cambria Math" panose="02040503050406030204" pitchFamily="18" charset="0"/>
                  <a:ea typeface="+mn-ea"/>
                  <a:cs typeface="+mn-cs"/>
                </a:rPr>
                <a:t>1 𝑡𝑜𝑛 𝑉𝑖𝑑=</a:t>
              </a:r>
              <a:r>
                <a:rPr lang="es-MX" sz="1050">
                  <a:effectLst/>
                </a:rPr>
                <a:t> 1,386  km en coche o 756/12</a:t>
              </a:r>
              <a:r>
                <a:rPr lang="es-MX" sz="1050" baseline="0">
                  <a:effectLst/>
                </a:rPr>
                <a:t> horas</a:t>
              </a:r>
              <a:endParaRPr lang="es-MX" sz="1100" b="0"/>
            </a:p>
          </xdr:txBody>
        </xdr:sp>
      </mc:Fallback>
    </mc:AlternateContent>
    <xdr:clientData/>
  </xdr:oneCellAnchor>
  <xdr:oneCellAnchor>
    <xdr:from>
      <xdr:col>12</xdr:col>
      <xdr:colOff>2525183</xdr:colOff>
      <xdr:row>458</xdr:row>
      <xdr:rowOff>1132417</xdr:rowOff>
    </xdr:from>
    <xdr:ext cx="295276" cy="295276"/>
    <xdr:pic>
      <xdr:nvPicPr>
        <xdr:cNvPr id="932" name="Gráfico 931" descr="Inalámbrico">
          <a:hlinkClick xmlns:r="http://schemas.openxmlformats.org/officeDocument/2006/relationships" r:id="rId64"/>
          <a:extLst>
            <a:ext uri="{FF2B5EF4-FFF2-40B4-BE49-F238E27FC236}">
              <a16:creationId xmlns:a16="http://schemas.microsoft.com/office/drawing/2014/main" id="{D49DE9EB-C8B9-4D74-8EA7-1AF55E61278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84158" y="290016142"/>
          <a:ext cx="295276" cy="295276"/>
        </a:xfrm>
        <a:prstGeom prst="rect">
          <a:avLst/>
        </a:prstGeom>
      </xdr:spPr>
    </xdr:pic>
    <xdr:clientData/>
  </xdr:oneCellAnchor>
  <xdr:oneCellAnchor>
    <xdr:from>
      <xdr:col>12</xdr:col>
      <xdr:colOff>2296583</xdr:colOff>
      <xdr:row>458</xdr:row>
      <xdr:rowOff>1189567</xdr:rowOff>
    </xdr:from>
    <xdr:ext cx="228600" cy="232448"/>
    <xdr:pic>
      <xdr:nvPicPr>
        <xdr:cNvPr id="933" name="Gráfico 932" descr="Hogar">
          <a:hlinkClick xmlns:r="http://schemas.openxmlformats.org/officeDocument/2006/relationships" r:id="rId65"/>
          <a:extLst>
            <a:ext uri="{FF2B5EF4-FFF2-40B4-BE49-F238E27FC236}">
              <a16:creationId xmlns:a16="http://schemas.microsoft.com/office/drawing/2014/main" id="{A7BF7070-85A7-4A41-8BE7-E76C543064E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55558" y="290073292"/>
          <a:ext cx="228600" cy="232448"/>
        </a:xfrm>
        <a:prstGeom prst="rect">
          <a:avLst/>
        </a:prstGeom>
      </xdr:spPr>
    </xdr:pic>
    <xdr:clientData/>
  </xdr:oneCellAnchor>
  <xdr:oneCellAnchor>
    <xdr:from>
      <xdr:col>12</xdr:col>
      <xdr:colOff>2518834</xdr:colOff>
      <xdr:row>459</xdr:row>
      <xdr:rowOff>455084</xdr:rowOff>
    </xdr:from>
    <xdr:ext cx="295276" cy="295276"/>
    <xdr:pic>
      <xdr:nvPicPr>
        <xdr:cNvPr id="934" name="Gráfico 933" descr="Inalámbrico">
          <a:hlinkClick xmlns:r="http://schemas.openxmlformats.org/officeDocument/2006/relationships" r:id="rId62"/>
          <a:extLst>
            <a:ext uri="{FF2B5EF4-FFF2-40B4-BE49-F238E27FC236}">
              <a16:creationId xmlns:a16="http://schemas.microsoft.com/office/drawing/2014/main" id="{6F9386CE-0BDD-4399-9A74-4FF43B8EB37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7809" y="290748509"/>
          <a:ext cx="295276" cy="295276"/>
        </a:xfrm>
        <a:prstGeom prst="rect">
          <a:avLst/>
        </a:prstGeom>
      </xdr:spPr>
    </xdr:pic>
    <xdr:clientData/>
  </xdr:oneCellAnchor>
  <xdr:oneCellAnchor>
    <xdr:from>
      <xdr:col>12</xdr:col>
      <xdr:colOff>2286000</xdr:colOff>
      <xdr:row>459</xdr:row>
      <xdr:rowOff>493184</xdr:rowOff>
    </xdr:from>
    <xdr:ext cx="228600" cy="228600"/>
    <xdr:pic>
      <xdr:nvPicPr>
        <xdr:cNvPr id="935" name="Gráfico 934" descr="Hogar">
          <a:hlinkClick xmlns:r="http://schemas.openxmlformats.org/officeDocument/2006/relationships" r:id="rId63"/>
          <a:extLst>
            <a:ext uri="{FF2B5EF4-FFF2-40B4-BE49-F238E27FC236}">
              <a16:creationId xmlns:a16="http://schemas.microsoft.com/office/drawing/2014/main" id="{7BD39D38-0DAE-4599-B6F8-69088A5A7D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44975" y="290786609"/>
          <a:ext cx="228600" cy="228600"/>
        </a:xfrm>
        <a:prstGeom prst="rect">
          <a:avLst/>
        </a:prstGeom>
      </xdr:spPr>
    </xdr:pic>
    <xdr:clientData/>
  </xdr:oneCellAnchor>
  <xdr:oneCellAnchor>
    <xdr:from>
      <xdr:col>12</xdr:col>
      <xdr:colOff>2579158</xdr:colOff>
      <xdr:row>459</xdr:row>
      <xdr:rowOff>1165225</xdr:rowOff>
    </xdr:from>
    <xdr:ext cx="295276" cy="295276"/>
    <xdr:pic>
      <xdr:nvPicPr>
        <xdr:cNvPr id="936" name="Gráfico 935" descr="Inalámbrico">
          <a:hlinkClick xmlns:r="http://schemas.openxmlformats.org/officeDocument/2006/relationships" r:id="rId66"/>
          <a:extLst>
            <a:ext uri="{FF2B5EF4-FFF2-40B4-BE49-F238E27FC236}">
              <a16:creationId xmlns:a16="http://schemas.microsoft.com/office/drawing/2014/main" id="{A7D186AB-EC03-43CB-BC22-76A49E7F20C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38133" y="291458650"/>
          <a:ext cx="295276" cy="295276"/>
        </a:xfrm>
        <a:prstGeom prst="rect">
          <a:avLst/>
        </a:prstGeom>
      </xdr:spPr>
    </xdr:pic>
    <xdr:clientData/>
  </xdr:oneCellAnchor>
  <xdr:oneCellAnchor>
    <xdr:from>
      <xdr:col>12</xdr:col>
      <xdr:colOff>2543175</xdr:colOff>
      <xdr:row>455</xdr:row>
      <xdr:rowOff>1143000</xdr:rowOff>
    </xdr:from>
    <xdr:ext cx="295276" cy="295276"/>
    <xdr:pic>
      <xdr:nvPicPr>
        <xdr:cNvPr id="937" name="Gráfico 936" descr="Inalámbrico">
          <a:hlinkClick xmlns:r="http://schemas.openxmlformats.org/officeDocument/2006/relationships" r:id="rId100" invalidUrl="http://www.conama11.vsf.es/conama10/download/files/conama2016/CT 2016/1998973493.pdf"/>
          <a:extLst>
            <a:ext uri="{FF2B5EF4-FFF2-40B4-BE49-F238E27FC236}">
              <a16:creationId xmlns:a16="http://schemas.microsoft.com/office/drawing/2014/main" id="{CF33599D-60A4-4944-8558-683583E3AAB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02150" y="344433525"/>
          <a:ext cx="295276" cy="295276"/>
        </a:xfrm>
        <a:prstGeom prst="rect">
          <a:avLst/>
        </a:prstGeom>
      </xdr:spPr>
    </xdr:pic>
    <xdr:clientData/>
  </xdr:oneCellAnchor>
  <xdr:oneCellAnchor>
    <xdr:from>
      <xdr:col>12</xdr:col>
      <xdr:colOff>2257425</xdr:colOff>
      <xdr:row>455</xdr:row>
      <xdr:rowOff>1085850</xdr:rowOff>
    </xdr:from>
    <xdr:ext cx="323850" cy="329500"/>
    <xdr:pic>
      <xdr:nvPicPr>
        <xdr:cNvPr id="938" name="Gráfico 937" descr="Hogar">
          <a:hlinkClick xmlns:r="http://schemas.openxmlformats.org/officeDocument/2006/relationships" r:id="rId101"/>
          <a:extLst>
            <a:ext uri="{FF2B5EF4-FFF2-40B4-BE49-F238E27FC236}">
              <a16:creationId xmlns:a16="http://schemas.microsoft.com/office/drawing/2014/main" id="{DD80FE27-EF65-4001-B43F-F8350097B66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16400" y="344376375"/>
          <a:ext cx="323850" cy="329500"/>
        </a:xfrm>
        <a:prstGeom prst="rect">
          <a:avLst/>
        </a:prstGeom>
      </xdr:spPr>
    </xdr:pic>
    <xdr:clientData/>
  </xdr:oneCellAnchor>
  <xdr:oneCellAnchor>
    <xdr:from>
      <xdr:col>10</xdr:col>
      <xdr:colOff>164090</xdr:colOff>
      <xdr:row>455</xdr:row>
      <xdr:rowOff>169429</xdr:rowOff>
    </xdr:from>
    <xdr:ext cx="1785937" cy="1121589"/>
    <mc:AlternateContent xmlns:mc="http://schemas.openxmlformats.org/markup-compatibility/2006" xmlns:a14="http://schemas.microsoft.com/office/drawing/2010/main">
      <mc:Choice Requires="a14">
        <xdr:sp macro="" textlink="">
          <xdr:nvSpPr>
            <xdr:cNvPr id="939" name="CuadroTexto 938">
              <a:extLst>
                <a:ext uri="{FF2B5EF4-FFF2-40B4-BE49-F238E27FC236}">
                  <a16:creationId xmlns:a16="http://schemas.microsoft.com/office/drawing/2014/main" id="{ACF45CC5-CBE7-4FFB-A30E-FFB8EB294F3C}"/>
                </a:ext>
              </a:extLst>
            </xdr:cNvPr>
            <xdr:cNvSpPr txBox="1"/>
          </xdr:nvSpPr>
          <xdr:spPr>
            <a:xfrm>
              <a:off x="10841615" y="34205025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=.200</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kg</m:t>
                        </m:r>
                      </m:num>
                      <m:den>
                        <m:r>
                          <m:rPr>
                            <m:sty m:val="p"/>
                          </m:rPr>
                          <a:rPr lang="es-MX" sz="1050" b="0" i="0">
                            <a:solidFill>
                              <a:schemeClr val="tx1"/>
                            </a:solidFill>
                            <a:effectLst/>
                            <a:latin typeface="Cambria Math" panose="02040503050406030204" pitchFamily="18" charset="0"/>
                            <a:ea typeface="+mn-ea"/>
                            <a:cs typeface="+mn-cs"/>
                          </a:rPr>
                          <m:t>C</m:t>
                        </m:r>
                        <m:r>
                          <a:rPr lang="es-MX" sz="1050" b="0" i="1">
                            <a:solidFill>
                              <a:schemeClr val="tx1"/>
                            </a:solidFill>
                            <a:effectLst/>
                            <a:latin typeface="Cambria Math" panose="02040503050406030204" pitchFamily="18" charset="0"/>
                            <a:ea typeface="+mn-ea"/>
                            <a:cs typeface="+mn-cs"/>
                          </a:rPr>
                          <m:t>𝑜</m:t>
                        </m:r>
                        <m:r>
                          <a:rPr lang="es-MX" sz="1050" b="0" i="1">
                            <a:solidFill>
                              <a:schemeClr val="tx1"/>
                            </a:solidFill>
                            <a:effectLst/>
                            <a:latin typeface="Cambria Math" panose="02040503050406030204" pitchFamily="18" charset="0"/>
                            <a:ea typeface="+mn-ea"/>
                            <a:cs typeface="+mn-cs"/>
                          </a:rPr>
                          <m:t>2</m:t>
                        </m:r>
                      </m:den>
                    </m:f>
                  </m:oMath>
                </m:oMathPara>
              </a14:m>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𝑉𝑖𝑑𝑟𝑖𝑜</m:t>
                    </m:r>
                    <m:r>
                      <a:rPr lang="es-MX" sz="1100" b="0" i="1">
                        <a:solidFill>
                          <a:schemeClr val="tx1"/>
                        </a:solidFill>
                        <a:effectLst/>
                        <a:latin typeface="Cambria Math" panose="02040503050406030204" pitchFamily="18" charset="0"/>
                        <a:ea typeface="+mn-ea"/>
                        <a:cs typeface="+mn-cs"/>
                      </a:rPr>
                      <m:t>=200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kg</m:t>
                        </m:r>
                      </m:num>
                      <m:den>
                        <m:r>
                          <m:rPr>
                            <m:sty m:val="p"/>
                          </m:rPr>
                          <a:rPr lang="es-MX" sz="1100" b="0" i="0">
                            <a:solidFill>
                              <a:schemeClr val="tx1"/>
                            </a:solidFill>
                            <a:effectLst/>
                            <a:latin typeface="Cambria Math" panose="02040503050406030204" pitchFamily="18" charset="0"/>
                            <a:ea typeface="+mn-ea"/>
                            <a:cs typeface="+mn-cs"/>
                          </a:rPr>
                          <m:t>C</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2</m:t>
                        </m:r>
                      </m:den>
                    </m:f>
                  </m:oMath>
                </m:oMathPara>
              </a14:m>
              <a:endParaRPr lang="es-MX" sz="1050">
                <a:effectLst/>
              </a:endParaRPr>
            </a:p>
            <a:p>
              <a:endParaRPr lang="es-MX" sz="1050" b="0"/>
            </a:p>
          </xdr:txBody>
        </xdr:sp>
      </mc:Choice>
      <mc:Fallback xmlns="">
        <xdr:sp macro="" textlink="">
          <xdr:nvSpPr>
            <xdr:cNvPr id="939" name="CuadroTexto 938">
              <a:extLst>
                <a:ext uri="{FF2B5EF4-FFF2-40B4-BE49-F238E27FC236}">
                  <a16:creationId xmlns:a16="http://schemas.microsoft.com/office/drawing/2014/main" id="{ACF45CC5-CBE7-4FFB-A30E-FFB8EB294F3C}"/>
                </a:ext>
              </a:extLst>
            </xdr:cNvPr>
            <xdr:cNvSpPr txBox="1"/>
          </xdr:nvSpPr>
          <xdr:spPr>
            <a:xfrm>
              <a:off x="10841615" y="342050254"/>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𝑉𝑖𝑑𝑟𝑖𝑜=.200</a:t>
              </a:r>
              <a:r>
                <a:rPr lang="es-MX" sz="1050" b="0" i="0">
                  <a:solidFill>
                    <a:schemeClr val="tx1"/>
                  </a:solidFill>
                  <a:effectLst/>
                  <a:latin typeface="Cambria Math" panose="02040503050406030204" pitchFamily="18" charset="0"/>
                  <a:ea typeface="+mn-ea"/>
                  <a:cs typeface="+mn-cs"/>
                </a:rPr>
                <a:t> kg/C𝑜2</a:t>
              </a:r>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𝑉𝑖𝑑𝑟𝑖𝑜=200 kg/C𝑜2</a:t>
              </a:r>
              <a:endParaRPr lang="es-MX" sz="1050">
                <a:effectLst/>
              </a:endParaRPr>
            </a:p>
            <a:p>
              <a:endParaRPr lang="es-MX" sz="1050" b="0"/>
            </a:p>
          </xdr:txBody>
        </xdr:sp>
      </mc:Fallback>
    </mc:AlternateContent>
    <xdr:clientData/>
  </xdr:oneCellAnchor>
  <xdr:oneCellAnchor>
    <xdr:from>
      <xdr:col>9</xdr:col>
      <xdr:colOff>377824</xdr:colOff>
      <xdr:row>455</xdr:row>
      <xdr:rowOff>508001</xdr:rowOff>
    </xdr:from>
    <xdr:ext cx="1717675" cy="319511"/>
    <mc:AlternateContent xmlns:mc="http://schemas.openxmlformats.org/markup-compatibility/2006" xmlns:a14="http://schemas.microsoft.com/office/drawing/2010/main">
      <mc:Choice Requires="a14">
        <xdr:sp macro="" textlink="">
          <xdr:nvSpPr>
            <xdr:cNvPr id="940" name="CuadroTexto 939">
              <a:extLst>
                <a:ext uri="{FF2B5EF4-FFF2-40B4-BE49-F238E27FC236}">
                  <a16:creationId xmlns:a16="http://schemas.microsoft.com/office/drawing/2014/main" id="{29CBF2BF-9FB5-4621-88D3-53E385B6E370}"/>
                </a:ext>
              </a:extLst>
            </xdr:cNvPr>
            <xdr:cNvSpPr txBox="1"/>
          </xdr:nvSpPr>
          <xdr:spPr>
            <a:xfrm>
              <a:off x="10204449" y="382524001"/>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200 </m:t>
                        </m:r>
                        <m:r>
                          <a:rPr lang="es-MX" sz="1000" b="0" i="1">
                            <a:solidFill>
                              <a:schemeClr val="tx1"/>
                            </a:solidFill>
                            <a:effectLst/>
                            <a:latin typeface="Cambria Math" panose="02040503050406030204" pitchFamily="18" charset="0"/>
                            <a:ea typeface="+mn-ea"/>
                            <a:cs typeface="+mn-cs"/>
                          </a:rPr>
                          <m:t>𝑘𝑔</m:t>
                        </m:r>
                      </m:num>
                      <m:den>
                        <m:r>
                          <a:rPr lang="es-MX" sz="1000" b="0" i="1">
                            <a:solidFill>
                              <a:schemeClr val="tx1"/>
                            </a:solidFill>
                            <a:effectLst/>
                            <a:latin typeface="Cambria Math" panose="02040503050406030204" pitchFamily="18" charset="0"/>
                            <a:ea typeface="+mn-ea"/>
                            <a:cs typeface="+mn-cs"/>
                          </a:rPr>
                          <m:t>?(.200)</m:t>
                        </m:r>
                      </m:den>
                    </m:f>
                    <m:r>
                      <a:rPr lang="es-MX" sz="1000" b="0" i="1">
                        <a:latin typeface="Cambria Math" panose="02040503050406030204" pitchFamily="18" charset="0"/>
                      </a:rPr>
                      <m:t> </m:t>
                    </m:r>
                  </m:oMath>
                </m:oMathPara>
              </a14:m>
              <a:endParaRPr lang="es-MX" sz="1000"/>
            </a:p>
          </xdr:txBody>
        </xdr:sp>
      </mc:Choice>
      <mc:Fallback xmlns="">
        <xdr:sp macro="" textlink="">
          <xdr:nvSpPr>
            <xdr:cNvPr id="940" name="CuadroTexto 939">
              <a:extLst>
                <a:ext uri="{FF2B5EF4-FFF2-40B4-BE49-F238E27FC236}">
                  <a16:creationId xmlns:a16="http://schemas.microsoft.com/office/drawing/2014/main" id="{29CBF2BF-9FB5-4621-88D3-53E385B6E370}"/>
                </a:ext>
              </a:extLst>
            </xdr:cNvPr>
            <xdr:cNvSpPr txBox="1"/>
          </xdr:nvSpPr>
          <xdr:spPr>
            <a:xfrm>
              <a:off x="10204449" y="382524001"/>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200 𝑘𝑔)/(?(.200))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409575</xdr:colOff>
      <xdr:row>468</xdr:row>
      <xdr:rowOff>530225</xdr:rowOff>
    </xdr:from>
    <xdr:ext cx="1418167" cy="329770"/>
    <mc:AlternateContent xmlns:mc="http://schemas.openxmlformats.org/markup-compatibility/2006" xmlns:a14="http://schemas.microsoft.com/office/drawing/2010/main">
      <mc:Choice Requires="a14">
        <xdr:sp macro="" textlink="">
          <xdr:nvSpPr>
            <xdr:cNvPr id="878" name="CuadroTexto 877">
              <a:extLst>
                <a:ext uri="{FF2B5EF4-FFF2-40B4-BE49-F238E27FC236}">
                  <a16:creationId xmlns:a16="http://schemas.microsoft.com/office/drawing/2014/main" id="{F5C59C74-1033-4A9B-A451-BE27A36DE83C}"/>
                </a:ext>
              </a:extLst>
            </xdr:cNvPr>
            <xdr:cNvSpPr txBox="1"/>
          </xdr:nvSpPr>
          <xdr:spPr>
            <a:xfrm>
              <a:off x="10236200" y="39146797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4,100 </m:t>
                        </m:r>
                        <m:r>
                          <a:rPr lang="es-MX" sz="1000" b="0" i="1">
                            <a:solidFill>
                              <a:schemeClr val="tx1"/>
                            </a:solidFill>
                            <a:effectLst/>
                            <a:latin typeface="Cambria Math" panose="02040503050406030204" pitchFamily="18" charset="0"/>
                            <a:ea typeface="+mn-ea"/>
                            <a:cs typeface="+mn-cs"/>
                          </a:rPr>
                          <m:t>𝑘𝑤h</m:t>
                        </m:r>
                      </m:num>
                      <m:den>
                        <m:r>
                          <a:rPr lang="es-MX" sz="1000" b="0" i="0">
                            <a:solidFill>
                              <a:schemeClr val="tx1"/>
                            </a:solidFill>
                            <a:effectLst/>
                            <a:latin typeface="Cambria Math" panose="02040503050406030204" pitchFamily="18" charset="0"/>
                            <a:ea typeface="+mn-ea"/>
                            <a:cs typeface="+mn-cs"/>
                          </a:rPr>
                          <m:t>?( 4.1</m:t>
                        </m:r>
                        <m:r>
                          <a:rPr lang="es-MX" sz="1000" b="0" i="1">
                            <a:solidFill>
                              <a:schemeClr val="tx1"/>
                            </a:solidFill>
                            <a:effectLst/>
                            <a:latin typeface="Cambria Math" panose="02040503050406030204" pitchFamily="18" charset="0"/>
                            <a:ea typeface="+mn-ea"/>
                            <a:cs typeface="+mn-cs"/>
                          </a:rPr>
                          <m:t>)</m:t>
                        </m:r>
                      </m:den>
                    </m:f>
                    <m:r>
                      <a:rPr lang="es-MX" sz="1000" b="0" i="1">
                        <a:latin typeface="Cambria Math" panose="02040503050406030204" pitchFamily="18" charset="0"/>
                      </a:rPr>
                      <m:t> </m:t>
                    </m:r>
                  </m:oMath>
                </m:oMathPara>
              </a14:m>
              <a:endParaRPr lang="es-MX" sz="1000"/>
            </a:p>
          </xdr:txBody>
        </xdr:sp>
      </mc:Choice>
      <mc:Fallback xmlns="">
        <xdr:sp macro="" textlink="">
          <xdr:nvSpPr>
            <xdr:cNvPr id="878" name="CuadroTexto 877">
              <a:extLst>
                <a:ext uri="{FF2B5EF4-FFF2-40B4-BE49-F238E27FC236}">
                  <a16:creationId xmlns:a16="http://schemas.microsoft.com/office/drawing/2014/main" id="{F5C59C74-1033-4A9B-A451-BE27A36DE83C}"/>
                </a:ext>
              </a:extLst>
            </xdr:cNvPr>
            <xdr:cNvSpPr txBox="1"/>
          </xdr:nvSpPr>
          <xdr:spPr>
            <a:xfrm>
              <a:off x="10236200" y="39146797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4,100 𝑘𝑤ℎ)/(?( 4.1))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371475</xdr:colOff>
      <xdr:row>468</xdr:row>
      <xdr:rowOff>238125</xdr:rowOff>
    </xdr:from>
    <xdr:ext cx="1438275" cy="994833"/>
    <mc:AlternateContent xmlns:mc="http://schemas.openxmlformats.org/markup-compatibility/2006" xmlns:a14="http://schemas.microsoft.com/office/drawing/2010/main">
      <mc:Choice Requires="a14">
        <xdr:sp macro="" textlink="">
          <xdr:nvSpPr>
            <xdr:cNvPr id="888" name="CuadroTexto 887">
              <a:extLst>
                <a:ext uri="{FF2B5EF4-FFF2-40B4-BE49-F238E27FC236}">
                  <a16:creationId xmlns:a16="http://schemas.microsoft.com/office/drawing/2014/main" id="{566274CE-8E34-487B-B891-4285D500779B}"/>
                </a:ext>
              </a:extLst>
            </xdr:cNvPr>
            <xdr:cNvSpPr txBox="1"/>
          </xdr:nvSpPr>
          <xdr:spPr>
            <a:xfrm>
              <a:off x="11049000" y="349586550"/>
              <a:ext cx="143827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4.1 </m:t>
                  </m:r>
                  <m:r>
                    <m:rPr>
                      <m:sty m:val="p"/>
                    </m:rPr>
                    <a:rPr lang="es-MX" sz="1050" b="0" i="0">
                      <a:latin typeface="Cambria Math" panose="02040503050406030204" pitchFamily="18" charset="0"/>
                    </a:rPr>
                    <m:t>kwh</m:t>
                  </m:r>
                </m:oMath>
              </a14:m>
              <a:r>
                <a:rPr lang="es-MX" sz="1050" b="0" i="0">
                  <a:latin typeface="Cambria Math" panose="02040503050406030204" pitchFamily="18" charset="0"/>
                </a:rPr>
                <a:t>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4,100 </m:t>
                  </m:r>
                  <m:r>
                    <m:rPr>
                      <m:sty m:val="p"/>
                    </m:rPr>
                    <a:rPr lang="es-MX" sz="1100" b="0" i="0">
                      <a:solidFill>
                        <a:schemeClr val="tx1"/>
                      </a:solidFill>
                      <a:effectLst/>
                      <a:latin typeface="Cambria Math" panose="02040503050406030204" pitchFamily="18" charset="0"/>
                      <a:ea typeface="+mn-ea"/>
                      <a:cs typeface="+mn-cs"/>
                    </a:rPr>
                    <m:t>kwh</m:t>
                  </m:r>
                </m:oMath>
              </a14:m>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888" name="CuadroTexto 887">
              <a:extLst>
                <a:ext uri="{FF2B5EF4-FFF2-40B4-BE49-F238E27FC236}">
                  <a16:creationId xmlns:a16="http://schemas.microsoft.com/office/drawing/2014/main" id="{566274CE-8E34-487B-B891-4285D500779B}"/>
                </a:ext>
              </a:extLst>
            </xdr:cNvPr>
            <xdr:cNvSpPr txBox="1"/>
          </xdr:nvSpPr>
          <xdr:spPr>
            <a:xfrm>
              <a:off x="11049000" y="349586550"/>
              <a:ext cx="143827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𝐶𝐿=4.1 kwh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𝑡𝑜𝑛</a:t>
              </a:r>
              <a:r>
                <a:rPr lang="es-MX" sz="1100" b="0" i="0">
                  <a:solidFill>
                    <a:schemeClr val="tx1"/>
                  </a:solidFill>
                  <a:effectLst/>
                  <a:latin typeface="+mn-lt"/>
                  <a:ea typeface="+mn-ea"/>
                  <a:cs typeface="+mn-cs"/>
                </a:rPr>
                <a:t> 𝐶𝐿=4</a:t>
              </a:r>
              <a:r>
                <a:rPr lang="es-MX" sz="1100" b="0" i="0">
                  <a:solidFill>
                    <a:schemeClr val="tx1"/>
                  </a:solidFill>
                  <a:effectLst/>
                  <a:latin typeface="Cambria Math" panose="02040503050406030204" pitchFamily="18" charset="0"/>
                  <a:ea typeface="+mn-ea"/>
                  <a:cs typeface="+mn-cs"/>
                </a:rPr>
                <a:t>,100</a:t>
              </a:r>
              <a:r>
                <a:rPr lang="es-MX" sz="1100" b="0" i="0">
                  <a:solidFill>
                    <a:schemeClr val="tx1"/>
                  </a:solidFill>
                  <a:effectLst/>
                  <a:latin typeface="+mn-lt"/>
                  <a:ea typeface="+mn-ea"/>
                  <a:cs typeface="+mn-cs"/>
                </a:rPr>
                <a:t> kwh </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9</xdr:col>
      <xdr:colOff>428625</xdr:colOff>
      <xdr:row>469</xdr:row>
      <xdr:rowOff>415925</xdr:rowOff>
    </xdr:from>
    <xdr:ext cx="1418167" cy="329770"/>
    <mc:AlternateContent xmlns:mc="http://schemas.openxmlformats.org/markup-compatibility/2006" xmlns:a14="http://schemas.microsoft.com/office/drawing/2010/main">
      <mc:Choice Requires="a14">
        <xdr:sp macro="" textlink="">
          <xdr:nvSpPr>
            <xdr:cNvPr id="917" name="CuadroTexto 916">
              <a:extLst>
                <a:ext uri="{FF2B5EF4-FFF2-40B4-BE49-F238E27FC236}">
                  <a16:creationId xmlns:a16="http://schemas.microsoft.com/office/drawing/2014/main" id="{72A6DEEE-7752-483B-ACB7-DD2804AF9A99}"/>
                </a:ext>
              </a:extLst>
            </xdr:cNvPr>
            <xdr:cNvSpPr txBox="1"/>
          </xdr:nvSpPr>
          <xdr:spPr>
            <a:xfrm>
              <a:off x="10255250" y="3927665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3,500 </m:t>
                        </m:r>
                        <m:r>
                          <a:rPr lang="es-MX" sz="1000" b="0" i="1">
                            <a:solidFill>
                              <a:schemeClr val="tx1"/>
                            </a:solidFill>
                            <a:effectLst/>
                            <a:latin typeface="Cambria Math" panose="02040503050406030204" pitchFamily="18" charset="0"/>
                            <a:ea typeface="+mn-ea"/>
                            <a:cs typeface="+mn-cs"/>
                          </a:rPr>
                          <m:t>𝑘𝑤h</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3.5)</m:t>
                        </m:r>
                      </m:den>
                    </m:f>
                    <m:r>
                      <a:rPr lang="es-MX" sz="1000" b="0" i="1">
                        <a:latin typeface="Cambria Math" panose="02040503050406030204" pitchFamily="18" charset="0"/>
                      </a:rPr>
                      <m:t> </m:t>
                    </m:r>
                  </m:oMath>
                </m:oMathPara>
              </a14:m>
              <a:endParaRPr lang="es-MX" sz="1000"/>
            </a:p>
          </xdr:txBody>
        </xdr:sp>
      </mc:Choice>
      <mc:Fallback xmlns="">
        <xdr:sp macro="" textlink="">
          <xdr:nvSpPr>
            <xdr:cNvPr id="917" name="CuadroTexto 916">
              <a:extLst>
                <a:ext uri="{FF2B5EF4-FFF2-40B4-BE49-F238E27FC236}">
                  <a16:creationId xmlns:a16="http://schemas.microsoft.com/office/drawing/2014/main" id="{72A6DEEE-7752-483B-ACB7-DD2804AF9A99}"/>
                </a:ext>
              </a:extLst>
            </xdr:cNvPr>
            <xdr:cNvSpPr txBox="1"/>
          </xdr:nvSpPr>
          <xdr:spPr>
            <a:xfrm>
              <a:off x="10255250" y="392766550"/>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3,500 𝑘𝑤ℎ)/(?( 3.5))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428625</xdr:colOff>
      <xdr:row>469</xdr:row>
      <xdr:rowOff>352425</xdr:rowOff>
    </xdr:from>
    <xdr:ext cx="1438275" cy="657225"/>
    <mc:AlternateContent xmlns:mc="http://schemas.openxmlformats.org/markup-compatibility/2006" xmlns:a14="http://schemas.microsoft.com/office/drawing/2010/main">
      <mc:Choice Requires="a14">
        <xdr:sp macro="" textlink="">
          <xdr:nvSpPr>
            <xdr:cNvPr id="941" name="CuadroTexto 940">
              <a:extLst>
                <a:ext uri="{FF2B5EF4-FFF2-40B4-BE49-F238E27FC236}">
                  <a16:creationId xmlns:a16="http://schemas.microsoft.com/office/drawing/2014/main" id="{AC006BDA-7A85-4910-9427-A5DC9241C089}"/>
                </a:ext>
              </a:extLst>
            </xdr:cNvPr>
            <xdr:cNvSpPr txBox="1"/>
          </xdr:nvSpPr>
          <xdr:spPr>
            <a:xfrm>
              <a:off x="11106150" y="351110550"/>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3.5 </m:t>
                  </m:r>
                  <m:r>
                    <m:rPr>
                      <m:sty m:val="p"/>
                    </m:rPr>
                    <a:rPr lang="es-MX" sz="1050" b="0" i="0">
                      <a:latin typeface="Cambria Math" panose="02040503050406030204" pitchFamily="18" charset="0"/>
                    </a:rPr>
                    <m:t>kwh</m:t>
                  </m:r>
                </m:oMath>
              </a14:m>
              <a:r>
                <a:rPr lang="es-MX" sz="1050" b="0" i="0">
                  <a:latin typeface="Cambria Math" panose="02040503050406030204" pitchFamily="18" charset="0"/>
                </a:rPr>
                <a:t>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3,500 </m:t>
                  </m:r>
                  <m:r>
                    <m:rPr>
                      <m:sty m:val="p"/>
                    </m:rPr>
                    <a:rPr lang="es-MX" sz="1100" b="0" i="0">
                      <a:solidFill>
                        <a:schemeClr val="tx1"/>
                      </a:solidFill>
                      <a:effectLst/>
                      <a:latin typeface="Cambria Math" panose="02040503050406030204" pitchFamily="18" charset="0"/>
                      <a:ea typeface="+mn-ea"/>
                      <a:cs typeface="+mn-cs"/>
                    </a:rPr>
                    <m:t>kwh</m:t>
                  </m:r>
                </m:oMath>
              </a14:m>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941" name="CuadroTexto 940">
              <a:extLst>
                <a:ext uri="{FF2B5EF4-FFF2-40B4-BE49-F238E27FC236}">
                  <a16:creationId xmlns:a16="http://schemas.microsoft.com/office/drawing/2014/main" id="{AC006BDA-7A85-4910-9427-A5DC9241C089}"/>
                </a:ext>
              </a:extLst>
            </xdr:cNvPr>
            <xdr:cNvSpPr txBox="1"/>
          </xdr:nvSpPr>
          <xdr:spPr>
            <a:xfrm>
              <a:off x="11106150" y="351110550"/>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𝐶𝐿=3.5 kwh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𝑡𝑜𝑛</a:t>
              </a:r>
              <a:r>
                <a:rPr lang="es-MX" sz="1100" b="0" i="0">
                  <a:solidFill>
                    <a:schemeClr val="tx1"/>
                  </a:solidFill>
                  <a:effectLst/>
                  <a:latin typeface="+mn-lt"/>
                  <a:ea typeface="+mn-ea"/>
                  <a:cs typeface="+mn-cs"/>
                </a:rPr>
                <a:t> 𝐶𝐿=</a:t>
              </a:r>
              <a:r>
                <a:rPr lang="es-MX" sz="1100" b="0" i="0">
                  <a:solidFill>
                    <a:schemeClr val="tx1"/>
                  </a:solidFill>
                  <a:effectLst/>
                  <a:latin typeface="Cambria Math" panose="02040503050406030204" pitchFamily="18" charset="0"/>
                  <a:ea typeface="+mn-ea"/>
                  <a:cs typeface="+mn-cs"/>
                </a:rPr>
                <a:t>3,500</a:t>
              </a:r>
              <a:r>
                <a:rPr lang="es-MX" sz="1100" b="0" i="0">
                  <a:solidFill>
                    <a:schemeClr val="tx1"/>
                  </a:solidFill>
                  <a:effectLst/>
                  <a:latin typeface="+mn-lt"/>
                  <a:ea typeface="+mn-ea"/>
                  <a:cs typeface="+mn-cs"/>
                </a:rPr>
                <a:t> kwh </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12</xdr:col>
      <xdr:colOff>1040823</xdr:colOff>
      <xdr:row>469</xdr:row>
      <xdr:rowOff>390790</xdr:rowOff>
    </xdr:from>
    <xdr:ext cx="378402" cy="374866"/>
    <xdr:pic>
      <xdr:nvPicPr>
        <xdr:cNvPr id="944" name="Gráfico 943" descr="Inalámbrico">
          <a:hlinkClick xmlns:r="http://schemas.openxmlformats.org/officeDocument/2006/relationships" r:id="rId90"/>
          <a:extLst>
            <a:ext uri="{FF2B5EF4-FFF2-40B4-BE49-F238E27FC236}">
              <a16:creationId xmlns:a16="http://schemas.microsoft.com/office/drawing/2014/main" id="{1257124B-E014-41B1-BCB7-86FD2328FD8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04823" y="393382765"/>
          <a:ext cx="378402" cy="374866"/>
        </a:xfrm>
        <a:prstGeom prst="rect">
          <a:avLst/>
        </a:prstGeom>
      </xdr:spPr>
    </xdr:pic>
    <xdr:clientData/>
  </xdr:oneCellAnchor>
  <xdr:oneCellAnchor>
    <xdr:from>
      <xdr:col>9</xdr:col>
      <xdr:colOff>219075</xdr:colOff>
      <xdr:row>479</xdr:row>
      <xdr:rowOff>514350</xdr:rowOff>
    </xdr:from>
    <xdr:ext cx="1418167" cy="329770"/>
    <mc:AlternateContent xmlns:mc="http://schemas.openxmlformats.org/markup-compatibility/2006" xmlns:a14="http://schemas.microsoft.com/office/drawing/2010/main">
      <mc:Choice Requires="a14">
        <xdr:sp macro="" textlink="">
          <xdr:nvSpPr>
            <xdr:cNvPr id="956" name="CuadroTexto 955">
              <a:extLst>
                <a:ext uri="{FF2B5EF4-FFF2-40B4-BE49-F238E27FC236}">
                  <a16:creationId xmlns:a16="http://schemas.microsoft.com/office/drawing/2014/main" id="{594D91FC-66D2-4165-BE1D-904E3FEECF40}"/>
                </a:ext>
              </a:extLst>
            </xdr:cNvPr>
            <xdr:cNvSpPr txBox="1"/>
          </xdr:nvSpPr>
          <xdr:spPr>
            <a:xfrm>
              <a:off x="8991600" y="34986277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26,500 </m:t>
                        </m:r>
                        <m:r>
                          <a:rPr lang="es-MX" sz="1000" b="0" i="1">
                            <a:solidFill>
                              <a:schemeClr val="tx1"/>
                            </a:solidFill>
                            <a:effectLst/>
                            <a:latin typeface="Cambria Math" panose="02040503050406030204" pitchFamily="18" charset="0"/>
                            <a:ea typeface="+mn-ea"/>
                            <a:cs typeface="+mn-cs"/>
                          </a:rPr>
                          <m:t>𝐿</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26)</m:t>
                        </m:r>
                      </m:den>
                    </m:f>
                    <m:r>
                      <a:rPr lang="es-MX" sz="1000" b="0" i="1">
                        <a:latin typeface="Cambria Math" panose="02040503050406030204" pitchFamily="18" charset="0"/>
                      </a:rPr>
                      <m:t> </m:t>
                    </m:r>
                  </m:oMath>
                </m:oMathPara>
              </a14:m>
              <a:endParaRPr lang="es-MX" sz="1000"/>
            </a:p>
          </xdr:txBody>
        </xdr:sp>
      </mc:Choice>
      <mc:Fallback xmlns="">
        <xdr:sp macro="" textlink="">
          <xdr:nvSpPr>
            <xdr:cNvPr id="956" name="CuadroTexto 955">
              <a:extLst>
                <a:ext uri="{FF2B5EF4-FFF2-40B4-BE49-F238E27FC236}">
                  <a16:creationId xmlns:a16="http://schemas.microsoft.com/office/drawing/2014/main" id="{594D91FC-66D2-4165-BE1D-904E3FEECF40}"/>
                </a:ext>
              </a:extLst>
            </xdr:cNvPr>
            <xdr:cNvSpPr txBox="1"/>
          </xdr:nvSpPr>
          <xdr:spPr>
            <a:xfrm>
              <a:off x="8991600" y="34986277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26,500 𝐿 )/(?( 26))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152400</xdr:colOff>
      <xdr:row>479</xdr:row>
      <xdr:rowOff>238125</xdr:rowOff>
    </xdr:from>
    <xdr:ext cx="1838325" cy="994833"/>
    <mc:AlternateContent xmlns:mc="http://schemas.openxmlformats.org/markup-compatibility/2006" xmlns:a14="http://schemas.microsoft.com/office/drawing/2010/main">
      <mc:Choice Requires="a14">
        <xdr:sp macro="" textlink="">
          <xdr:nvSpPr>
            <xdr:cNvPr id="957" name="CuadroTexto 956">
              <a:extLst>
                <a:ext uri="{FF2B5EF4-FFF2-40B4-BE49-F238E27FC236}">
                  <a16:creationId xmlns:a16="http://schemas.microsoft.com/office/drawing/2014/main" id="{FDE03121-65BE-4F40-B0F4-32E8EE0717A0}"/>
                </a:ext>
              </a:extLst>
            </xdr:cNvPr>
            <xdr:cNvSpPr txBox="1"/>
          </xdr:nvSpPr>
          <xdr:spPr>
            <a:xfrm>
              <a:off x="10829925" y="356130225"/>
              <a:ext cx="18383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26.5 </m:t>
                    </m:r>
                    <m:r>
                      <m:rPr>
                        <m:sty m:val="p"/>
                      </m:rPr>
                      <a:rPr lang="es-MX" sz="1050" b="0" i="0">
                        <a:latin typeface="Cambria Math" panose="02040503050406030204" pitchFamily="18" charset="0"/>
                      </a:rPr>
                      <m:t>L</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26,500</m:t>
                  </m:r>
                </m:oMath>
              </a14:m>
              <a:r>
                <a:rPr lang="es-MX" sz="1050">
                  <a:effectLst/>
                </a:rPr>
                <a:t> L</a:t>
              </a:r>
              <a:r>
                <a:rPr lang="es-MX" sz="1050" baseline="0">
                  <a:effectLst/>
                </a:rPr>
                <a:t>  /26.5 m3</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957" name="CuadroTexto 956">
              <a:extLst>
                <a:ext uri="{FF2B5EF4-FFF2-40B4-BE49-F238E27FC236}">
                  <a16:creationId xmlns:a16="http://schemas.microsoft.com/office/drawing/2014/main" id="{FDE03121-65BE-4F40-B0F4-32E8EE0717A0}"/>
                </a:ext>
              </a:extLst>
            </xdr:cNvPr>
            <xdr:cNvSpPr txBox="1"/>
          </xdr:nvSpPr>
          <xdr:spPr>
            <a:xfrm>
              <a:off x="10829925" y="356130225"/>
              <a:ext cx="18383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𝐶𝐿=26.5 L</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𝑡𝑜𝑛</a:t>
              </a:r>
              <a:r>
                <a:rPr lang="es-MX" sz="1100" b="0" i="0">
                  <a:solidFill>
                    <a:schemeClr val="tx1"/>
                  </a:solidFill>
                  <a:effectLst/>
                  <a:latin typeface="+mn-lt"/>
                  <a:ea typeface="+mn-ea"/>
                  <a:cs typeface="+mn-cs"/>
                </a:rPr>
                <a:t> 𝐶𝐿=</a:t>
              </a:r>
              <a:r>
                <a:rPr lang="es-MX" sz="1100" b="0" i="0">
                  <a:solidFill>
                    <a:schemeClr val="tx1"/>
                  </a:solidFill>
                  <a:effectLst/>
                  <a:latin typeface="Cambria Math" panose="02040503050406030204" pitchFamily="18" charset="0"/>
                  <a:ea typeface="+mn-ea"/>
                  <a:cs typeface="+mn-cs"/>
                </a:rPr>
                <a:t>26,500</a:t>
              </a:r>
              <a:r>
                <a:rPr lang="es-MX" sz="1050">
                  <a:effectLst/>
                </a:rPr>
                <a:t> L</a:t>
              </a:r>
              <a:r>
                <a:rPr lang="es-MX" sz="1050" baseline="0">
                  <a:effectLst/>
                </a:rPr>
                <a:t>  /26.5 m3</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9</xdr:col>
      <xdr:colOff>286617</xdr:colOff>
      <xdr:row>490</xdr:row>
      <xdr:rowOff>219074</xdr:rowOff>
    </xdr:from>
    <xdr:ext cx="1401762" cy="657225"/>
    <mc:AlternateContent xmlns:mc="http://schemas.openxmlformats.org/markup-compatibility/2006" xmlns:a14="http://schemas.microsoft.com/office/drawing/2010/main">
      <mc:Choice Requires="a14">
        <xdr:sp macro="" textlink="">
          <xdr:nvSpPr>
            <xdr:cNvPr id="962" name="CuadroTexto 961">
              <a:extLst>
                <a:ext uri="{FF2B5EF4-FFF2-40B4-BE49-F238E27FC236}">
                  <a16:creationId xmlns:a16="http://schemas.microsoft.com/office/drawing/2014/main" id="{12E62B16-3E83-4E3A-A61A-9DD3B843FE09}"/>
                </a:ext>
              </a:extLst>
            </xdr:cNvPr>
            <xdr:cNvSpPr txBox="1"/>
          </xdr:nvSpPr>
          <xdr:spPr>
            <a:xfrm>
              <a:off x="9059142" y="360035474"/>
              <a:ext cx="1401762"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1 á</m:t>
                        </m:r>
                        <m:r>
                          <a:rPr lang="es-MX" sz="800" b="0" i="1">
                            <a:solidFill>
                              <a:schemeClr val="tx1"/>
                            </a:solidFill>
                            <a:effectLst/>
                            <a:latin typeface="Cambria Math" panose="02040503050406030204" pitchFamily="18" charset="0"/>
                            <a:ea typeface="+mn-ea"/>
                            <a:cs typeface="+mn-cs"/>
                          </a:rPr>
                          <m:t>𝑟𝑏𝑜𝑙</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?(.020)</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38.46 </m:t>
                        </m:r>
                        <m:r>
                          <a:rPr lang="es-MX" sz="800" b="0" i="1">
                            <a:solidFill>
                              <a:schemeClr val="tx1"/>
                            </a:solidFill>
                            <a:effectLst/>
                            <a:latin typeface="Cambria Math" panose="02040503050406030204" pitchFamily="18" charset="0"/>
                            <a:ea typeface="+mn-ea"/>
                            <a:cs typeface="+mn-cs"/>
                          </a:rPr>
                          <m:t>𝑘𝑔𝐶𝑜</m:t>
                        </m:r>
                        <m:r>
                          <a:rPr lang="es-MX" sz="800" b="0" i="1">
                            <a:solidFill>
                              <a:schemeClr val="tx1"/>
                            </a:solidFill>
                            <a:effectLst/>
                            <a:latin typeface="Cambria Math" panose="02040503050406030204" pitchFamily="18" charset="0"/>
                            <a:ea typeface="+mn-ea"/>
                            <a:cs typeface="+mn-cs"/>
                          </a:rPr>
                          <m:t>2 </m:t>
                        </m:r>
                      </m:num>
                      <m:den>
                        <m:r>
                          <a:rPr lang="es-MX" sz="800" b="0" i="1">
                            <a:solidFill>
                              <a:schemeClr val="tx1"/>
                            </a:solidFill>
                            <a:effectLst/>
                            <a:latin typeface="Cambria Math" panose="02040503050406030204" pitchFamily="18" charset="0"/>
                            <a:ea typeface="+mn-ea"/>
                            <a:cs typeface="+mn-cs"/>
                          </a:rPr>
                          <m:t>.796</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kg</m:t>
                        </m:r>
                        <m:r>
                          <a:rPr lang="es-MX" sz="800" b="0" i="0">
                            <a:solidFill>
                              <a:schemeClr val="tx1"/>
                            </a:solidFill>
                            <a:effectLst/>
                            <a:latin typeface="Cambria Math" panose="02040503050406030204" pitchFamily="18" charset="0"/>
                            <a:ea typeface="+mn-ea"/>
                            <a:cs typeface="+mn-cs"/>
                          </a:rPr>
                          <m:t> </m:t>
                        </m:r>
                        <m:r>
                          <m:rPr>
                            <m:sty m:val="p"/>
                          </m:rPr>
                          <a:rPr lang="es-MX" sz="800" b="0" i="0">
                            <a:solidFill>
                              <a:schemeClr val="tx1"/>
                            </a:solidFill>
                            <a:effectLst/>
                            <a:latin typeface="Cambria Math" panose="02040503050406030204" pitchFamily="18" charset="0"/>
                            <a:ea typeface="+mn-ea"/>
                            <a:cs typeface="+mn-cs"/>
                          </a:rPr>
                          <m:t>Co</m:t>
                        </m:r>
                        <m:r>
                          <a:rPr lang="es-MX" sz="800" b="0" i="0">
                            <a:solidFill>
                              <a:schemeClr val="tx1"/>
                            </a:solidFill>
                            <a:effectLst/>
                            <a:latin typeface="Cambria Math" panose="02040503050406030204" pitchFamily="18" charset="0"/>
                            <a:ea typeface="+mn-ea"/>
                            <a:cs typeface="+mn-cs"/>
                          </a:rPr>
                          <m:t>2</m:t>
                        </m:r>
                      </m:den>
                    </m:f>
                    <m:r>
                      <a:rPr lang="es-MX" sz="800" b="0" i="1">
                        <a:solidFill>
                          <a:schemeClr val="tx1"/>
                        </a:solidFill>
                        <a:effectLst/>
                        <a:latin typeface="Cambria Math" panose="02040503050406030204" pitchFamily="18" charset="0"/>
                        <a:ea typeface="+mn-ea"/>
                        <a:cs typeface="+mn-cs"/>
                      </a:rPr>
                      <m:t> </m:t>
                    </m:r>
                  </m:oMath>
                </m:oMathPara>
              </a14:m>
              <a:endParaRPr lang="es-MX" sz="800"/>
            </a:p>
            <a:p>
              <a:endParaRPr lang="es-MX" sz="800"/>
            </a:p>
            <a:p>
              <a:endParaRPr lang="es-MX" sz="800"/>
            </a:p>
          </xdr:txBody>
        </xdr:sp>
      </mc:Choice>
      <mc:Fallback xmlns="">
        <xdr:sp macro="" textlink="">
          <xdr:nvSpPr>
            <xdr:cNvPr id="962" name="CuadroTexto 961">
              <a:extLst>
                <a:ext uri="{FF2B5EF4-FFF2-40B4-BE49-F238E27FC236}">
                  <a16:creationId xmlns:a16="http://schemas.microsoft.com/office/drawing/2014/main" id="{12E62B16-3E83-4E3A-A61A-9DD3B843FE09}"/>
                </a:ext>
              </a:extLst>
            </xdr:cNvPr>
            <xdr:cNvSpPr txBox="1"/>
          </xdr:nvSpPr>
          <xdr:spPr>
            <a:xfrm>
              <a:off x="9059142" y="360035474"/>
              <a:ext cx="1401762"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endParaRPr lang="es-MX" sz="800"/>
            </a:p>
            <a:p>
              <a:endParaRPr lang="es-MX" sz="80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1 á𝑟𝑏𝑜𝑙  )/(?(.020))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38.46 𝑘𝑔𝐶𝑜2 )/(.796 kg Co2)  </a:t>
              </a:r>
              <a:endParaRPr lang="es-MX" sz="800"/>
            </a:p>
            <a:p>
              <a:endParaRPr lang="es-MX" sz="800"/>
            </a:p>
            <a:p>
              <a:endParaRPr lang="es-MX" sz="800"/>
            </a:p>
          </xdr:txBody>
        </xdr:sp>
      </mc:Fallback>
    </mc:AlternateContent>
    <xdr:clientData/>
  </xdr:oneCellAnchor>
  <xdr:oneCellAnchor>
    <xdr:from>
      <xdr:col>10</xdr:col>
      <xdr:colOff>342397</xdr:colOff>
      <xdr:row>490</xdr:row>
      <xdr:rowOff>135711</xdr:rowOff>
    </xdr:from>
    <xdr:ext cx="1372104" cy="479084"/>
    <mc:AlternateContent xmlns:mc="http://schemas.openxmlformats.org/markup-compatibility/2006" xmlns:a14="http://schemas.microsoft.com/office/drawing/2010/main">
      <mc:Choice Requires="a14">
        <xdr:sp macro="" textlink="">
          <xdr:nvSpPr>
            <xdr:cNvPr id="963" name="CuadroTexto 962">
              <a:extLst>
                <a:ext uri="{FF2B5EF4-FFF2-40B4-BE49-F238E27FC236}">
                  <a16:creationId xmlns:a16="http://schemas.microsoft.com/office/drawing/2014/main" id="{FF3578A6-2B59-48E4-AB90-C5FBBF89A13E}"/>
                </a:ext>
              </a:extLst>
            </xdr:cNvPr>
            <xdr:cNvSpPr txBox="1"/>
          </xdr:nvSpPr>
          <xdr:spPr>
            <a:xfrm>
              <a:off x="11019922" y="324976311"/>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1 </m:t>
                    </m:r>
                    <m:r>
                      <a:rPr lang="es-MX" sz="800" b="0" i="1">
                        <a:latin typeface="Cambria Math" panose="02040503050406030204" pitchFamily="18" charset="0"/>
                      </a:rPr>
                      <m:t>𝑘𝑔</m:t>
                    </m:r>
                    <m:r>
                      <a:rPr lang="es-MX" sz="800" b="0" i="1">
                        <a:latin typeface="Cambria Math" panose="02040503050406030204" pitchFamily="18" charset="0"/>
                      </a:rPr>
                      <m:t> </m:t>
                    </m:r>
                    <m:r>
                      <a:rPr lang="es-MX" sz="800" b="0" i="1">
                        <a:latin typeface="Cambria Math" panose="02040503050406030204" pitchFamily="18" charset="0"/>
                      </a:rPr>
                      <m:t>𝐶𝐿</m:t>
                    </m:r>
                    <m:r>
                      <a:rPr lang="es-MX" sz="800" b="0" i="1">
                        <a:latin typeface="Cambria Math" panose="02040503050406030204" pitchFamily="18" charset="0"/>
                      </a:rPr>
                      <m:t>=</m:t>
                    </m:r>
                    <m:r>
                      <a:rPr lang="es-MX" sz="800" b="0" i="0">
                        <a:latin typeface="Cambria Math" panose="02040503050406030204" pitchFamily="18" charset="0"/>
                      </a:rPr>
                      <m:t>  .020 á</m:t>
                    </m:r>
                    <m:r>
                      <m:rPr>
                        <m:sty m:val="p"/>
                      </m:rPr>
                      <a:rPr lang="es-MX" sz="800" b="0" i="0">
                        <a:latin typeface="Cambria Math" panose="02040503050406030204" pitchFamily="18" charset="0"/>
                      </a:rPr>
                      <m:t>rboles</m:t>
                    </m:r>
                  </m:oMath>
                </m:oMathPara>
              </a14:m>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800" b="0" i="1">
                        <a:solidFill>
                          <a:schemeClr val="tx1"/>
                        </a:solidFill>
                        <a:effectLst/>
                        <a:latin typeface="Cambria Math" panose="02040503050406030204" pitchFamily="18" charset="0"/>
                        <a:ea typeface="+mn-ea"/>
                        <a:cs typeface="+mn-cs"/>
                      </a:rPr>
                      <m:t>1 </m:t>
                    </m:r>
                    <m:r>
                      <a:rPr lang="es-MX" sz="800" b="0" i="1">
                        <a:solidFill>
                          <a:schemeClr val="tx1"/>
                        </a:solidFill>
                        <a:effectLst/>
                        <a:latin typeface="Cambria Math" panose="02040503050406030204" pitchFamily="18" charset="0"/>
                        <a:ea typeface="+mn-ea"/>
                        <a:cs typeface="+mn-cs"/>
                      </a:rPr>
                      <m:t>𝑡𝑜𝑛</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𝐶𝐿</m:t>
                    </m:r>
                    <m:r>
                      <a:rPr lang="es-MX" sz="800" b="0" i="1">
                        <a:solidFill>
                          <a:schemeClr val="tx1"/>
                        </a:solidFill>
                        <a:effectLst/>
                        <a:latin typeface="Cambria Math" panose="02040503050406030204" pitchFamily="18" charset="0"/>
                        <a:ea typeface="+mn-ea"/>
                        <a:cs typeface="+mn-cs"/>
                      </a:rPr>
                      <m:t>=</m:t>
                    </m:r>
                    <m:r>
                      <a:rPr lang="es-MX" sz="800" b="0" i="0">
                        <a:solidFill>
                          <a:schemeClr val="tx1"/>
                        </a:solidFill>
                        <a:effectLst/>
                        <a:latin typeface="Cambria Math" panose="02040503050406030204" pitchFamily="18" charset="0"/>
                        <a:ea typeface="+mn-ea"/>
                        <a:cs typeface="+mn-cs"/>
                      </a:rPr>
                      <m:t>20 á</m:t>
                    </m:r>
                    <m:r>
                      <m:rPr>
                        <m:sty m:val="p"/>
                      </m:rPr>
                      <a:rPr lang="es-MX" sz="800" b="0" i="0">
                        <a:solidFill>
                          <a:schemeClr val="tx1"/>
                        </a:solidFill>
                        <a:effectLst/>
                        <a:latin typeface="Cambria Math" panose="02040503050406030204" pitchFamily="18" charset="0"/>
                        <a:ea typeface="+mn-ea"/>
                        <a:cs typeface="+mn-cs"/>
                      </a:rPr>
                      <m:t>rboles</m:t>
                    </m:r>
                  </m:oMath>
                </m:oMathPara>
              </a14:m>
              <a:endParaRPr lang="es-MX" sz="800">
                <a:effectLst/>
              </a:endParaRPr>
            </a:p>
          </xdr:txBody>
        </xdr:sp>
      </mc:Choice>
      <mc:Fallback xmlns="">
        <xdr:sp macro="" textlink="">
          <xdr:nvSpPr>
            <xdr:cNvPr id="963" name="CuadroTexto 962">
              <a:extLst>
                <a:ext uri="{FF2B5EF4-FFF2-40B4-BE49-F238E27FC236}">
                  <a16:creationId xmlns:a16="http://schemas.microsoft.com/office/drawing/2014/main" id="{FF3578A6-2B59-48E4-AB90-C5FBBF89A13E}"/>
                </a:ext>
              </a:extLst>
            </xdr:cNvPr>
            <xdr:cNvSpPr txBox="1"/>
          </xdr:nvSpPr>
          <xdr:spPr>
            <a:xfrm>
              <a:off x="11019922" y="324976311"/>
              <a:ext cx="1372104" cy="4790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r>
                <a:rPr lang="es-MX" sz="800" b="0" i="1">
                  <a:latin typeface="Cambria Math" panose="02040503050406030204" pitchFamily="18" charset="0"/>
                </a:rPr>
                <a:t>1 árbol = 38.46 kg co2</a:t>
              </a:r>
            </a:p>
            <a:p>
              <a:pPr algn="ctr"/>
              <a:r>
                <a:rPr lang="es-MX" sz="800" b="0" i="0">
                  <a:latin typeface="Cambria Math" panose="02040503050406030204" pitchFamily="18" charset="0"/>
                </a:rPr>
                <a:t>1 𝑘𝑔 𝐶𝐿=  .020 árboles</a:t>
              </a:r>
              <a:endParaRPr lang="es-MX" sz="800" b="0"/>
            </a:p>
            <a:p>
              <a:pPr marL="0" marR="0" lvl="0" indent="0" algn="ctr" defTabSz="914400" eaLnBrk="1" fontAlgn="auto" latinLnBrk="0" hangingPunct="1">
                <a:lnSpc>
                  <a:spcPct val="100000"/>
                </a:lnSpc>
                <a:spcBef>
                  <a:spcPts val="0"/>
                </a:spcBef>
                <a:spcAft>
                  <a:spcPts val="0"/>
                </a:spcAft>
                <a:buClrTx/>
                <a:buSzTx/>
                <a:buFontTx/>
                <a:buNone/>
                <a:tabLst/>
                <a:defRPr/>
              </a:pPr>
              <a:r>
                <a:rPr lang="es-MX" sz="800" b="0" i="0">
                  <a:solidFill>
                    <a:schemeClr val="tx1"/>
                  </a:solidFill>
                  <a:effectLst/>
                  <a:latin typeface="Cambria Math" panose="02040503050406030204" pitchFamily="18" charset="0"/>
                  <a:ea typeface="+mn-ea"/>
                  <a:cs typeface="+mn-cs"/>
                </a:rPr>
                <a:t>1 𝑡𝑜𝑛 𝐶𝐿=20 árboles</a:t>
              </a:r>
              <a:endParaRPr lang="es-MX" sz="800">
                <a:effectLst/>
              </a:endParaRPr>
            </a:p>
          </xdr:txBody>
        </xdr:sp>
      </mc:Fallback>
    </mc:AlternateContent>
    <xdr:clientData/>
  </xdr:oneCellAnchor>
  <xdr:oneCellAnchor>
    <xdr:from>
      <xdr:col>9</xdr:col>
      <xdr:colOff>314614</xdr:colOff>
      <xdr:row>491</xdr:row>
      <xdr:rowOff>351558</xdr:rowOff>
    </xdr:from>
    <xdr:ext cx="1815812" cy="654917"/>
    <mc:AlternateContent xmlns:mc="http://schemas.openxmlformats.org/markup-compatibility/2006" xmlns:a14="http://schemas.microsoft.com/office/drawing/2010/main">
      <mc:Choice Requires="a14">
        <xdr:sp macro="" textlink="">
          <xdr:nvSpPr>
            <xdr:cNvPr id="964" name="CuadroTexto 963">
              <a:extLst>
                <a:ext uri="{FF2B5EF4-FFF2-40B4-BE49-F238E27FC236}">
                  <a16:creationId xmlns:a16="http://schemas.microsoft.com/office/drawing/2014/main" id="{FC8860CD-F5F3-456C-BCA8-DBBCEE9C1785}"/>
                </a:ext>
              </a:extLst>
            </xdr:cNvPr>
            <xdr:cNvSpPr txBox="1"/>
          </xdr:nvSpPr>
          <xdr:spPr>
            <a:xfrm>
              <a:off x="10141239" y="413117433"/>
              <a:ext cx="1815812" cy="654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274,000,000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?(.020)</m:t>
                        </m:r>
                      </m:den>
                    </m:f>
                    <m:r>
                      <a:rPr lang="es-MX" sz="800" b="0" i="1">
                        <a:latin typeface="Cambria Math" panose="02040503050406030204" pitchFamily="18" charset="0"/>
                      </a:rPr>
                      <m:t> </m:t>
                    </m:r>
                    <m:r>
                      <a:rPr lang="es-MX" sz="800" b="0" i="0">
                        <a:latin typeface="Cambria Math" panose="02040503050406030204" pitchFamily="18" charset="0"/>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726 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1</m:t>
                        </m:r>
                      </m:den>
                    </m:f>
                    <m:r>
                      <a:rPr lang="es-MX" sz="800" b="0" i="1">
                        <a:latin typeface="Cambria Math" panose="02040503050406030204" pitchFamily="18" charset="0"/>
                      </a:rPr>
                      <m:t> </m:t>
                    </m:r>
                  </m:oMath>
                </m:oMathPara>
              </a14:m>
              <a:endParaRPr lang="es-MX" sz="800" b="0"/>
            </a:p>
            <a:p>
              <a:endParaRPr lang="es-MX" sz="800"/>
            </a:p>
            <a:p>
              <a:pPr/>
              <a14:m>
                <m:oMathPara xmlns:m="http://schemas.openxmlformats.org/officeDocument/2006/math">
                  <m:oMathParaPr>
                    <m:jc m:val="centerGroup"/>
                  </m:oMathParaPr>
                  <m:oMath xmlns:m="http://schemas.openxmlformats.org/officeDocument/2006/math">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 á</m:t>
                        </m:r>
                        <m:r>
                          <a:rPr lang="es-MX" sz="800" b="0" i="1">
                            <a:solidFill>
                              <a:schemeClr val="tx1"/>
                            </a:solidFill>
                            <a:effectLst/>
                            <a:latin typeface="Cambria Math" panose="02040503050406030204" pitchFamily="18" charset="0"/>
                            <a:ea typeface="+mn-ea"/>
                            <a:cs typeface="+mn-cs"/>
                          </a:rPr>
                          <m:t>𝑟𝑏𝑜𝑙𝑒𝑠</m:t>
                        </m:r>
                        <m:r>
                          <a:rPr lang="es-MX" sz="800" b="0" i="1">
                            <a:solidFill>
                              <a:schemeClr val="tx1"/>
                            </a:solidFill>
                            <a:effectLst/>
                            <a:latin typeface="Cambria Math" panose="02040503050406030204" pitchFamily="18" charset="0"/>
                            <a:ea typeface="+mn-ea"/>
                            <a:cs typeface="+mn-cs"/>
                          </a:rPr>
                          <m:t> </m:t>
                        </m:r>
                      </m:num>
                      <m:den>
                        <m:r>
                          <a:rPr lang="es-MX" sz="800" b="0" i="1">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r>
                      <a:rPr lang="es-MX" sz="800" b="0" i="0">
                        <a:solidFill>
                          <a:schemeClr val="tx1"/>
                        </a:solidFill>
                        <a:effectLst/>
                        <a:latin typeface="Cambria Math" panose="02040503050406030204" pitchFamily="18" charset="0"/>
                        <a:ea typeface="+mn-ea"/>
                        <a:cs typeface="+mn-cs"/>
                      </a:rPr>
                      <m:t>→</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 1 </m:t>
                        </m:r>
                        <m:r>
                          <a:rPr lang="es-MX" sz="800" b="0" i="1">
                            <a:solidFill>
                              <a:schemeClr val="tx1"/>
                            </a:solidFill>
                            <a:effectLst/>
                            <a:latin typeface="Cambria Math" panose="02040503050406030204" pitchFamily="18" charset="0"/>
                            <a:ea typeface="+mn-ea"/>
                            <a:cs typeface="+mn-cs"/>
                          </a:rPr>
                          <m:t>𝐵</m:t>
                        </m:r>
                        <m:r>
                          <a:rPr lang="es-MX" sz="800" b="0" i="1">
                            <a:solidFill>
                              <a:schemeClr val="tx1"/>
                            </a:solidFill>
                            <a:effectLst/>
                            <a:latin typeface="Cambria Math" panose="02040503050406030204" pitchFamily="18" charset="0"/>
                            <a:ea typeface="+mn-ea"/>
                            <a:cs typeface="+mn-cs"/>
                          </a:rPr>
                          <m:t>. </m:t>
                        </m:r>
                        <m:r>
                          <a:rPr lang="es-MX" sz="800" b="0" i="1">
                            <a:solidFill>
                              <a:schemeClr val="tx1"/>
                            </a:solidFill>
                            <a:effectLst/>
                            <a:latin typeface="Cambria Math" panose="02040503050406030204" pitchFamily="18" charset="0"/>
                            <a:ea typeface="+mn-ea"/>
                            <a:cs typeface="+mn-cs"/>
                          </a:rPr>
                          <m:t>𝐶h𝑎𝑝𝑢</m:t>
                        </m:r>
                      </m:num>
                      <m:den>
                        <m:r>
                          <a:rPr lang="es-MX" sz="800" b="0" i="0">
                            <a:solidFill>
                              <a:schemeClr val="tx1"/>
                            </a:solidFill>
                            <a:effectLst/>
                            <a:latin typeface="Cambria Math" panose="02040503050406030204" pitchFamily="18" charset="0"/>
                            <a:ea typeface="+mn-ea"/>
                            <a:cs typeface="+mn-cs"/>
                          </a:rPr>
                          <m:t>?()</m:t>
                        </m:r>
                      </m:den>
                    </m:f>
                    <m:r>
                      <a:rPr lang="es-MX" sz="8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964" name="CuadroTexto 963">
              <a:extLst>
                <a:ext uri="{FF2B5EF4-FFF2-40B4-BE49-F238E27FC236}">
                  <a16:creationId xmlns:a16="http://schemas.microsoft.com/office/drawing/2014/main" id="{FC8860CD-F5F3-456C-BCA8-DBBCEE9C1785}"/>
                </a:ext>
              </a:extLst>
            </xdr:cNvPr>
            <xdr:cNvSpPr txBox="1"/>
          </xdr:nvSpPr>
          <xdr:spPr>
            <a:xfrm>
              <a:off x="10141239" y="413117433"/>
              <a:ext cx="1815812" cy="654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274,000,000 á𝑟𝑏𝑜𝑙𝑒𝑠 )/(?(.020)) </a:t>
              </a:r>
              <a:r>
                <a:rPr lang="es-MX" sz="800" b="0" i="0">
                  <a:latin typeface="Cambria Math" panose="02040503050406030204" pitchFamily="18" charset="0"/>
                </a:rPr>
                <a:t>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726 𝐵. 𝐶ℎ𝑎𝑝𝑢)/1 </a:t>
              </a:r>
              <a:r>
                <a:rPr lang="es-MX" sz="800" b="0" i="0">
                  <a:latin typeface="Cambria Math" panose="02040503050406030204" pitchFamily="18" charset="0"/>
                </a:rPr>
                <a:t> </a:t>
              </a:r>
              <a:endParaRPr lang="es-MX" sz="800" b="0"/>
            </a:p>
            <a:p>
              <a:endParaRPr lang="es-MX" sz="800"/>
            </a:p>
            <a:p>
              <a:pP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 á𝑟𝑏𝑜𝑙𝑒𝑠 )/(?())  →</a:t>
              </a:r>
              <a:r>
                <a:rPr lang="es-MX" sz="800" i="0">
                  <a:solidFill>
                    <a:schemeClr val="tx1"/>
                  </a:solidFill>
                  <a:effectLst/>
                  <a:latin typeface="Cambria Math" panose="02040503050406030204" pitchFamily="18" charset="0"/>
                  <a:ea typeface="+mn-ea"/>
                  <a:cs typeface="+mn-cs"/>
                </a:rPr>
                <a:t>(</a:t>
              </a:r>
              <a:r>
                <a:rPr lang="es-MX" sz="800" b="0" i="0">
                  <a:solidFill>
                    <a:schemeClr val="tx1"/>
                  </a:solidFill>
                  <a:effectLst/>
                  <a:latin typeface="Cambria Math" panose="02040503050406030204" pitchFamily="18" charset="0"/>
                  <a:ea typeface="+mn-ea"/>
                  <a:cs typeface="+mn-cs"/>
                </a:rPr>
                <a:t> 1 𝐵. 𝐶ℎ𝑎𝑝𝑢)/(?())  </a:t>
              </a:r>
              <a:endParaRPr lang="es-MX" sz="800"/>
            </a:p>
          </xdr:txBody>
        </xdr:sp>
      </mc:Fallback>
    </mc:AlternateContent>
    <xdr:clientData/>
  </xdr:oneCellAnchor>
  <xdr:oneCellAnchor>
    <xdr:from>
      <xdr:col>10</xdr:col>
      <xdr:colOff>193531</xdr:colOff>
      <xdr:row>491</xdr:row>
      <xdr:rowOff>217894</xdr:rowOff>
    </xdr:from>
    <xdr:ext cx="1762126" cy="500810"/>
    <mc:AlternateContent xmlns:mc="http://schemas.openxmlformats.org/markup-compatibility/2006" xmlns:a14="http://schemas.microsoft.com/office/drawing/2010/main">
      <mc:Choice Requires="a14">
        <xdr:sp macro="" textlink="">
          <xdr:nvSpPr>
            <xdr:cNvPr id="965" name="CuadroTexto 964">
              <a:extLst>
                <a:ext uri="{FF2B5EF4-FFF2-40B4-BE49-F238E27FC236}">
                  <a16:creationId xmlns:a16="http://schemas.microsoft.com/office/drawing/2014/main" id="{42553265-0127-42D3-9FF8-F1129DEAEC9F}"/>
                </a:ext>
              </a:extLst>
            </xdr:cNvPr>
            <xdr:cNvSpPr txBox="1"/>
          </xdr:nvSpPr>
          <xdr:spPr>
            <a:xfrm>
              <a:off x="10871056" y="361453519"/>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𝐵𝑜𝑠𝑞𝑢𝑒</m:t>
                    </m:r>
                    <m:r>
                      <a:rPr lang="es-MX" sz="1000" b="0" i="1">
                        <a:latin typeface="Cambria Math" panose="02040503050406030204" pitchFamily="18" charset="0"/>
                      </a:rPr>
                      <m:t>=377,410 á</m:t>
                    </m:r>
                    <m:r>
                      <a:rPr lang="es-MX" sz="1000" b="0" i="1">
                        <a:latin typeface="Cambria Math" panose="02040503050406030204" pitchFamily="18" charset="0"/>
                      </a:rPr>
                      <m:t>𝑟𝑏𝑜𝑙𝑒𝑠</m:t>
                    </m:r>
                  </m:oMath>
                </m:oMathPara>
              </a14:m>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𝐶𝐿</m:t>
                    </m:r>
                    <m:r>
                      <a:rPr lang="es-MX" sz="1000" b="0" i="1">
                        <a:latin typeface="Cambria Math" panose="02040503050406030204" pitchFamily="18" charset="0"/>
                      </a:rPr>
                      <m:t>=</m:t>
                    </m:r>
                    <m:r>
                      <a:rPr lang="es-MX" sz="1000" b="0" i="0">
                        <a:latin typeface="Cambria Math" panose="02040503050406030204" pitchFamily="18" charset="0"/>
                      </a:rPr>
                      <m:t>0 </m:t>
                    </m:r>
                    <m:r>
                      <m:rPr>
                        <m:sty m:val="p"/>
                      </m:rPr>
                      <a:rPr lang="es-MX" sz="1000" b="0" i="0">
                        <a:latin typeface="Cambria Math" panose="02040503050406030204" pitchFamily="18" charset="0"/>
                      </a:rPr>
                      <m:t>B</m:t>
                    </m:r>
                    <m:r>
                      <a:rPr lang="es-MX" sz="1000" b="0" i="0">
                        <a:latin typeface="Cambria Math" panose="02040503050406030204" pitchFamily="18" charset="0"/>
                      </a:rPr>
                      <m:t>. </m:t>
                    </m:r>
                    <m:r>
                      <m:rPr>
                        <m:sty m:val="p"/>
                      </m:rPr>
                      <a:rPr lang="es-MX" sz="1000" b="0" i="0">
                        <a:latin typeface="Cambria Math" panose="02040503050406030204" pitchFamily="18" charset="0"/>
                      </a:rPr>
                      <m:t>Chapu</m:t>
                    </m:r>
                  </m:oMath>
                </m:oMathPara>
              </a14:m>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𝑡𝑜𝑛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𝐶𝐿</m:t>
                    </m:r>
                    <m:r>
                      <a:rPr lang="es-MX" sz="1000" b="0" i="1">
                        <a:solidFill>
                          <a:schemeClr val="tx1"/>
                        </a:solidFill>
                        <a:effectLst/>
                        <a:latin typeface="Cambria Math" panose="02040503050406030204" pitchFamily="18" charset="0"/>
                        <a:ea typeface="+mn-ea"/>
                        <a:cs typeface="+mn-cs"/>
                      </a:rPr>
                      <m:t>=</m:t>
                    </m:r>
                    <m:r>
                      <m:rPr>
                        <m:sty m:val="p"/>
                      </m:rPr>
                      <a:rPr lang="es-MX" sz="1000" b="0" i="0">
                        <a:solidFill>
                          <a:schemeClr val="tx1"/>
                        </a:solidFill>
                        <a:effectLst/>
                        <a:latin typeface="Cambria Math" panose="02040503050406030204" pitchFamily="18" charset="0"/>
                        <a:ea typeface="+mn-ea"/>
                        <a:cs typeface="+mn-cs"/>
                      </a:rPr>
                      <m:t>B</m:t>
                    </m:r>
                    <m:r>
                      <a:rPr lang="es-MX" sz="1000" b="0" i="0">
                        <a:solidFill>
                          <a:schemeClr val="tx1"/>
                        </a:solidFill>
                        <a:effectLst/>
                        <a:latin typeface="Cambria Math" panose="02040503050406030204" pitchFamily="18" charset="0"/>
                        <a:ea typeface="+mn-ea"/>
                        <a:cs typeface="+mn-cs"/>
                      </a:rPr>
                      <m:t>. </m:t>
                    </m:r>
                    <m:r>
                      <m:rPr>
                        <m:sty m:val="p"/>
                      </m:rPr>
                      <a:rPr lang="es-MX" sz="1000" b="0" i="0">
                        <a:solidFill>
                          <a:schemeClr val="tx1"/>
                        </a:solidFill>
                        <a:effectLst/>
                        <a:latin typeface="Cambria Math" panose="02040503050406030204" pitchFamily="18" charset="0"/>
                        <a:ea typeface="+mn-ea"/>
                        <a:cs typeface="+mn-cs"/>
                      </a:rPr>
                      <m:t>Chap</m:t>
                    </m:r>
                  </m:oMath>
                </m:oMathPara>
              </a14:m>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Choice>
      <mc:Fallback xmlns="">
        <xdr:sp macro="" textlink="">
          <xdr:nvSpPr>
            <xdr:cNvPr id="965" name="CuadroTexto 964">
              <a:extLst>
                <a:ext uri="{FF2B5EF4-FFF2-40B4-BE49-F238E27FC236}">
                  <a16:creationId xmlns:a16="http://schemas.microsoft.com/office/drawing/2014/main" id="{42553265-0127-42D3-9FF8-F1129DEAEC9F}"/>
                </a:ext>
              </a:extLst>
            </xdr:cNvPr>
            <xdr:cNvSpPr txBox="1"/>
          </xdr:nvSpPr>
          <xdr:spPr>
            <a:xfrm>
              <a:off x="10871056" y="361453519"/>
              <a:ext cx="1762126" cy="500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𝐵𝑜𝑠𝑞𝑢𝑒=377,410 á𝑟𝑏𝑜𝑙𝑒𝑠</a:t>
              </a:r>
              <a:endParaRPr lang="es-MX" sz="1000" b="0" i="1">
                <a:latin typeface="Cambria Math" panose="02040503050406030204" pitchFamily="18" charset="0"/>
              </a:endParaRPr>
            </a:p>
            <a:p>
              <a:pPr/>
              <a:r>
                <a:rPr lang="es-MX" sz="1000" b="0" i="0">
                  <a:latin typeface="Cambria Math" panose="02040503050406030204" pitchFamily="18" charset="0"/>
                </a:rPr>
                <a:t>1 𝑘𝑔 𝐶𝐿=0 B. Chapu</a:t>
              </a:r>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𝑡𝑜𝑛 𝐶𝐿=B. Chap</a:t>
              </a: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000">
                <a:effectLst/>
              </a:endParaRPr>
            </a:p>
            <a:p>
              <a:endParaRPr lang="es-MX" sz="1000" b="0"/>
            </a:p>
          </xdr:txBody>
        </xdr:sp>
      </mc:Fallback>
    </mc:AlternateContent>
    <xdr:clientData/>
  </xdr:oneCellAnchor>
  <xdr:oneCellAnchor>
    <xdr:from>
      <xdr:col>10</xdr:col>
      <xdr:colOff>114734</xdr:colOff>
      <xdr:row>502</xdr:row>
      <xdr:rowOff>157308</xdr:rowOff>
    </xdr:from>
    <xdr:ext cx="1852084" cy="552738"/>
    <mc:AlternateContent xmlns:mc="http://schemas.openxmlformats.org/markup-compatibility/2006" xmlns:a14="http://schemas.microsoft.com/office/drawing/2010/main">
      <mc:Choice Requires="a14">
        <xdr:sp macro="" textlink="">
          <xdr:nvSpPr>
            <xdr:cNvPr id="966" name="CuadroTexto 965">
              <a:extLst>
                <a:ext uri="{FF2B5EF4-FFF2-40B4-BE49-F238E27FC236}">
                  <a16:creationId xmlns:a16="http://schemas.microsoft.com/office/drawing/2014/main" id="{D7AA21A3-8E90-4278-8017-25B928CD445E}"/>
                </a:ext>
              </a:extLst>
            </xdr:cNvPr>
            <xdr:cNvSpPr txBox="1"/>
          </xdr:nvSpPr>
          <xdr:spPr>
            <a:xfrm>
              <a:off x="10792259" y="297604008"/>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𝑑𝑒</m:t>
                    </m:r>
                    <m:r>
                      <a:rPr lang="es-MX" sz="1000" b="0" i="1">
                        <a:latin typeface="Cambria Math" panose="02040503050406030204" pitchFamily="18" charset="0"/>
                      </a:rPr>
                      <m:t> </m:t>
                    </m:r>
                    <m:r>
                      <a:rPr lang="es-MX" sz="1000" b="0" i="1">
                        <a:latin typeface="Cambria Math" panose="02040503050406030204" pitchFamily="18" charset="0"/>
                      </a:rPr>
                      <m:t>𝑝𝑎𝑝𝑒𝑙</m:t>
                    </m:r>
                    <m:r>
                      <a:rPr lang="es-MX" sz="1000" b="0" i="1">
                        <a:latin typeface="Cambria Math" panose="02040503050406030204" pitchFamily="18" charset="0"/>
                      </a:rPr>
                      <m:t>= </m:t>
                    </m:r>
                    <m:r>
                      <a:rPr lang="es-MX" sz="1000" b="0" i="0">
                        <a:latin typeface="Cambria Math" panose="02040503050406030204" pitchFamily="18" charset="0"/>
                      </a:rPr>
                      <m:t>.0023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𝑑𝑒</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𝑝𝑎𝑝𝑒𝑙</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2.3 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966" name="CuadroTexto 965">
              <a:extLst>
                <a:ext uri="{FF2B5EF4-FFF2-40B4-BE49-F238E27FC236}">
                  <a16:creationId xmlns:a16="http://schemas.microsoft.com/office/drawing/2014/main" id="{D7AA21A3-8E90-4278-8017-25B928CD445E}"/>
                </a:ext>
              </a:extLst>
            </xdr:cNvPr>
            <xdr:cNvSpPr txBox="1"/>
          </xdr:nvSpPr>
          <xdr:spPr>
            <a:xfrm>
              <a:off x="10792259" y="297604008"/>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𝑑𝑒 𝑝𝑎𝑝𝑒𝑙= .0023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𝑑𝑒 𝑝𝑎𝑝𝑒𝑙=2.3 m3</a:t>
              </a:r>
              <a:endParaRPr lang="es-MX" sz="1000">
                <a:effectLst/>
              </a:endParaRPr>
            </a:p>
            <a:p>
              <a:endParaRPr lang="es-MX" sz="1000" b="0"/>
            </a:p>
          </xdr:txBody>
        </xdr:sp>
      </mc:Fallback>
    </mc:AlternateContent>
    <xdr:clientData/>
  </xdr:oneCellAnchor>
  <xdr:oneCellAnchor>
    <xdr:from>
      <xdr:col>9</xdr:col>
      <xdr:colOff>177801</xdr:colOff>
      <xdr:row>502</xdr:row>
      <xdr:rowOff>246063</xdr:rowOff>
    </xdr:from>
    <xdr:ext cx="1470024" cy="351443"/>
    <mc:AlternateContent xmlns:mc="http://schemas.openxmlformats.org/markup-compatibility/2006" xmlns:a14="http://schemas.microsoft.com/office/drawing/2010/main">
      <mc:Choice Requires="a14">
        <xdr:sp macro="" textlink="">
          <xdr:nvSpPr>
            <xdr:cNvPr id="967" name="CuadroTexto 966">
              <a:extLst>
                <a:ext uri="{FF2B5EF4-FFF2-40B4-BE49-F238E27FC236}">
                  <a16:creationId xmlns:a16="http://schemas.microsoft.com/office/drawing/2014/main" id="{9F6136AD-58BC-4E40-B252-FC129B431048}"/>
                </a:ext>
              </a:extLst>
            </xdr:cNvPr>
            <xdr:cNvSpPr txBox="1"/>
          </xdr:nvSpPr>
          <xdr:spPr>
            <a:xfrm>
              <a:off x="8950326" y="365405988"/>
              <a:ext cx="1470024"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2.3 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?(.0023)</m:t>
                        </m:r>
                      </m:den>
                    </m:f>
                    <m:r>
                      <a:rPr lang="es-MX" sz="1600" b="0" i="1">
                        <a:latin typeface="Cambria Math" panose="02040503050406030204" pitchFamily="18" charset="0"/>
                      </a:rPr>
                      <m:t> </m:t>
                    </m:r>
                  </m:oMath>
                </m:oMathPara>
              </a14:m>
              <a:endParaRPr lang="es-MX" sz="1600"/>
            </a:p>
          </xdr:txBody>
        </xdr:sp>
      </mc:Choice>
      <mc:Fallback xmlns="">
        <xdr:sp macro="" textlink="">
          <xdr:nvSpPr>
            <xdr:cNvPr id="967" name="CuadroTexto 966">
              <a:extLst>
                <a:ext uri="{FF2B5EF4-FFF2-40B4-BE49-F238E27FC236}">
                  <a16:creationId xmlns:a16="http://schemas.microsoft.com/office/drawing/2014/main" id="{9F6136AD-58BC-4E40-B252-FC129B431048}"/>
                </a:ext>
              </a:extLst>
            </xdr:cNvPr>
            <xdr:cNvSpPr txBox="1"/>
          </xdr:nvSpPr>
          <xdr:spPr>
            <a:xfrm>
              <a:off x="8950326" y="365405988"/>
              <a:ext cx="1470024"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2.3 𝑚3)/(?(.0023))</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8</xdr:col>
      <xdr:colOff>143933</xdr:colOff>
      <xdr:row>504</xdr:row>
      <xdr:rowOff>214842</xdr:rowOff>
    </xdr:from>
    <xdr:ext cx="1852084" cy="125227"/>
    <xdr:sp macro="" textlink="">
      <xdr:nvSpPr>
        <xdr:cNvPr id="968" name="CuadroTexto 967">
          <a:extLst>
            <a:ext uri="{FF2B5EF4-FFF2-40B4-BE49-F238E27FC236}">
              <a16:creationId xmlns:a16="http://schemas.microsoft.com/office/drawing/2014/main" id="{6A514100-CBF3-4275-8A91-A704265844A2}"/>
            </a:ext>
          </a:extLst>
        </xdr:cNvPr>
        <xdr:cNvSpPr txBox="1"/>
      </xdr:nvSpPr>
      <xdr:spPr>
        <a:xfrm>
          <a:off x="7001933" y="298461642"/>
          <a:ext cx="1852084" cy="125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800" b="0"/>
        </a:p>
      </xdr:txBody>
    </xdr:sp>
    <xdr:clientData/>
  </xdr:oneCellAnchor>
  <xdr:oneCellAnchor>
    <xdr:from>
      <xdr:col>8</xdr:col>
      <xdr:colOff>205642</xdr:colOff>
      <xdr:row>504</xdr:row>
      <xdr:rowOff>773968</xdr:rowOff>
    </xdr:from>
    <xdr:ext cx="1868525" cy="375680"/>
    <mc:AlternateContent xmlns:mc="http://schemas.openxmlformats.org/markup-compatibility/2006" xmlns:a14="http://schemas.microsoft.com/office/drawing/2010/main">
      <mc:Choice Requires="a14">
        <xdr:sp macro="" textlink="">
          <xdr:nvSpPr>
            <xdr:cNvPr id="969" name="CuadroTexto 968">
              <a:extLst>
                <a:ext uri="{FF2B5EF4-FFF2-40B4-BE49-F238E27FC236}">
                  <a16:creationId xmlns:a16="http://schemas.microsoft.com/office/drawing/2014/main" id="{85D98997-737D-4DE6-B29B-A2B54CD4A49B}"/>
                </a:ext>
              </a:extLst>
            </xdr:cNvPr>
            <xdr:cNvSpPr txBox="1"/>
          </xdr:nvSpPr>
          <xdr:spPr>
            <a:xfrm>
              <a:off x="7603392" y="430002218"/>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Choice>
      <mc:Fallback xmlns="">
        <xdr:sp macro="" textlink="">
          <xdr:nvSpPr>
            <xdr:cNvPr id="969" name="CuadroTexto 968">
              <a:extLst>
                <a:ext uri="{FF2B5EF4-FFF2-40B4-BE49-F238E27FC236}">
                  <a16:creationId xmlns:a16="http://schemas.microsoft.com/office/drawing/2014/main" id="{85D98997-737D-4DE6-B29B-A2B54CD4A49B}"/>
                </a:ext>
              </a:extLst>
            </xdr:cNvPr>
            <xdr:cNvSpPr txBox="1"/>
          </xdr:nvSpPr>
          <xdr:spPr>
            <a:xfrm>
              <a:off x="7603392" y="430002218"/>
              <a:ext cx="1868525"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m3a representa m3 ahorrados de</a:t>
              </a:r>
              <a:r>
                <a:rPr lang="es-MX" sz="800" b="0" baseline="0"/>
                <a:t> reciclable</a:t>
              </a:r>
              <a:endParaRPr lang="es-MX" sz="800" b="0"/>
            </a:p>
            <a:p>
              <a:r>
                <a:rPr lang="es-MX" sz="800" b="0"/>
                <a:t>cc representa</a:t>
              </a:r>
              <a:r>
                <a:rPr lang="es-MX" sz="800" b="0" baseline="0"/>
                <a:t>  capacidad del camión m3</a:t>
              </a:r>
              <a:endParaRPr lang="es-MX" sz="800" b="0"/>
            </a:p>
          </xdr:txBody>
        </xdr:sp>
      </mc:Fallback>
    </mc:AlternateContent>
    <xdr:clientData/>
  </xdr:oneCellAnchor>
  <xdr:oneCellAnchor>
    <xdr:from>
      <xdr:col>8</xdr:col>
      <xdr:colOff>547810</xdr:colOff>
      <xdr:row>504</xdr:row>
      <xdr:rowOff>251556</xdr:rowOff>
    </xdr:from>
    <xdr:ext cx="912690" cy="289246"/>
    <mc:AlternateContent xmlns:mc="http://schemas.openxmlformats.org/markup-compatibility/2006" xmlns:a14="http://schemas.microsoft.com/office/drawing/2010/main">
      <mc:Choice Requires="a14">
        <xdr:sp macro="" textlink="">
          <xdr:nvSpPr>
            <xdr:cNvPr id="970" name="CuadroTexto 969">
              <a:extLst>
                <a:ext uri="{FF2B5EF4-FFF2-40B4-BE49-F238E27FC236}">
                  <a16:creationId xmlns:a16="http://schemas.microsoft.com/office/drawing/2014/main" id="{CCD7CC7C-BDA6-4DFC-AA85-C19B8822B135}"/>
                </a:ext>
              </a:extLst>
            </xdr:cNvPr>
            <xdr:cNvSpPr txBox="1"/>
          </xdr:nvSpPr>
          <xdr:spPr>
            <a:xfrm>
              <a:off x="7945560" y="429479806"/>
              <a:ext cx="912690"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𝑚</m:t>
                        </m:r>
                        <m:r>
                          <a:rPr lang="es-MX" sz="1000" b="0" i="1">
                            <a:latin typeface="Cambria Math" panose="02040503050406030204" pitchFamily="18" charset="0"/>
                          </a:rPr>
                          <m:t>3</m:t>
                        </m:r>
                        <m:r>
                          <a:rPr lang="es-MX" sz="1000" b="0" i="1">
                            <a:latin typeface="Cambria Math" panose="02040503050406030204" pitchFamily="18" charset="0"/>
                          </a:rPr>
                          <m:t>𝑎</m:t>
                        </m:r>
                      </m:num>
                      <m:den>
                        <m:r>
                          <a:rPr lang="es-MX" sz="1000" b="0" i="1">
                            <a:latin typeface="Cambria Math" panose="02040503050406030204" pitchFamily="18" charset="0"/>
                          </a:rPr>
                          <m:t>𝑐𝑐</m:t>
                        </m:r>
                      </m:den>
                    </m:f>
                  </m:oMath>
                </m:oMathPara>
              </a14:m>
              <a:endParaRPr lang="es-MX" sz="1000" b="0"/>
            </a:p>
          </xdr:txBody>
        </xdr:sp>
      </mc:Choice>
      <mc:Fallback xmlns="">
        <xdr:sp macro="" textlink="">
          <xdr:nvSpPr>
            <xdr:cNvPr id="970" name="CuadroTexto 969">
              <a:extLst>
                <a:ext uri="{FF2B5EF4-FFF2-40B4-BE49-F238E27FC236}">
                  <a16:creationId xmlns:a16="http://schemas.microsoft.com/office/drawing/2014/main" id="{CCD7CC7C-BDA6-4DFC-AA85-C19B8822B135}"/>
                </a:ext>
              </a:extLst>
            </xdr:cNvPr>
            <xdr:cNvSpPr txBox="1"/>
          </xdr:nvSpPr>
          <xdr:spPr>
            <a:xfrm>
              <a:off x="7945560" y="429479806"/>
              <a:ext cx="912690"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C𝑏=𝑚3𝑎/𝑐𝑐</a:t>
              </a:r>
              <a:endParaRPr lang="es-MX" sz="1000" b="0"/>
            </a:p>
          </xdr:txBody>
        </xdr:sp>
      </mc:Fallback>
    </mc:AlternateContent>
    <xdr:clientData/>
  </xdr:oneCellAnchor>
  <xdr:oneCellAnchor>
    <xdr:from>
      <xdr:col>9</xdr:col>
      <xdr:colOff>339725</xdr:colOff>
      <xdr:row>504</xdr:row>
      <xdr:rowOff>346075</xdr:rowOff>
    </xdr:from>
    <xdr:ext cx="1852084" cy="289246"/>
    <mc:AlternateContent xmlns:mc="http://schemas.openxmlformats.org/markup-compatibility/2006" xmlns:a14="http://schemas.microsoft.com/office/drawing/2010/main">
      <mc:Choice Requires="a14">
        <xdr:sp macro="" textlink="">
          <xdr:nvSpPr>
            <xdr:cNvPr id="971" name="CuadroTexto 970">
              <a:extLst>
                <a:ext uri="{FF2B5EF4-FFF2-40B4-BE49-F238E27FC236}">
                  <a16:creationId xmlns:a16="http://schemas.microsoft.com/office/drawing/2014/main" id="{E07D5EED-5CA9-45D9-BF02-FE2C0E8CD072}"/>
                </a:ext>
              </a:extLst>
            </xdr:cNvPr>
            <xdr:cNvSpPr txBox="1"/>
          </xdr:nvSpPr>
          <xdr:spPr>
            <a:xfrm>
              <a:off x="10166350" y="42957432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00" b="0" i="0">
                        <a:latin typeface="Cambria Math" panose="02040503050406030204" pitchFamily="18" charset="0"/>
                      </a:rPr>
                      <m:t>C</m:t>
                    </m:r>
                    <m:r>
                      <a:rPr lang="es-MX" sz="1000" b="0" i="1">
                        <a:latin typeface="Cambria Math" panose="02040503050406030204" pitchFamily="18" charset="0"/>
                      </a:rPr>
                      <m:t>𝑏</m:t>
                    </m:r>
                    <m:r>
                      <a:rPr lang="es-MX" sz="1000" b="0" i="1">
                        <a:latin typeface="Cambria Math" panose="02040503050406030204" pitchFamily="18" charset="0"/>
                      </a:rPr>
                      <m:t>=</m:t>
                    </m:r>
                    <m:f>
                      <m:fPr>
                        <m:ctrlPr>
                          <a:rPr lang="es-MX" sz="1000" b="0" i="1">
                            <a:latin typeface="Cambria Math" panose="02040503050406030204" pitchFamily="18" charset="0"/>
                          </a:rPr>
                        </m:ctrlPr>
                      </m:fPr>
                      <m:num>
                        <m:r>
                          <a:rPr lang="es-MX" sz="1000" b="0" i="1">
                            <a:latin typeface="Cambria Math" panose="02040503050406030204" pitchFamily="18" charset="0"/>
                          </a:rPr>
                          <m:t>.0023 </m:t>
                        </m:r>
                        <m:r>
                          <a:rPr lang="es-MX" sz="1000" b="0" i="1">
                            <a:latin typeface="Cambria Math" panose="02040503050406030204" pitchFamily="18" charset="0"/>
                          </a:rPr>
                          <m:t>𝑚</m:t>
                        </m:r>
                        <m:r>
                          <a:rPr lang="es-MX" sz="1000" b="0" i="1">
                            <a:latin typeface="Cambria Math" panose="02040503050406030204" pitchFamily="18" charset="0"/>
                          </a:rPr>
                          <m:t>3</m:t>
                        </m:r>
                      </m:num>
                      <m:den>
                        <m:r>
                          <a:rPr lang="es-MX" sz="1000" b="0" i="1">
                            <a:latin typeface="Cambria Math" panose="02040503050406030204" pitchFamily="18" charset="0"/>
                          </a:rPr>
                          <m:t>10 </m:t>
                        </m:r>
                        <m:r>
                          <a:rPr lang="es-MX" sz="1000" b="0" i="1">
                            <a:latin typeface="Cambria Math" panose="02040503050406030204" pitchFamily="18" charset="0"/>
                          </a:rPr>
                          <m:t>𝑚</m:t>
                        </m:r>
                        <m:r>
                          <a:rPr lang="es-MX" sz="1000" b="0" i="1">
                            <a:latin typeface="Cambria Math" panose="02040503050406030204" pitchFamily="18" charset="0"/>
                          </a:rPr>
                          <m:t>3</m:t>
                        </m:r>
                      </m:den>
                    </m:f>
                  </m:oMath>
                </m:oMathPara>
              </a14:m>
              <a:endParaRPr lang="es-MX" sz="1000" b="0"/>
            </a:p>
          </xdr:txBody>
        </xdr:sp>
      </mc:Choice>
      <mc:Fallback xmlns="">
        <xdr:sp macro="" textlink="">
          <xdr:nvSpPr>
            <xdr:cNvPr id="971" name="CuadroTexto 970">
              <a:extLst>
                <a:ext uri="{FF2B5EF4-FFF2-40B4-BE49-F238E27FC236}">
                  <a16:creationId xmlns:a16="http://schemas.microsoft.com/office/drawing/2014/main" id="{E07D5EED-5CA9-45D9-BF02-FE2C0E8CD072}"/>
                </a:ext>
              </a:extLst>
            </xdr:cNvPr>
            <xdr:cNvSpPr txBox="1"/>
          </xdr:nvSpPr>
          <xdr:spPr>
            <a:xfrm>
              <a:off x="10166350" y="429574325"/>
              <a:ext cx="1852084" cy="289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C𝑏=(.0023 𝑚3)/(10 𝑚3)</a:t>
              </a:r>
              <a:endParaRPr lang="es-MX" sz="1000" b="0"/>
            </a:p>
          </xdr:txBody>
        </xdr:sp>
      </mc:Fallback>
    </mc:AlternateContent>
    <xdr:clientData/>
  </xdr:oneCellAnchor>
  <xdr:oneCellAnchor>
    <xdr:from>
      <xdr:col>10</xdr:col>
      <xdr:colOff>161925</xdr:colOff>
      <xdr:row>504</xdr:row>
      <xdr:rowOff>304800</xdr:rowOff>
    </xdr:from>
    <xdr:ext cx="1852084" cy="552738"/>
    <mc:AlternateContent xmlns:mc="http://schemas.openxmlformats.org/markup-compatibility/2006" xmlns:a14="http://schemas.microsoft.com/office/drawing/2010/main">
      <mc:Choice Requires="a14">
        <xdr:sp macro="" textlink="">
          <xdr:nvSpPr>
            <xdr:cNvPr id="975" name="CuadroTexto 974">
              <a:extLst>
                <a:ext uri="{FF2B5EF4-FFF2-40B4-BE49-F238E27FC236}">
                  <a16:creationId xmlns:a16="http://schemas.microsoft.com/office/drawing/2014/main" id="{2A715B23-104E-44FA-B8BA-7B511D23353D}"/>
                </a:ext>
              </a:extLst>
            </xdr:cNvPr>
            <xdr:cNvSpPr txBox="1"/>
          </xdr:nvSpPr>
          <xdr:spPr>
            <a:xfrm>
              <a:off x="10839450" y="366874425"/>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𝑑𝑒</m:t>
                    </m:r>
                    <m:r>
                      <a:rPr lang="es-MX" sz="1000" b="0" i="1">
                        <a:latin typeface="Cambria Math" panose="02040503050406030204" pitchFamily="18" charset="0"/>
                      </a:rPr>
                      <m:t> </m:t>
                    </m:r>
                    <m:r>
                      <a:rPr lang="es-MX" sz="1000" b="0" i="1">
                        <a:latin typeface="Cambria Math" panose="02040503050406030204" pitchFamily="18" charset="0"/>
                      </a:rPr>
                      <m:t>𝑝𝑎𝑝𝑒𝑙</m:t>
                    </m:r>
                    <m:r>
                      <a:rPr lang="es-MX" sz="1000" b="0" i="1">
                        <a:latin typeface="Cambria Math" panose="02040503050406030204" pitchFamily="18" charset="0"/>
                      </a:rPr>
                      <m:t>= </m:t>
                    </m:r>
                    <m:r>
                      <a:rPr lang="es-MX" sz="1000" b="0" i="0">
                        <a:latin typeface="Cambria Math" panose="02040503050406030204" pitchFamily="18" charset="0"/>
                      </a:rPr>
                      <m:t>.00023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𝑑𝑒</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𝑝𝑎𝑝𝑒𝑙</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.23 </m:t>
                    </m:r>
                    <m:r>
                      <m:rPr>
                        <m:sty m:val="p"/>
                      </m:rPr>
                      <a:rPr lang="es-MX" sz="1000" b="0" i="0">
                        <a:solidFill>
                          <a:schemeClr val="tx1"/>
                        </a:solidFill>
                        <a:effectLst/>
                        <a:latin typeface="Cambria Math" panose="02040503050406030204" pitchFamily="18" charset="0"/>
                        <a:ea typeface="+mn-ea"/>
                        <a:cs typeface="+mn-cs"/>
                      </a:rPr>
                      <m:t>camiones</m:t>
                    </m:r>
                  </m:oMath>
                </m:oMathPara>
              </a14:m>
              <a:endParaRPr lang="es-MX" sz="1000">
                <a:effectLst/>
              </a:endParaRPr>
            </a:p>
            <a:p>
              <a:endParaRPr lang="es-MX" sz="1000" b="0"/>
            </a:p>
          </xdr:txBody>
        </xdr:sp>
      </mc:Choice>
      <mc:Fallback xmlns="">
        <xdr:sp macro="" textlink="">
          <xdr:nvSpPr>
            <xdr:cNvPr id="975" name="CuadroTexto 974">
              <a:extLst>
                <a:ext uri="{FF2B5EF4-FFF2-40B4-BE49-F238E27FC236}">
                  <a16:creationId xmlns:a16="http://schemas.microsoft.com/office/drawing/2014/main" id="{2A715B23-104E-44FA-B8BA-7B511D23353D}"/>
                </a:ext>
              </a:extLst>
            </xdr:cNvPr>
            <xdr:cNvSpPr txBox="1"/>
          </xdr:nvSpPr>
          <xdr:spPr>
            <a:xfrm>
              <a:off x="10839450" y="366874425"/>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𝑑𝑒 𝑝𝑎𝑝𝑒𝑙= .00023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𝑑𝑒 𝑝𝑎𝑝𝑒𝑙=.23 camiones</a:t>
              </a:r>
              <a:endParaRPr lang="es-MX" sz="1000">
                <a:effectLst/>
              </a:endParaRPr>
            </a:p>
            <a:p>
              <a:endParaRPr lang="es-MX" sz="1000" b="0"/>
            </a:p>
          </xdr:txBody>
        </xdr:sp>
      </mc:Fallback>
    </mc:AlternateContent>
    <xdr:clientData/>
  </xdr:oneCellAnchor>
  <xdr:oneCellAnchor>
    <xdr:from>
      <xdr:col>6</xdr:col>
      <xdr:colOff>76200</xdr:colOff>
      <xdr:row>507</xdr:row>
      <xdr:rowOff>69850</xdr:rowOff>
    </xdr:from>
    <xdr:ext cx="457200" cy="448468"/>
    <xdr:pic>
      <xdr:nvPicPr>
        <xdr:cNvPr id="976" name="Gráfico 975" descr="Convertible">
          <a:extLst>
            <a:ext uri="{FF2B5EF4-FFF2-40B4-BE49-F238E27FC236}">
              <a16:creationId xmlns:a16="http://schemas.microsoft.com/office/drawing/2014/main" id="{CDFF6A9D-2BAD-4B03-BDFB-F29E490F2AF6}"/>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5772150" y="300126400"/>
          <a:ext cx="457200" cy="448468"/>
        </a:xfrm>
        <a:prstGeom prst="rect">
          <a:avLst/>
        </a:prstGeom>
      </xdr:spPr>
    </xdr:pic>
    <xdr:clientData/>
  </xdr:oneCellAnchor>
  <xdr:oneCellAnchor>
    <xdr:from>
      <xdr:col>10</xdr:col>
      <xdr:colOff>274203</xdr:colOff>
      <xdr:row>508</xdr:row>
      <xdr:rowOff>178088</xdr:rowOff>
    </xdr:from>
    <xdr:ext cx="1809749" cy="1049711"/>
    <mc:AlternateContent xmlns:mc="http://schemas.openxmlformats.org/markup-compatibility/2006" xmlns:a14="http://schemas.microsoft.com/office/drawing/2010/main">
      <mc:Choice Requires="a14">
        <xdr:sp macro="" textlink="">
          <xdr:nvSpPr>
            <xdr:cNvPr id="977" name="CuadroTexto 976">
              <a:extLst>
                <a:ext uri="{FF2B5EF4-FFF2-40B4-BE49-F238E27FC236}">
                  <a16:creationId xmlns:a16="http://schemas.microsoft.com/office/drawing/2014/main" id="{BCB66805-8FE1-43EB-88CD-5B26419CC0A9}"/>
                </a:ext>
              </a:extLst>
            </xdr:cNvPr>
            <xdr:cNvSpPr txBox="1"/>
          </xdr:nvSpPr>
          <xdr:spPr>
            <a:xfrm>
              <a:off x="12628128" y="434270438"/>
              <a:ext cx="1809749" cy="1049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=.0125</m:t>
                  </m:r>
                  <m:f>
                    <m:fPr>
                      <m:ctrlPr>
                        <a:rPr lang="es-MX" sz="1050" i="1">
                          <a:solidFill>
                            <a:schemeClr val="tx1"/>
                          </a:solidFill>
                          <a:effectLst/>
                          <a:latin typeface="Cambria Math" panose="02040503050406030204" pitchFamily="18" charset="0"/>
                          <a:ea typeface="+mn-ea"/>
                          <a:cs typeface="+mn-cs"/>
                        </a:rPr>
                      </m:ctrlPr>
                    </m:fPr>
                    <m:num>
                      <m:r>
                        <a:rPr lang="es-MX" sz="1050" b="0" i="1">
                          <a:solidFill>
                            <a:schemeClr val="tx1"/>
                          </a:solidFill>
                          <a:effectLst/>
                          <a:latin typeface="Cambria Math" panose="02040503050406030204" pitchFamily="18" charset="0"/>
                          <a:ea typeface="+mn-ea"/>
                          <a:cs typeface="+mn-cs"/>
                        </a:rPr>
                        <m:t>𝐵𝑎𝑟𝑟𝑖𝑙𝑒𝑠</m:t>
                      </m:r>
                    </m:num>
                    <m:den>
                      <m:r>
                        <m:rPr>
                          <m:sty m:val="p"/>
                        </m:rPr>
                        <a:rPr lang="es-MX" sz="1050" b="0" i="0">
                          <a:solidFill>
                            <a:schemeClr val="tx1"/>
                          </a:solidFill>
                          <a:effectLst/>
                          <a:latin typeface="Cambria Math" panose="02040503050406030204" pitchFamily="18" charset="0"/>
                          <a:ea typeface="+mn-ea"/>
                          <a:cs typeface="+mn-cs"/>
                        </a:rPr>
                        <m:t>P</m:t>
                      </m:r>
                      <m:r>
                        <a:rPr lang="es-MX" sz="1050" b="0" i="1">
                          <a:solidFill>
                            <a:schemeClr val="tx1"/>
                          </a:solidFill>
                          <a:effectLst/>
                          <a:latin typeface="Cambria Math" panose="02040503050406030204" pitchFamily="18" charset="0"/>
                          <a:ea typeface="+mn-ea"/>
                          <a:cs typeface="+mn-cs"/>
                        </a:rPr>
                        <m:t>𝑒𝑡𝑟𝑜𝑙𝑒𝑜</m:t>
                      </m:r>
                    </m:den>
                  </m:f>
                </m:oMath>
              </a14:m>
              <a:r>
                <a:rPr lang="es-MX" sz="1050" b="0"/>
                <a:t>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𝑝𝑎𝑝𝑒𝑙</m:t>
                    </m:r>
                    <m:r>
                      <a:rPr lang="es-MX" sz="1100" b="0" i="1">
                        <a:solidFill>
                          <a:schemeClr val="tx1"/>
                        </a:solidFill>
                        <a:effectLst/>
                        <a:latin typeface="Cambria Math" panose="02040503050406030204" pitchFamily="18" charset="0"/>
                        <a:ea typeface="+mn-ea"/>
                        <a:cs typeface="+mn-cs"/>
                      </a:rPr>
                      <m:t>=12.5</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𝐵𝑎𝑟𝑟𝑖𝑙𝑒𝑠</m:t>
                        </m:r>
                      </m:num>
                      <m:den>
                        <m:r>
                          <m:rPr>
                            <m:sty m:val="p"/>
                          </m:rPr>
                          <a:rPr lang="es-MX" sz="1100" b="0" i="0">
                            <a:solidFill>
                              <a:schemeClr val="tx1"/>
                            </a:solidFill>
                            <a:effectLst/>
                            <a:latin typeface="Cambria Math" panose="02040503050406030204" pitchFamily="18" charset="0"/>
                            <a:ea typeface="+mn-ea"/>
                            <a:cs typeface="+mn-cs"/>
                          </a:rPr>
                          <m:t>P</m:t>
                        </m:r>
                        <m:r>
                          <a:rPr lang="es-MX" sz="1100" b="0" i="1">
                            <a:solidFill>
                              <a:schemeClr val="tx1"/>
                            </a:solidFill>
                            <a:effectLst/>
                            <a:latin typeface="Cambria Math" panose="02040503050406030204" pitchFamily="18" charset="0"/>
                            <a:ea typeface="+mn-ea"/>
                            <a:cs typeface="+mn-cs"/>
                          </a:rPr>
                          <m:t>𝑒𝑡𝑟𝑜𝑙𝑒𝑜</m:t>
                        </m:r>
                      </m:den>
                    </m:f>
                  </m:oMath>
                </m:oMathPara>
              </a14:m>
              <a:endParaRPr lang="es-MX">
                <a:effectLst/>
              </a:endParaRPr>
            </a:p>
            <a:p>
              <a:endParaRPr lang="es-MX" sz="1050" b="0"/>
            </a:p>
          </xdr:txBody>
        </xdr:sp>
      </mc:Choice>
      <mc:Fallback xmlns="">
        <xdr:sp macro="" textlink="">
          <xdr:nvSpPr>
            <xdr:cNvPr id="977" name="CuadroTexto 976">
              <a:extLst>
                <a:ext uri="{FF2B5EF4-FFF2-40B4-BE49-F238E27FC236}">
                  <a16:creationId xmlns:a16="http://schemas.microsoft.com/office/drawing/2014/main" id="{BCB66805-8FE1-43EB-88CD-5B26419CC0A9}"/>
                </a:ext>
              </a:extLst>
            </xdr:cNvPr>
            <xdr:cNvSpPr txBox="1"/>
          </xdr:nvSpPr>
          <xdr:spPr>
            <a:xfrm>
              <a:off x="12628128" y="434270438"/>
              <a:ext cx="1809749" cy="1049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𝑝𝑎𝑝𝑒𝑙=.0125</a:t>
              </a:r>
              <a:r>
                <a:rPr lang="es-MX" sz="1050" b="0" i="0">
                  <a:solidFill>
                    <a:schemeClr val="tx1"/>
                  </a:solidFill>
                  <a:effectLst/>
                  <a:latin typeface="Cambria Math" panose="02040503050406030204" pitchFamily="18" charset="0"/>
                  <a:ea typeface="+mn-ea"/>
                  <a:cs typeface="+mn-cs"/>
                </a:rPr>
                <a:t> 𝐵𝑎𝑟𝑟𝑖𝑙𝑒𝑠/P𝑒𝑡𝑟𝑜𝑙𝑒𝑜</a:t>
              </a:r>
              <a:r>
                <a:rPr lang="es-MX" sz="1050" b="0"/>
                <a:t>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𝑝𝑎𝑝𝑒𝑙=12.5 𝐵𝑎𝑟𝑟𝑖𝑙𝑒𝑠/P𝑒𝑡𝑟𝑜𝑙𝑒𝑜</a:t>
              </a:r>
              <a:endParaRPr lang="es-MX">
                <a:effectLst/>
              </a:endParaRPr>
            </a:p>
            <a:p>
              <a:endParaRPr lang="es-MX" sz="1050" b="0"/>
            </a:p>
          </xdr:txBody>
        </xdr:sp>
      </mc:Fallback>
    </mc:AlternateContent>
    <xdr:clientData/>
  </xdr:oneCellAnchor>
  <xdr:oneCellAnchor>
    <xdr:from>
      <xdr:col>9</xdr:col>
      <xdr:colOff>371475</xdr:colOff>
      <xdr:row>508</xdr:row>
      <xdr:rowOff>508001</xdr:rowOff>
    </xdr:from>
    <xdr:ext cx="1689100" cy="329770"/>
    <mc:AlternateContent xmlns:mc="http://schemas.openxmlformats.org/markup-compatibility/2006" xmlns:a14="http://schemas.microsoft.com/office/drawing/2010/main">
      <mc:Choice Requires="a14">
        <xdr:sp macro="" textlink="">
          <xdr:nvSpPr>
            <xdr:cNvPr id="978" name="CuadroTexto 977">
              <a:extLst>
                <a:ext uri="{FF2B5EF4-FFF2-40B4-BE49-F238E27FC236}">
                  <a16:creationId xmlns:a16="http://schemas.microsoft.com/office/drawing/2014/main" id="{032528CA-0182-4D61-A85D-CACBC834D7CA}"/>
                </a:ext>
              </a:extLst>
            </xdr:cNvPr>
            <xdr:cNvSpPr txBox="1"/>
          </xdr:nvSpPr>
          <xdr:spPr>
            <a:xfrm>
              <a:off x="10198100" y="431863501"/>
              <a:ext cx="1689100"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12.57 </m:t>
                        </m:r>
                        <m:r>
                          <a:rPr lang="es-MX" sz="1000" b="0" i="1">
                            <a:solidFill>
                              <a:schemeClr val="tx1"/>
                            </a:solidFill>
                            <a:effectLst/>
                            <a:latin typeface="Cambria Math" panose="02040503050406030204" pitchFamily="18" charset="0"/>
                            <a:ea typeface="+mn-ea"/>
                            <a:cs typeface="+mn-cs"/>
                          </a:rPr>
                          <m:t>𝐵𝑝</m:t>
                        </m:r>
                      </m:num>
                      <m:den>
                        <m:r>
                          <a:rPr lang="es-MX" sz="1000" b="0" i="1">
                            <a:solidFill>
                              <a:schemeClr val="tx1"/>
                            </a:solidFill>
                            <a:effectLst/>
                            <a:latin typeface="Cambria Math" panose="02040503050406030204" pitchFamily="18" charset="0"/>
                            <a:ea typeface="+mn-ea"/>
                            <a:cs typeface="+mn-cs"/>
                          </a:rPr>
                          <m:t>?(.0125)</m:t>
                        </m:r>
                      </m:den>
                    </m:f>
                    <m:r>
                      <a:rPr lang="es-MX" sz="1000" b="0" i="1">
                        <a:latin typeface="Cambria Math" panose="02040503050406030204" pitchFamily="18" charset="0"/>
                      </a:rPr>
                      <m:t> </m:t>
                    </m:r>
                  </m:oMath>
                </m:oMathPara>
              </a14:m>
              <a:endParaRPr lang="es-MX" sz="1000"/>
            </a:p>
          </xdr:txBody>
        </xdr:sp>
      </mc:Choice>
      <mc:Fallback xmlns="">
        <xdr:sp macro="" textlink="">
          <xdr:nvSpPr>
            <xdr:cNvPr id="978" name="CuadroTexto 977">
              <a:extLst>
                <a:ext uri="{FF2B5EF4-FFF2-40B4-BE49-F238E27FC236}">
                  <a16:creationId xmlns:a16="http://schemas.microsoft.com/office/drawing/2014/main" id="{032528CA-0182-4D61-A85D-CACBC834D7CA}"/>
                </a:ext>
              </a:extLst>
            </xdr:cNvPr>
            <xdr:cNvSpPr txBox="1"/>
          </xdr:nvSpPr>
          <xdr:spPr>
            <a:xfrm>
              <a:off x="10198100" y="431863501"/>
              <a:ext cx="1689100"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12.57 𝐵𝑝)/(?(.0125)) </a:t>
              </a:r>
              <a:r>
                <a:rPr lang="es-MX" sz="1000" b="0" i="0">
                  <a:latin typeface="Cambria Math" panose="02040503050406030204" pitchFamily="18" charset="0"/>
                </a:rPr>
                <a:t> </a:t>
              </a:r>
              <a:endParaRPr lang="es-MX" sz="1000"/>
            </a:p>
          </xdr:txBody>
        </xdr:sp>
      </mc:Fallback>
    </mc:AlternateContent>
    <xdr:clientData/>
  </xdr:oneCellAnchor>
  <xdr:oneCellAnchor>
    <xdr:from>
      <xdr:col>9</xdr:col>
      <xdr:colOff>371475</xdr:colOff>
      <xdr:row>509</xdr:row>
      <xdr:rowOff>219075</xdr:rowOff>
    </xdr:from>
    <xdr:ext cx="1352550" cy="351506"/>
    <mc:AlternateContent xmlns:mc="http://schemas.openxmlformats.org/markup-compatibility/2006" xmlns:a14="http://schemas.microsoft.com/office/drawing/2010/main">
      <mc:Choice Requires="a14">
        <xdr:sp macro="" textlink="">
          <xdr:nvSpPr>
            <xdr:cNvPr id="981" name="CuadroTexto 980">
              <a:extLst>
                <a:ext uri="{FF2B5EF4-FFF2-40B4-BE49-F238E27FC236}">
                  <a16:creationId xmlns:a16="http://schemas.microsoft.com/office/drawing/2014/main" id="{1C0DABA4-2286-4BDD-BEA2-89AA55F51A13}"/>
                </a:ext>
              </a:extLst>
            </xdr:cNvPr>
            <xdr:cNvSpPr txBox="1"/>
          </xdr:nvSpPr>
          <xdr:spPr>
            <a:xfrm>
              <a:off x="9144000" y="370332000"/>
              <a:ext cx="1352550"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𝐵𝑝</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?(9.05) </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159 </m:t>
                        </m:r>
                        <m:r>
                          <a:rPr lang="es-MX" sz="1100" b="0" i="1">
                            <a:solidFill>
                              <a:schemeClr val="tx1"/>
                            </a:solidFill>
                            <a:effectLst/>
                            <a:latin typeface="Cambria Math" panose="02040503050406030204" pitchFamily="18" charset="0"/>
                            <a:ea typeface="+mn-ea"/>
                            <a:cs typeface="+mn-cs"/>
                          </a:rPr>
                          <m:t>𝐿</m:t>
                        </m:r>
                      </m:num>
                      <m:den>
                        <m:r>
                          <a:rPr lang="es-MX" sz="1100" b="0" i="0">
                            <a:solidFill>
                              <a:schemeClr val="tx1"/>
                            </a:solidFill>
                            <a:effectLst/>
                            <a:latin typeface="Cambria Math" panose="02040503050406030204" pitchFamily="18" charset="0"/>
                            <a:ea typeface="+mn-ea"/>
                            <a:cs typeface="+mn-cs"/>
                          </a:rPr>
                          <m:t>1,440</m:t>
                        </m:r>
                      </m:den>
                    </m:f>
                    <m:r>
                      <a:rPr lang="es-MX" sz="1600" b="0" i="1">
                        <a:latin typeface="Cambria Math" panose="02040503050406030204" pitchFamily="18" charset="0"/>
                      </a:rPr>
                      <m:t> </m:t>
                    </m:r>
                  </m:oMath>
                </m:oMathPara>
              </a14:m>
              <a:endParaRPr lang="es-MX" sz="1600"/>
            </a:p>
          </xdr:txBody>
        </xdr:sp>
      </mc:Choice>
      <mc:Fallback xmlns="">
        <xdr:sp macro="" textlink="">
          <xdr:nvSpPr>
            <xdr:cNvPr id="981" name="CuadroTexto 980">
              <a:extLst>
                <a:ext uri="{FF2B5EF4-FFF2-40B4-BE49-F238E27FC236}">
                  <a16:creationId xmlns:a16="http://schemas.microsoft.com/office/drawing/2014/main" id="{1C0DABA4-2286-4BDD-BEA2-89AA55F51A13}"/>
                </a:ext>
              </a:extLst>
            </xdr:cNvPr>
            <xdr:cNvSpPr txBox="1"/>
          </xdr:nvSpPr>
          <xdr:spPr>
            <a:xfrm>
              <a:off x="9144000" y="370332000"/>
              <a:ext cx="1352550"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 𝐵𝑝 )/(?(9.05) )</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159 𝐿)/1,440</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10</xdr:col>
      <xdr:colOff>323850</xdr:colOff>
      <xdr:row>509</xdr:row>
      <xdr:rowOff>257175</xdr:rowOff>
    </xdr:from>
    <xdr:ext cx="1537759" cy="628650"/>
    <mc:AlternateContent xmlns:mc="http://schemas.openxmlformats.org/markup-compatibility/2006" xmlns:a14="http://schemas.microsoft.com/office/drawing/2010/main">
      <mc:Choice Requires="a14">
        <xdr:sp macro="" textlink="">
          <xdr:nvSpPr>
            <xdr:cNvPr id="982" name="CuadroTexto 981">
              <a:extLst>
                <a:ext uri="{FF2B5EF4-FFF2-40B4-BE49-F238E27FC236}">
                  <a16:creationId xmlns:a16="http://schemas.microsoft.com/office/drawing/2014/main" id="{2D0D606B-0CF1-4DC3-89F7-F8682305E97F}"/>
                </a:ext>
              </a:extLst>
            </xdr:cNvPr>
            <xdr:cNvSpPr txBox="1"/>
          </xdr:nvSpPr>
          <xdr:spPr>
            <a:xfrm>
              <a:off x="11001375" y="30224730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 .0090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𝐶𝐿</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9.05 </m:t>
                    </m:r>
                    <m:r>
                      <m:rPr>
                        <m:sty m:val="p"/>
                      </m:rPr>
                      <a:rPr lang="es-MX" sz="1050" b="0" i="0">
                        <a:solidFill>
                          <a:schemeClr val="tx1"/>
                        </a:solidFill>
                        <a:effectLst/>
                        <a:latin typeface="Cambria Math" panose="02040503050406030204" pitchFamily="18" charset="0"/>
                        <a:ea typeface="+mn-ea"/>
                        <a:cs typeface="+mn-cs"/>
                      </a:rPr>
                      <m:t>Lp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982" name="CuadroTexto 981">
              <a:extLst>
                <a:ext uri="{FF2B5EF4-FFF2-40B4-BE49-F238E27FC236}">
                  <a16:creationId xmlns:a16="http://schemas.microsoft.com/office/drawing/2014/main" id="{2D0D606B-0CF1-4DC3-89F7-F8682305E97F}"/>
                </a:ext>
              </a:extLst>
            </xdr:cNvPr>
            <xdr:cNvSpPr txBox="1"/>
          </xdr:nvSpPr>
          <xdr:spPr>
            <a:xfrm>
              <a:off x="11001375" y="30224730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𝐶𝐿= .0090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𝐶𝐿=9.05 Lp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9</xdr:col>
      <xdr:colOff>323850</xdr:colOff>
      <xdr:row>492</xdr:row>
      <xdr:rowOff>533400</xdr:rowOff>
    </xdr:from>
    <xdr:ext cx="1418167" cy="329770"/>
    <mc:AlternateContent xmlns:mc="http://schemas.openxmlformats.org/markup-compatibility/2006" xmlns:a14="http://schemas.microsoft.com/office/drawing/2010/main">
      <mc:Choice Requires="a14">
        <xdr:sp macro="" textlink="">
          <xdr:nvSpPr>
            <xdr:cNvPr id="987" name="CuadroTexto 986">
              <a:extLst>
                <a:ext uri="{FF2B5EF4-FFF2-40B4-BE49-F238E27FC236}">
                  <a16:creationId xmlns:a16="http://schemas.microsoft.com/office/drawing/2014/main" id="{33E78AFF-8664-41BD-A634-32DF78CCBF14}"/>
                </a:ext>
              </a:extLst>
            </xdr:cNvPr>
            <xdr:cNvSpPr txBox="1"/>
          </xdr:nvSpPr>
          <xdr:spPr>
            <a:xfrm>
              <a:off x="9096375" y="3617690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17 </m:t>
                        </m:r>
                        <m:r>
                          <a:rPr lang="es-MX" sz="1000" b="0" i="1">
                            <a:solidFill>
                              <a:schemeClr val="tx1"/>
                            </a:solidFill>
                            <a:effectLst/>
                            <a:latin typeface="Cambria Math" panose="02040503050406030204" pitchFamily="18" charset="0"/>
                            <a:ea typeface="+mn-ea"/>
                            <a:cs typeface="+mn-cs"/>
                          </a:rPr>
                          <m:t>𝑎𝑟𝑏𝑜𝑙𝑒𝑠</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.017)</m:t>
                        </m:r>
                      </m:den>
                    </m:f>
                    <m:r>
                      <a:rPr lang="es-MX" sz="1000" b="0" i="1">
                        <a:latin typeface="Cambria Math" panose="02040503050406030204" pitchFamily="18" charset="0"/>
                      </a:rPr>
                      <m:t> </m:t>
                    </m:r>
                  </m:oMath>
                </m:oMathPara>
              </a14:m>
              <a:endParaRPr lang="es-MX" sz="1000"/>
            </a:p>
          </xdr:txBody>
        </xdr:sp>
      </mc:Choice>
      <mc:Fallback xmlns="">
        <xdr:sp macro="" textlink="">
          <xdr:nvSpPr>
            <xdr:cNvPr id="987" name="CuadroTexto 986">
              <a:extLst>
                <a:ext uri="{FF2B5EF4-FFF2-40B4-BE49-F238E27FC236}">
                  <a16:creationId xmlns:a16="http://schemas.microsoft.com/office/drawing/2014/main" id="{33E78AFF-8664-41BD-A634-32DF78CCBF14}"/>
                </a:ext>
              </a:extLst>
            </xdr:cNvPr>
            <xdr:cNvSpPr txBox="1"/>
          </xdr:nvSpPr>
          <xdr:spPr>
            <a:xfrm>
              <a:off x="9096375" y="3617690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17 𝑎𝑟𝑏𝑜𝑙𝑒𝑠 )/(?( .017))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419100</xdr:colOff>
      <xdr:row>492</xdr:row>
      <xdr:rowOff>295275</xdr:rowOff>
    </xdr:from>
    <xdr:ext cx="1438275" cy="994833"/>
    <mc:AlternateContent xmlns:mc="http://schemas.openxmlformats.org/markup-compatibility/2006" xmlns:a14="http://schemas.microsoft.com/office/drawing/2010/main">
      <mc:Choice Requires="a14">
        <xdr:sp macro="" textlink="">
          <xdr:nvSpPr>
            <xdr:cNvPr id="988" name="CuadroTexto 987">
              <a:extLst>
                <a:ext uri="{FF2B5EF4-FFF2-40B4-BE49-F238E27FC236}">
                  <a16:creationId xmlns:a16="http://schemas.microsoft.com/office/drawing/2014/main" id="{BC94DD02-A5EA-4F48-A2CB-129B73D14456}"/>
                </a:ext>
              </a:extLst>
            </xdr:cNvPr>
            <xdr:cNvSpPr txBox="1"/>
          </xdr:nvSpPr>
          <xdr:spPr>
            <a:xfrm>
              <a:off x="11096625" y="361530900"/>
              <a:ext cx="143827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.017</m:t>
                  </m:r>
                </m:oMath>
              </a14:m>
              <a:r>
                <a:rPr lang="es-MX" sz="1050" b="0" i="0">
                  <a:latin typeface="Cambria Math" panose="02040503050406030204" pitchFamily="18" charset="0"/>
                </a:rPr>
                <a:t>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oMath>
              </a14:m>
              <a:r>
                <a:rPr lang="es-MX" sz="1050">
                  <a:effectLst/>
                </a:rPr>
                <a:t> 17 árboles</a:t>
              </a:r>
            </a:p>
            <a:p>
              <a:pPr algn="l"/>
              <a:endParaRPr lang="es-MX" sz="1050" b="0" i="0">
                <a:latin typeface="Cambria Math" panose="02040503050406030204" pitchFamily="18" charset="0"/>
              </a:endParaRPr>
            </a:p>
          </xdr:txBody>
        </xdr:sp>
      </mc:Choice>
      <mc:Fallback xmlns="">
        <xdr:sp macro="" textlink="">
          <xdr:nvSpPr>
            <xdr:cNvPr id="988" name="CuadroTexto 987">
              <a:extLst>
                <a:ext uri="{FF2B5EF4-FFF2-40B4-BE49-F238E27FC236}">
                  <a16:creationId xmlns:a16="http://schemas.microsoft.com/office/drawing/2014/main" id="{BC94DD02-A5EA-4F48-A2CB-129B73D14456}"/>
                </a:ext>
              </a:extLst>
            </xdr:cNvPr>
            <xdr:cNvSpPr txBox="1"/>
          </xdr:nvSpPr>
          <xdr:spPr>
            <a:xfrm>
              <a:off x="11096625" y="361530900"/>
              <a:ext cx="143827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𝐶𝐿=.017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𝑡𝑜𝑛</a:t>
              </a:r>
              <a:r>
                <a:rPr lang="es-MX" sz="1100" b="0" i="0">
                  <a:solidFill>
                    <a:schemeClr val="tx1"/>
                  </a:solidFill>
                  <a:effectLst/>
                  <a:latin typeface="+mn-lt"/>
                  <a:ea typeface="+mn-ea"/>
                  <a:cs typeface="+mn-cs"/>
                </a:rPr>
                <a:t> 𝐶𝐿=</a:t>
              </a:r>
              <a:r>
                <a:rPr lang="es-MX" sz="1050">
                  <a:effectLst/>
                </a:rPr>
                <a:t> 17 árboles</a:t>
              </a:r>
            </a:p>
            <a:p>
              <a:pPr algn="l"/>
              <a:endParaRPr lang="es-MX" sz="1050" b="0" i="0">
                <a:latin typeface="Cambria Math" panose="02040503050406030204" pitchFamily="18" charset="0"/>
              </a:endParaRPr>
            </a:p>
          </xdr:txBody>
        </xdr:sp>
      </mc:Fallback>
    </mc:AlternateContent>
    <xdr:clientData/>
  </xdr:oneCellAnchor>
  <xdr:oneCellAnchor>
    <xdr:from>
      <xdr:col>9</xdr:col>
      <xdr:colOff>323850</xdr:colOff>
      <xdr:row>493</xdr:row>
      <xdr:rowOff>533400</xdr:rowOff>
    </xdr:from>
    <xdr:ext cx="1418167" cy="329770"/>
    <mc:AlternateContent xmlns:mc="http://schemas.openxmlformats.org/markup-compatibility/2006" xmlns:a14="http://schemas.microsoft.com/office/drawing/2010/main">
      <mc:Choice Requires="a14">
        <xdr:sp macro="" textlink="">
          <xdr:nvSpPr>
            <xdr:cNvPr id="991" name="CuadroTexto 990">
              <a:extLst>
                <a:ext uri="{FF2B5EF4-FFF2-40B4-BE49-F238E27FC236}">
                  <a16:creationId xmlns:a16="http://schemas.microsoft.com/office/drawing/2014/main" id="{2924A93E-676D-4470-97A4-A788C063CFD0}"/>
                </a:ext>
              </a:extLst>
            </xdr:cNvPr>
            <xdr:cNvSpPr txBox="1"/>
          </xdr:nvSpPr>
          <xdr:spPr>
            <a:xfrm>
              <a:off x="9096375" y="3617690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1600 </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1.6)</m:t>
                        </m:r>
                      </m:den>
                    </m:f>
                    <m:r>
                      <a:rPr lang="es-MX" sz="1000" b="0" i="1">
                        <a:latin typeface="Cambria Math" panose="02040503050406030204" pitchFamily="18" charset="0"/>
                      </a:rPr>
                      <m:t> </m:t>
                    </m:r>
                  </m:oMath>
                </m:oMathPara>
              </a14:m>
              <a:endParaRPr lang="es-MX" sz="1000"/>
            </a:p>
          </xdr:txBody>
        </xdr:sp>
      </mc:Choice>
      <mc:Fallback xmlns="">
        <xdr:sp macro="" textlink="">
          <xdr:nvSpPr>
            <xdr:cNvPr id="991" name="CuadroTexto 990">
              <a:extLst>
                <a:ext uri="{FF2B5EF4-FFF2-40B4-BE49-F238E27FC236}">
                  <a16:creationId xmlns:a16="http://schemas.microsoft.com/office/drawing/2014/main" id="{2924A93E-676D-4470-97A4-A788C063CFD0}"/>
                </a:ext>
              </a:extLst>
            </xdr:cNvPr>
            <xdr:cNvSpPr txBox="1"/>
          </xdr:nvSpPr>
          <xdr:spPr>
            <a:xfrm>
              <a:off x="9096375" y="361769025"/>
              <a:ext cx="1418167" cy="329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1600 )/(?( 1.6))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238125</xdr:colOff>
      <xdr:row>493</xdr:row>
      <xdr:rowOff>276225</xdr:rowOff>
    </xdr:from>
    <xdr:ext cx="1905000" cy="994833"/>
    <mc:AlternateContent xmlns:mc="http://schemas.openxmlformats.org/markup-compatibility/2006" xmlns:a14="http://schemas.microsoft.com/office/drawing/2010/main">
      <mc:Choice Requires="a14">
        <xdr:sp macro="" textlink="">
          <xdr:nvSpPr>
            <xdr:cNvPr id="992" name="CuadroTexto 991">
              <a:extLst>
                <a:ext uri="{FF2B5EF4-FFF2-40B4-BE49-F238E27FC236}">
                  <a16:creationId xmlns:a16="http://schemas.microsoft.com/office/drawing/2014/main" id="{87290FD3-DC05-4468-8067-E2798296CF44}"/>
                </a:ext>
              </a:extLst>
            </xdr:cNvPr>
            <xdr:cNvSpPr txBox="1"/>
          </xdr:nvSpPr>
          <xdr:spPr>
            <a:xfrm>
              <a:off x="12620625" y="417280725"/>
              <a:ext cx="1905000"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m:t>
                    </m:r>
                    <m:r>
                      <a:rPr lang="es-MX" sz="1050" b="0" i="0">
                        <a:latin typeface="Cambria Math" panose="02040503050406030204" pitchFamily="18" charset="0"/>
                      </a:rPr>
                      <m:t>.012 á</m:t>
                    </m:r>
                    <m:r>
                      <m:rPr>
                        <m:sty m:val="p"/>
                      </m:rPr>
                      <a:rPr lang="es-MX" sz="1050" b="0" i="0">
                        <a:latin typeface="Cambria Math" panose="02040503050406030204" pitchFamily="18" charset="0"/>
                      </a:rPr>
                      <m:t>rboles</m:t>
                    </m:r>
                    <m:r>
                      <a:rPr lang="es-MX" sz="1050" b="0" i="0">
                        <a:latin typeface="Cambria Math" panose="02040503050406030204" pitchFamily="18" charset="0"/>
                      </a:rPr>
                      <m:t> 1.6 </m:t>
                    </m:r>
                    <m:r>
                      <m:rPr>
                        <m:sty m:val="p"/>
                      </m:rPr>
                      <a:rPr lang="es-MX" sz="1050" b="0" i="0">
                        <a:latin typeface="Cambria Math" panose="02040503050406030204" pitchFamily="18" charset="0"/>
                      </a:rPr>
                      <m:t>kg</m:t>
                    </m:r>
                    <m:r>
                      <a:rPr lang="es-MX" sz="1050" b="0" i="0">
                        <a:latin typeface="Cambria Math" panose="02040503050406030204" pitchFamily="18" charset="0"/>
                      </a:rPr>
                      <m:t> </m:t>
                    </m:r>
                    <m:r>
                      <m:rPr>
                        <m:sty m:val="p"/>
                      </m:rPr>
                      <a:rPr lang="es-MX" sz="1050" b="0" i="0">
                        <a:latin typeface="Cambria Math" panose="02040503050406030204" pitchFamily="18" charset="0"/>
                      </a:rPr>
                      <m:t>de</m:t>
                    </m:r>
                    <m:r>
                      <a:rPr lang="es-MX" sz="1050" b="0" i="0">
                        <a:latin typeface="Cambria Math" panose="02040503050406030204" pitchFamily="18" charset="0"/>
                      </a:rPr>
                      <m:t> </m:t>
                    </m:r>
                    <m:r>
                      <m:rPr>
                        <m:sty m:val="p"/>
                      </m:rPr>
                      <a:rPr lang="es-MX" sz="1050" b="0" i="0">
                        <a:latin typeface="Cambria Math" panose="02040503050406030204" pitchFamily="18" charset="0"/>
                      </a:rPr>
                      <m:t>madera</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oMath>
              </a14:m>
              <a:r>
                <a:rPr lang="es-MX" sz="1050">
                  <a:effectLst/>
                </a:rPr>
                <a:t> 12 arboles / 1,600 kg de madera</a:t>
              </a:r>
              <a:endParaRPr lang="es-MX" sz="1050" b="0" i="0">
                <a:latin typeface="Cambria Math" panose="02040503050406030204" pitchFamily="18" charset="0"/>
              </a:endParaRPr>
            </a:p>
          </xdr:txBody>
        </xdr:sp>
      </mc:Choice>
      <mc:Fallback xmlns="">
        <xdr:sp macro="" textlink="">
          <xdr:nvSpPr>
            <xdr:cNvPr id="992" name="CuadroTexto 991">
              <a:extLst>
                <a:ext uri="{FF2B5EF4-FFF2-40B4-BE49-F238E27FC236}">
                  <a16:creationId xmlns:a16="http://schemas.microsoft.com/office/drawing/2014/main" id="{87290FD3-DC05-4468-8067-E2798296CF44}"/>
                </a:ext>
              </a:extLst>
            </xdr:cNvPr>
            <xdr:cNvSpPr txBox="1"/>
          </xdr:nvSpPr>
          <xdr:spPr>
            <a:xfrm>
              <a:off x="12620625" y="417280725"/>
              <a:ext cx="1905000"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𝑝𝑎𝑝𝑒𝑙=.012 árboles 1.6 kg de madera</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𝐶𝐿=</a:t>
              </a:r>
              <a:r>
                <a:rPr lang="es-MX" sz="1050">
                  <a:effectLst/>
                </a:rPr>
                <a:t> 12 arboles / 1,600 kg de madera</a:t>
              </a:r>
              <a:endParaRPr lang="es-MX" sz="1050" b="0" i="0">
                <a:latin typeface="Cambria Math" panose="02040503050406030204" pitchFamily="18" charset="0"/>
              </a:endParaRPr>
            </a:p>
          </xdr:txBody>
        </xdr:sp>
      </mc:Fallback>
    </mc:AlternateContent>
    <xdr:clientData/>
  </xdr:oneCellAnchor>
  <xdr:oneCellAnchor>
    <xdr:from>
      <xdr:col>10</xdr:col>
      <xdr:colOff>114734</xdr:colOff>
      <xdr:row>503</xdr:row>
      <xdr:rowOff>157308</xdr:rowOff>
    </xdr:from>
    <xdr:ext cx="1852084" cy="552738"/>
    <mc:AlternateContent xmlns:mc="http://schemas.openxmlformats.org/markup-compatibility/2006" xmlns:a14="http://schemas.microsoft.com/office/drawing/2010/main">
      <mc:Choice Requires="a14">
        <xdr:sp macro="" textlink="">
          <xdr:nvSpPr>
            <xdr:cNvPr id="995" name="CuadroTexto 994">
              <a:extLst>
                <a:ext uri="{FF2B5EF4-FFF2-40B4-BE49-F238E27FC236}">
                  <a16:creationId xmlns:a16="http://schemas.microsoft.com/office/drawing/2014/main" id="{28F3C89F-3487-46E6-8612-2E2ADC2611D7}"/>
                </a:ext>
              </a:extLst>
            </xdr:cNvPr>
            <xdr:cNvSpPr txBox="1"/>
          </xdr:nvSpPr>
          <xdr:spPr>
            <a:xfrm>
              <a:off x="10792259" y="366726933"/>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𝑑𝑒</m:t>
                    </m:r>
                    <m:r>
                      <a:rPr lang="es-MX" sz="1000" b="0" i="1">
                        <a:latin typeface="Cambria Math" panose="02040503050406030204" pitchFamily="18" charset="0"/>
                      </a:rPr>
                      <m:t> </m:t>
                    </m:r>
                    <m:r>
                      <a:rPr lang="es-MX" sz="1000" b="0" i="1">
                        <a:latin typeface="Cambria Math" panose="02040503050406030204" pitchFamily="18" charset="0"/>
                      </a:rPr>
                      <m:t>𝑝𝑎𝑝𝑒𝑙</m:t>
                    </m:r>
                    <m:r>
                      <a:rPr lang="es-MX" sz="1000" b="0" i="1">
                        <a:latin typeface="Cambria Math" panose="02040503050406030204" pitchFamily="18" charset="0"/>
                      </a:rPr>
                      <m:t>= </m:t>
                    </m:r>
                    <m:r>
                      <a:rPr lang="es-MX" sz="1000" b="0" i="0">
                        <a:latin typeface="Cambria Math" panose="02040503050406030204" pitchFamily="18" charset="0"/>
                      </a:rPr>
                      <m:t>.0035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𝑑𝑒</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𝑝𝑎𝑝𝑒𝑙</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3.5 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995" name="CuadroTexto 994">
              <a:extLst>
                <a:ext uri="{FF2B5EF4-FFF2-40B4-BE49-F238E27FC236}">
                  <a16:creationId xmlns:a16="http://schemas.microsoft.com/office/drawing/2014/main" id="{28F3C89F-3487-46E6-8612-2E2ADC2611D7}"/>
                </a:ext>
              </a:extLst>
            </xdr:cNvPr>
            <xdr:cNvSpPr txBox="1"/>
          </xdr:nvSpPr>
          <xdr:spPr>
            <a:xfrm>
              <a:off x="10792259" y="366726933"/>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𝑑𝑒 𝑝𝑎𝑝𝑒𝑙= .0035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𝑑𝑒 𝑝𝑎𝑝𝑒𝑙=3.5 m3</a:t>
              </a:r>
              <a:endParaRPr lang="es-MX" sz="1000">
                <a:effectLst/>
              </a:endParaRPr>
            </a:p>
            <a:p>
              <a:endParaRPr lang="es-MX" sz="1000" b="0"/>
            </a:p>
          </xdr:txBody>
        </xdr:sp>
      </mc:Fallback>
    </mc:AlternateContent>
    <xdr:clientData/>
  </xdr:oneCellAnchor>
  <xdr:oneCellAnchor>
    <xdr:from>
      <xdr:col>9</xdr:col>
      <xdr:colOff>177801</xdr:colOff>
      <xdr:row>503</xdr:row>
      <xdr:rowOff>246063</xdr:rowOff>
    </xdr:from>
    <xdr:ext cx="1470024" cy="351443"/>
    <mc:AlternateContent xmlns:mc="http://schemas.openxmlformats.org/markup-compatibility/2006" xmlns:a14="http://schemas.microsoft.com/office/drawing/2010/main">
      <mc:Choice Requires="a14">
        <xdr:sp macro="" textlink="">
          <xdr:nvSpPr>
            <xdr:cNvPr id="996" name="CuadroTexto 995">
              <a:extLst>
                <a:ext uri="{FF2B5EF4-FFF2-40B4-BE49-F238E27FC236}">
                  <a16:creationId xmlns:a16="http://schemas.microsoft.com/office/drawing/2014/main" id="{3AF8FC69-10B0-4F93-995B-C93D2E306BA5}"/>
                </a:ext>
              </a:extLst>
            </xdr:cNvPr>
            <xdr:cNvSpPr txBox="1"/>
          </xdr:nvSpPr>
          <xdr:spPr>
            <a:xfrm>
              <a:off x="8950326" y="366815688"/>
              <a:ext cx="1470024"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𝑘𝑔</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1</m:t>
                        </m:r>
                      </m:den>
                    </m:f>
                    <m:r>
                      <a:rPr lang="es-MX" sz="1600" b="0" i="1">
                        <a:latin typeface="Cambria Math" panose="02040503050406030204" pitchFamily="18" charset="0"/>
                      </a:rPr>
                      <m:t> </m:t>
                    </m:r>
                    <m:r>
                      <a:rPr lang="es-MX" sz="1600" b="0" i="0">
                        <a:latin typeface="Cambria Math" panose="02040503050406030204" pitchFamily="18" charset="0"/>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3.5 </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?(.0035)</m:t>
                        </m:r>
                      </m:den>
                    </m:f>
                    <m:r>
                      <a:rPr lang="es-MX" sz="1600" b="0" i="1">
                        <a:latin typeface="Cambria Math" panose="02040503050406030204" pitchFamily="18" charset="0"/>
                      </a:rPr>
                      <m:t> </m:t>
                    </m:r>
                  </m:oMath>
                </m:oMathPara>
              </a14:m>
              <a:endParaRPr lang="es-MX" sz="1600"/>
            </a:p>
          </xdr:txBody>
        </xdr:sp>
      </mc:Choice>
      <mc:Fallback xmlns="">
        <xdr:sp macro="" textlink="">
          <xdr:nvSpPr>
            <xdr:cNvPr id="996" name="CuadroTexto 995">
              <a:extLst>
                <a:ext uri="{FF2B5EF4-FFF2-40B4-BE49-F238E27FC236}">
                  <a16:creationId xmlns:a16="http://schemas.microsoft.com/office/drawing/2014/main" id="{3AF8FC69-10B0-4F93-995B-C93D2E306BA5}"/>
                </a:ext>
              </a:extLst>
            </xdr:cNvPr>
            <xdr:cNvSpPr txBox="1"/>
          </xdr:nvSpPr>
          <xdr:spPr>
            <a:xfrm>
              <a:off x="8950326" y="366815688"/>
              <a:ext cx="1470024" cy="351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1000 𝑘𝑔  )/1</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3.5 𝑚3)/(?(.0035))</a:t>
              </a:r>
              <a:r>
                <a:rPr lang="es-MX" sz="1600" b="0" i="0">
                  <a:solidFill>
                    <a:schemeClr val="tx1"/>
                  </a:solidFill>
                  <a:effectLst/>
                  <a:latin typeface="Cambria Math" panose="02040503050406030204" pitchFamily="18" charset="0"/>
                  <a:ea typeface="+mn-ea"/>
                  <a:cs typeface="+mn-cs"/>
                </a:rPr>
                <a:t> </a:t>
              </a:r>
              <a:r>
                <a:rPr lang="es-MX" sz="1600" b="0" i="0">
                  <a:latin typeface="Cambria Math" panose="02040503050406030204" pitchFamily="18" charset="0"/>
                </a:rPr>
                <a:t> </a:t>
              </a:r>
              <a:endParaRPr lang="es-MX" sz="1600"/>
            </a:p>
          </xdr:txBody>
        </xdr:sp>
      </mc:Fallback>
    </mc:AlternateContent>
    <xdr:clientData/>
  </xdr:oneCellAnchor>
  <xdr:oneCellAnchor>
    <xdr:from>
      <xdr:col>9</xdr:col>
      <xdr:colOff>219075</xdr:colOff>
      <xdr:row>485</xdr:row>
      <xdr:rowOff>333374</xdr:rowOff>
    </xdr:from>
    <xdr:ext cx="1418167" cy="923925"/>
    <mc:AlternateContent xmlns:mc="http://schemas.openxmlformats.org/markup-compatibility/2006" xmlns:a14="http://schemas.microsoft.com/office/drawing/2010/main">
      <mc:Choice Requires="a14">
        <xdr:sp macro="" textlink="">
          <xdr:nvSpPr>
            <xdr:cNvPr id="999" name="CuadroTexto 998">
              <a:extLst>
                <a:ext uri="{FF2B5EF4-FFF2-40B4-BE49-F238E27FC236}">
                  <a16:creationId xmlns:a16="http://schemas.microsoft.com/office/drawing/2014/main" id="{04F14080-136E-4569-A09C-55A86E6C334E}"/>
                </a:ext>
              </a:extLst>
            </xdr:cNvPr>
            <xdr:cNvSpPr txBox="1"/>
          </xdr:nvSpPr>
          <xdr:spPr>
            <a:xfrm>
              <a:off x="8991600" y="357635174"/>
              <a:ext cx="1418167" cy="9239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1000 </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0">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26 </m:t>
                        </m:r>
                        <m:r>
                          <a:rPr lang="es-MX" sz="1000" b="0" i="1">
                            <a:solidFill>
                              <a:schemeClr val="tx1"/>
                            </a:solidFill>
                            <a:effectLst/>
                            <a:latin typeface="Cambria Math" panose="02040503050406030204" pitchFamily="18" charset="0"/>
                            <a:ea typeface="+mn-ea"/>
                            <a:cs typeface="+mn-cs"/>
                          </a:rPr>
                          <m:t>𝑚</m:t>
                        </m:r>
                        <m:r>
                          <a:rPr lang="es-MX" sz="1000" b="0" i="1">
                            <a:solidFill>
                              <a:schemeClr val="tx1"/>
                            </a:solidFill>
                            <a:effectLst/>
                            <a:latin typeface="Cambria Math" panose="02040503050406030204" pitchFamily="18" charset="0"/>
                            <a:ea typeface="+mn-ea"/>
                            <a:cs typeface="+mn-cs"/>
                          </a:rPr>
                          <m:t>3 </m:t>
                        </m:r>
                      </m:num>
                      <m:den>
                        <m:r>
                          <a:rPr lang="es-MX" sz="1000" b="0" i="0">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.026)</m:t>
                        </m:r>
                      </m:den>
                    </m:f>
                  </m:oMath>
                </m:oMathPara>
              </a14:m>
              <a:endParaRPr lang="es-MX" sz="1000" b="0" i="1">
                <a:solidFill>
                  <a:schemeClr val="tx1"/>
                </a:solidFill>
                <a:effectLst/>
                <a:latin typeface="Cambria Math" panose="02040503050406030204" pitchFamily="18" charset="0"/>
                <a:ea typeface="+mn-ea"/>
                <a:cs typeface="+mn-cs"/>
              </a:endParaRPr>
            </a:p>
            <a:p>
              <a:endParaRPr lang="es-MX" sz="1000" b="0" i="1">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𝑚</m:t>
                        </m:r>
                        <m:r>
                          <a:rPr lang="es-MX" sz="1100" b="0" i="1">
                            <a:solidFill>
                              <a:schemeClr val="tx1"/>
                            </a:solidFill>
                            <a:effectLst/>
                            <a:latin typeface="Cambria Math" panose="02040503050406030204" pitchFamily="18" charset="0"/>
                            <a:ea typeface="+mn-ea"/>
                            <a:cs typeface="+mn-cs"/>
                          </a:rPr>
                          <m:t>3</m:t>
                        </m:r>
                      </m:num>
                      <m:den>
                        <m:r>
                          <a:rPr lang="es-MX" sz="1100" b="0" i="0">
                            <a:solidFill>
                              <a:schemeClr val="tx1"/>
                            </a:solidFill>
                            <a:effectLst/>
                            <a:latin typeface="Cambria Math" panose="02040503050406030204" pitchFamily="18" charset="0"/>
                            <a:ea typeface="+mn-ea"/>
                            <a:cs typeface="+mn-cs"/>
                          </a:rPr>
                          <m:t>.026</m:t>
                        </m:r>
                      </m:den>
                    </m:f>
                    <m:r>
                      <a:rPr lang="es-MX" sz="1100" b="0" i="1">
                        <a:solidFill>
                          <a:schemeClr val="tx1"/>
                        </a:solidFill>
                        <a:effectLst/>
                        <a:latin typeface="Cambria Math" panose="02040503050406030204" pitchFamily="18" charset="0"/>
                        <a:ea typeface="+mn-ea"/>
                        <a:cs typeface="+mn-cs"/>
                      </a:rPr>
                      <m:t> </m:t>
                    </m:r>
                    <m:r>
                      <a:rPr lang="es-MX" sz="1100" b="0" i="0">
                        <a:solidFill>
                          <a:schemeClr val="tx1"/>
                        </a:solidFill>
                        <a:effectLst/>
                        <a:latin typeface="Cambria Math" panose="02040503050406030204" pitchFamily="18" charset="0"/>
                        <a:ea typeface="+mn-ea"/>
                        <a:cs typeface="+mn-cs"/>
                      </a:rPr>
                      <m:t>→</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1000 </m:t>
                        </m:r>
                        <m:r>
                          <a:rPr lang="es-MX" sz="1100" b="0" i="1">
                            <a:solidFill>
                              <a:schemeClr val="tx1"/>
                            </a:solidFill>
                            <a:effectLst/>
                            <a:latin typeface="Cambria Math" panose="02040503050406030204" pitchFamily="18" charset="0"/>
                            <a:ea typeface="+mn-ea"/>
                            <a:cs typeface="+mn-cs"/>
                          </a:rPr>
                          <m:t>𝐿</m:t>
                        </m:r>
                        <m:r>
                          <a:rPr lang="es-MX" sz="1100" b="0" i="1">
                            <a:solidFill>
                              <a:schemeClr val="tx1"/>
                            </a:solidFill>
                            <a:effectLst/>
                            <a:latin typeface="Cambria Math" panose="02040503050406030204" pitchFamily="18" charset="0"/>
                            <a:ea typeface="+mn-ea"/>
                            <a:cs typeface="+mn-cs"/>
                          </a:rPr>
                          <m:t> </m:t>
                        </m:r>
                      </m:num>
                      <m:den>
                        <m:r>
                          <a:rPr lang="es-MX" sz="1100" b="0" i="0">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26</m:t>
                        </m:r>
                        <m:r>
                          <a:rPr lang="es-MX" sz="1100" b="0" i="1">
                            <a:solidFill>
                              <a:schemeClr val="tx1"/>
                            </a:solidFill>
                            <a:effectLst/>
                            <a:latin typeface="Cambria Math" panose="02040503050406030204" pitchFamily="18" charset="0"/>
                            <a:ea typeface="+mn-ea"/>
                            <a:cs typeface="+mn-cs"/>
                          </a:rPr>
                          <m:t>𝐿</m:t>
                        </m:r>
                        <m:r>
                          <a:rPr lang="es-MX" sz="1100" b="0" i="1">
                            <a:solidFill>
                              <a:schemeClr val="tx1"/>
                            </a:solidFill>
                            <a:effectLst/>
                            <a:latin typeface="Cambria Math" panose="02040503050406030204" pitchFamily="18" charset="0"/>
                            <a:ea typeface="+mn-ea"/>
                            <a:cs typeface="+mn-cs"/>
                          </a:rPr>
                          <m:t>)</m:t>
                        </m:r>
                      </m:den>
                    </m:f>
                  </m:oMath>
                </m:oMathPara>
              </a14:m>
              <a:endParaRPr lang="es-MX" sz="1000">
                <a:effectLst/>
              </a:endParaRPr>
            </a:p>
            <a:p>
              <a:endParaRPr lang="es-MX" sz="1000" b="0" i="1">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 </m:t>
                    </m:r>
                  </m:oMath>
                </m:oMathPara>
              </a14:m>
              <a:endParaRPr lang="es-MX" sz="1000"/>
            </a:p>
          </xdr:txBody>
        </xdr:sp>
      </mc:Choice>
      <mc:Fallback xmlns="">
        <xdr:sp macro="" textlink="">
          <xdr:nvSpPr>
            <xdr:cNvPr id="999" name="CuadroTexto 998">
              <a:extLst>
                <a:ext uri="{FF2B5EF4-FFF2-40B4-BE49-F238E27FC236}">
                  <a16:creationId xmlns:a16="http://schemas.microsoft.com/office/drawing/2014/main" id="{04F14080-136E-4569-A09C-55A86E6C334E}"/>
                </a:ext>
              </a:extLst>
            </xdr:cNvPr>
            <xdr:cNvSpPr txBox="1"/>
          </xdr:nvSpPr>
          <xdr:spPr>
            <a:xfrm>
              <a:off x="8991600" y="357635174"/>
              <a:ext cx="1418167" cy="9239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 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26 𝑚3 )/(?( .026))</a:t>
              </a:r>
              <a:endParaRPr lang="es-MX" sz="1000" b="0" i="1">
                <a:solidFill>
                  <a:schemeClr val="tx1"/>
                </a:solidFill>
                <a:effectLst/>
                <a:latin typeface="Cambria Math" panose="02040503050406030204" pitchFamily="18" charset="0"/>
                <a:ea typeface="+mn-ea"/>
                <a:cs typeface="+mn-cs"/>
              </a:endParaRPr>
            </a:p>
            <a:p>
              <a:pPr/>
              <a:endParaRPr lang="es-MX" sz="1000" b="0" i="1">
                <a:latin typeface="Cambria Math" panose="020405030504060302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a:t>
              </a:r>
              <a:r>
                <a:rPr lang="es-MX" sz="1100" b="0" i="0">
                  <a:solidFill>
                    <a:schemeClr val="tx1"/>
                  </a:solidFill>
                  <a:effectLst/>
                  <a:latin typeface="Cambria Math" panose="02040503050406030204" pitchFamily="18" charset="0"/>
                  <a:ea typeface="+mn-ea"/>
                  <a:cs typeface="+mn-cs"/>
                </a:rPr>
                <a:t>𝑚3</a:t>
              </a:r>
              <a:r>
                <a:rPr lang="es-MX" sz="1100" b="0" i="0">
                  <a:solidFill>
                    <a:schemeClr val="tx1"/>
                  </a:solidFill>
                  <a:effectLst/>
                  <a:latin typeface="+mn-lt"/>
                  <a:ea typeface="+mn-ea"/>
                  <a:cs typeface="+mn-cs"/>
                </a:rPr>
                <a:t>/</a:t>
              </a:r>
              <a:r>
                <a:rPr lang="es-MX" sz="1100" b="0" i="0">
                  <a:solidFill>
                    <a:schemeClr val="tx1"/>
                  </a:solidFill>
                  <a:effectLst/>
                  <a:latin typeface="Cambria Math" panose="02040503050406030204" pitchFamily="18" charset="0"/>
                  <a:ea typeface="+mn-ea"/>
                  <a:cs typeface="+mn-cs"/>
                </a:rPr>
                <a:t>.026</a:t>
              </a:r>
              <a:r>
                <a:rPr lang="es-MX" sz="1100" b="0" i="0">
                  <a:solidFill>
                    <a:schemeClr val="tx1"/>
                  </a:solidFill>
                  <a:effectLst/>
                  <a:latin typeface="+mn-lt"/>
                  <a:ea typeface="+mn-ea"/>
                  <a:cs typeface="+mn-cs"/>
                </a:rPr>
                <a:t>  →</a:t>
              </a:r>
              <a:r>
                <a:rPr lang="es-MX" sz="1100" i="0">
                  <a:solidFill>
                    <a:schemeClr val="tx1"/>
                  </a:solidFill>
                  <a:effectLst/>
                  <a:latin typeface="+mn-lt"/>
                  <a:ea typeface="+mn-ea"/>
                  <a:cs typeface="+mn-cs"/>
                </a:rPr>
                <a:t>(</a:t>
              </a:r>
              <a:r>
                <a:rPr lang="es-MX" sz="1100" b="0" i="0">
                  <a:solidFill>
                    <a:schemeClr val="tx1"/>
                  </a:solidFill>
                  <a:effectLst/>
                  <a:latin typeface="Cambria Math" panose="02040503050406030204" pitchFamily="18" charset="0"/>
                  <a:ea typeface="+mn-ea"/>
                  <a:cs typeface="+mn-cs"/>
                </a:rPr>
                <a:t>1000 𝐿</a:t>
              </a:r>
              <a:r>
                <a:rPr lang="es-MX" sz="1100" b="0" i="0">
                  <a:solidFill>
                    <a:schemeClr val="tx1"/>
                  </a:solidFill>
                  <a:effectLst/>
                  <a:latin typeface="+mn-lt"/>
                  <a:ea typeface="+mn-ea"/>
                  <a:cs typeface="+mn-cs"/>
                </a:rPr>
                <a:t> )/(?( </a:t>
              </a:r>
              <a:r>
                <a:rPr lang="es-MX" sz="1100" b="0" i="0">
                  <a:solidFill>
                    <a:schemeClr val="tx1"/>
                  </a:solidFill>
                  <a:effectLst/>
                  <a:latin typeface="Cambria Math" panose="02040503050406030204" pitchFamily="18" charset="0"/>
                  <a:ea typeface="+mn-ea"/>
                  <a:cs typeface="+mn-cs"/>
                </a:rPr>
                <a:t>26𝐿</a:t>
              </a:r>
              <a:r>
                <a:rPr lang="es-MX" sz="1100" b="0" i="0">
                  <a:solidFill>
                    <a:schemeClr val="tx1"/>
                  </a:solidFill>
                  <a:effectLst/>
                  <a:latin typeface="+mn-lt"/>
                  <a:ea typeface="+mn-ea"/>
                  <a:cs typeface="+mn-cs"/>
                </a:rPr>
                <a:t>))</a:t>
              </a:r>
              <a:endParaRPr lang="es-MX" sz="1000">
                <a:effectLst/>
              </a:endParaRPr>
            </a:p>
            <a:p>
              <a:pPr/>
              <a:endParaRPr lang="es-MX" sz="1000" b="0" i="1">
                <a:latin typeface="Cambria Math" panose="02040503050406030204" pitchFamily="18" charset="0"/>
              </a:endParaRPr>
            </a:p>
            <a:p>
              <a:pP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180975</xdr:colOff>
      <xdr:row>485</xdr:row>
      <xdr:rowOff>238125</xdr:rowOff>
    </xdr:from>
    <xdr:ext cx="1733550" cy="994833"/>
    <mc:AlternateContent xmlns:mc="http://schemas.openxmlformats.org/markup-compatibility/2006" xmlns:a14="http://schemas.microsoft.com/office/drawing/2010/main">
      <mc:Choice Requires="a14">
        <xdr:sp macro="" textlink="">
          <xdr:nvSpPr>
            <xdr:cNvPr id="1000" name="CuadroTexto 999">
              <a:extLst>
                <a:ext uri="{FF2B5EF4-FFF2-40B4-BE49-F238E27FC236}">
                  <a16:creationId xmlns:a16="http://schemas.microsoft.com/office/drawing/2014/main" id="{A9A8D936-9D29-474C-8B02-C15C81E4DCBE}"/>
                </a:ext>
              </a:extLst>
            </xdr:cNvPr>
            <xdr:cNvSpPr txBox="1"/>
          </xdr:nvSpPr>
          <xdr:spPr>
            <a:xfrm>
              <a:off x="10858500" y="357539925"/>
              <a:ext cx="1733550"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m:t>
                    </m:r>
                    <m:r>
                      <a:rPr lang="es-MX" sz="1050" b="0" i="0">
                        <a:latin typeface="Cambria Math" panose="02040503050406030204" pitchFamily="18" charset="0"/>
                      </a:rPr>
                      <m:t>26 </m:t>
                    </m:r>
                    <m:r>
                      <m:rPr>
                        <m:sty m:val="p"/>
                      </m:rPr>
                      <a:rPr lang="es-MX" sz="1050" b="0" i="0">
                        <a:latin typeface="Cambria Math" panose="02040503050406030204" pitchFamily="18" charset="0"/>
                      </a:rPr>
                      <m:t>L</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26,</m:t>
                  </m:r>
                </m:oMath>
              </a14:m>
              <a:r>
                <a:rPr lang="es-MX" sz="1050">
                  <a:effectLst/>
                </a:rPr>
                <a:t>000 L</a:t>
              </a:r>
              <a:r>
                <a:rPr lang="es-MX" sz="1050" baseline="0">
                  <a:effectLst/>
                </a:rPr>
                <a:t> /26 m3</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1000" name="CuadroTexto 999">
              <a:extLst>
                <a:ext uri="{FF2B5EF4-FFF2-40B4-BE49-F238E27FC236}">
                  <a16:creationId xmlns:a16="http://schemas.microsoft.com/office/drawing/2014/main" id="{A9A8D936-9D29-474C-8B02-C15C81E4DCBE}"/>
                </a:ext>
              </a:extLst>
            </xdr:cNvPr>
            <xdr:cNvSpPr txBox="1"/>
          </xdr:nvSpPr>
          <xdr:spPr>
            <a:xfrm>
              <a:off x="10858500" y="357539925"/>
              <a:ext cx="1733550"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𝑝𝑎𝑝𝑒𝑙=26 L</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mn-lt"/>
                  <a:ea typeface="+mn-ea"/>
                  <a:cs typeface="+mn-cs"/>
                </a:rPr>
                <a:t>1 </a:t>
              </a:r>
              <a:r>
                <a:rPr lang="es-MX" sz="1100" b="0" i="0">
                  <a:solidFill>
                    <a:schemeClr val="tx1"/>
                  </a:solidFill>
                  <a:effectLst/>
                  <a:latin typeface="Cambria Math" panose="02040503050406030204" pitchFamily="18" charset="0"/>
                  <a:ea typeface="+mn-ea"/>
                  <a:cs typeface="+mn-cs"/>
                </a:rPr>
                <a:t>𝑡𝑜𝑛</a:t>
              </a:r>
              <a:r>
                <a:rPr lang="es-MX" sz="1100" b="0" i="0">
                  <a:solidFill>
                    <a:schemeClr val="tx1"/>
                  </a:solidFill>
                  <a:effectLst/>
                  <a:latin typeface="+mn-lt"/>
                  <a:ea typeface="+mn-ea"/>
                  <a:cs typeface="+mn-cs"/>
                </a:rPr>
                <a:t> 𝐶𝐿=</a:t>
              </a:r>
              <a:r>
                <a:rPr lang="es-MX" sz="1100" b="0" i="0">
                  <a:solidFill>
                    <a:schemeClr val="tx1"/>
                  </a:solidFill>
                  <a:effectLst/>
                  <a:latin typeface="Cambria Math" panose="02040503050406030204" pitchFamily="18" charset="0"/>
                  <a:ea typeface="+mn-ea"/>
                  <a:cs typeface="+mn-cs"/>
                </a:rPr>
                <a:t>26,</a:t>
              </a:r>
              <a:r>
                <a:rPr lang="es-MX" sz="1050">
                  <a:effectLst/>
                </a:rPr>
                <a:t>000 L</a:t>
              </a:r>
              <a:r>
                <a:rPr lang="es-MX" sz="1050" baseline="0">
                  <a:effectLst/>
                </a:rPr>
                <a:t> /26 m3</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12</xdr:col>
      <xdr:colOff>1123950</xdr:colOff>
      <xdr:row>485</xdr:row>
      <xdr:rowOff>504825</xdr:rowOff>
    </xdr:from>
    <xdr:ext cx="452966" cy="448733"/>
    <xdr:pic>
      <xdr:nvPicPr>
        <xdr:cNvPr id="1003" name="Gráfico 1002" descr="Inalámbrico">
          <a:hlinkClick xmlns:r="http://schemas.openxmlformats.org/officeDocument/2006/relationships" r:id="rId102"/>
          <a:extLst>
            <a:ext uri="{FF2B5EF4-FFF2-40B4-BE49-F238E27FC236}">
              <a16:creationId xmlns:a16="http://schemas.microsoft.com/office/drawing/2014/main" id="{6CF707FA-11C9-44D7-AFAF-1E34E67D214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2118175"/>
          <a:ext cx="452966" cy="448733"/>
        </a:xfrm>
        <a:prstGeom prst="rect">
          <a:avLst/>
        </a:prstGeom>
      </xdr:spPr>
    </xdr:pic>
    <xdr:clientData/>
  </xdr:oneCellAnchor>
  <xdr:oneCellAnchor>
    <xdr:from>
      <xdr:col>10</xdr:col>
      <xdr:colOff>76200</xdr:colOff>
      <xdr:row>516</xdr:row>
      <xdr:rowOff>352425</xdr:rowOff>
    </xdr:from>
    <xdr:ext cx="1762125" cy="628650"/>
    <mc:AlternateContent xmlns:mc="http://schemas.openxmlformats.org/markup-compatibility/2006" xmlns:a14="http://schemas.microsoft.com/office/drawing/2010/main">
      <mc:Choice Requires="a14">
        <xdr:sp macro="" textlink="">
          <xdr:nvSpPr>
            <xdr:cNvPr id="1005" name="CuadroTexto 1004">
              <a:extLst>
                <a:ext uri="{FF2B5EF4-FFF2-40B4-BE49-F238E27FC236}">
                  <a16:creationId xmlns:a16="http://schemas.microsoft.com/office/drawing/2014/main" id="{9A864017-4337-4CB8-A6C1-777783577A8F}"/>
                </a:ext>
              </a:extLst>
            </xdr:cNvPr>
            <xdr:cNvSpPr txBox="1"/>
          </xdr:nvSpPr>
          <xdr:spPr>
            <a:xfrm>
              <a:off x="10753725" y="377218575"/>
              <a:ext cx="176212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 .796 </m:t>
                    </m:r>
                    <m:r>
                      <a:rPr lang="es-MX" sz="1050" b="0" i="1">
                        <a:latin typeface="Cambria Math" panose="02040503050406030204" pitchFamily="18" charset="0"/>
                      </a:rPr>
                      <m:t>𝑘𝑔𝐶𝑂</m:t>
                    </m:r>
                    <m:r>
                      <a:rPr lang="es-MX" sz="1050" b="0" i="1">
                        <a:latin typeface="Cambria Math" panose="02040503050406030204" pitchFamily="18" charset="0"/>
                      </a:rPr>
                      <m:t>2</m:t>
                    </m:r>
                    <m:r>
                      <a:rPr lang="es-MX" sz="1050" b="0" i="1">
                        <a:latin typeface="Cambria Math" panose="02040503050406030204" pitchFamily="18" charset="0"/>
                      </a:rPr>
                      <m:t>𝑒</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𝑝𝑎𝑝𝑒𝑙</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796 </m:t>
                    </m:r>
                    <m:r>
                      <m:rPr>
                        <m:sty m:val="p"/>
                      </m:rPr>
                      <a:rPr lang="es-MX" sz="1050" b="0" i="0">
                        <a:solidFill>
                          <a:schemeClr val="tx1"/>
                        </a:solidFill>
                        <a:effectLst/>
                        <a:latin typeface="Cambria Math" panose="02040503050406030204" pitchFamily="18" charset="0"/>
                        <a:ea typeface="+mn-ea"/>
                        <a:cs typeface="+mn-cs"/>
                      </a:rPr>
                      <m:t>kgCO</m:t>
                    </m:r>
                    <m:r>
                      <a:rPr lang="es-MX" sz="1050" b="0" i="0">
                        <a:solidFill>
                          <a:schemeClr val="tx1"/>
                        </a:solidFill>
                        <a:effectLst/>
                        <a:latin typeface="Cambria Math" panose="02040503050406030204" pitchFamily="18" charset="0"/>
                        <a:ea typeface="+mn-ea"/>
                        <a:cs typeface="+mn-cs"/>
                      </a:rPr>
                      <m:t>2</m:t>
                    </m:r>
                    <m:r>
                      <m:rPr>
                        <m:sty m:val="p"/>
                      </m:rPr>
                      <a:rPr lang="es-MX" sz="1050" b="0" i="0">
                        <a:solidFill>
                          <a:schemeClr val="tx1"/>
                        </a:solidFill>
                        <a:effectLst/>
                        <a:latin typeface="Cambria Math" panose="02040503050406030204" pitchFamily="18" charset="0"/>
                        <a:ea typeface="+mn-ea"/>
                        <a:cs typeface="+mn-cs"/>
                      </a:rPr>
                      <m:t>e</m:t>
                    </m:r>
                  </m:oMath>
                </m:oMathPara>
              </a14:m>
              <a:endParaRPr lang="es-MX" sz="1100">
                <a:effectLst/>
              </a:endParaRPr>
            </a:p>
            <a:p>
              <a:endParaRPr lang="es-MX" sz="1100" b="0"/>
            </a:p>
          </xdr:txBody>
        </xdr:sp>
      </mc:Choice>
      <mc:Fallback xmlns="">
        <xdr:sp macro="" textlink="">
          <xdr:nvSpPr>
            <xdr:cNvPr id="1005" name="CuadroTexto 1004">
              <a:extLst>
                <a:ext uri="{FF2B5EF4-FFF2-40B4-BE49-F238E27FC236}">
                  <a16:creationId xmlns:a16="http://schemas.microsoft.com/office/drawing/2014/main" id="{9A864017-4337-4CB8-A6C1-777783577A8F}"/>
                </a:ext>
              </a:extLst>
            </xdr:cNvPr>
            <xdr:cNvSpPr txBox="1"/>
          </xdr:nvSpPr>
          <xdr:spPr>
            <a:xfrm>
              <a:off x="10753725" y="377218575"/>
              <a:ext cx="1762125"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𝑝𝑎𝑝𝑒𝑙= .796 𝑘𝑔𝐶𝑂2𝑒</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𝑝𝑎𝑝𝑒𝑙=796 kgCO2e</a:t>
              </a:r>
              <a:endParaRPr lang="es-MX" sz="1100">
                <a:effectLst/>
              </a:endParaRPr>
            </a:p>
            <a:p>
              <a:endParaRPr lang="es-MX" sz="1100" b="0"/>
            </a:p>
          </xdr:txBody>
        </xdr:sp>
      </mc:Fallback>
    </mc:AlternateContent>
    <xdr:clientData/>
  </xdr:oneCellAnchor>
  <xdr:oneCellAnchor>
    <xdr:from>
      <xdr:col>1</xdr:col>
      <xdr:colOff>195559</xdr:colOff>
      <xdr:row>516</xdr:row>
      <xdr:rowOff>268357</xdr:rowOff>
    </xdr:from>
    <xdr:ext cx="2573041" cy="1014343"/>
    <mc:AlternateContent xmlns:mc="http://schemas.openxmlformats.org/markup-compatibility/2006" xmlns:a14="http://schemas.microsoft.com/office/drawing/2010/main">
      <mc:Choice Requires="a14">
        <xdr:sp macro="" textlink="">
          <xdr:nvSpPr>
            <xdr:cNvPr id="1010" name="CuadroTexto 1009">
              <a:extLst>
                <a:ext uri="{FF2B5EF4-FFF2-40B4-BE49-F238E27FC236}">
                  <a16:creationId xmlns:a16="http://schemas.microsoft.com/office/drawing/2014/main" id="{AC4EAB8E-7E4C-4B99-8276-615F198DA8CB}"/>
                </a:ext>
              </a:extLst>
            </xdr:cNvPr>
            <xdr:cNvSpPr txBox="1"/>
          </xdr:nvSpPr>
          <xdr:spPr>
            <a:xfrm>
              <a:off x="909934" y="440497982"/>
              <a:ext cx="2573041" cy="10143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200" b="0" i="0">
                        <a:latin typeface="Cambria Math" panose="02040503050406030204" pitchFamily="18" charset="0"/>
                      </a:rPr>
                      <m:t>Obtenci</m:t>
                    </m:r>
                    <m:r>
                      <a:rPr lang="es-MX" sz="1200" b="0" i="0">
                        <a:latin typeface="Cambria Math" panose="02040503050406030204" pitchFamily="18" charset="0"/>
                      </a:rPr>
                      <m:t>ó</m:t>
                    </m:r>
                    <m:r>
                      <m:rPr>
                        <m:sty m:val="p"/>
                      </m:rPr>
                      <a:rPr lang="es-MX" sz="1200" b="0" i="0">
                        <a:latin typeface="Cambria Math" panose="02040503050406030204" pitchFamily="18" charset="0"/>
                      </a:rPr>
                      <m:t>n</m:t>
                    </m:r>
                    <m:r>
                      <a:rPr lang="es-MX" sz="1200" b="0" i="0">
                        <a:latin typeface="Cambria Math" panose="02040503050406030204" pitchFamily="18" charset="0"/>
                      </a:rPr>
                      <m:t> </m:t>
                    </m:r>
                    <m:r>
                      <m:rPr>
                        <m:sty m:val="p"/>
                      </m:rPr>
                      <a:rPr lang="es-MX" sz="1200" b="0" i="0">
                        <a:latin typeface="Cambria Math" panose="02040503050406030204" pitchFamily="18" charset="0"/>
                      </a:rPr>
                      <m:t>papel</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1.</m:t>
                    </m:r>
                    <m:r>
                      <a:rPr lang="es-MX" sz="1200" b="0" i="1">
                        <a:solidFill>
                          <a:schemeClr val="tx1"/>
                        </a:solidFill>
                        <a:effectLst/>
                        <a:latin typeface="Cambria Math" panose="02040503050406030204" pitchFamily="18" charset="0"/>
                        <a:ea typeface="+mn-ea"/>
                        <a:cs typeface="+mn-cs"/>
                      </a:rPr>
                      <m:t>576</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m:t>
                        </m:r>
                        <m:r>
                          <a:rPr lang="es-MX" sz="1200" b="0" i="1">
                            <a:solidFill>
                              <a:schemeClr val="tx1"/>
                            </a:solidFill>
                            <a:effectLst/>
                            <a:latin typeface="Cambria Math" panose="02040503050406030204" pitchFamily="18" charset="0"/>
                            <a:ea typeface="+mn-ea"/>
                            <a:cs typeface="+mn-cs"/>
                          </a:rPr>
                          <m:t>𝑔𝑐𝑜</m:t>
                        </m:r>
                        <m:r>
                          <a:rPr lang="es-MX" sz="1200" b="0" i="1">
                            <a:solidFill>
                              <a:schemeClr val="tx1"/>
                            </a:solidFill>
                            <a:effectLst/>
                            <a:latin typeface="Cambria Math" panose="02040503050406030204" pitchFamily="18" charset="0"/>
                            <a:ea typeface="+mn-ea"/>
                            <a:cs typeface="+mn-cs"/>
                          </a:rPr>
                          <m:t>2</m:t>
                        </m:r>
                        <m:r>
                          <a:rPr lang="es-MX" sz="1200" b="0" i="1">
                            <a:solidFill>
                              <a:schemeClr val="tx1"/>
                            </a:solidFill>
                            <a:effectLst/>
                            <a:latin typeface="Cambria Math" panose="02040503050406030204" pitchFamily="18" charset="0"/>
                            <a:ea typeface="+mn-ea"/>
                            <a:cs typeface="+mn-cs"/>
                          </a:rPr>
                          <m:t>𝑒</m:t>
                        </m:r>
                      </m:num>
                      <m:den>
                        <m:r>
                          <m:rPr>
                            <m:sty m:val="p"/>
                          </m:rPr>
                          <a:rPr lang="es-MX" sz="1200" b="0" i="0">
                            <a:solidFill>
                              <a:schemeClr val="tx1"/>
                            </a:solidFill>
                            <a:effectLst/>
                            <a:latin typeface="Cambria Math" panose="02040503050406030204" pitchFamily="18" charset="0"/>
                            <a:ea typeface="+mn-ea"/>
                            <a:cs typeface="+mn-cs"/>
                          </a:rPr>
                          <m:t>kg</m:t>
                        </m:r>
                      </m:den>
                    </m:f>
                  </m:oMath>
                </m:oMathPara>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Obtenci</m:t>
                    </m:r>
                    <m:r>
                      <a:rPr lang="es-MX" sz="1200" b="0" i="0">
                        <a:solidFill>
                          <a:schemeClr val="tx1"/>
                        </a:solidFill>
                        <a:effectLst/>
                        <a:latin typeface="Cambria Math" panose="02040503050406030204" pitchFamily="18" charset="0"/>
                        <a:ea typeface="+mn-ea"/>
                        <a:cs typeface="+mn-cs"/>
                      </a:rPr>
                      <m:t>ó</m:t>
                    </m:r>
                    <m:r>
                      <m:rPr>
                        <m:sty m:val="p"/>
                      </m:rPr>
                      <a:rPr lang="es-MX" sz="1200" b="0" i="0">
                        <a:solidFill>
                          <a:schemeClr val="tx1"/>
                        </a:solidFill>
                        <a:effectLst/>
                        <a:latin typeface="Cambria Math" panose="02040503050406030204" pitchFamily="18" charset="0"/>
                        <a:ea typeface="+mn-ea"/>
                        <a:cs typeface="+mn-cs"/>
                      </a:rPr>
                      <m:t>n</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papel</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m:t>
                    </m:r>
                    <m:r>
                      <a:rPr lang="es-MX" sz="1200" b="0" i="1">
                        <a:solidFill>
                          <a:schemeClr val="tx1"/>
                        </a:solidFill>
                        <a:effectLst/>
                        <a:latin typeface="Cambria Math" panose="02040503050406030204" pitchFamily="18" charset="0"/>
                        <a:ea typeface="+mn-ea"/>
                        <a:cs typeface="+mn-cs"/>
                      </a:rPr>
                      <m:t>.780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kgco</m:t>
                        </m:r>
                        <m:r>
                          <a:rPr lang="es-MX" sz="1200" b="0" i="0">
                            <a:solidFill>
                              <a:schemeClr val="tx1"/>
                            </a:solidFill>
                            <a:effectLst/>
                            <a:latin typeface="Cambria Math" panose="02040503050406030204" pitchFamily="18" charset="0"/>
                            <a:ea typeface="+mn-ea"/>
                            <a:cs typeface="+mn-cs"/>
                          </a:rPr>
                          <m:t>2</m:t>
                        </m:r>
                        <m:r>
                          <m:rPr>
                            <m:sty m:val="p"/>
                          </m:rPr>
                          <a:rPr lang="es-MX" sz="1200" b="0" i="0">
                            <a:solidFill>
                              <a:schemeClr val="tx1"/>
                            </a:solidFill>
                            <a:effectLst/>
                            <a:latin typeface="Cambria Math" panose="02040503050406030204" pitchFamily="18" charset="0"/>
                            <a:ea typeface="+mn-ea"/>
                            <a:cs typeface="+mn-cs"/>
                          </a:rPr>
                          <m:t>e</m:t>
                        </m:r>
                      </m:num>
                      <m:den>
                        <m:r>
                          <m:rPr>
                            <m:sty m:val="p"/>
                          </m:rPr>
                          <a:rPr lang="es-MX" sz="1200" b="0" i="0">
                            <a:solidFill>
                              <a:schemeClr val="tx1"/>
                            </a:solidFill>
                            <a:effectLst/>
                            <a:latin typeface="Cambria Math" panose="02040503050406030204" pitchFamily="18" charset="0"/>
                            <a:ea typeface="+mn-ea"/>
                            <a:cs typeface="+mn-cs"/>
                          </a:rPr>
                          <m:t>kg</m:t>
                        </m:r>
                      </m:den>
                    </m:f>
                  </m:oMath>
                </m:oMathPara>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10" name="CuadroTexto 1009">
              <a:extLst>
                <a:ext uri="{FF2B5EF4-FFF2-40B4-BE49-F238E27FC236}">
                  <a16:creationId xmlns:a16="http://schemas.microsoft.com/office/drawing/2014/main" id="{AC4EAB8E-7E4C-4B99-8276-615F198DA8CB}"/>
                </a:ext>
              </a:extLst>
            </xdr:cNvPr>
            <xdr:cNvSpPr txBox="1"/>
          </xdr:nvSpPr>
          <xdr:spPr>
            <a:xfrm>
              <a:off x="909934" y="440497982"/>
              <a:ext cx="2573041" cy="10143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200" b="0" i="0">
                  <a:latin typeface="Cambria Math" panose="02040503050406030204" pitchFamily="18" charset="0"/>
                </a:rPr>
                <a:t>Obtención papel Virgen 1.</a:t>
              </a:r>
              <a:r>
                <a:rPr lang="es-MX" sz="1200" b="0" i="0">
                  <a:solidFill>
                    <a:schemeClr val="tx1"/>
                  </a:solidFill>
                  <a:effectLst/>
                  <a:latin typeface="Cambria Math" panose="02040503050406030204" pitchFamily="18" charset="0"/>
                  <a:ea typeface="+mn-ea"/>
                  <a:cs typeface="+mn-cs"/>
                </a:rPr>
                <a:t>576 k𝑔𝑐𝑜2𝑒/kg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Obtención papel Reciclado .780  kgco2e/kg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8</xdr:col>
      <xdr:colOff>174137</xdr:colOff>
      <xdr:row>516</xdr:row>
      <xdr:rowOff>246690</xdr:rowOff>
    </xdr:from>
    <xdr:ext cx="1590255" cy="172227"/>
    <mc:AlternateContent xmlns:mc="http://schemas.openxmlformats.org/markup-compatibility/2006" xmlns:a14="http://schemas.microsoft.com/office/drawing/2010/main">
      <mc:Choice Requires="a14">
        <xdr:sp macro="" textlink="">
          <xdr:nvSpPr>
            <xdr:cNvPr id="1015" name="CuadroTexto 1014">
              <a:extLst>
                <a:ext uri="{FF2B5EF4-FFF2-40B4-BE49-F238E27FC236}">
                  <a16:creationId xmlns:a16="http://schemas.microsoft.com/office/drawing/2014/main" id="{5480D396-C023-420A-98DF-A0C9BDC58A08}"/>
                </a:ext>
              </a:extLst>
            </xdr:cNvPr>
            <xdr:cNvSpPr txBox="1"/>
          </xdr:nvSpPr>
          <xdr:spPr>
            <a:xfrm>
              <a:off x="6451112" y="37872256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a:t>CO2e</a:t>
              </a:r>
              <a:r>
                <a:rPr lang="es-MX" sz="1100" baseline="0"/>
                <a:t> A</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𝐸𝑣</m:t>
                  </m:r>
                  <m:r>
                    <a:rPr lang="es-MX" sz="1100" b="0" i="1">
                      <a:latin typeface="Cambria Math" panose="02040503050406030204" pitchFamily="18" charset="0"/>
                    </a:rPr>
                    <m:t> −</m:t>
                  </m:r>
                  <m:r>
                    <a:rPr lang="es-MX" sz="1100" b="0" i="1">
                      <a:latin typeface="Cambria Math" panose="02040503050406030204" pitchFamily="18" charset="0"/>
                    </a:rPr>
                    <m:t>𝐸𝑟</m:t>
                  </m:r>
                  <m:r>
                    <a:rPr lang="es-MX" sz="1100" b="0" i="1">
                      <a:latin typeface="Cambria Math" panose="02040503050406030204" pitchFamily="18" charset="0"/>
                    </a:rPr>
                    <m:t> </m:t>
                  </m:r>
                </m:oMath>
              </a14:m>
              <a:endParaRPr lang="es-MX" sz="1100"/>
            </a:p>
          </xdr:txBody>
        </xdr:sp>
      </mc:Choice>
      <mc:Fallback xmlns="">
        <xdr:sp macro="" textlink="">
          <xdr:nvSpPr>
            <xdr:cNvPr id="1015" name="CuadroTexto 1014">
              <a:extLst>
                <a:ext uri="{FF2B5EF4-FFF2-40B4-BE49-F238E27FC236}">
                  <a16:creationId xmlns:a16="http://schemas.microsoft.com/office/drawing/2014/main" id="{5480D396-C023-420A-98DF-A0C9BDC58A08}"/>
                </a:ext>
              </a:extLst>
            </xdr:cNvPr>
            <xdr:cNvSpPr txBox="1"/>
          </xdr:nvSpPr>
          <xdr:spPr>
            <a:xfrm>
              <a:off x="6451112" y="37872256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a:t>CO2e</a:t>
              </a:r>
              <a:r>
                <a:rPr lang="es-MX" sz="1100" baseline="0"/>
                <a:t> A</a:t>
              </a:r>
              <a:r>
                <a:rPr lang="es-MX" sz="1100" i="0">
                  <a:latin typeface="Cambria Math" panose="02040503050406030204" pitchFamily="18" charset="0"/>
                </a:rPr>
                <a:t>=</a:t>
              </a:r>
              <a:r>
                <a:rPr lang="es-MX" sz="1100" b="0" i="0">
                  <a:latin typeface="Cambria Math" panose="02040503050406030204" pitchFamily="18" charset="0"/>
                </a:rPr>
                <a:t>𝐸𝑣 −𝐸𝑟 </a:t>
              </a:r>
              <a:endParaRPr lang="es-MX" sz="1100"/>
            </a:p>
          </xdr:txBody>
        </xdr:sp>
      </mc:Fallback>
    </mc:AlternateContent>
    <xdr:clientData/>
  </xdr:oneCellAnchor>
  <xdr:oneCellAnchor>
    <xdr:from>
      <xdr:col>8</xdr:col>
      <xdr:colOff>300566</xdr:colOff>
      <xdr:row>516</xdr:row>
      <xdr:rowOff>986366</xdr:rowOff>
    </xdr:from>
    <xdr:ext cx="1302216" cy="375680"/>
    <mc:AlternateContent xmlns:mc="http://schemas.openxmlformats.org/markup-compatibility/2006" xmlns:a14="http://schemas.microsoft.com/office/drawing/2010/main">
      <mc:Choice Requires="a14">
        <xdr:sp macro="" textlink="">
          <xdr:nvSpPr>
            <xdr:cNvPr id="1016" name="CuadroTexto 1015">
              <a:extLst>
                <a:ext uri="{FF2B5EF4-FFF2-40B4-BE49-F238E27FC236}">
                  <a16:creationId xmlns:a16="http://schemas.microsoft.com/office/drawing/2014/main" id="{1D9D6E1D-E417-4E0C-AF9C-54F832DE413F}"/>
                </a:ext>
              </a:extLst>
            </xdr:cNvPr>
            <xdr:cNvSpPr txBox="1"/>
          </xdr:nvSpPr>
          <xdr:spPr>
            <a:xfrm>
              <a:off x="6577541" y="37946224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Choice>
      <mc:Fallback xmlns="">
        <xdr:sp macro="" textlink="">
          <xdr:nvSpPr>
            <xdr:cNvPr id="1016" name="CuadroTexto 1015">
              <a:extLst>
                <a:ext uri="{FF2B5EF4-FFF2-40B4-BE49-F238E27FC236}">
                  <a16:creationId xmlns:a16="http://schemas.microsoft.com/office/drawing/2014/main" id="{1D9D6E1D-E417-4E0C-AF9C-54F832DE413F}"/>
                </a:ext>
              </a:extLst>
            </xdr:cNvPr>
            <xdr:cNvSpPr txBox="1"/>
          </xdr:nvSpPr>
          <xdr:spPr>
            <a:xfrm>
              <a:off x="6577541" y="379462241"/>
              <a:ext cx="1302216"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latin typeface="+mn-lt"/>
              </a:endParaRPr>
            </a:p>
            <a:p>
              <a:r>
                <a:rPr lang="es-MX" sz="800" b="0">
                  <a:latin typeface="+mn-lt"/>
                </a:rPr>
                <a:t>Ev representa</a:t>
              </a:r>
              <a:r>
                <a:rPr lang="es-MX" sz="800" b="0" baseline="0">
                  <a:latin typeface="+mn-lt"/>
                </a:rPr>
                <a:t> energía virgen</a:t>
              </a:r>
            </a:p>
            <a:p>
              <a:r>
                <a:rPr lang="es-MX" sz="800" b="0" baseline="0">
                  <a:latin typeface="+mn-lt"/>
                </a:rPr>
                <a:t>Er representa energía reciclado</a:t>
              </a:r>
              <a:endParaRPr lang="es-MX" sz="800" b="0">
                <a:latin typeface="+mn-lt"/>
              </a:endParaRPr>
            </a:p>
          </xdr:txBody>
        </xdr:sp>
      </mc:Fallback>
    </mc:AlternateContent>
    <xdr:clientData/>
  </xdr:oneCellAnchor>
  <xdr:oneCellAnchor>
    <xdr:from>
      <xdr:col>9</xdr:col>
      <xdr:colOff>85725</xdr:colOff>
      <xdr:row>516</xdr:row>
      <xdr:rowOff>219075</xdr:rowOff>
    </xdr:from>
    <xdr:ext cx="1590255" cy="172227"/>
    <mc:AlternateContent xmlns:mc="http://schemas.openxmlformats.org/markup-compatibility/2006" xmlns:a14="http://schemas.microsoft.com/office/drawing/2010/main">
      <mc:Choice Requires="a14">
        <xdr:sp macro="" textlink="">
          <xdr:nvSpPr>
            <xdr:cNvPr id="1017" name="CuadroTexto 1016">
              <a:extLst>
                <a:ext uri="{FF2B5EF4-FFF2-40B4-BE49-F238E27FC236}">
                  <a16:creationId xmlns:a16="http://schemas.microsoft.com/office/drawing/2014/main" id="{5F7263BC-D1EB-4E56-97FE-51BCBF59844E}"/>
                </a:ext>
              </a:extLst>
            </xdr:cNvPr>
            <xdr:cNvSpPr txBox="1"/>
          </xdr:nvSpPr>
          <xdr:spPr>
            <a:xfrm>
              <a:off x="8858250" y="37708522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0"/>
                <a:t>CO2e</a:t>
              </a:r>
              <a:r>
                <a:rPr lang="es-MX" sz="1100" b="0" baseline="0"/>
                <a:t> = 1.576-.780</a:t>
              </a:r>
              <a14:m>
                <m:oMath xmlns:m="http://schemas.openxmlformats.org/officeDocument/2006/math">
                  <m:r>
                    <a:rPr lang="es-MX" sz="1100" b="0" i="1">
                      <a:latin typeface="Cambria Math" panose="02040503050406030204" pitchFamily="18" charset="0"/>
                    </a:rPr>
                    <m:t> </m:t>
                  </m:r>
                </m:oMath>
              </a14:m>
              <a:endParaRPr lang="es-MX" sz="1100"/>
            </a:p>
          </xdr:txBody>
        </xdr:sp>
      </mc:Choice>
      <mc:Fallback xmlns="">
        <xdr:sp macro="" textlink="">
          <xdr:nvSpPr>
            <xdr:cNvPr id="1017" name="CuadroTexto 1016">
              <a:extLst>
                <a:ext uri="{FF2B5EF4-FFF2-40B4-BE49-F238E27FC236}">
                  <a16:creationId xmlns:a16="http://schemas.microsoft.com/office/drawing/2014/main" id="{5F7263BC-D1EB-4E56-97FE-51BCBF59844E}"/>
                </a:ext>
              </a:extLst>
            </xdr:cNvPr>
            <xdr:cNvSpPr txBox="1"/>
          </xdr:nvSpPr>
          <xdr:spPr>
            <a:xfrm>
              <a:off x="8858250" y="377085225"/>
              <a:ext cx="159025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a:t>CO2e</a:t>
              </a:r>
              <a:r>
                <a:rPr lang="es-MX" sz="1100" b="0" baseline="0"/>
                <a:t> = 1.576-.780</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990600</xdr:colOff>
      <xdr:row>495</xdr:row>
      <xdr:rowOff>333375</xdr:rowOff>
    </xdr:from>
    <xdr:ext cx="452966" cy="448733"/>
    <xdr:pic>
      <xdr:nvPicPr>
        <xdr:cNvPr id="1026" name="Gráfico 1025" descr="Inalámbrico">
          <a:hlinkClick xmlns:r="http://schemas.openxmlformats.org/officeDocument/2006/relationships" r:id="rId103"/>
          <a:extLst>
            <a:ext uri="{FF2B5EF4-FFF2-40B4-BE49-F238E27FC236}">
              <a16:creationId xmlns:a16="http://schemas.microsoft.com/office/drawing/2014/main" id="{A3C2BF43-DF70-4E87-AD3C-5B20D75702D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754600" y="421519350"/>
          <a:ext cx="452966" cy="448733"/>
        </a:xfrm>
        <a:prstGeom prst="rect">
          <a:avLst/>
        </a:prstGeom>
      </xdr:spPr>
    </xdr:pic>
    <xdr:clientData/>
  </xdr:oneCellAnchor>
  <xdr:oneCellAnchor>
    <xdr:from>
      <xdr:col>10</xdr:col>
      <xdr:colOff>460375</xdr:colOff>
      <xdr:row>495</xdr:row>
      <xdr:rowOff>336550</xdr:rowOff>
    </xdr:from>
    <xdr:ext cx="1571625" cy="994833"/>
    <mc:AlternateContent xmlns:mc="http://schemas.openxmlformats.org/markup-compatibility/2006" xmlns:a14="http://schemas.microsoft.com/office/drawing/2010/main">
      <mc:Choice Requires="a14">
        <xdr:sp macro="" textlink="">
          <xdr:nvSpPr>
            <xdr:cNvPr id="1027" name="CuadroTexto 1026">
              <a:extLst>
                <a:ext uri="{FF2B5EF4-FFF2-40B4-BE49-F238E27FC236}">
                  <a16:creationId xmlns:a16="http://schemas.microsoft.com/office/drawing/2014/main" id="{26AC940D-9091-4B1B-80F9-F91C708BE0D7}"/>
                </a:ext>
              </a:extLst>
            </xdr:cNvPr>
            <xdr:cNvSpPr txBox="1"/>
          </xdr:nvSpPr>
          <xdr:spPr>
            <a:xfrm>
              <a:off x="12842875" y="420166800"/>
              <a:ext cx="15716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m:t>
                  </m:r>
                  <m:r>
                    <a:rPr lang="es-MX" sz="1050" b="0" i="0">
                      <a:latin typeface="Cambria Math" panose="02040503050406030204" pitchFamily="18" charset="0"/>
                    </a:rPr>
                    <m:t>.018</m:t>
                  </m:r>
                </m:oMath>
              </a14:m>
              <a:r>
                <a:rPr lang="es-MX" sz="1050" b="0" i="0">
                  <a:latin typeface="Cambria Math" panose="02040503050406030204" pitchFamily="18" charset="0"/>
                </a:rPr>
                <a:t>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𝑝𝑎𝑝𝑒𝑙</m:t>
                  </m:r>
                  <m:r>
                    <a:rPr lang="es-MX" sz="1100" b="0" i="1">
                      <a:solidFill>
                        <a:schemeClr val="tx1"/>
                      </a:solidFill>
                      <a:effectLst/>
                      <a:latin typeface="Cambria Math" panose="02040503050406030204" pitchFamily="18" charset="0"/>
                      <a:ea typeface="+mn-ea"/>
                      <a:cs typeface="+mn-cs"/>
                    </a:rPr>
                    <m:t>=</m:t>
                  </m:r>
                </m:oMath>
              </a14:m>
              <a:r>
                <a:rPr lang="es-MX" sz="1050">
                  <a:effectLst/>
                </a:rPr>
                <a:t> 18</a:t>
              </a:r>
              <a:r>
                <a:rPr lang="es-MX" sz="1050" baseline="0">
                  <a:effectLst/>
                </a:rPr>
                <a:t> </a:t>
              </a:r>
              <a:r>
                <a:rPr lang="es-MX" sz="1050">
                  <a:effectLst/>
                </a:rPr>
                <a:t>árboles</a:t>
              </a:r>
            </a:p>
            <a:p>
              <a:pPr algn="l"/>
              <a:endParaRPr lang="es-MX" sz="1050" b="0" i="0">
                <a:latin typeface="Cambria Math" panose="02040503050406030204" pitchFamily="18" charset="0"/>
              </a:endParaRPr>
            </a:p>
          </xdr:txBody>
        </xdr:sp>
      </mc:Choice>
      <mc:Fallback xmlns="">
        <xdr:sp macro="" textlink="">
          <xdr:nvSpPr>
            <xdr:cNvPr id="1027" name="CuadroTexto 1026">
              <a:extLst>
                <a:ext uri="{FF2B5EF4-FFF2-40B4-BE49-F238E27FC236}">
                  <a16:creationId xmlns:a16="http://schemas.microsoft.com/office/drawing/2014/main" id="{26AC940D-9091-4B1B-80F9-F91C708BE0D7}"/>
                </a:ext>
              </a:extLst>
            </xdr:cNvPr>
            <xdr:cNvSpPr txBox="1"/>
          </xdr:nvSpPr>
          <xdr:spPr>
            <a:xfrm>
              <a:off x="12842875" y="420166800"/>
              <a:ext cx="15716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𝑝𝑎𝑝𝑒𝑙=.018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𝑝𝑎𝑝𝑒𝑙=</a:t>
              </a:r>
              <a:r>
                <a:rPr lang="es-MX" sz="1050">
                  <a:effectLst/>
                </a:rPr>
                <a:t> 18</a:t>
              </a:r>
              <a:r>
                <a:rPr lang="es-MX" sz="1050" baseline="0">
                  <a:effectLst/>
                </a:rPr>
                <a:t> </a:t>
              </a:r>
              <a:r>
                <a:rPr lang="es-MX" sz="1050">
                  <a:effectLst/>
                </a:rPr>
                <a:t>árboles</a:t>
              </a:r>
            </a:p>
            <a:p>
              <a:pPr algn="l"/>
              <a:endParaRPr lang="es-MX" sz="1050" b="0" i="0">
                <a:latin typeface="Cambria Math" panose="02040503050406030204" pitchFamily="18" charset="0"/>
              </a:endParaRPr>
            </a:p>
          </xdr:txBody>
        </xdr:sp>
      </mc:Fallback>
    </mc:AlternateContent>
    <xdr:clientData/>
  </xdr:oneCellAnchor>
  <xdr:oneCellAnchor>
    <xdr:from>
      <xdr:col>10</xdr:col>
      <xdr:colOff>536575</xdr:colOff>
      <xdr:row>497</xdr:row>
      <xdr:rowOff>323850</xdr:rowOff>
    </xdr:from>
    <xdr:ext cx="1571625" cy="994833"/>
    <mc:AlternateContent xmlns:mc="http://schemas.openxmlformats.org/markup-compatibility/2006" xmlns:a14="http://schemas.microsoft.com/office/drawing/2010/main">
      <mc:Choice Requires="a14">
        <xdr:sp macro="" textlink="">
          <xdr:nvSpPr>
            <xdr:cNvPr id="1031" name="CuadroTexto 1030">
              <a:extLst>
                <a:ext uri="{FF2B5EF4-FFF2-40B4-BE49-F238E27FC236}">
                  <a16:creationId xmlns:a16="http://schemas.microsoft.com/office/drawing/2014/main" id="{9D5C44B9-01F0-48B5-9ECC-EE8ED278FDDB}"/>
                </a:ext>
              </a:extLst>
            </xdr:cNvPr>
            <xdr:cNvSpPr txBox="1"/>
          </xdr:nvSpPr>
          <xdr:spPr>
            <a:xfrm>
              <a:off x="12919075" y="422979850"/>
              <a:ext cx="15716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m:t>
                  </m:r>
                  <m:r>
                    <a:rPr lang="es-MX" sz="1050" b="0" i="0">
                      <a:latin typeface="Cambria Math" panose="02040503050406030204" pitchFamily="18" charset="0"/>
                    </a:rPr>
                    <m:t>.016</m:t>
                  </m:r>
                </m:oMath>
              </a14:m>
              <a:r>
                <a:rPr lang="es-MX" sz="1050" b="0" i="0">
                  <a:latin typeface="Cambria Math" panose="02040503050406030204" pitchFamily="18" charset="0"/>
                </a:rPr>
                <a:t>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𝑝𝑎𝑝𝑒𝑙</m:t>
                  </m:r>
                  <m:r>
                    <a:rPr lang="es-MX" sz="1100" b="0" i="1">
                      <a:solidFill>
                        <a:schemeClr val="tx1"/>
                      </a:solidFill>
                      <a:effectLst/>
                      <a:latin typeface="Cambria Math" panose="02040503050406030204" pitchFamily="18" charset="0"/>
                      <a:ea typeface="+mn-ea"/>
                      <a:cs typeface="+mn-cs"/>
                    </a:rPr>
                    <m:t>=</m:t>
                  </m:r>
                </m:oMath>
              </a14:m>
              <a:r>
                <a:rPr lang="es-MX" sz="1050">
                  <a:effectLst/>
                </a:rPr>
                <a:t> 16</a:t>
              </a:r>
              <a:r>
                <a:rPr lang="es-MX" sz="1050" baseline="0">
                  <a:effectLst/>
                </a:rPr>
                <a:t> </a:t>
              </a:r>
              <a:r>
                <a:rPr lang="es-MX" sz="1050">
                  <a:effectLst/>
                </a:rPr>
                <a:t>árboles</a:t>
              </a:r>
            </a:p>
            <a:p>
              <a:pPr algn="l"/>
              <a:endParaRPr lang="es-MX" sz="1050" b="0" i="0">
                <a:latin typeface="Cambria Math" panose="02040503050406030204" pitchFamily="18" charset="0"/>
              </a:endParaRPr>
            </a:p>
          </xdr:txBody>
        </xdr:sp>
      </mc:Choice>
      <mc:Fallback xmlns="">
        <xdr:sp macro="" textlink="">
          <xdr:nvSpPr>
            <xdr:cNvPr id="1031" name="CuadroTexto 1030">
              <a:extLst>
                <a:ext uri="{FF2B5EF4-FFF2-40B4-BE49-F238E27FC236}">
                  <a16:creationId xmlns:a16="http://schemas.microsoft.com/office/drawing/2014/main" id="{9D5C44B9-01F0-48B5-9ECC-EE8ED278FDDB}"/>
                </a:ext>
              </a:extLst>
            </xdr:cNvPr>
            <xdr:cNvSpPr txBox="1"/>
          </xdr:nvSpPr>
          <xdr:spPr>
            <a:xfrm>
              <a:off x="12919075" y="422979850"/>
              <a:ext cx="1571625" cy="994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𝑝𝑎𝑝𝑒𝑙=.016 árboles</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𝑝𝑎𝑝𝑒𝑙=</a:t>
              </a:r>
              <a:r>
                <a:rPr lang="es-MX" sz="1050">
                  <a:effectLst/>
                </a:rPr>
                <a:t> 16</a:t>
              </a:r>
              <a:r>
                <a:rPr lang="es-MX" sz="1050" baseline="0">
                  <a:effectLst/>
                </a:rPr>
                <a:t> </a:t>
              </a:r>
              <a:r>
                <a:rPr lang="es-MX" sz="1050">
                  <a:effectLst/>
                </a:rPr>
                <a:t>árboles</a:t>
              </a:r>
            </a:p>
            <a:p>
              <a:pPr algn="l"/>
              <a:endParaRPr lang="es-MX" sz="1050" b="0" i="0">
                <a:latin typeface="Cambria Math" panose="02040503050406030204" pitchFamily="18" charset="0"/>
              </a:endParaRPr>
            </a:p>
          </xdr:txBody>
        </xdr:sp>
      </mc:Fallback>
    </mc:AlternateContent>
    <xdr:clientData/>
  </xdr:oneCellAnchor>
  <xdr:oneCellAnchor>
    <xdr:from>
      <xdr:col>12</xdr:col>
      <xdr:colOff>1974274</xdr:colOff>
      <xdr:row>381</xdr:row>
      <xdr:rowOff>419966</xdr:rowOff>
    </xdr:from>
    <xdr:ext cx="391583" cy="395432"/>
    <xdr:pic>
      <xdr:nvPicPr>
        <xdr:cNvPr id="942" name="Gráfico 941" descr="Hogar">
          <a:hlinkClick xmlns:r="http://schemas.openxmlformats.org/officeDocument/2006/relationships" r:id="rId89"/>
          <a:extLst>
            <a:ext uri="{FF2B5EF4-FFF2-40B4-BE49-F238E27FC236}">
              <a16:creationId xmlns:a16="http://schemas.microsoft.com/office/drawing/2014/main" id="{53F924F4-6592-48DF-A585-909743BBB1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33249" y="289103666"/>
          <a:ext cx="391583" cy="395432"/>
        </a:xfrm>
        <a:prstGeom prst="rect">
          <a:avLst/>
        </a:prstGeom>
      </xdr:spPr>
    </xdr:pic>
    <xdr:clientData/>
  </xdr:oneCellAnchor>
  <xdr:oneCellAnchor>
    <xdr:from>
      <xdr:col>12</xdr:col>
      <xdr:colOff>2398569</xdr:colOff>
      <xdr:row>381</xdr:row>
      <xdr:rowOff>386196</xdr:rowOff>
    </xdr:from>
    <xdr:ext cx="452966" cy="448733"/>
    <xdr:pic>
      <xdr:nvPicPr>
        <xdr:cNvPr id="945" name="Gráfico 944" descr="Inalámbrico">
          <a:hlinkClick xmlns:r="http://schemas.openxmlformats.org/officeDocument/2006/relationships" r:id="rId90"/>
          <a:extLst>
            <a:ext uri="{FF2B5EF4-FFF2-40B4-BE49-F238E27FC236}">
              <a16:creationId xmlns:a16="http://schemas.microsoft.com/office/drawing/2014/main" id="{87C2BA76-D221-4E97-80A7-6672A17C3F8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57544" y="289069896"/>
          <a:ext cx="452966" cy="448733"/>
        </a:xfrm>
        <a:prstGeom prst="rect">
          <a:avLst/>
        </a:prstGeom>
      </xdr:spPr>
    </xdr:pic>
    <xdr:clientData/>
  </xdr:oneCellAnchor>
  <xdr:twoCellAnchor editAs="oneCell">
    <xdr:from>
      <xdr:col>4</xdr:col>
      <xdr:colOff>0</xdr:colOff>
      <xdr:row>394</xdr:row>
      <xdr:rowOff>1</xdr:rowOff>
    </xdr:from>
    <xdr:to>
      <xdr:col>4</xdr:col>
      <xdr:colOff>463581</xdr:colOff>
      <xdr:row>394</xdr:row>
      <xdr:rowOff>299359</xdr:rowOff>
    </xdr:to>
    <xdr:pic>
      <xdr:nvPicPr>
        <xdr:cNvPr id="946" name="Imagen 945">
          <a:extLst>
            <a:ext uri="{FF2B5EF4-FFF2-40B4-BE49-F238E27FC236}">
              <a16:creationId xmlns:a16="http://schemas.microsoft.com/office/drawing/2014/main" id="{D608C362-3266-479B-A051-C25DD7F5F3E1}"/>
            </a:ext>
          </a:extLst>
        </xdr:cNvPr>
        <xdr:cNvPicPr>
          <a:picLocks noChangeAspect="1"/>
        </xdr:cNvPicPr>
      </xdr:nvPicPr>
      <xdr:blipFill rotWithShape="1">
        <a:blip xmlns:r="http://schemas.openxmlformats.org/officeDocument/2006/relationships" r:embed="rId104" cstate="print">
          <a:biLevel thresh="50000"/>
          <a:extLst>
            <a:ext uri="{BEBA8EAE-BF5A-486C-A8C5-ECC9F3942E4B}">
              <a14:imgProps xmlns:a14="http://schemas.microsoft.com/office/drawing/2010/main">
                <a14:imgLayer r:embed="rId105">
                  <a14:imgEffect>
                    <a14:backgroundRemoval t="6353" b="59529" l="9412" r="89412">
                      <a14:foregroundMark x1="19294" y1="58353" x2="19294" y2="58353"/>
                      <a14:foregroundMark x1="24941" y1="59529" x2="24941" y2="59529"/>
                      <a14:foregroundMark x1="75765" y1="59529" x2="75765" y2="59529"/>
                      <a14:backgroundMark x1="43765" y1="44471" x2="43765" y2="44471"/>
                      <a14:backgroundMark x1="40235" y1="35059" x2="42824" y2="30353"/>
                      <a14:backgroundMark x1="59059" y1="34353" x2="59059" y2="34353"/>
                      <a14:backgroundMark x1="55765" y1="28941" x2="55765" y2="28941"/>
                    </a14:backgroundRemoval>
                  </a14:imgEffect>
                </a14:imgLayer>
              </a14:imgProps>
            </a:ext>
            <a:ext uri="{28A0092B-C50C-407E-A947-70E740481C1C}">
              <a14:useLocalDpi xmlns:a14="http://schemas.microsoft.com/office/drawing/2010/main" val="0"/>
            </a:ext>
          </a:extLst>
        </a:blip>
        <a:srcRect b="35425"/>
        <a:stretch/>
      </xdr:blipFill>
      <xdr:spPr>
        <a:xfrm>
          <a:off x="4544786" y="292458322"/>
          <a:ext cx="463581" cy="299358"/>
        </a:xfrm>
        <a:prstGeom prst="rect">
          <a:avLst/>
        </a:prstGeom>
      </xdr:spPr>
    </xdr:pic>
    <xdr:clientData/>
  </xdr:twoCellAnchor>
  <xdr:oneCellAnchor>
    <xdr:from>
      <xdr:col>9</xdr:col>
      <xdr:colOff>28575</xdr:colOff>
      <xdr:row>8</xdr:row>
      <xdr:rowOff>476249</xdr:rowOff>
    </xdr:from>
    <xdr:ext cx="1743075" cy="313612"/>
    <mc:AlternateContent xmlns:mc="http://schemas.openxmlformats.org/markup-compatibility/2006" xmlns:a14="http://schemas.microsoft.com/office/drawing/2010/main">
      <mc:Choice Requires="a14">
        <xdr:sp macro="" textlink="">
          <xdr:nvSpPr>
            <xdr:cNvPr id="947" name="CuadroTexto 946">
              <a:extLst>
                <a:ext uri="{FF2B5EF4-FFF2-40B4-BE49-F238E27FC236}">
                  <a16:creationId xmlns:a16="http://schemas.microsoft.com/office/drawing/2014/main" id="{59A1CBB5-CCEB-4BC2-9874-5D81CAC4884F}"/>
                </a:ext>
              </a:extLst>
            </xdr:cNvPr>
            <xdr:cNvSpPr txBox="1"/>
          </xdr:nvSpPr>
          <xdr:spPr>
            <a:xfrm>
              <a:off x="8801100" y="7019924"/>
              <a:ext cx="1743075"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Ci</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100" b="0" i="1">
                                <a:solidFill>
                                  <a:schemeClr val="tx1"/>
                                </a:solidFill>
                                <a:effectLst/>
                                <a:latin typeface="Cambria Math" panose="02040503050406030204" pitchFamily="18" charset="0"/>
                                <a:ea typeface="+mn-ea"/>
                                <a:cs typeface="+mn-cs"/>
                              </a:rPr>
                              <m:t>15.277</m:t>
                            </m:r>
                            <m:r>
                              <a:rPr lang="es-MX" sz="1050" b="0" i="1">
                                <a:latin typeface="Cambria Math" panose="02040503050406030204" pitchFamily="18" charset="0"/>
                              </a:rPr>
                              <m:t>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1242 </m:t>
                        </m:r>
                        <m:r>
                          <a:rPr lang="es-MX" sz="1050" b="0" i="1">
                            <a:latin typeface="Cambria Math" panose="02040503050406030204" pitchFamily="18" charset="0"/>
                          </a:rPr>
                          <m:t>𝑤</m:t>
                        </m:r>
                      </m:den>
                    </m:f>
                  </m:oMath>
                </m:oMathPara>
              </a14:m>
              <a:endParaRPr lang="es-MX" sz="1050"/>
            </a:p>
          </xdr:txBody>
        </xdr:sp>
      </mc:Choice>
      <mc:Fallback xmlns="">
        <xdr:sp macro="" textlink="">
          <xdr:nvSpPr>
            <xdr:cNvPr id="947" name="CuadroTexto 946">
              <a:extLst>
                <a:ext uri="{FF2B5EF4-FFF2-40B4-BE49-F238E27FC236}">
                  <a16:creationId xmlns:a16="http://schemas.microsoft.com/office/drawing/2014/main" id="{59A1CBB5-CCEB-4BC2-9874-5D81CAC4884F}"/>
                </a:ext>
              </a:extLst>
            </xdr:cNvPr>
            <xdr:cNvSpPr txBox="1"/>
          </xdr:nvSpPr>
          <xdr:spPr>
            <a:xfrm>
              <a:off x="8801100" y="7019924"/>
              <a:ext cx="1743075" cy="313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Ci=((</a:t>
              </a:r>
              <a:r>
                <a:rPr lang="es-MX" sz="1100" b="0" i="0">
                  <a:solidFill>
                    <a:schemeClr val="tx1"/>
                  </a:solidFill>
                  <a:effectLst/>
                  <a:latin typeface="+mn-lt"/>
                  <a:ea typeface="+mn-ea"/>
                  <a:cs typeface="+mn-cs"/>
                </a:rPr>
                <a:t>15.277</a:t>
              </a:r>
              <a:r>
                <a:rPr lang="es-MX" sz="1050" b="0" i="0">
                  <a:latin typeface="Cambria Math" panose="02040503050406030204" pitchFamily="18" charset="0"/>
                </a:rPr>
                <a:t> 𝑘𝑤ℎ∗1000))/(1242 𝑤)</a:t>
              </a:r>
              <a:endParaRPr lang="es-MX" sz="1050"/>
            </a:p>
          </xdr:txBody>
        </xdr:sp>
      </mc:Fallback>
    </mc:AlternateContent>
    <xdr:clientData/>
  </xdr:oneCellAnchor>
  <xdr:oneCellAnchor>
    <xdr:from>
      <xdr:col>9</xdr:col>
      <xdr:colOff>403225</xdr:colOff>
      <xdr:row>9</xdr:row>
      <xdr:rowOff>469900</xdr:rowOff>
    </xdr:from>
    <xdr:ext cx="1743075" cy="330668"/>
    <mc:AlternateContent xmlns:mc="http://schemas.openxmlformats.org/markup-compatibility/2006" xmlns:a14="http://schemas.microsoft.com/office/drawing/2010/main">
      <mc:Choice Requires="a14">
        <xdr:sp macro="" textlink="">
          <xdr:nvSpPr>
            <xdr:cNvPr id="953" name="CuadroTexto 952">
              <a:extLst>
                <a:ext uri="{FF2B5EF4-FFF2-40B4-BE49-F238E27FC236}">
                  <a16:creationId xmlns:a16="http://schemas.microsoft.com/office/drawing/2014/main" id="{2CDD80B4-6FAA-4F6C-A1C8-047FA6F62E13}"/>
                </a:ext>
              </a:extLst>
            </xdr:cNvPr>
            <xdr:cNvSpPr txBox="1"/>
          </xdr:nvSpPr>
          <xdr:spPr>
            <a:xfrm>
              <a:off x="10194925" y="10518775"/>
              <a:ext cx="1743075" cy="330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Ci</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100" b="0" i="1">
                                <a:solidFill>
                                  <a:schemeClr val="tx1"/>
                                </a:solidFill>
                                <a:effectLst/>
                                <a:latin typeface="Cambria Math" panose="02040503050406030204" pitchFamily="18" charset="0"/>
                                <a:ea typeface="+mn-ea"/>
                                <a:cs typeface="+mn-cs"/>
                              </a:rPr>
                              <m:t>15.277</m:t>
                            </m:r>
                            <m:r>
                              <a:rPr lang="es-MX" sz="1050" b="0" i="1">
                                <a:latin typeface="Cambria Math" panose="02040503050406030204" pitchFamily="18" charset="0"/>
                              </a:rPr>
                              <m:t>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1,242 </m:t>
                        </m:r>
                        <m:r>
                          <a:rPr lang="es-MX" sz="1050" b="0" i="1">
                            <a:latin typeface="Cambria Math" panose="02040503050406030204" pitchFamily="18" charset="0"/>
                          </a:rPr>
                          <m:t>𝑤</m:t>
                        </m:r>
                      </m:den>
                    </m:f>
                  </m:oMath>
                </m:oMathPara>
              </a14:m>
              <a:endParaRPr lang="es-MX" sz="1050"/>
            </a:p>
          </xdr:txBody>
        </xdr:sp>
      </mc:Choice>
      <mc:Fallback xmlns="">
        <xdr:sp macro="" textlink="">
          <xdr:nvSpPr>
            <xdr:cNvPr id="953" name="CuadroTexto 952">
              <a:extLst>
                <a:ext uri="{FF2B5EF4-FFF2-40B4-BE49-F238E27FC236}">
                  <a16:creationId xmlns:a16="http://schemas.microsoft.com/office/drawing/2014/main" id="{2CDD80B4-6FAA-4F6C-A1C8-047FA6F62E13}"/>
                </a:ext>
              </a:extLst>
            </xdr:cNvPr>
            <xdr:cNvSpPr txBox="1"/>
          </xdr:nvSpPr>
          <xdr:spPr>
            <a:xfrm>
              <a:off x="10194925" y="10518775"/>
              <a:ext cx="1743075" cy="330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Ci=((</a:t>
              </a:r>
              <a:r>
                <a:rPr lang="es-MX" sz="1100" b="0" i="0">
                  <a:solidFill>
                    <a:schemeClr val="tx1"/>
                  </a:solidFill>
                  <a:effectLst/>
                  <a:latin typeface="Cambria Math" panose="02040503050406030204" pitchFamily="18" charset="0"/>
                  <a:ea typeface="+mn-ea"/>
                  <a:cs typeface="+mn-cs"/>
                </a:rPr>
                <a:t>15.277</a:t>
              </a:r>
              <a:r>
                <a:rPr lang="es-MX" sz="1050" b="0" i="0">
                  <a:latin typeface="Cambria Math" panose="02040503050406030204" pitchFamily="18" charset="0"/>
                </a:rPr>
                <a:t> 𝑘𝑤ℎ∗1000))/(1,242 𝑤)</a:t>
              </a:r>
              <a:endParaRPr lang="es-MX" sz="1050"/>
            </a:p>
          </xdr:txBody>
        </xdr:sp>
      </mc:Fallback>
    </mc:AlternateContent>
    <xdr:clientData/>
  </xdr:oneCellAnchor>
  <xdr:oneCellAnchor>
    <xdr:from>
      <xdr:col>8</xdr:col>
      <xdr:colOff>200025</xdr:colOff>
      <xdr:row>25</xdr:row>
      <xdr:rowOff>269875</xdr:rowOff>
    </xdr:from>
    <xdr:ext cx="1852084" cy="335156"/>
    <mc:AlternateContent xmlns:mc="http://schemas.openxmlformats.org/markup-compatibility/2006" xmlns:a14="http://schemas.microsoft.com/office/drawing/2010/main">
      <mc:Choice Requires="a14">
        <xdr:sp macro="" textlink="">
          <xdr:nvSpPr>
            <xdr:cNvPr id="955" name="CuadroTexto 954">
              <a:extLst>
                <a:ext uri="{FF2B5EF4-FFF2-40B4-BE49-F238E27FC236}">
                  <a16:creationId xmlns:a16="http://schemas.microsoft.com/office/drawing/2014/main" id="{A7265F17-5B50-4A0A-B6F7-38B87602DB59}"/>
                </a:ext>
              </a:extLst>
            </xdr:cNvPr>
            <xdr:cNvSpPr txBox="1"/>
          </xdr:nvSpPr>
          <xdr:spPr>
            <a:xfrm>
              <a:off x="7597775" y="30876875"/>
              <a:ext cx="1852084" cy="335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𝐷𝑤𝑐</m:t>
                    </m:r>
                    <m:r>
                      <a:rPr lang="es-MX" sz="1050" b="0" i="1">
                        <a:latin typeface="Cambria Math" panose="02040503050406030204" pitchFamily="18" charset="0"/>
                      </a:rPr>
                      <m:t>=</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lap</m:t>
                        </m:r>
                      </m:num>
                      <m:den>
                        <m:r>
                          <m:rPr>
                            <m:sty m:val="p"/>
                          </m:rPr>
                          <a:rPr lang="es-MX" sz="1050" b="0" i="0">
                            <a:solidFill>
                              <a:schemeClr val="tx1"/>
                            </a:solidFill>
                            <a:effectLst/>
                            <a:latin typeface="Cambria Math" panose="02040503050406030204" pitchFamily="18" charset="0"/>
                            <a:ea typeface="+mn-ea"/>
                            <a:cs typeface="+mn-cs"/>
                          </a:rPr>
                          <m:t>gwc</m:t>
                        </m:r>
                      </m:den>
                    </m:f>
                  </m:oMath>
                </m:oMathPara>
              </a14:m>
              <a:endParaRPr lang="es-MX" sz="1050" b="0"/>
            </a:p>
          </xdr:txBody>
        </xdr:sp>
      </mc:Choice>
      <mc:Fallback xmlns="">
        <xdr:sp macro="" textlink="">
          <xdr:nvSpPr>
            <xdr:cNvPr id="955" name="CuadroTexto 954">
              <a:extLst>
                <a:ext uri="{FF2B5EF4-FFF2-40B4-BE49-F238E27FC236}">
                  <a16:creationId xmlns:a16="http://schemas.microsoft.com/office/drawing/2014/main" id="{A7265F17-5B50-4A0A-B6F7-38B87602DB59}"/>
                </a:ext>
              </a:extLst>
            </xdr:cNvPr>
            <xdr:cNvSpPr txBox="1"/>
          </xdr:nvSpPr>
          <xdr:spPr>
            <a:xfrm>
              <a:off x="7597775" y="30876875"/>
              <a:ext cx="1852084" cy="335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𝐷𝑤𝑐=</a:t>
              </a:r>
              <a:r>
                <a:rPr lang="es-MX" sz="1050" b="0" i="0">
                  <a:solidFill>
                    <a:schemeClr val="tx1"/>
                  </a:solidFill>
                  <a:effectLst/>
                  <a:latin typeface="Cambria Math" panose="02040503050406030204" pitchFamily="18" charset="0"/>
                  <a:ea typeface="+mn-ea"/>
                  <a:cs typeface="+mn-cs"/>
                </a:rPr>
                <a:t>lap/gwc</a:t>
              </a:r>
              <a:endParaRPr lang="es-MX" sz="1050" b="0"/>
            </a:p>
          </xdr:txBody>
        </xdr:sp>
      </mc:Fallback>
    </mc:AlternateContent>
    <xdr:clientData/>
  </xdr:oneCellAnchor>
  <xdr:oneCellAnchor>
    <xdr:from>
      <xdr:col>8</xdr:col>
      <xdr:colOff>225425</xdr:colOff>
      <xdr:row>25</xdr:row>
      <xdr:rowOff>962025</xdr:rowOff>
    </xdr:from>
    <xdr:ext cx="1920077" cy="375680"/>
    <mc:AlternateContent xmlns:mc="http://schemas.openxmlformats.org/markup-compatibility/2006" xmlns:a14="http://schemas.microsoft.com/office/drawing/2010/main">
      <mc:Choice Requires="a14">
        <xdr:sp macro="" textlink="">
          <xdr:nvSpPr>
            <xdr:cNvPr id="959" name="CuadroTexto 958">
              <a:extLst>
                <a:ext uri="{FF2B5EF4-FFF2-40B4-BE49-F238E27FC236}">
                  <a16:creationId xmlns:a16="http://schemas.microsoft.com/office/drawing/2014/main" id="{44AB65E9-E64A-4FED-8C1B-66E2DA7CA799}"/>
                </a:ext>
              </a:extLst>
            </xdr:cNvPr>
            <xdr:cNvSpPr txBox="1"/>
          </xdr:nvSpPr>
          <xdr:spPr>
            <a:xfrm>
              <a:off x="7623175" y="31569025"/>
              <a:ext cx="1920077"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𝐷𝑜𝑛𝑑𝑒</m:t>
                    </m:r>
                    <m:r>
                      <a:rPr lang="es-MX" sz="800" b="0" i="1">
                        <a:latin typeface="Cambria Math" panose="02040503050406030204" pitchFamily="18" charset="0"/>
                      </a:rPr>
                      <m:t>: </m:t>
                    </m:r>
                  </m:oMath>
                </m:oMathPara>
              </a14:m>
              <a:endParaRPr lang="es-MX" sz="800" b="0"/>
            </a:p>
            <a:p>
              <a:r>
                <a:rPr lang="es-MX" sz="800" b="0"/>
                <a:t>lap representa  litros de agua ahorrados PET</a:t>
              </a:r>
            </a:p>
            <a:p>
              <a:r>
                <a:rPr lang="es-MX" sz="800" b="0"/>
                <a:t>gwc representa</a:t>
              </a:r>
              <a:r>
                <a:rPr lang="es-MX" sz="800" b="0" baseline="0"/>
                <a:t> gasto promedio de descarga</a:t>
              </a:r>
              <a:endParaRPr lang="es-MX" sz="800" b="0"/>
            </a:p>
          </xdr:txBody>
        </xdr:sp>
      </mc:Choice>
      <mc:Fallback xmlns="">
        <xdr:sp macro="" textlink="">
          <xdr:nvSpPr>
            <xdr:cNvPr id="959" name="CuadroTexto 958">
              <a:extLst>
                <a:ext uri="{FF2B5EF4-FFF2-40B4-BE49-F238E27FC236}">
                  <a16:creationId xmlns:a16="http://schemas.microsoft.com/office/drawing/2014/main" id="{44AB65E9-E64A-4FED-8C1B-66E2DA7CA799}"/>
                </a:ext>
              </a:extLst>
            </xdr:cNvPr>
            <xdr:cNvSpPr txBox="1"/>
          </xdr:nvSpPr>
          <xdr:spPr>
            <a:xfrm>
              <a:off x="7623175" y="31569025"/>
              <a:ext cx="1920077" cy="375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800" b="0" i="0">
                  <a:latin typeface="Cambria Math" panose="02040503050406030204" pitchFamily="18" charset="0"/>
                </a:rPr>
                <a:t>𝐷𝑜𝑛𝑑𝑒: </a:t>
              </a:r>
              <a:endParaRPr lang="es-MX" sz="800" b="0"/>
            </a:p>
            <a:p>
              <a:r>
                <a:rPr lang="es-MX" sz="800" b="0"/>
                <a:t>lap representa  litros de agua ahorrados PET</a:t>
              </a:r>
            </a:p>
            <a:p>
              <a:r>
                <a:rPr lang="es-MX" sz="800" b="0"/>
                <a:t>gwc representa</a:t>
              </a:r>
              <a:r>
                <a:rPr lang="es-MX" sz="800" b="0" baseline="0"/>
                <a:t> gasto promedio de descarga</a:t>
              </a:r>
              <a:endParaRPr lang="es-MX" sz="800" b="0"/>
            </a:p>
          </xdr:txBody>
        </xdr:sp>
      </mc:Fallback>
    </mc:AlternateContent>
    <xdr:clientData/>
  </xdr:oneCellAnchor>
  <xdr:oneCellAnchor>
    <xdr:from>
      <xdr:col>9</xdr:col>
      <xdr:colOff>136525</xdr:colOff>
      <xdr:row>25</xdr:row>
      <xdr:rowOff>381000</xdr:rowOff>
    </xdr:from>
    <xdr:ext cx="1852084" cy="523875"/>
    <mc:AlternateContent xmlns:mc="http://schemas.openxmlformats.org/markup-compatibility/2006" xmlns:a14="http://schemas.microsoft.com/office/drawing/2010/main">
      <mc:Choice Requires="a14">
        <xdr:sp macro="" textlink="">
          <xdr:nvSpPr>
            <xdr:cNvPr id="972" name="CuadroTexto 971">
              <a:extLst>
                <a:ext uri="{FF2B5EF4-FFF2-40B4-BE49-F238E27FC236}">
                  <a16:creationId xmlns:a16="http://schemas.microsoft.com/office/drawing/2014/main" id="{0FDC9F91-4D1B-47F3-AA73-C0EDE794CB28}"/>
                </a:ext>
              </a:extLst>
            </xdr:cNvPr>
            <xdr:cNvSpPr txBox="1"/>
          </xdr:nvSpPr>
          <xdr:spPr>
            <a:xfrm>
              <a:off x="9963150" y="30988000"/>
              <a:ext cx="185208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𝐷𝑤𝑐</m:t>
                    </m:r>
                    <m:r>
                      <a:rPr lang="es-MX" sz="1050" b="0" i="1">
                        <a:latin typeface="Cambria Math" panose="02040503050406030204" pitchFamily="18" charset="0"/>
                      </a:rPr>
                      <m:t>=</m:t>
                    </m:r>
                    <m:f>
                      <m:fPr>
                        <m:ctrlPr>
                          <a:rPr lang="es-MX" sz="1050" i="1">
                            <a:solidFill>
                              <a:schemeClr val="tx1"/>
                            </a:solidFill>
                            <a:effectLst/>
                            <a:latin typeface="Cambria Math" panose="02040503050406030204" pitchFamily="18" charset="0"/>
                            <a:ea typeface="+mn-ea"/>
                            <a:cs typeface="+mn-cs"/>
                          </a:rPr>
                        </m:ctrlPr>
                      </m:fPr>
                      <m:num>
                        <m:r>
                          <a:rPr lang="es-MX" sz="1050" b="0" i="0">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𝐿</m:t>
                        </m:r>
                      </m:num>
                      <m:den>
                        <m:r>
                          <a:rPr lang="es-MX" sz="1050" b="0" i="0">
                            <a:solidFill>
                              <a:schemeClr val="tx1"/>
                            </a:solidFill>
                            <a:effectLst/>
                            <a:latin typeface="Cambria Math" panose="02040503050406030204" pitchFamily="18" charset="0"/>
                            <a:ea typeface="+mn-ea"/>
                            <a:cs typeface="+mn-cs"/>
                          </a:rPr>
                          <m:t>6</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𝐿</m:t>
                        </m:r>
                      </m:den>
                    </m:f>
                  </m:oMath>
                </m:oMathPara>
              </a14:m>
              <a:endParaRPr lang="es-MX" sz="1050" b="0"/>
            </a:p>
          </xdr:txBody>
        </xdr:sp>
      </mc:Choice>
      <mc:Fallback xmlns="">
        <xdr:sp macro="" textlink="">
          <xdr:nvSpPr>
            <xdr:cNvPr id="972" name="CuadroTexto 971">
              <a:extLst>
                <a:ext uri="{FF2B5EF4-FFF2-40B4-BE49-F238E27FC236}">
                  <a16:creationId xmlns:a16="http://schemas.microsoft.com/office/drawing/2014/main" id="{0FDC9F91-4D1B-47F3-AA73-C0EDE794CB28}"/>
                </a:ext>
              </a:extLst>
            </xdr:cNvPr>
            <xdr:cNvSpPr txBox="1"/>
          </xdr:nvSpPr>
          <xdr:spPr>
            <a:xfrm>
              <a:off x="9963150" y="30988000"/>
              <a:ext cx="185208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𝐷𝑤𝑐=</a:t>
              </a:r>
              <a:r>
                <a:rPr lang="es-MX" sz="1050" i="0">
                  <a:solidFill>
                    <a:schemeClr val="tx1"/>
                  </a:solidFill>
                  <a:effectLst/>
                  <a:latin typeface="Cambria Math" panose="02040503050406030204" pitchFamily="18" charset="0"/>
                  <a:ea typeface="+mn-ea"/>
                  <a:cs typeface="+mn-cs"/>
                </a:rPr>
                <a:t>(</a:t>
              </a:r>
              <a:r>
                <a:rPr lang="es-MX" sz="1050" b="0" i="0">
                  <a:solidFill>
                    <a:schemeClr val="tx1"/>
                  </a:solidFill>
                  <a:effectLst/>
                  <a:latin typeface="Cambria Math" panose="02040503050406030204" pitchFamily="18" charset="0"/>
                  <a:ea typeface="+mn-ea"/>
                  <a:cs typeface="+mn-cs"/>
                </a:rPr>
                <a:t> 𝐿)/(6 𝐿)</a:t>
              </a:r>
              <a:endParaRPr lang="es-MX" sz="1050" b="0"/>
            </a:p>
          </xdr:txBody>
        </xdr:sp>
      </mc:Fallback>
    </mc:AlternateContent>
    <xdr:clientData/>
  </xdr:oneCellAnchor>
  <xdr:oneCellAnchor>
    <xdr:from>
      <xdr:col>10</xdr:col>
      <xdr:colOff>266700</xdr:colOff>
      <xdr:row>25</xdr:row>
      <xdr:rowOff>314325</xdr:rowOff>
    </xdr:from>
    <xdr:ext cx="1547812" cy="485261"/>
    <mc:AlternateContent xmlns:mc="http://schemas.openxmlformats.org/markup-compatibility/2006" xmlns:a14="http://schemas.microsoft.com/office/drawing/2010/main">
      <mc:Choice Requires="a14">
        <xdr:sp macro="" textlink="">
          <xdr:nvSpPr>
            <xdr:cNvPr id="979" name="CuadroTexto 978">
              <a:extLst>
                <a:ext uri="{FF2B5EF4-FFF2-40B4-BE49-F238E27FC236}">
                  <a16:creationId xmlns:a16="http://schemas.microsoft.com/office/drawing/2014/main" id="{5B321DD5-2718-46DD-BB97-4233CD573BBE}"/>
                </a:ext>
              </a:extLst>
            </xdr:cNvPr>
            <xdr:cNvSpPr txBox="1"/>
          </xdr:nvSpPr>
          <xdr:spPr>
            <a:xfrm>
              <a:off x="10944225" y="30794325"/>
              <a:ext cx="1547812"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m:t>
                    </m:r>
                  </m:oMath>
                </m:oMathPara>
              </a14:m>
              <a:endParaRPr lang="es-MX" sz="1000" b="0"/>
            </a:p>
            <a:p>
              <a:endParaRPr lang="es-MX" sz="1000" b="0"/>
            </a:p>
            <a:p>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oMath>
                </m:oMathPara>
              </a14:m>
              <a:endParaRPr lang="es-MX" sz="1000" b="0"/>
            </a:p>
          </xdr:txBody>
        </xdr:sp>
      </mc:Choice>
      <mc:Fallback xmlns="">
        <xdr:sp macro="" textlink="">
          <xdr:nvSpPr>
            <xdr:cNvPr id="979" name="CuadroTexto 978">
              <a:extLst>
                <a:ext uri="{FF2B5EF4-FFF2-40B4-BE49-F238E27FC236}">
                  <a16:creationId xmlns:a16="http://schemas.microsoft.com/office/drawing/2014/main" id="{5B321DD5-2718-46DD-BB97-4233CD573BBE}"/>
                </a:ext>
              </a:extLst>
            </xdr:cNvPr>
            <xdr:cNvSpPr txBox="1"/>
          </xdr:nvSpPr>
          <xdr:spPr>
            <a:xfrm>
              <a:off x="10944225" y="30794325"/>
              <a:ext cx="1547812" cy="485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a:t>
              </a:r>
              <a:endParaRPr lang="es-MX" sz="1000" b="0"/>
            </a:p>
            <a:p>
              <a:endParaRPr lang="es-MX" sz="1000" b="0"/>
            </a:p>
            <a:p>
              <a:pPr/>
              <a:r>
                <a:rPr lang="es-MX" sz="1100" b="0" i="0">
                  <a:solidFill>
                    <a:schemeClr val="tx1"/>
                  </a:solidFill>
                  <a:effectLst/>
                  <a:latin typeface="Cambria Math" panose="02040503050406030204" pitchFamily="18" charset="0"/>
                  <a:ea typeface="+mn-ea"/>
                  <a:cs typeface="+mn-cs"/>
                </a:rPr>
                <a:t>1 𝑡𝑜𝑛 𝑃𝐸𝑇=</a:t>
              </a:r>
              <a:endParaRPr lang="es-MX" sz="1000" b="0"/>
            </a:p>
          </xdr:txBody>
        </xdr:sp>
      </mc:Fallback>
    </mc:AlternateContent>
    <xdr:clientData/>
  </xdr:oneCellAnchor>
  <xdr:oneCellAnchor>
    <xdr:from>
      <xdr:col>12</xdr:col>
      <xdr:colOff>2434166</xdr:colOff>
      <xdr:row>368</xdr:row>
      <xdr:rowOff>1023407</xdr:rowOff>
    </xdr:from>
    <xdr:ext cx="452966" cy="448733"/>
    <xdr:pic>
      <xdr:nvPicPr>
        <xdr:cNvPr id="1001" name="Gráfico 1000" descr="Inalámbrico">
          <a:hlinkClick xmlns:r="http://schemas.openxmlformats.org/officeDocument/2006/relationships" r:id="rId50"/>
          <a:extLst>
            <a:ext uri="{FF2B5EF4-FFF2-40B4-BE49-F238E27FC236}">
              <a16:creationId xmlns:a16="http://schemas.microsoft.com/office/drawing/2014/main" id="{01375234-DD37-4F81-8D85-21B02CC78C7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83616" y="308261807"/>
          <a:ext cx="452966" cy="448733"/>
        </a:xfrm>
        <a:prstGeom prst="rect">
          <a:avLst/>
        </a:prstGeom>
      </xdr:spPr>
    </xdr:pic>
    <xdr:clientData/>
  </xdr:oneCellAnchor>
  <xdr:oneCellAnchor>
    <xdr:from>
      <xdr:col>12</xdr:col>
      <xdr:colOff>2571750</xdr:colOff>
      <xdr:row>448</xdr:row>
      <xdr:rowOff>217715</xdr:rowOff>
    </xdr:from>
    <xdr:ext cx="356660" cy="356660"/>
    <xdr:pic>
      <xdr:nvPicPr>
        <xdr:cNvPr id="1004" name="Gráfico 1003" descr="Inalámbrico">
          <a:hlinkClick xmlns:r="http://schemas.openxmlformats.org/officeDocument/2006/relationships" r:id="rId106"/>
          <a:extLst>
            <a:ext uri="{FF2B5EF4-FFF2-40B4-BE49-F238E27FC236}">
              <a16:creationId xmlns:a16="http://schemas.microsoft.com/office/drawing/2014/main" id="{6AA90645-26E9-4D52-ACAC-EBBE7D92E22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53857" y="333769608"/>
          <a:ext cx="356660" cy="356660"/>
        </a:xfrm>
        <a:prstGeom prst="rect">
          <a:avLst/>
        </a:prstGeom>
      </xdr:spPr>
    </xdr:pic>
    <xdr:clientData/>
  </xdr:oneCellAnchor>
  <xdr:oneCellAnchor>
    <xdr:from>
      <xdr:col>12</xdr:col>
      <xdr:colOff>2422071</xdr:colOff>
      <xdr:row>424</xdr:row>
      <xdr:rowOff>367393</xdr:rowOff>
    </xdr:from>
    <xdr:ext cx="223310" cy="223310"/>
    <xdr:pic>
      <xdr:nvPicPr>
        <xdr:cNvPr id="1006" name="Gráfico 1005" descr="Inalámbrico">
          <a:hlinkClick xmlns:r="http://schemas.openxmlformats.org/officeDocument/2006/relationships" r:id="rId107"/>
          <a:extLst>
            <a:ext uri="{FF2B5EF4-FFF2-40B4-BE49-F238E27FC236}">
              <a16:creationId xmlns:a16="http://schemas.microsoft.com/office/drawing/2014/main" id="{54A27950-271F-4FBF-AB0F-2D2AD2FE66C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04178" y="318529607"/>
          <a:ext cx="223310" cy="223310"/>
        </a:xfrm>
        <a:prstGeom prst="rect">
          <a:avLst/>
        </a:prstGeom>
      </xdr:spPr>
    </xdr:pic>
    <xdr:clientData/>
  </xdr:oneCellAnchor>
  <xdr:oneCellAnchor>
    <xdr:from>
      <xdr:col>1</xdr:col>
      <xdr:colOff>285750</xdr:colOff>
      <xdr:row>5</xdr:row>
      <xdr:rowOff>282575</xdr:rowOff>
    </xdr:from>
    <xdr:ext cx="2447925" cy="834426"/>
    <mc:AlternateContent xmlns:mc="http://schemas.openxmlformats.org/markup-compatibility/2006" xmlns:a14="http://schemas.microsoft.com/office/drawing/2010/main">
      <mc:Choice Requires="a14">
        <xdr:sp macro="" textlink="">
          <xdr:nvSpPr>
            <xdr:cNvPr id="949" name="CuadroTexto 948">
              <a:extLst>
                <a:ext uri="{FF2B5EF4-FFF2-40B4-BE49-F238E27FC236}">
                  <a16:creationId xmlns:a16="http://schemas.microsoft.com/office/drawing/2014/main" id="{D2F031A8-49BF-4FD6-80F1-968C8B2B7433}"/>
                </a:ext>
              </a:extLst>
            </xdr:cNvPr>
            <xdr:cNvSpPr txBox="1"/>
          </xdr:nvSpPr>
          <xdr:spPr>
            <a:xfrm>
              <a:off x="1000125" y="4060825"/>
              <a:ext cx="244792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PET</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69.8</m:t>
                  </m:r>
                  <m:f>
                    <m:fPr>
                      <m:ctrlPr>
                        <a:rPr lang="es-MX" sz="1200" i="1">
                          <a:latin typeface="Cambria Math" panose="02040503050406030204" pitchFamily="18" charset="0"/>
                        </a:rPr>
                      </m:ctrlPr>
                    </m:fPr>
                    <m:num>
                      <m:r>
                        <m:rPr>
                          <m:sty m:val="p"/>
                        </m:rPr>
                        <a:rPr lang="es-MX" sz="1200" b="0" i="0">
                          <a:latin typeface="Cambria Math" panose="02040503050406030204" pitchFamily="18" charset="0"/>
                        </a:rPr>
                        <m:t>MJ</m:t>
                      </m:r>
                    </m:num>
                    <m:den>
                      <m:r>
                        <m:rPr>
                          <m:sty m:val="p"/>
                        </m:rPr>
                        <a:rPr lang="es-MX" sz="1200" b="0" i="0">
                          <a:latin typeface="Cambria Math" panose="02040503050406030204" pitchFamily="18" charset="0"/>
                        </a:rPr>
                        <m:t>kg</m:t>
                      </m:r>
                    </m:den>
                  </m:f>
                </m:oMath>
              </a14:m>
              <a:r>
                <a:rPr lang="es-MX" sz="1200" i="0">
                  <a:latin typeface="+mn-lt"/>
                  <a:cs typeface="Arial" panose="020B0604020202020204" pitchFamily="34" charset="0"/>
                </a:rPr>
                <a:t> = 19.4 </a:t>
              </a:r>
              <a14:m>
                <m:oMath xmlns:m="http://schemas.openxmlformats.org/officeDocument/2006/math">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PET</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14.8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MJ</m:t>
                      </m:r>
                    </m:num>
                    <m:den>
                      <m:r>
                        <m:rPr>
                          <m:sty m:val="p"/>
                        </m:rPr>
                        <a:rPr lang="es-MX" sz="1200" b="0" i="0">
                          <a:solidFill>
                            <a:schemeClr val="tx1"/>
                          </a:solidFill>
                          <a:effectLst/>
                          <a:latin typeface="Cambria Math" panose="02040503050406030204" pitchFamily="18" charset="0"/>
                          <a:ea typeface="+mn-ea"/>
                          <a:cs typeface="+mn-cs"/>
                        </a:rPr>
                        <m:t>kg</m:t>
                      </m:r>
                    </m:den>
                  </m:f>
                </m:oMath>
              </a14:m>
              <a:r>
                <a:rPr lang="es-MX" sz="1200" i="0">
                  <a:solidFill>
                    <a:schemeClr val="tx1"/>
                  </a:solidFill>
                  <a:effectLst/>
                  <a:latin typeface="+mn-lt"/>
                  <a:ea typeface="+mn-ea"/>
                  <a:cs typeface="Arial" panose="020B0604020202020204" pitchFamily="34" charset="0"/>
                </a:rPr>
                <a:t> = 4.1 </a:t>
              </a:r>
              <a14:m>
                <m:oMath xmlns:m="http://schemas.openxmlformats.org/officeDocument/2006/math">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949" name="CuadroTexto 948">
              <a:extLst>
                <a:ext uri="{FF2B5EF4-FFF2-40B4-BE49-F238E27FC236}">
                  <a16:creationId xmlns:a16="http://schemas.microsoft.com/office/drawing/2014/main" id="{D2F031A8-49BF-4FD6-80F1-968C8B2B7433}"/>
                </a:ext>
              </a:extLst>
            </xdr:cNvPr>
            <xdr:cNvSpPr txBox="1"/>
          </xdr:nvSpPr>
          <xdr:spPr>
            <a:xfrm>
              <a:off x="1000125" y="4060825"/>
              <a:ext cx="244792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PET Virgen 69.8 MJ/kg</a:t>
              </a:r>
              <a:r>
                <a:rPr lang="es-MX" sz="1200" i="0">
                  <a:latin typeface="+mn-lt"/>
                  <a:cs typeface="Arial" panose="020B0604020202020204" pitchFamily="34" charset="0"/>
                </a:rPr>
                <a:t> = 19.4 </a:t>
              </a:r>
              <a:r>
                <a:rPr lang="es-MX" sz="1200" b="0" i="0">
                  <a:solidFill>
                    <a:schemeClr val="tx1"/>
                  </a:solidFill>
                  <a:effectLst/>
                  <a:latin typeface="Cambria Math" panose="02040503050406030204" pitchFamily="18" charset="0"/>
                  <a:ea typeface="+mn-ea"/>
                  <a:cs typeface="+mn-cs"/>
                </a:rPr>
                <a:t>kwh/kg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PET Reciclado 14.8  MJ/kg</a:t>
              </a:r>
              <a:r>
                <a:rPr lang="es-MX" sz="1200" i="0">
                  <a:solidFill>
                    <a:schemeClr val="tx1"/>
                  </a:solidFill>
                  <a:effectLst/>
                  <a:latin typeface="+mn-lt"/>
                  <a:ea typeface="+mn-ea"/>
                  <a:cs typeface="Arial" panose="020B0604020202020204" pitchFamily="34" charset="0"/>
                </a:rPr>
                <a:t> = 4.1 </a:t>
              </a:r>
              <a:r>
                <a:rPr lang="es-MX" sz="1200" b="0" i="0">
                  <a:solidFill>
                    <a:schemeClr val="tx1"/>
                  </a:solidFill>
                  <a:effectLst/>
                  <a:latin typeface="Cambria Math" panose="02040503050406030204" pitchFamily="18" charset="0"/>
                  <a:ea typeface="+mn-ea"/>
                  <a:cs typeface="+mn-cs"/>
                </a:rPr>
                <a:t>kwh/kg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twoCellAnchor editAs="oneCell">
    <xdr:from>
      <xdr:col>12</xdr:col>
      <xdr:colOff>457201</xdr:colOff>
      <xdr:row>5</xdr:row>
      <xdr:rowOff>704851</xdr:rowOff>
    </xdr:from>
    <xdr:to>
      <xdr:col>12</xdr:col>
      <xdr:colOff>723901</xdr:colOff>
      <xdr:row>5</xdr:row>
      <xdr:rowOff>971551</xdr:rowOff>
    </xdr:to>
    <xdr:pic>
      <xdr:nvPicPr>
        <xdr:cNvPr id="954" name="Gráfico 953" descr="Hogar">
          <a:hlinkClick xmlns:r="http://schemas.openxmlformats.org/officeDocument/2006/relationships" r:id="rId108"/>
          <a:extLst>
            <a:ext uri="{FF2B5EF4-FFF2-40B4-BE49-F238E27FC236}">
              <a16:creationId xmlns:a16="http://schemas.microsoft.com/office/drawing/2014/main" id="{5527AA45-90F1-476F-AB99-13CAFCE683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106651" y="4429126"/>
          <a:ext cx="266700" cy="266700"/>
        </a:xfrm>
        <a:prstGeom prst="rect">
          <a:avLst/>
        </a:prstGeom>
      </xdr:spPr>
    </xdr:pic>
    <xdr:clientData/>
  </xdr:twoCellAnchor>
  <xdr:oneCellAnchor>
    <xdr:from>
      <xdr:col>1</xdr:col>
      <xdr:colOff>47625</xdr:colOff>
      <xdr:row>140</xdr:row>
      <xdr:rowOff>219075</xdr:rowOff>
    </xdr:from>
    <xdr:ext cx="2447925" cy="834426"/>
    <mc:AlternateContent xmlns:mc="http://schemas.openxmlformats.org/markup-compatibility/2006" xmlns:a14="http://schemas.microsoft.com/office/drawing/2010/main">
      <mc:Choice Requires="a14">
        <xdr:sp macro="" textlink="">
          <xdr:nvSpPr>
            <xdr:cNvPr id="1007" name="CuadroTexto 1006">
              <a:extLst>
                <a:ext uri="{FF2B5EF4-FFF2-40B4-BE49-F238E27FC236}">
                  <a16:creationId xmlns:a16="http://schemas.microsoft.com/office/drawing/2014/main" id="{2F845FD3-D4DE-490B-85DD-4D84D8F50060}"/>
                </a:ext>
              </a:extLst>
            </xdr:cNvPr>
            <xdr:cNvSpPr txBox="1"/>
          </xdr:nvSpPr>
          <xdr:spPr>
            <a:xfrm>
              <a:off x="762000" y="3943350"/>
              <a:ext cx="244792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PEAD</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75.3</m:t>
                  </m:r>
                  <m:f>
                    <m:fPr>
                      <m:ctrlPr>
                        <a:rPr lang="es-MX" sz="1200" i="1">
                          <a:latin typeface="Cambria Math" panose="02040503050406030204" pitchFamily="18" charset="0"/>
                        </a:rPr>
                      </m:ctrlPr>
                    </m:fPr>
                    <m:num>
                      <m:r>
                        <m:rPr>
                          <m:sty m:val="p"/>
                        </m:rPr>
                        <a:rPr lang="es-MX" sz="1200" b="0" i="0">
                          <a:latin typeface="Cambria Math" panose="02040503050406030204" pitchFamily="18" charset="0"/>
                        </a:rPr>
                        <m:t>MJ</m:t>
                      </m:r>
                    </m:num>
                    <m:den>
                      <m:r>
                        <m:rPr>
                          <m:sty m:val="p"/>
                        </m:rPr>
                        <a:rPr lang="es-MX" sz="1200" b="0" i="0">
                          <a:latin typeface="Cambria Math" panose="02040503050406030204" pitchFamily="18" charset="0"/>
                        </a:rPr>
                        <m:t>kg</m:t>
                      </m:r>
                    </m:den>
                  </m:f>
                </m:oMath>
              </a14:m>
              <a:r>
                <a:rPr lang="es-MX" sz="1200" i="0">
                  <a:latin typeface="+mn-lt"/>
                  <a:cs typeface="Arial" panose="020B0604020202020204" pitchFamily="34" charset="0"/>
                </a:rPr>
                <a:t> = 20.916 </a:t>
              </a:r>
              <a14:m>
                <m:oMath xmlns:m="http://schemas.openxmlformats.org/officeDocument/2006/math">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PET</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8.69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MJ</m:t>
                      </m:r>
                    </m:num>
                    <m:den>
                      <m:r>
                        <m:rPr>
                          <m:sty m:val="p"/>
                        </m:rPr>
                        <a:rPr lang="es-MX" sz="1200" b="0" i="0">
                          <a:solidFill>
                            <a:schemeClr val="tx1"/>
                          </a:solidFill>
                          <a:effectLst/>
                          <a:latin typeface="Cambria Math" panose="02040503050406030204" pitchFamily="18" charset="0"/>
                          <a:ea typeface="+mn-ea"/>
                          <a:cs typeface="+mn-cs"/>
                        </a:rPr>
                        <m:t>kg</m:t>
                      </m:r>
                    </m:den>
                  </m:f>
                </m:oMath>
              </a14:m>
              <a:r>
                <a:rPr lang="es-MX" sz="1200" i="0">
                  <a:solidFill>
                    <a:schemeClr val="tx1"/>
                  </a:solidFill>
                  <a:effectLst/>
                  <a:latin typeface="+mn-lt"/>
                  <a:ea typeface="+mn-ea"/>
                  <a:cs typeface="Arial" panose="020B0604020202020204" pitchFamily="34" charset="0"/>
                </a:rPr>
                <a:t> = 2.413 </a:t>
              </a:r>
              <a14:m>
                <m:oMath xmlns:m="http://schemas.openxmlformats.org/officeDocument/2006/math">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07" name="CuadroTexto 1006">
              <a:extLst>
                <a:ext uri="{FF2B5EF4-FFF2-40B4-BE49-F238E27FC236}">
                  <a16:creationId xmlns:a16="http://schemas.microsoft.com/office/drawing/2014/main" id="{2F845FD3-D4DE-490B-85DD-4D84D8F50060}"/>
                </a:ext>
              </a:extLst>
            </xdr:cNvPr>
            <xdr:cNvSpPr txBox="1"/>
          </xdr:nvSpPr>
          <xdr:spPr>
            <a:xfrm>
              <a:off x="762000" y="3943350"/>
              <a:ext cx="244792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PEAD Virgen 75.3 MJ/kg</a:t>
              </a:r>
              <a:r>
                <a:rPr lang="es-MX" sz="1200" i="0">
                  <a:latin typeface="+mn-lt"/>
                  <a:cs typeface="Arial" panose="020B0604020202020204" pitchFamily="34" charset="0"/>
                </a:rPr>
                <a:t> = 20.916 </a:t>
              </a:r>
              <a:r>
                <a:rPr lang="es-MX" sz="1200" b="0" i="0">
                  <a:solidFill>
                    <a:schemeClr val="tx1"/>
                  </a:solidFill>
                  <a:effectLst/>
                  <a:latin typeface="Cambria Math" panose="02040503050406030204" pitchFamily="18" charset="0"/>
                  <a:ea typeface="+mn-ea"/>
                  <a:cs typeface="+mn-cs"/>
                </a:rPr>
                <a:t>kwh/kg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PET Reciclado 8.69  MJ/kg</a:t>
              </a:r>
              <a:r>
                <a:rPr lang="es-MX" sz="1200" i="0">
                  <a:solidFill>
                    <a:schemeClr val="tx1"/>
                  </a:solidFill>
                  <a:effectLst/>
                  <a:latin typeface="+mn-lt"/>
                  <a:ea typeface="+mn-ea"/>
                  <a:cs typeface="Arial" panose="020B0604020202020204" pitchFamily="34" charset="0"/>
                </a:rPr>
                <a:t> = 2.413 </a:t>
              </a:r>
              <a:r>
                <a:rPr lang="es-MX" sz="1200" b="0" i="0">
                  <a:solidFill>
                    <a:schemeClr val="tx1"/>
                  </a:solidFill>
                  <a:effectLst/>
                  <a:latin typeface="Cambria Math" panose="02040503050406030204" pitchFamily="18" charset="0"/>
                  <a:ea typeface="+mn-ea"/>
                  <a:cs typeface="+mn-cs"/>
                </a:rPr>
                <a:t>kwh/kg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xdr:col>
      <xdr:colOff>628153</xdr:colOff>
      <xdr:row>251</xdr:row>
      <xdr:rowOff>264389</xdr:rowOff>
    </xdr:from>
    <xdr:ext cx="1670547" cy="869086"/>
    <mc:AlternateContent xmlns:mc="http://schemas.openxmlformats.org/markup-compatibility/2006" xmlns:a14="http://schemas.microsoft.com/office/drawing/2010/main">
      <mc:Choice Requires="a14">
        <xdr:sp macro="" textlink="">
          <xdr:nvSpPr>
            <xdr:cNvPr id="1009" name="CuadroTexto 1008">
              <a:extLst>
                <a:ext uri="{FF2B5EF4-FFF2-40B4-BE49-F238E27FC236}">
                  <a16:creationId xmlns:a16="http://schemas.microsoft.com/office/drawing/2014/main" id="{1727C3D4-935D-4848-9703-9BC7EAE1A82D}"/>
                </a:ext>
              </a:extLst>
            </xdr:cNvPr>
            <xdr:cNvSpPr txBox="1"/>
          </xdr:nvSpPr>
          <xdr:spPr>
            <a:xfrm>
              <a:off x="1342528" y="2001623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PP</m:t>
                  </m:r>
                  <m:r>
                    <a:rPr lang="es-MX" sz="1200" b="0" i="0">
                      <a:latin typeface="Cambria Math" panose="02040503050406030204" pitchFamily="18" charset="0"/>
                    </a:rPr>
                    <m:t> </m:t>
                  </m:r>
                  <m:r>
                    <m:rPr>
                      <m:sty m:val="p"/>
                    </m:rPr>
                    <a:rPr lang="es-MX" sz="1200" b="0" i="0">
                      <a:latin typeface="Cambria Math" panose="02040503050406030204" pitchFamily="18" charset="0"/>
                    </a:rPr>
                    <m:t>V</m:t>
                  </m:r>
                  <m:r>
                    <a:rPr lang="es-MX" sz="1200" b="0" i="0">
                      <a:latin typeface="Cambria Math" panose="02040503050406030204" pitchFamily="18" charset="0"/>
                    </a:rPr>
                    <m:t> </m:t>
                  </m:r>
                  <m:r>
                    <a:rPr lang="es-MX" sz="1200" b="0" i="1">
                      <a:latin typeface="Cambria Math" panose="02040503050406030204" pitchFamily="18" charset="0"/>
                    </a:rPr>
                    <m:t>74.4</m:t>
                  </m:r>
                  <m:f>
                    <m:fPr>
                      <m:ctrlPr>
                        <a:rPr lang="es-MX" sz="1200" i="1">
                          <a:latin typeface="Cambria Math" panose="02040503050406030204" pitchFamily="18" charset="0"/>
                        </a:rPr>
                      </m:ctrlPr>
                    </m:fPr>
                    <m:num>
                      <m:r>
                        <m:rPr>
                          <m:sty m:val="p"/>
                        </m:rPr>
                        <a:rPr lang="es-MX" sz="1200" b="0" i="0">
                          <a:latin typeface="Cambria Math" panose="02040503050406030204" pitchFamily="18" charset="0"/>
                        </a:rPr>
                        <m:t>MJ</m:t>
                      </m:r>
                    </m:num>
                    <m:den>
                      <m:r>
                        <m:rPr>
                          <m:sty m:val="p"/>
                        </m:rPr>
                        <a:rPr lang="es-MX" sz="1200" b="0" i="0">
                          <a:latin typeface="Cambria Math" panose="02040503050406030204" pitchFamily="18" charset="0"/>
                        </a:rPr>
                        <m:t>kg</m:t>
                      </m:r>
                    </m:den>
                  </m:f>
                </m:oMath>
              </a14:m>
              <a:r>
                <a:rPr lang="es-MX" sz="1200" i="0">
                  <a:latin typeface="+mn-lt"/>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2</m:t>
                  </m:r>
                  <m:r>
                    <a:rPr lang="es-MX" sz="1200" b="0" i="0">
                      <a:solidFill>
                        <a:schemeClr val="tx1"/>
                      </a:solidFill>
                      <a:effectLst/>
                      <a:latin typeface="Cambria Math" panose="02040503050406030204" pitchFamily="18" charset="0"/>
                      <a:ea typeface="+mn-ea"/>
                      <a:cs typeface="+mn-cs"/>
                    </a:rPr>
                    <m:t>0.6</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PP</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m:t>
                  </m:r>
                  <m:r>
                    <a:rPr lang="es-MX" sz="1200" b="0" i="0">
                      <a:solidFill>
                        <a:schemeClr val="tx1"/>
                      </a:solidFill>
                      <a:effectLst/>
                      <a:latin typeface="Cambria Math" panose="02040503050406030204" pitchFamily="18" charset="0"/>
                      <a:ea typeface="+mn-ea"/>
                      <a:cs typeface="+mn-cs"/>
                    </a:rPr>
                    <m:t> 8.89 </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MJ</m:t>
                      </m:r>
                    </m:num>
                    <m:den>
                      <m:r>
                        <m:rPr>
                          <m:sty m:val="p"/>
                        </m:rPr>
                        <a:rPr lang="es-MX" sz="1200" b="0" i="0">
                          <a:solidFill>
                            <a:schemeClr val="tx1"/>
                          </a:solidFill>
                          <a:effectLst/>
                          <a:latin typeface="Cambria Math" panose="02040503050406030204" pitchFamily="18" charset="0"/>
                          <a:ea typeface="+mn-ea"/>
                          <a:cs typeface="+mn-cs"/>
                        </a:rPr>
                        <m:t>kg</m:t>
                      </m:r>
                    </m:den>
                  </m:f>
                </m:oMath>
              </a14:m>
              <a:r>
                <a:rPr lang="es-MX" sz="1200" i="0">
                  <a:solidFill>
                    <a:schemeClr val="tx1"/>
                  </a:solidFill>
                  <a:effectLst/>
                  <a:latin typeface="+mn-lt"/>
                  <a:ea typeface="+mn-ea"/>
                  <a:cs typeface="Arial" panose="020B0604020202020204" pitchFamily="34" charset="0"/>
                </a:rPr>
                <a:t> = </a:t>
              </a:r>
              <a14:m>
                <m:oMath xmlns:m="http://schemas.openxmlformats.org/officeDocument/2006/math">
                  <m:r>
                    <a:rPr lang="es-MX" sz="1200" i="0">
                      <a:solidFill>
                        <a:schemeClr val="tx1"/>
                      </a:solidFill>
                      <a:effectLst/>
                      <a:latin typeface="Cambria Math" panose="02040503050406030204" pitchFamily="18" charset="0"/>
                      <a:ea typeface="+mn-ea"/>
                      <a:cs typeface="+mn-cs"/>
                    </a:rPr>
                    <m:t>2</m:t>
                  </m:r>
                  <m:r>
                    <a:rPr lang="es-MX" sz="1200" b="0" i="0">
                      <a:solidFill>
                        <a:schemeClr val="tx1"/>
                      </a:solidFill>
                      <a:effectLst/>
                      <a:latin typeface="Cambria Math" panose="02040503050406030204" pitchFamily="18" charset="0"/>
                      <a:ea typeface="+mn-ea"/>
                      <a:cs typeface="+mn-cs"/>
                    </a:rPr>
                    <m:t>.4</m:t>
                  </m:r>
                  <m:f>
                    <m:fPr>
                      <m:ctrlPr>
                        <a:rPr lang="es-MX" sz="1200" i="1">
                          <a:solidFill>
                            <a:schemeClr val="tx1"/>
                          </a:solidFill>
                          <a:effectLst/>
                          <a:latin typeface="Cambria Math" panose="02040503050406030204" pitchFamily="18" charset="0"/>
                          <a:ea typeface="+mn-ea"/>
                          <a:cs typeface="+mn-cs"/>
                        </a:rPr>
                      </m:ctrlPr>
                    </m:fPr>
                    <m:num>
                      <m:r>
                        <m:rPr>
                          <m:sty m:val="p"/>
                        </m:rPr>
                        <a:rPr lang="es-MX" sz="1200" b="0" i="0">
                          <a:solidFill>
                            <a:schemeClr val="tx1"/>
                          </a:solidFill>
                          <a:effectLst/>
                          <a:latin typeface="Cambria Math" panose="02040503050406030204" pitchFamily="18" charset="0"/>
                          <a:ea typeface="+mn-ea"/>
                          <a:cs typeface="+mn-cs"/>
                        </a:rPr>
                        <m:t>kwh</m:t>
                      </m:r>
                    </m:num>
                    <m:den>
                      <m:r>
                        <m:rPr>
                          <m:sty m:val="p"/>
                        </m:rPr>
                        <a:rPr lang="es-MX" sz="1200" b="0" i="0">
                          <a:solidFill>
                            <a:schemeClr val="tx1"/>
                          </a:solidFill>
                          <a:effectLst/>
                          <a:latin typeface="Cambria Math" panose="02040503050406030204" pitchFamily="18" charset="0"/>
                          <a:ea typeface="+mn-ea"/>
                          <a:cs typeface="+mn-cs"/>
                        </a:rPr>
                        <m:t>kg</m:t>
                      </m:r>
                    </m:den>
                  </m:f>
                </m:oMath>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09" name="CuadroTexto 1008">
              <a:extLst>
                <a:ext uri="{FF2B5EF4-FFF2-40B4-BE49-F238E27FC236}">
                  <a16:creationId xmlns:a16="http://schemas.microsoft.com/office/drawing/2014/main" id="{1727C3D4-935D-4848-9703-9BC7EAE1A82D}"/>
                </a:ext>
              </a:extLst>
            </xdr:cNvPr>
            <xdr:cNvSpPr txBox="1"/>
          </xdr:nvSpPr>
          <xdr:spPr>
            <a:xfrm>
              <a:off x="1342528" y="2001623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PP V 74.4 MJ/kg</a:t>
              </a:r>
              <a:r>
                <a:rPr lang="es-MX" sz="1200" i="0">
                  <a:latin typeface="+mn-lt"/>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2</a:t>
              </a:r>
              <a:r>
                <a:rPr lang="es-MX" sz="1200" b="0" i="0">
                  <a:solidFill>
                    <a:schemeClr val="tx1"/>
                  </a:solidFill>
                  <a:effectLst/>
                  <a:latin typeface="Cambria Math" panose="02040503050406030204" pitchFamily="18" charset="0"/>
                  <a:ea typeface="+mn-ea"/>
                  <a:cs typeface="+mn-cs"/>
                </a:rPr>
                <a:t>0.6 kwh/kg</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PP R 8.89  MJ/kg</a:t>
              </a:r>
              <a:r>
                <a:rPr lang="es-MX" sz="1200" i="0">
                  <a:solidFill>
                    <a:schemeClr val="tx1"/>
                  </a:solidFill>
                  <a:effectLst/>
                  <a:latin typeface="+mn-lt"/>
                  <a:ea typeface="+mn-ea"/>
                  <a:cs typeface="Arial" panose="020B0604020202020204" pitchFamily="34" charset="0"/>
                </a:rPr>
                <a:t> = </a:t>
              </a:r>
              <a:r>
                <a:rPr lang="es-MX" sz="1200" i="0">
                  <a:solidFill>
                    <a:schemeClr val="tx1"/>
                  </a:solidFill>
                  <a:effectLst/>
                  <a:latin typeface="Cambria Math" panose="02040503050406030204" pitchFamily="18" charset="0"/>
                  <a:ea typeface="+mn-ea"/>
                  <a:cs typeface="+mn-cs"/>
                </a:rPr>
                <a:t>2</a:t>
              </a:r>
              <a:r>
                <a:rPr lang="es-MX" sz="1200" b="0" i="0">
                  <a:solidFill>
                    <a:schemeClr val="tx1"/>
                  </a:solidFill>
                  <a:effectLst/>
                  <a:latin typeface="Cambria Math" panose="02040503050406030204" pitchFamily="18" charset="0"/>
                  <a:ea typeface="+mn-ea"/>
                  <a:cs typeface="+mn-cs"/>
                </a:rPr>
                <a:t>.4 kwh/kg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12</xdr:col>
      <xdr:colOff>2181225</xdr:colOff>
      <xdr:row>251</xdr:row>
      <xdr:rowOff>1047750</xdr:rowOff>
    </xdr:from>
    <xdr:ext cx="380999" cy="380999"/>
    <xdr:pic>
      <xdr:nvPicPr>
        <xdr:cNvPr id="1032" name="Gráfico 1031" descr="Hogar">
          <a:hlinkClick xmlns:r="http://schemas.openxmlformats.org/officeDocument/2006/relationships" r:id="rId109"/>
          <a:extLst>
            <a:ext uri="{FF2B5EF4-FFF2-40B4-BE49-F238E27FC236}">
              <a16:creationId xmlns:a16="http://schemas.microsoft.com/office/drawing/2014/main" id="{54672496-3AD1-4C50-BC16-2D6B6C15486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40200" y="115147725"/>
          <a:ext cx="380999" cy="380999"/>
        </a:xfrm>
        <a:prstGeom prst="rect">
          <a:avLst/>
        </a:prstGeom>
      </xdr:spPr>
    </xdr:pic>
    <xdr:clientData/>
  </xdr:oneCellAnchor>
  <xdr:oneCellAnchor>
    <xdr:from>
      <xdr:col>1</xdr:col>
      <xdr:colOff>133351</xdr:colOff>
      <xdr:row>17</xdr:row>
      <xdr:rowOff>304800</xdr:rowOff>
    </xdr:from>
    <xdr:ext cx="1752600" cy="609600"/>
    <mc:AlternateContent xmlns:mc="http://schemas.openxmlformats.org/markup-compatibility/2006" xmlns:a14="http://schemas.microsoft.com/office/drawing/2010/main">
      <mc:Choice Requires="a14">
        <xdr:sp macro="" textlink="">
          <xdr:nvSpPr>
            <xdr:cNvPr id="1035" name="CuadroTexto 1034">
              <a:extLst>
                <a:ext uri="{FF2B5EF4-FFF2-40B4-BE49-F238E27FC236}">
                  <a16:creationId xmlns:a16="http://schemas.microsoft.com/office/drawing/2014/main" id="{51F97A67-78C7-486B-8961-413689EF95A8}"/>
                </a:ext>
              </a:extLst>
            </xdr:cNvPr>
            <xdr:cNvSpPr txBox="1"/>
          </xdr:nvSpPr>
          <xdr:spPr>
            <a:xfrm>
              <a:off x="847726" y="19507200"/>
              <a:ext cx="1752600" cy="609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PET</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9.89 </m:t>
                  </m:r>
                </m:oMath>
              </a14:m>
              <a:r>
                <a:rPr lang="es-MX" sz="1200" i="0">
                  <a:latin typeface="+mn-lt"/>
                  <a:cs typeface="Arial" panose="020B0604020202020204" pitchFamily="34" charset="0"/>
                </a:rPr>
                <a:t>L</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PET</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10.3</m:t>
                  </m:r>
                </m:oMath>
              </a14:m>
              <a:r>
                <a:rPr lang="es-MX" sz="1200" i="0">
                  <a:effectLst/>
                  <a:latin typeface="+mn-lt"/>
                  <a:cs typeface="Arial" panose="020B0604020202020204" pitchFamily="34" charset="0"/>
                </a:rPr>
                <a:t> L</a:t>
              </a: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35" name="CuadroTexto 1034">
              <a:extLst>
                <a:ext uri="{FF2B5EF4-FFF2-40B4-BE49-F238E27FC236}">
                  <a16:creationId xmlns:a16="http://schemas.microsoft.com/office/drawing/2014/main" id="{51F97A67-78C7-486B-8961-413689EF95A8}"/>
                </a:ext>
              </a:extLst>
            </xdr:cNvPr>
            <xdr:cNvSpPr txBox="1"/>
          </xdr:nvSpPr>
          <xdr:spPr>
            <a:xfrm>
              <a:off x="847726" y="19507200"/>
              <a:ext cx="1752600" cy="609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PET Virgen 9.89 </a:t>
              </a:r>
              <a:r>
                <a:rPr lang="es-MX" sz="1200" i="0">
                  <a:latin typeface="+mn-lt"/>
                  <a:cs typeface="Arial" panose="020B0604020202020204" pitchFamily="34" charset="0"/>
                </a:rPr>
                <a:t>L</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PET Reciclado 10.3</a:t>
              </a:r>
              <a:r>
                <a:rPr lang="es-MX" sz="1200" i="0">
                  <a:effectLst/>
                  <a:latin typeface="+mn-lt"/>
                  <a:cs typeface="Arial" panose="020B0604020202020204" pitchFamily="34" charset="0"/>
                </a:rPr>
                <a:t> L</a:t>
              </a: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xdr:col>
      <xdr:colOff>323850</xdr:colOff>
      <xdr:row>152</xdr:row>
      <xdr:rowOff>266700</xdr:rowOff>
    </xdr:from>
    <xdr:ext cx="1857375" cy="834426"/>
    <mc:AlternateContent xmlns:mc="http://schemas.openxmlformats.org/markup-compatibility/2006" xmlns:a14="http://schemas.microsoft.com/office/drawing/2010/main">
      <mc:Choice Requires="a14">
        <xdr:sp macro="" textlink="">
          <xdr:nvSpPr>
            <xdr:cNvPr id="1038" name="CuadroTexto 1037">
              <a:extLst>
                <a:ext uri="{FF2B5EF4-FFF2-40B4-BE49-F238E27FC236}">
                  <a16:creationId xmlns:a16="http://schemas.microsoft.com/office/drawing/2014/main" id="{4AEDBF3B-0A43-442B-B766-921E216639E7}"/>
                </a:ext>
              </a:extLst>
            </xdr:cNvPr>
            <xdr:cNvSpPr txBox="1"/>
          </xdr:nvSpPr>
          <xdr:spPr>
            <a:xfrm>
              <a:off x="1038225" y="131568825"/>
              <a:ext cx="185737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PEAD</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8.33 </m:t>
                  </m:r>
                  <m:r>
                    <a:rPr lang="es-MX" sz="1200" b="0" i="1">
                      <a:latin typeface="Cambria Math" panose="02040503050406030204" pitchFamily="18" charset="0"/>
                    </a:rPr>
                    <m:t>𝐿</m:t>
                  </m:r>
                </m:oMath>
              </a14:m>
              <a:r>
                <a:rPr lang="es-MX" sz="1200" i="0">
                  <a:latin typeface="+mn-lt"/>
                  <a:cs typeface="Arial" panose="020B0604020202020204" pitchFamily="34" charset="0"/>
                </a:rPr>
                <a:t>/kg</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PEAD</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3.43 </m:t>
                    </m:r>
                    <m:r>
                      <m:rPr>
                        <m:sty m:val="p"/>
                      </m:rPr>
                      <a:rPr lang="es-MX" sz="1200" b="0" i="0">
                        <a:solidFill>
                          <a:schemeClr val="tx1"/>
                        </a:solidFill>
                        <a:effectLst/>
                        <a:latin typeface="Cambria Math" panose="02040503050406030204" pitchFamily="18" charset="0"/>
                        <a:ea typeface="+mn-ea"/>
                        <a:cs typeface="+mn-cs"/>
                      </a:rPr>
                      <m:t>L</m:t>
                    </m:r>
                    <m:r>
                      <a:rPr lang="es-MX" sz="1200" b="0" i="0">
                        <a:solidFill>
                          <a:schemeClr val="tx1"/>
                        </a:solidFill>
                        <a:effectLst/>
                        <a:latin typeface="Cambria Math" panose="02040503050406030204" pitchFamily="18" charset="0"/>
                        <a:ea typeface="+mn-ea"/>
                        <a:cs typeface="+mn-cs"/>
                      </a:rPr>
                      <m:t>/</m:t>
                    </m:r>
                    <m:r>
                      <m:rPr>
                        <m:sty m:val="p"/>
                      </m:rPr>
                      <a:rPr lang="es-MX" sz="1200" b="0" i="0">
                        <a:solidFill>
                          <a:schemeClr val="tx1"/>
                        </a:solidFill>
                        <a:effectLst/>
                        <a:latin typeface="Cambria Math" panose="02040503050406030204" pitchFamily="18" charset="0"/>
                        <a:ea typeface="+mn-ea"/>
                        <a:cs typeface="+mn-cs"/>
                      </a:rPr>
                      <m:t>kg</m:t>
                    </m:r>
                  </m:oMath>
                </m:oMathPara>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38" name="CuadroTexto 1037">
              <a:extLst>
                <a:ext uri="{FF2B5EF4-FFF2-40B4-BE49-F238E27FC236}">
                  <a16:creationId xmlns:a16="http://schemas.microsoft.com/office/drawing/2014/main" id="{4AEDBF3B-0A43-442B-B766-921E216639E7}"/>
                </a:ext>
              </a:extLst>
            </xdr:cNvPr>
            <xdr:cNvSpPr txBox="1"/>
          </xdr:nvSpPr>
          <xdr:spPr>
            <a:xfrm>
              <a:off x="1038225" y="131568825"/>
              <a:ext cx="1857375"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200" b="0" i="0">
                  <a:latin typeface="Cambria Math" panose="02040503050406030204" pitchFamily="18" charset="0"/>
                </a:rPr>
                <a:t>PEAD Virgen 8.33 𝐿</a:t>
              </a:r>
              <a:r>
                <a:rPr lang="es-MX" sz="1200" i="0">
                  <a:latin typeface="+mn-lt"/>
                  <a:cs typeface="Arial" panose="020B0604020202020204" pitchFamily="34" charset="0"/>
                </a:rPr>
                <a:t>/kg</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PEAD Reciclado 3.43 L/kg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xdr:col>
      <xdr:colOff>72528</xdr:colOff>
      <xdr:row>256</xdr:row>
      <xdr:rowOff>216764</xdr:rowOff>
    </xdr:from>
    <xdr:ext cx="1670547" cy="869086"/>
    <mc:AlternateContent xmlns:mc="http://schemas.openxmlformats.org/markup-compatibility/2006" xmlns:a14="http://schemas.microsoft.com/office/drawing/2010/main">
      <mc:Choice Requires="a14">
        <xdr:sp macro="" textlink="">
          <xdr:nvSpPr>
            <xdr:cNvPr id="1040" name="CuadroTexto 1039">
              <a:extLst>
                <a:ext uri="{FF2B5EF4-FFF2-40B4-BE49-F238E27FC236}">
                  <a16:creationId xmlns:a16="http://schemas.microsoft.com/office/drawing/2014/main" id="{A984B000-B288-44BF-AD7F-70CED1946165}"/>
                </a:ext>
              </a:extLst>
            </xdr:cNvPr>
            <xdr:cNvSpPr txBox="1"/>
          </xdr:nvSpPr>
          <xdr:spPr>
            <a:xfrm>
              <a:off x="786903" y="1942695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200" b="0" i="0">
                        <a:latin typeface="Cambria Math" panose="02040503050406030204" pitchFamily="18" charset="0"/>
                      </a:rPr>
                      <m:t>PP</m:t>
                    </m:r>
                    <m:r>
                      <a:rPr lang="es-MX" sz="1200" b="0" i="0">
                        <a:latin typeface="Cambria Math" panose="02040503050406030204" pitchFamily="18" charset="0"/>
                      </a:rPr>
                      <m:t> </m:t>
                    </m:r>
                    <m:r>
                      <m:rPr>
                        <m:sty m:val="p"/>
                      </m:rPr>
                      <a:rPr lang="es-MX" sz="1200" b="0" i="0">
                        <a:latin typeface="Cambria Math" panose="02040503050406030204" pitchFamily="18" charset="0"/>
                      </a:rPr>
                      <m:t>V</m:t>
                    </m:r>
                    <m:r>
                      <a:rPr lang="es-MX" sz="1200" b="0" i="1">
                        <a:latin typeface="Cambria Math" panose="02040503050406030204" pitchFamily="18" charset="0"/>
                      </a:rPr>
                      <m:t>=8.58 </m:t>
                    </m:r>
                    <m:r>
                      <a:rPr lang="es-MX" sz="1200" b="0" i="1">
                        <a:latin typeface="Cambria Math" panose="02040503050406030204" pitchFamily="18" charset="0"/>
                      </a:rPr>
                      <m:t>𝐿</m:t>
                    </m:r>
                  </m:oMath>
                </m:oMathPara>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PP</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m:t>
                    </m:r>
                    <m:r>
                      <a:rPr lang="es-MX" sz="1200" b="0" i="0">
                        <a:solidFill>
                          <a:schemeClr val="tx1"/>
                        </a:solidFill>
                        <a:effectLst/>
                        <a:latin typeface="Cambria Math" panose="02040503050406030204" pitchFamily="18" charset="0"/>
                        <a:ea typeface="+mn-ea"/>
                        <a:cs typeface="+mn-cs"/>
                      </a:rPr>
                      <m:t>=4.65 </m:t>
                    </m:r>
                    <m:r>
                      <m:rPr>
                        <m:sty m:val="p"/>
                      </m:rPr>
                      <a:rPr lang="es-MX" sz="1200" b="0" i="0">
                        <a:solidFill>
                          <a:schemeClr val="tx1"/>
                        </a:solidFill>
                        <a:effectLst/>
                        <a:latin typeface="Cambria Math" panose="02040503050406030204" pitchFamily="18" charset="0"/>
                        <a:ea typeface="+mn-ea"/>
                        <a:cs typeface="+mn-cs"/>
                      </a:rPr>
                      <m:t>L</m:t>
                    </m:r>
                  </m:oMath>
                </m:oMathPara>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40" name="CuadroTexto 1039">
              <a:extLst>
                <a:ext uri="{FF2B5EF4-FFF2-40B4-BE49-F238E27FC236}">
                  <a16:creationId xmlns:a16="http://schemas.microsoft.com/office/drawing/2014/main" id="{A984B000-B288-44BF-AD7F-70CED1946165}"/>
                </a:ext>
              </a:extLst>
            </xdr:cNvPr>
            <xdr:cNvSpPr txBox="1"/>
          </xdr:nvSpPr>
          <xdr:spPr>
            <a:xfrm>
              <a:off x="786903" y="1942695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200" b="0" i="0">
                  <a:latin typeface="Cambria Math" panose="02040503050406030204" pitchFamily="18" charset="0"/>
                </a:rPr>
                <a:t>PP V=8.58 𝐿</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PP R=4.65 L</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12</xdr:col>
      <xdr:colOff>2181225</xdr:colOff>
      <xdr:row>256</xdr:row>
      <xdr:rowOff>1047750</xdr:rowOff>
    </xdr:from>
    <xdr:ext cx="380999" cy="380999"/>
    <xdr:pic>
      <xdr:nvPicPr>
        <xdr:cNvPr id="1041" name="Gráfico 1040" descr="Hogar">
          <a:hlinkClick xmlns:r="http://schemas.openxmlformats.org/officeDocument/2006/relationships" r:id="rId110"/>
          <a:extLst>
            <a:ext uri="{FF2B5EF4-FFF2-40B4-BE49-F238E27FC236}">
              <a16:creationId xmlns:a16="http://schemas.microsoft.com/office/drawing/2014/main" id="{5D0F48CE-B5BE-48B8-9127-7C7515DC7EB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40200" y="195100575"/>
          <a:ext cx="380999" cy="380999"/>
        </a:xfrm>
        <a:prstGeom prst="rect">
          <a:avLst/>
        </a:prstGeom>
      </xdr:spPr>
    </xdr:pic>
    <xdr:clientData/>
  </xdr:oneCellAnchor>
  <xdr:oneCellAnchor>
    <xdr:from>
      <xdr:col>1</xdr:col>
      <xdr:colOff>133351</xdr:colOff>
      <xdr:row>66</xdr:row>
      <xdr:rowOff>304800</xdr:rowOff>
    </xdr:from>
    <xdr:ext cx="1752600" cy="609600"/>
    <mc:AlternateContent xmlns:mc="http://schemas.openxmlformats.org/markup-compatibility/2006" xmlns:a14="http://schemas.microsoft.com/office/drawing/2010/main">
      <mc:Choice Requires="a14">
        <xdr:sp macro="" textlink="">
          <xdr:nvSpPr>
            <xdr:cNvPr id="1042" name="CuadroTexto 1041">
              <a:extLst>
                <a:ext uri="{FF2B5EF4-FFF2-40B4-BE49-F238E27FC236}">
                  <a16:creationId xmlns:a16="http://schemas.microsoft.com/office/drawing/2014/main" id="{2144903E-2568-4402-AC29-947AC2BC7B35}"/>
                </a:ext>
              </a:extLst>
            </xdr:cNvPr>
            <xdr:cNvSpPr txBox="1"/>
          </xdr:nvSpPr>
          <xdr:spPr>
            <a:xfrm>
              <a:off x="847726" y="19507200"/>
              <a:ext cx="1752600" cy="609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m:rPr>
                      <m:sty m:val="p"/>
                    </m:rPr>
                    <a:rPr lang="es-MX" sz="1200" b="0" i="0">
                      <a:latin typeface="Cambria Math" panose="02040503050406030204" pitchFamily="18" charset="0"/>
                    </a:rPr>
                    <m:t>PET</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2.78 </m:t>
                  </m:r>
                  <m:r>
                    <m:rPr>
                      <m:sty m:val="p"/>
                    </m:rPr>
                    <a:rPr lang="es-MX" sz="1200" b="0" i="0">
                      <a:latin typeface="Cambria Math" panose="02040503050406030204" pitchFamily="18" charset="0"/>
                    </a:rPr>
                    <m:t>kg</m:t>
                  </m:r>
                </m:oMath>
              </a14:m>
              <a:r>
                <a:rPr lang="es-MX" sz="1200" i="0">
                  <a:latin typeface="+mn-lt"/>
                  <a:cs typeface="Arial" panose="020B0604020202020204" pitchFamily="34" charset="0"/>
                </a:rPr>
                <a:t>CO2</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PET</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r>
                    <a:rPr lang="es-MX" sz="1200" b="0" i="0">
                      <a:solidFill>
                        <a:schemeClr val="tx1"/>
                      </a:solidFill>
                      <a:effectLst/>
                      <a:latin typeface="Cambria Math" panose="02040503050406030204" pitchFamily="18" charset="0"/>
                      <a:ea typeface="+mn-ea"/>
                      <a:cs typeface="+mn-cs"/>
                    </a:rPr>
                    <m:t> .91</m:t>
                  </m:r>
                </m:oMath>
              </a14:m>
              <a:r>
                <a:rPr lang="es-MX" sz="1200" i="0">
                  <a:effectLst/>
                  <a:latin typeface="+mn-lt"/>
                  <a:cs typeface="Arial" panose="020B0604020202020204" pitchFamily="34" charset="0"/>
                </a:rPr>
                <a:t> kgCO2</a:t>
              </a:r>
            </a:p>
            <a:p>
              <a:pPr marL="0" marR="0" lvl="0" indent="0" defTabSz="914400" eaLnBrk="1" fontAlgn="auto" latinLnBrk="0" hangingPunct="1">
                <a:lnSpc>
                  <a:spcPct val="100000"/>
                </a:lnSpc>
                <a:spcBef>
                  <a:spcPts val="0"/>
                </a:spcBef>
                <a:spcAft>
                  <a:spcPts val="0"/>
                </a:spcAft>
                <a:buClrTx/>
                <a:buSzTx/>
                <a:buFontTx/>
                <a:buNone/>
                <a:tabLst/>
                <a:defRPr/>
              </a:pP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42" name="CuadroTexto 1041">
              <a:extLst>
                <a:ext uri="{FF2B5EF4-FFF2-40B4-BE49-F238E27FC236}">
                  <a16:creationId xmlns:a16="http://schemas.microsoft.com/office/drawing/2014/main" id="{2144903E-2568-4402-AC29-947AC2BC7B35}"/>
                </a:ext>
              </a:extLst>
            </xdr:cNvPr>
            <xdr:cNvSpPr txBox="1"/>
          </xdr:nvSpPr>
          <xdr:spPr>
            <a:xfrm>
              <a:off x="847726" y="19507200"/>
              <a:ext cx="1752600" cy="609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200" b="0" i="0">
                  <a:latin typeface="Cambria Math" panose="02040503050406030204" pitchFamily="18" charset="0"/>
                </a:rPr>
                <a:t>PET Virgen 2.78 kg</a:t>
              </a:r>
              <a:r>
                <a:rPr lang="es-MX" sz="1200" i="0">
                  <a:latin typeface="+mn-lt"/>
                  <a:cs typeface="Arial" panose="020B0604020202020204" pitchFamily="34" charset="0"/>
                </a:rPr>
                <a:t>CO2</a:t>
              </a: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PET Reciclado .91</a:t>
              </a:r>
              <a:r>
                <a:rPr lang="es-MX" sz="1200" i="0">
                  <a:effectLst/>
                  <a:latin typeface="+mn-lt"/>
                  <a:cs typeface="Arial" panose="020B0604020202020204" pitchFamily="34" charset="0"/>
                </a:rPr>
                <a:t> kgCO2</a:t>
              </a:r>
            </a:p>
            <a:p>
              <a:pPr marL="0" marR="0" lvl="0" indent="0" defTabSz="914400" eaLnBrk="1" fontAlgn="auto" latinLnBrk="0" hangingPunct="1">
                <a:lnSpc>
                  <a:spcPct val="100000"/>
                </a:lnSpc>
                <a:spcBef>
                  <a:spcPts val="0"/>
                </a:spcBef>
                <a:spcAft>
                  <a:spcPts val="0"/>
                </a:spcAft>
                <a:buClrTx/>
                <a:buSzTx/>
                <a:buFontTx/>
                <a:buNone/>
                <a:tabLst/>
                <a:defRPr/>
              </a:pP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xdr:col>
      <xdr:colOff>704851</xdr:colOff>
      <xdr:row>236</xdr:row>
      <xdr:rowOff>450850</xdr:rowOff>
    </xdr:from>
    <xdr:ext cx="1314450" cy="834426"/>
    <mc:AlternateContent xmlns:mc="http://schemas.openxmlformats.org/markup-compatibility/2006" xmlns:a14="http://schemas.microsoft.com/office/drawing/2010/main">
      <mc:Choice Requires="a14">
        <xdr:sp macro="" textlink="">
          <xdr:nvSpPr>
            <xdr:cNvPr id="1044" name="CuadroTexto 1043">
              <a:extLst>
                <a:ext uri="{FF2B5EF4-FFF2-40B4-BE49-F238E27FC236}">
                  <a16:creationId xmlns:a16="http://schemas.microsoft.com/office/drawing/2014/main" id="{6847F9B1-7149-47FE-B181-81E48B30F095}"/>
                </a:ext>
              </a:extLst>
            </xdr:cNvPr>
            <xdr:cNvSpPr txBox="1"/>
          </xdr:nvSpPr>
          <xdr:spPr>
            <a:xfrm>
              <a:off x="1419226" y="184775475"/>
              <a:ext cx="1314450"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200" b="0" i="0">
                        <a:latin typeface="Cambria Math" panose="02040503050406030204" pitchFamily="18" charset="0"/>
                      </a:rPr>
                      <m:t>PEAD</m:t>
                    </m:r>
                    <m:r>
                      <a:rPr lang="es-MX" sz="1200" b="0" i="0">
                        <a:latin typeface="Cambria Math" panose="02040503050406030204" pitchFamily="18" charset="0"/>
                      </a:rPr>
                      <m:t> </m:t>
                    </m:r>
                    <m:r>
                      <m:rPr>
                        <m:sty m:val="p"/>
                      </m:rPr>
                      <a:rPr lang="es-MX" sz="1200" b="0" i="0">
                        <a:latin typeface="Cambria Math" panose="02040503050406030204" pitchFamily="18" charset="0"/>
                      </a:rPr>
                      <m:t>Virgen</m:t>
                    </m:r>
                    <m:r>
                      <a:rPr lang="es-MX" sz="1200" b="0" i="0">
                        <a:latin typeface="Cambria Math" panose="02040503050406030204" pitchFamily="18" charset="0"/>
                      </a:rPr>
                      <m:t> </m:t>
                    </m:r>
                    <m:r>
                      <a:rPr lang="es-MX" sz="1200" b="0" i="1">
                        <a:latin typeface="Cambria Math" panose="02040503050406030204" pitchFamily="18" charset="0"/>
                      </a:rPr>
                      <m:t>1.89</m:t>
                    </m:r>
                  </m:oMath>
                </m:oMathPara>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PEAD</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Reciclado</m:t>
                  </m:r>
                </m:oMath>
              </a14:m>
              <a:r>
                <a:rPr lang="es-MX" sz="1200" i="0">
                  <a:latin typeface="+mn-lt"/>
                  <a:cs typeface="Arial" panose="020B0604020202020204" pitchFamily="34" charset="0"/>
                </a:rPr>
                <a:t> .56</a:t>
              </a:r>
            </a:p>
          </xdr:txBody>
        </xdr:sp>
      </mc:Choice>
      <mc:Fallback xmlns="">
        <xdr:sp macro="" textlink="">
          <xdr:nvSpPr>
            <xdr:cNvPr id="1044" name="CuadroTexto 1043">
              <a:extLst>
                <a:ext uri="{FF2B5EF4-FFF2-40B4-BE49-F238E27FC236}">
                  <a16:creationId xmlns:a16="http://schemas.microsoft.com/office/drawing/2014/main" id="{6847F9B1-7149-47FE-B181-81E48B30F095}"/>
                </a:ext>
              </a:extLst>
            </xdr:cNvPr>
            <xdr:cNvSpPr txBox="1"/>
          </xdr:nvSpPr>
          <xdr:spPr>
            <a:xfrm>
              <a:off x="1419226" y="184775475"/>
              <a:ext cx="1314450" cy="834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200" b="0" i="0">
                  <a:latin typeface="Cambria Math" panose="02040503050406030204" pitchFamily="18" charset="0"/>
                </a:rPr>
                <a:t>PEAD Virgen 1.89</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PEAD Reciclado</a:t>
              </a:r>
              <a:r>
                <a:rPr lang="es-MX" sz="1200" i="0">
                  <a:latin typeface="+mn-lt"/>
                  <a:cs typeface="Arial" panose="020B0604020202020204" pitchFamily="34" charset="0"/>
                </a:rPr>
                <a:t> .56</a:t>
              </a:r>
            </a:p>
          </xdr:txBody>
        </xdr:sp>
      </mc:Fallback>
    </mc:AlternateContent>
    <xdr:clientData/>
  </xdr:oneCellAnchor>
  <xdr:oneCellAnchor>
    <xdr:from>
      <xdr:col>1</xdr:col>
      <xdr:colOff>231278</xdr:colOff>
      <xdr:row>291</xdr:row>
      <xdr:rowOff>232639</xdr:rowOff>
    </xdr:from>
    <xdr:ext cx="1670547" cy="869086"/>
    <mc:AlternateContent xmlns:mc="http://schemas.openxmlformats.org/markup-compatibility/2006" xmlns:a14="http://schemas.microsoft.com/office/drawing/2010/main">
      <mc:Choice Requires="a14">
        <xdr:sp macro="" textlink="">
          <xdr:nvSpPr>
            <xdr:cNvPr id="1046" name="CuadroTexto 1045">
              <a:extLst>
                <a:ext uri="{FF2B5EF4-FFF2-40B4-BE49-F238E27FC236}">
                  <a16:creationId xmlns:a16="http://schemas.microsoft.com/office/drawing/2014/main" id="{8D3BD98F-8BAE-46DC-97DC-4070E5A54328}"/>
                </a:ext>
              </a:extLst>
            </xdr:cNvPr>
            <xdr:cNvSpPr txBox="1"/>
          </xdr:nvSpPr>
          <xdr:spPr>
            <a:xfrm>
              <a:off x="945653" y="2414373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200" b="0" i="0">
                        <a:latin typeface="Cambria Math" panose="02040503050406030204" pitchFamily="18" charset="0"/>
                      </a:rPr>
                      <m:t>PP</m:t>
                    </m:r>
                    <m:r>
                      <a:rPr lang="es-MX" sz="1200" b="0" i="0">
                        <a:latin typeface="Cambria Math" panose="02040503050406030204" pitchFamily="18" charset="0"/>
                      </a:rPr>
                      <m:t> </m:t>
                    </m:r>
                    <m:r>
                      <m:rPr>
                        <m:sty m:val="p"/>
                      </m:rPr>
                      <a:rPr lang="es-MX" sz="1200" b="0" i="0">
                        <a:latin typeface="Cambria Math" panose="02040503050406030204" pitchFamily="18" charset="0"/>
                      </a:rPr>
                      <m:t>V</m:t>
                    </m:r>
                    <m:r>
                      <a:rPr lang="es-MX" sz="1200" b="0" i="1">
                        <a:latin typeface="Cambria Math" panose="02040503050406030204" pitchFamily="18" charset="0"/>
                      </a:rPr>
                      <m:t>=1.84 </m:t>
                    </m:r>
                    <m:r>
                      <a:rPr lang="es-MX" sz="1200" b="0" i="1">
                        <a:latin typeface="Cambria Math" panose="02040503050406030204" pitchFamily="18" charset="0"/>
                      </a:rPr>
                      <m:t>𝑘𝑔</m:t>
                    </m:r>
                  </m:oMath>
                </m:oMathPara>
              </a14:m>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200" b="0" i="0">
                        <a:solidFill>
                          <a:schemeClr val="tx1"/>
                        </a:solidFill>
                        <a:effectLst/>
                        <a:latin typeface="Cambria Math" panose="02040503050406030204" pitchFamily="18" charset="0"/>
                        <a:ea typeface="+mn-ea"/>
                        <a:cs typeface="+mn-cs"/>
                      </a:rPr>
                      <m:t>PP</m:t>
                    </m:r>
                    <m:r>
                      <a:rPr lang="es-MX" sz="1200" b="0" i="0">
                        <a:solidFill>
                          <a:schemeClr val="tx1"/>
                        </a:solidFill>
                        <a:effectLst/>
                        <a:latin typeface="Cambria Math" panose="02040503050406030204" pitchFamily="18" charset="0"/>
                        <a:ea typeface="+mn-ea"/>
                        <a:cs typeface="+mn-cs"/>
                      </a:rPr>
                      <m:t> </m:t>
                    </m:r>
                    <m:r>
                      <m:rPr>
                        <m:sty m:val="p"/>
                      </m:rPr>
                      <a:rPr lang="es-MX" sz="1200" b="0" i="0">
                        <a:solidFill>
                          <a:schemeClr val="tx1"/>
                        </a:solidFill>
                        <a:effectLst/>
                        <a:latin typeface="Cambria Math" panose="02040503050406030204" pitchFamily="18" charset="0"/>
                        <a:ea typeface="+mn-ea"/>
                        <a:cs typeface="+mn-cs"/>
                      </a:rPr>
                      <m:t>R</m:t>
                    </m:r>
                    <m:r>
                      <a:rPr lang="es-MX" sz="1200" b="0" i="0">
                        <a:solidFill>
                          <a:schemeClr val="tx1"/>
                        </a:solidFill>
                        <a:effectLst/>
                        <a:latin typeface="Cambria Math" panose="02040503050406030204" pitchFamily="18" charset="0"/>
                        <a:ea typeface="+mn-ea"/>
                        <a:cs typeface="+mn-cs"/>
                      </a:rPr>
                      <m:t>=.53 </m:t>
                    </m:r>
                    <m:r>
                      <m:rPr>
                        <m:sty m:val="p"/>
                      </m:rPr>
                      <a:rPr lang="es-MX" sz="1200" b="0" i="0">
                        <a:solidFill>
                          <a:schemeClr val="tx1"/>
                        </a:solidFill>
                        <a:effectLst/>
                        <a:latin typeface="Cambria Math" panose="02040503050406030204" pitchFamily="18" charset="0"/>
                        <a:ea typeface="+mn-ea"/>
                        <a:cs typeface="+mn-cs"/>
                      </a:rPr>
                      <m:t>kg</m:t>
                    </m:r>
                  </m:oMath>
                </m:oMathPara>
              </a14:m>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Choice>
      <mc:Fallback xmlns="">
        <xdr:sp macro="" textlink="">
          <xdr:nvSpPr>
            <xdr:cNvPr id="1046" name="CuadroTexto 1045">
              <a:extLst>
                <a:ext uri="{FF2B5EF4-FFF2-40B4-BE49-F238E27FC236}">
                  <a16:creationId xmlns:a16="http://schemas.microsoft.com/office/drawing/2014/main" id="{8D3BD98F-8BAE-46DC-97DC-4070E5A54328}"/>
                </a:ext>
              </a:extLst>
            </xdr:cNvPr>
            <xdr:cNvSpPr txBox="1"/>
          </xdr:nvSpPr>
          <xdr:spPr>
            <a:xfrm>
              <a:off x="945653" y="241437389"/>
              <a:ext cx="1670547" cy="869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200" b="0" i="0">
                  <a:latin typeface="Cambria Math" panose="02040503050406030204" pitchFamily="18" charset="0"/>
                </a:rPr>
                <a:t>PP V=1.84 𝑘𝑔</a:t>
              </a:r>
              <a:endParaRPr lang="es-MX" sz="1200" i="0">
                <a:latin typeface="+mn-lt"/>
                <a:cs typeface="Arial" panose="020B0604020202020204" pitchFamily="34" charset="0"/>
              </a:endParaRPr>
            </a:p>
            <a:p>
              <a:endParaRPr lang="es-MX" sz="1200" i="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0" i="0">
                  <a:solidFill>
                    <a:schemeClr val="tx1"/>
                  </a:solidFill>
                  <a:effectLst/>
                  <a:latin typeface="Cambria Math" panose="02040503050406030204" pitchFamily="18" charset="0"/>
                  <a:ea typeface="+mn-ea"/>
                  <a:cs typeface="+mn-cs"/>
                </a:rPr>
                <a:t>PP R=.53 kg</a:t>
              </a:r>
              <a:endParaRPr lang="es-MX" sz="1200" i="0">
                <a:effectLst/>
                <a:latin typeface="+mn-lt"/>
                <a:cs typeface="Arial" panose="020B0604020202020204" pitchFamily="34" charset="0"/>
              </a:endParaRPr>
            </a:p>
            <a:p>
              <a:endParaRPr lang="es-MX" sz="1200" i="0">
                <a:latin typeface="+mn-lt"/>
                <a:cs typeface="Arial" panose="020B0604020202020204" pitchFamily="34" charset="0"/>
              </a:endParaRPr>
            </a:p>
            <a:p>
              <a:endParaRPr lang="es-MX" sz="1200" i="0">
                <a:latin typeface="+mn-lt"/>
                <a:cs typeface="Arial" panose="020B0604020202020204" pitchFamily="34" charset="0"/>
              </a:endParaRPr>
            </a:p>
          </xdr:txBody>
        </xdr:sp>
      </mc:Fallback>
    </mc:AlternateContent>
    <xdr:clientData/>
  </xdr:oneCellAnchor>
  <xdr:oneCellAnchor>
    <xdr:from>
      <xdr:col>12</xdr:col>
      <xdr:colOff>1323975</xdr:colOff>
      <xdr:row>291</xdr:row>
      <xdr:rowOff>981075</xdr:rowOff>
    </xdr:from>
    <xdr:ext cx="380999" cy="380999"/>
    <xdr:pic>
      <xdr:nvPicPr>
        <xdr:cNvPr id="1047" name="Gráfico 1046" descr="Hogar">
          <a:hlinkClick xmlns:r="http://schemas.openxmlformats.org/officeDocument/2006/relationships" r:id="rId109"/>
          <a:extLst>
            <a:ext uri="{FF2B5EF4-FFF2-40B4-BE49-F238E27FC236}">
              <a16:creationId xmlns:a16="http://schemas.microsoft.com/office/drawing/2014/main" id="{814B486C-D7F4-4BE4-8621-8F316525127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973425" y="240515775"/>
          <a:ext cx="380999" cy="380999"/>
        </a:xfrm>
        <a:prstGeom prst="rect">
          <a:avLst/>
        </a:prstGeom>
      </xdr:spPr>
    </xdr:pic>
    <xdr:clientData/>
  </xdr:oneCellAnchor>
  <xdr:oneCellAnchor>
    <xdr:from>
      <xdr:col>10</xdr:col>
      <xdr:colOff>114734</xdr:colOff>
      <xdr:row>501</xdr:row>
      <xdr:rowOff>157308</xdr:rowOff>
    </xdr:from>
    <xdr:ext cx="1852084" cy="552738"/>
    <mc:AlternateContent xmlns:mc="http://schemas.openxmlformats.org/markup-compatibility/2006" xmlns:a14="http://schemas.microsoft.com/office/drawing/2010/main">
      <mc:Choice Requires="a14">
        <xdr:sp macro="" textlink="">
          <xdr:nvSpPr>
            <xdr:cNvPr id="1048" name="CuadroTexto 1047">
              <a:extLst>
                <a:ext uri="{FF2B5EF4-FFF2-40B4-BE49-F238E27FC236}">
                  <a16:creationId xmlns:a16="http://schemas.microsoft.com/office/drawing/2014/main" id="{C26CC10A-7BF1-418B-99C1-1F685306E3A3}"/>
                </a:ext>
              </a:extLst>
            </xdr:cNvPr>
            <xdr:cNvSpPr txBox="1"/>
          </xdr:nvSpPr>
          <xdr:spPr>
            <a:xfrm>
              <a:off x="10792259" y="380119083"/>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𝑑𝑒</m:t>
                    </m:r>
                    <m:r>
                      <a:rPr lang="es-MX" sz="1000" b="0" i="1">
                        <a:latin typeface="Cambria Math" panose="02040503050406030204" pitchFamily="18" charset="0"/>
                      </a:rPr>
                      <m:t> </m:t>
                    </m:r>
                    <m:r>
                      <a:rPr lang="es-MX" sz="1000" b="0" i="1">
                        <a:latin typeface="Cambria Math" panose="02040503050406030204" pitchFamily="18" charset="0"/>
                      </a:rPr>
                      <m:t>𝐶𝐿</m:t>
                    </m:r>
                    <m:r>
                      <a:rPr lang="es-MX" sz="1000" b="0" i="1">
                        <a:latin typeface="Cambria Math" panose="02040503050406030204" pitchFamily="18" charset="0"/>
                      </a:rPr>
                      <m:t>=</m:t>
                    </m:r>
                    <m:r>
                      <a:rPr lang="es-MX" sz="1000" b="0" i="0">
                        <a:latin typeface="Cambria Math" panose="02040503050406030204" pitchFamily="18" charset="0"/>
                      </a:rPr>
                      <m:t>.0210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𝑑𝑒</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𝐶𝐿</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21 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1048" name="CuadroTexto 1047">
              <a:extLst>
                <a:ext uri="{FF2B5EF4-FFF2-40B4-BE49-F238E27FC236}">
                  <a16:creationId xmlns:a16="http://schemas.microsoft.com/office/drawing/2014/main" id="{C26CC10A-7BF1-418B-99C1-1F685306E3A3}"/>
                </a:ext>
              </a:extLst>
            </xdr:cNvPr>
            <xdr:cNvSpPr txBox="1"/>
          </xdr:nvSpPr>
          <xdr:spPr>
            <a:xfrm>
              <a:off x="10792259" y="380119083"/>
              <a:ext cx="1852084"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𝑑𝑒 𝐶𝐿=.0210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𝑑𝑒 𝐶𝐿=21 m3</a:t>
              </a:r>
              <a:endParaRPr lang="es-MX" sz="1000">
                <a:effectLst/>
              </a:endParaRPr>
            </a:p>
            <a:p>
              <a:endParaRPr lang="es-MX" sz="1000" b="0"/>
            </a:p>
          </xdr:txBody>
        </xdr:sp>
      </mc:Fallback>
    </mc:AlternateContent>
    <xdr:clientData/>
  </xdr:oneCellAnchor>
  <xdr:oneCellAnchor>
    <xdr:from>
      <xdr:col>9</xdr:col>
      <xdr:colOff>209550</xdr:colOff>
      <xdr:row>442</xdr:row>
      <xdr:rowOff>387350</xdr:rowOff>
    </xdr:from>
    <xdr:ext cx="1742641" cy="552738"/>
    <mc:AlternateContent xmlns:mc="http://schemas.openxmlformats.org/markup-compatibility/2006" xmlns:a14="http://schemas.microsoft.com/office/drawing/2010/main">
      <mc:Choice Requires="a14">
        <xdr:sp macro="" textlink="">
          <xdr:nvSpPr>
            <xdr:cNvPr id="1052" name="CuadroTexto 1051">
              <a:extLst>
                <a:ext uri="{FF2B5EF4-FFF2-40B4-BE49-F238E27FC236}">
                  <a16:creationId xmlns:a16="http://schemas.microsoft.com/office/drawing/2014/main" id="{CEDBC9BC-E8A5-4BEB-8764-797E41047F13}"/>
                </a:ext>
              </a:extLst>
            </xdr:cNvPr>
            <xdr:cNvSpPr txBox="1"/>
          </xdr:nvSpPr>
          <xdr:spPr>
            <a:xfrm>
              <a:off x="10036175" y="370671725"/>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𝑣𝑖𝑑𝑟𝑖𝑜</m:t>
                    </m:r>
                    <m:r>
                      <a:rPr lang="es-MX" sz="1000" b="0" i="1">
                        <a:latin typeface="Cambria Math" panose="02040503050406030204" pitchFamily="18" charset="0"/>
                      </a:rPr>
                      <m:t>= </m:t>
                    </m:r>
                    <m:r>
                      <a:rPr lang="es-MX" sz="1000" b="0" i="0">
                        <a:latin typeface="Cambria Math" panose="02040503050406030204" pitchFamily="18" charset="0"/>
                      </a:rPr>
                      <m:t>.00383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000" b="0" i="1">
                        <a:solidFill>
                          <a:schemeClr val="tx1"/>
                        </a:solidFill>
                        <a:effectLst/>
                        <a:latin typeface="Cambria Math" panose="02040503050406030204" pitchFamily="18" charset="0"/>
                        <a:ea typeface="+mn-ea"/>
                        <a:cs typeface="+mn-cs"/>
                      </a:rPr>
                      <m:t>1 </m:t>
                    </m:r>
                    <m:r>
                      <a:rPr lang="es-MX" sz="1000" b="0" i="1">
                        <a:solidFill>
                          <a:schemeClr val="tx1"/>
                        </a:solidFill>
                        <a:effectLst/>
                        <a:latin typeface="Cambria Math" panose="02040503050406030204" pitchFamily="18" charset="0"/>
                        <a:ea typeface="+mn-ea"/>
                        <a:cs typeface="+mn-cs"/>
                      </a:rPr>
                      <m:t>𝑇𝑜𝑛</m:t>
                    </m:r>
                    <m:r>
                      <a:rPr lang="es-MX" sz="1000" b="0" i="1">
                        <a:solidFill>
                          <a:schemeClr val="tx1"/>
                        </a:solidFill>
                        <a:effectLst/>
                        <a:latin typeface="Cambria Math" panose="02040503050406030204" pitchFamily="18" charset="0"/>
                        <a:ea typeface="+mn-ea"/>
                        <a:cs typeface="+mn-cs"/>
                      </a:rPr>
                      <m:t> </m:t>
                    </m:r>
                    <m:r>
                      <a:rPr lang="es-MX" sz="1000" b="0" i="1">
                        <a:solidFill>
                          <a:schemeClr val="tx1"/>
                        </a:solidFill>
                        <a:effectLst/>
                        <a:latin typeface="Cambria Math" panose="02040503050406030204" pitchFamily="18" charset="0"/>
                        <a:ea typeface="+mn-ea"/>
                        <a:cs typeface="+mn-cs"/>
                      </a:rPr>
                      <m:t>𝑣𝑖𝑑𝑟𝑖𝑜</m:t>
                    </m:r>
                    <m:r>
                      <a:rPr lang="es-MX" sz="1000" b="0" i="1">
                        <a:solidFill>
                          <a:schemeClr val="tx1"/>
                        </a:solidFill>
                        <a:effectLst/>
                        <a:latin typeface="Cambria Math" panose="02040503050406030204" pitchFamily="18" charset="0"/>
                        <a:ea typeface="+mn-ea"/>
                        <a:cs typeface="+mn-cs"/>
                      </a:rPr>
                      <m:t>=</m:t>
                    </m:r>
                    <m:r>
                      <a:rPr lang="es-MX" sz="1000" b="0" i="0">
                        <a:solidFill>
                          <a:schemeClr val="tx1"/>
                        </a:solidFill>
                        <a:effectLst/>
                        <a:latin typeface="Cambria Math" panose="02040503050406030204" pitchFamily="18" charset="0"/>
                        <a:ea typeface="+mn-ea"/>
                        <a:cs typeface="+mn-cs"/>
                      </a:rPr>
                      <m:t>3.83 </m:t>
                    </m:r>
                    <m:r>
                      <m:rPr>
                        <m:sty m:val="p"/>
                      </m:rPr>
                      <a:rPr lang="es-MX" sz="1000" b="0" i="0">
                        <a:solidFill>
                          <a:schemeClr val="tx1"/>
                        </a:solidFill>
                        <a:effectLst/>
                        <a:latin typeface="Cambria Math" panose="02040503050406030204" pitchFamily="18" charset="0"/>
                        <a:ea typeface="+mn-ea"/>
                        <a:cs typeface="+mn-cs"/>
                      </a:rPr>
                      <m:t>m</m:t>
                    </m:r>
                    <m:r>
                      <a:rPr lang="es-MX" sz="10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1052" name="CuadroTexto 1051">
              <a:extLst>
                <a:ext uri="{FF2B5EF4-FFF2-40B4-BE49-F238E27FC236}">
                  <a16:creationId xmlns:a16="http://schemas.microsoft.com/office/drawing/2014/main" id="{CEDBC9BC-E8A5-4BEB-8764-797E41047F13}"/>
                </a:ext>
              </a:extLst>
            </xdr:cNvPr>
            <xdr:cNvSpPr txBox="1"/>
          </xdr:nvSpPr>
          <xdr:spPr>
            <a:xfrm>
              <a:off x="10036175" y="370671725"/>
              <a:ext cx="1742641" cy="552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00" b="0" i="0">
                  <a:latin typeface="Cambria Math" panose="02040503050406030204" pitchFamily="18" charset="0"/>
                </a:rPr>
                <a:t>1 𝑘𝑔 𝑣𝑖𝑑𝑟𝑖𝑜= .00383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000" b="0" i="0">
                  <a:solidFill>
                    <a:schemeClr val="tx1"/>
                  </a:solidFill>
                  <a:effectLst/>
                  <a:latin typeface="Cambria Math" panose="02040503050406030204" pitchFamily="18" charset="0"/>
                  <a:ea typeface="+mn-ea"/>
                  <a:cs typeface="+mn-cs"/>
                </a:rPr>
                <a:t>1 𝑇𝑜𝑛 𝑣𝑖𝑑𝑟𝑖𝑜=3.83 m3</a:t>
              </a:r>
              <a:endParaRPr lang="es-MX" sz="1000">
                <a:effectLst/>
              </a:endParaRPr>
            </a:p>
            <a:p>
              <a:endParaRPr lang="es-MX" sz="1000" b="0"/>
            </a:p>
          </xdr:txBody>
        </xdr:sp>
      </mc:Fallback>
    </mc:AlternateContent>
    <xdr:clientData/>
  </xdr:oneCellAnchor>
  <xdr:oneCellAnchor>
    <xdr:from>
      <xdr:col>10</xdr:col>
      <xdr:colOff>276225</xdr:colOff>
      <xdr:row>472</xdr:row>
      <xdr:rowOff>447675</xdr:rowOff>
    </xdr:from>
    <xdr:ext cx="1438275" cy="657225"/>
    <mc:AlternateContent xmlns:mc="http://schemas.openxmlformats.org/markup-compatibility/2006" xmlns:a14="http://schemas.microsoft.com/office/drawing/2010/main">
      <mc:Choice Requires="a14">
        <xdr:sp macro="" textlink="">
          <xdr:nvSpPr>
            <xdr:cNvPr id="1021" name="CuadroTexto 1020">
              <a:extLst>
                <a:ext uri="{FF2B5EF4-FFF2-40B4-BE49-F238E27FC236}">
                  <a16:creationId xmlns:a16="http://schemas.microsoft.com/office/drawing/2014/main" id="{5B84212A-DC55-4BAA-8716-C5750E73F1BD}"/>
                </a:ext>
              </a:extLst>
            </xdr:cNvPr>
            <xdr:cNvSpPr txBox="1"/>
          </xdr:nvSpPr>
          <xdr:spPr>
            <a:xfrm>
              <a:off x="10953750" y="364283625"/>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3 </m:t>
                    </m:r>
                    <m:r>
                      <m:rPr>
                        <m:sty m:val="p"/>
                      </m:rPr>
                      <a:rPr lang="es-MX" sz="1050" b="0" i="0">
                        <a:latin typeface="Cambria Math" panose="02040503050406030204" pitchFamily="18" charset="0"/>
                      </a:rPr>
                      <m:t>kwh</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3,000 </m:t>
                  </m:r>
                  <m:r>
                    <m:rPr>
                      <m:sty m:val="p"/>
                    </m:rPr>
                    <a:rPr lang="es-MX" sz="1100" b="0" i="0">
                      <a:solidFill>
                        <a:schemeClr val="tx1"/>
                      </a:solidFill>
                      <a:effectLst/>
                      <a:latin typeface="Cambria Math" panose="02040503050406030204" pitchFamily="18" charset="0"/>
                      <a:ea typeface="+mn-ea"/>
                      <a:cs typeface="+mn-cs"/>
                    </a:rPr>
                    <m:t>kwh</m:t>
                  </m:r>
                </m:oMath>
              </a14:m>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1021" name="CuadroTexto 1020">
              <a:extLst>
                <a:ext uri="{FF2B5EF4-FFF2-40B4-BE49-F238E27FC236}">
                  <a16:creationId xmlns:a16="http://schemas.microsoft.com/office/drawing/2014/main" id="{5B84212A-DC55-4BAA-8716-C5750E73F1BD}"/>
                </a:ext>
              </a:extLst>
            </xdr:cNvPr>
            <xdr:cNvSpPr txBox="1"/>
          </xdr:nvSpPr>
          <xdr:spPr>
            <a:xfrm>
              <a:off x="10953750" y="364283625"/>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𝐶𝐿=3 kwh</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𝐶𝐿=3,000 kwh</a:t>
              </a:r>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10</xdr:col>
      <xdr:colOff>276225</xdr:colOff>
      <xdr:row>480</xdr:row>
      <xdr:rowOff>447675</xdr:rowOff>
    </xdr:from>
    <xdr:ext cx="1438275" cy="657225"/>
    <mc:AlternateContent xmlns:mc="http://schemas.openxmlformats.org/markup-compatibility/2006" xmlns:a14="http://schemas.microsoft.com/office/drawing/2010/main">
      <mc:Choice Requires="a14">
        <xdr:sp macro="" textlink="">
          <xdr:nvSpPr>
            <xdr:cNvPr id="1034" name="CuadroTexto 1033">
              <a:extLst>
                <a:ext uri="{FF2B5EF4-FFF2-40B4-BE49-F238E27FC236}">
                  <a16:creationId xmlns:a16="http://schemas.microsoft.com/office/drawing/2014/main" id="{2CE34524-E828-4662-A46D-295BBEA9DF3E}"/>
                </a:ext>
              </a:extLst>
            </xdr:cNvPr>
            <xdr:cNvSpPr txBox="1"/>
          </xdr:nvSpPr>
          <xdr:spPr>
            <a:xfrm>
              <a:off x="10953750" y="364283625"/>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24.375 </m:t>
                    </m:r>
                    <m:r>
                      <m:rPr>
                        <m:sty m:val="p"/>
                      </m:rPr>
                      <a:rPr lang="es-MX" sz="1050" b="0" i="0">
                        <a:latin typeface="Cambria Math" panose="02040503050406030204" pitchFamily="18" charset="0"/>
                      </a:rPr>
                      <m:t>L</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54,375 </m:t>
                  </m:r>
                  <m:r>
                    <m:rPr>
                      <m:sty m:val="p"/>
                    </m:rPr>
                    <a:rPr lang="es-MX" sz="1100" b="0" i="0">
                      <a:solidFill>
                        <a:schemeClr val="tx1"/>
                      </a:solidFill>
                      <a:effectLst/>
                      <a:latin typeface="Cambria Math" panose="02040503050406030204" pitchFamily="18" charset="0"/>
                      <a:ea typeface="+mn-ea"/>
                      <a:cs typeface="+mn-cs"/>
                    </a:rPr>
                    <m:t>L</m:t>
                  </m:r>
                </m:oMath>
              </a14:m>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1034" name="CuadroTexto 1033">
              <a:extLst>
                <a:ext uri="{FF2B5EF4-FFF2-40B4-BE49-F238E27FC236}">
                  <a16:creationId xmlns:a16="http://schemas.microsoft.com/office/drawing/2014/main" id="{2CE34524-E828-4662-A46D-295BBEA9DF3E}"/>
                </a:ext>
              </a:extLst>
            </xdr:cNvPr>
            <xdr:cNvSpPr txBox="1"/>
          </xdr:nvSpPr>
          <xdr:spPr>
            <a:xfrm>
              <a:off x="10953750" y="364283625"/>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𝐶𝐿=24.375 L</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𝐶𝐿=54,375 L</a:t>
              </a:r>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10</xdr:col>
      <xdr:colOff>323850</xdr:colOff>
      <xdr:row>511</xdr:row>
      <xdr:rowOff>196849</xdr:rowOff>
    </xdr:from>
    <xdr:ext cx="1809749" cy="1247775"/>
    <mc:AlternateContent xmlns:mc="http://schemas.openxmlformats.org/markup-compatibility/2006" xmlns:a14="http://schemas.microsoft.com/office/drawing/2010/main">
      <mc:Choice Requires="a14">
        <xdr:sp macro="" textlink="">
          <xdr:nvSpPr>
            <xdr:cNvPr id="1022" name="CuadroTexto 1021">
              <a:extLst>
                <a:ext uri="{FF2B5EF4-FFF2-40B4-BE49-F238E27FC236}">
                  <a16:creationId xmlns:a16="http://schemas.microsoft.com/office/drawing/2014/main" id="{9AC3C73A-54CE-4D45-8E7D-3308D0D73B7D}"/>
                </a:ext>
              </a:extLst>
            </xdr:cNvPr>
            <xdr:cNvSpPr txBox="1"/>
          </xdr:nvSpPr>
          <xdr:spPr>
            <a:xfrm>
              <a:off x="12706350" y="43437809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oMath>
              </a14:m>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oMath>
              </a14:m>
              <a:r>
                <a:rPr lang="es-MX">
                  <a:effectLst/>
                </a:rPr>
                <a:t> 1500 kg</a:t>
              </a:r>
              <a:r>
                <a:rPr lang="es-MX" baseline="0">
                  <a:effectLst/>
                </a:rPr>
                <a:t> de madera, 100,000 L de agua y 221 kg  de diesel</a:t>
              </a:r>
              <a:endParaRPr lang="es-MX">
                <a:effectLst/>
              </a:endParaRPr>
            </a:p>
            <a:p>
              <a:endParaRPr lang="es-MX" sz="1050" b="0"/>
            </a:p>
          </xdr:txBody>
        </xdr:sp>
      </mc:Choice>
      <mc:Fallback xmlns="">
        <xdr:sp macro="" textlink="">
          <xdr:nvSpPr>
            <xdr:cNvPr id="1022" name="CuadroTexto 1021">
              <a:extLst>
                <a:ext uri="{FF2B5EF4-FFF2-40B4-BE49-F238E27FC236}">
                  <a16:creationId xmlns:a16="http://schemas.microsoft.com/office/drawing/2014/main" id="{9AC3C73A-54CE-4D45-8E7D-3308D0D73B7D}"/>
                </a:ext>
              </a:extLst>
            </xdr:cNvPr>
            <xdr:cNvSpPr txBox="1"/>
          </xdr:nvSpPr>
          <xdr:spPr>
            <a:xfrm>
              <a:off x="12706350" y="43437809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𝐶𝐿=</a:t>
              </a:r>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𝐶𝐿=</a:t>
              </a:r>
              <a:r>
                <a:rPr lang="es-MX">
                  <a:effectLst/>
                </a:rPr>
                <a:t> 1500 kg</a:t>
              </a:r>
              <a:r>
                <a:rPr lang="es-MX" baseline="0">
                  <a:effectLst/>
                </a:rPr>
                <a:t> de madera, 100,000 L de agua y 221 kg  de diesel</a:t>
              </a:r>
              <a:endParaRPr lang="es-MX">
                <a:effectLst/>
              </a:endParaRPr>
            </a:p>
            <a:p>
              <a:endParaRPr lang="es-MX" sz="1050" b="0"/>
            </a:p>
          </xdr:txBody>
        </xdr:sp>
      </mc:Fallback>
    </mc:AlternateContent>
    <xdr:clientData/>
  </xdr:oneCellAnchor>
  <xdr:oneCellAnchor>
    <xdr:from>
      <xdr:col>10</xdr:col>
      <xdr:colOff>85725</xdr:colOff>
      <xdr:row>481</xdr:row>
      <xdr:rowOff>85724</xdr:rowOff>
    </xdr:from>
    <xdr:ext cx="1809749" cy="1247775"/>
    <mc:AlternateContent xmlns:mc="http://schemas.openxmlformats.org/markup-compatibility/2006" xmlns:a14="http://schemas.microsoft.com/office/drawing/2010/main">
      <mc:Choice Requires="a14">
        <xdr:sp macro="" textlink="">
          <xdr:nvSpPr>
            <xdr:cNvPr id="1057" name="CuadroTexto 1056">
              <a:extLst>
                <a:ext uri="{FF2B5EF4-FFF2-40B4-BE49-F238E27FC236}">
                  <a16:creationId xmlns:a16="http://schemas.microsoft.com/office/drawing/2014/main" id="{10E987BD-1F46-489A-A422-F5AF78B90D06}"/>
                </a:ext>
              </a:extLst>
            </xdr:cNvPr>
            <xdr:cNvSpPr txBox="1"/>
          </xdr:nvSpPr>
          <xdr:spPr>
            <a:xfrm>
              <a:off x="10763250" y="39683054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oMath>
              </a14:m>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oMath>
              </a14:m>
              <a:r>
                <a:rPr lang="es-MX">
                  <a:effectLst/>
                </a:rPr>
                <a:t> 1500 kg</a:t>
              </a:r>
              <a:r>
                <a:rPr lang="es-MX" baseline="0">
                  <a:effectLst/>
                </a:rPr>
                <a:t> de madera, 100,000 L de agua y 221 kg  de diesel</a:t>
              </a:r>
              <a:endParaRPr lang="es-MX">
                <a:effectLst/>
              </a:endParaRPr>
            </a:p>
            <a:p>
              <a:endParaRPr lang="es-MX" sz="1050" b="0"/>
            </a:p>
          </xdr:txBody>
        </xdr:sp>
      </mc:Choice>
      <mc:Fallback xmlns="">
        <xdr:sp macro="" textlink="">
          <xdr:nvSpPr>
            <xdr:cNvPr id="1057" name="CuadroTexto 1056">
              <a:extLst>
                <a:ext uri="{FF2B5EF4-FFF2-40B4-BE49-F238E27FC236}">
                  <a16:creationId xmlns:a16="http://schemas.microsoft.com/office/drawing/2014/main" id="{10E987BD-1F46-489A-A422-F5AF78B90D06}"/>
                </a:ext>
              </a:extLst>
            </xdr:cNvPr>
            <xdr:cNvSpPr txBox="1"/>
          </xdr:nvSpPr>
          <xdr:spPr>
            <a:xfrm>
              <a:off x="10763250" y="39683054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𝐶𝐿=</a:t>
              </a:r>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𝐶𝐿=</a:t>
              </a:r>
              <a:r>
                <a:rPr lang="es-MX">
                  <a:effectLst/>
                </a:rPr>
                <a:t> 1500 kg</a:t>
              </a:r>
              <a:r>
                <a:rPr lang="es-MX" baseline="0">
                  <a:effectLst/>
                </a:rPr>
                <a:t> de madera, 100,000 L de agua y 221 kg  de diesel</a:t>
              </a:r>
              <a:endParaRPr lang="es-MX">
                <a:effectLst/>
              </a:endParaRPr>
            </a:p>
            <a:p>
              <a:endParaRPr lang="es-MX" sz="1050" b="0"/>
            </a:p>
          </xdr:txBody>
        </xdr:sp>
      </mc:Fallback>
    </mc:AlternateContent>
    <xdr:clientData/>
  </xdr:oneCellAnchor>
  <xdr:oneCellAnchor>
    <xdr:from>
      <xdr:col>12</xdr:col>
      <xdr:colOff>1181100</xdr:colOff>
      <xdr:row>481</xdr:row>
      <xdr:rowOff>571500</xdr:rowOff>
    </xdr:from>
    <xdr:ext cx="374254" cy="372798"/>
    <xdr:pic>
      <xdr:nvPicPr>
        <xdr:cNvPr id="1058" name="Gráfico 1057" descr="Inalámbrico">
          <a:hlinkClick xmlns:r="http://schemas.openxmlformats.org/officeDocument/2006/relationships" r:id="rId111"/>
          <a:extLst>
            <a:ext uri="{FF2B5EF4-FFF2-40B4-BE49-F238E27FC236}">
              <a16:creationId xmlns:a16="http://schemas.microsoft.com/office/drawing/2014/main" id="{E70115C6-6225-4C8A-8582-908521E0CC5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45100" y="407365200"/>
          <a:ext cx="374254" cy="372798"/>
        </a:xfrm>
        <a:prstGeom prst="rect">
          <a:avLst/>
        </a:prstGeom>
      </xdr:spPr>
    </xdr:pic>
    <xdr:clientData/>
  </xdr:oneCellAnchor>
  <xdr:oneCellAnchor>
    <xdr:from>
      <xdr:col>10</xdr:col>
      <xdr:colOff>260350</xdr:colOff>
      <xdr:row>494</xdr:row>
      <xdr:rowOff>117474</xdr:rowOff>
    </xdr:from>
    <xdr:ext cx="1809749" cy="1247775"/>
    <mc:AlternateContent xmlns:mc="http://schemas.openxmlformats.org/markup-compatibility/2006" xmlns:a14="http://schemas.microsoft.com/office/drawing/2010/main">
      <mc:Choice Requires="a14">
        <xdr:sp macro="" textlink="">
          <xdr:nvSpPr>
            <xdr:cNvPr id="1062" name="CuadroTexto 1061">
              <a:extLst>
                <a:ext uri="{FF2B5EF4-FFF2-40B4-BE49-F238E27FC236}">
                  <a16:creationId xmlns:a16="http://schemas.microsoft.com/office/drawing/2014/main" id="{EDBC28AD-ADDF-4C8A-A29F-593F4DEFE7DC}"/>
                </a:ext>
              </a:extLst>
            </xdr:cNvPr>
            <xdr:cNvSpPr txBox="1"/>
          </xdr:nvSpPr>
          <xdr:spPr>
            <a:xfrm>
              <a:off x="12642850" y="41853484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oMath>
              </a14:m>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oMath>
              </a14:m>
              <a:r>
                <a:rPr lang="es-MX">
                  <a:effectLst/>
                </a:rPr>
                <a:t> 1500 kg</a:t>
              </a:r>
              <a:r>
                <a:rPr lang="es-MX" baseline="0">
                  <a:effectLst/>
                </a:rPr>
                <a:t> de madera, 100,000 L de agua y 221 kg  de diesel</a:t>
              </a:r>
              <a:endParaRPr lang="es-MX">
                <a:effectLst/>
              </a:endParaRPr>
            </a:p>
            <a:p>
              <a:endParaRPr lang="es-MX" sz="1050" b="0"/>
            </a:p>
          </xdr:txBody>
        </xdr:sp>
      </mc:Choice>
      <mc:Fallback xmlns="">
        <xdr:sp macro="" textlink="">
          <xdr:nvSpPr>
            <xdr:cNvPr id="1062" name="CuadroTexto 1061">
              <a:extLst>
                <a:ext uri="{FF2B5EF4-FFF2-40B4-BE49-F238E27FC236}">
                  <a16:creationId xmlns:a16="http://schemas.microsoft.com/office/drawing/2014/main" id="{EDBC28AD-ADDF-4C8A-A29F-593F4DEFE7DC}"/>
                </a:ext>
              </a:extLst>
            </xdr:cNvPr>
            <xdr:cNvSpPr txBox="1"/>
          </xdr:nvSpPr>
          <xdr:spPr>
            <a:xfrm>
              <a:off x="12642850" y="418534849"/>
              <a:ext cx="1809749"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𝐶𝐿=</a:t>
              </a:r>
              <a:r>
                <a:rPr lang="es-MX" sz="1050" b="0"/>
                <a:t> 1.5 kg de madera, 100 L agua, .221 kg de diesel </a:t>
              </a:r>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𝐶𝐿=</a:t>
              </a:r>
              <a:r>
                <a:rPr lang="es-MX">
                  <a:effectLst/>
                </a:rPr>
                <a:t> 1500 kg</a:t>
              </a:r>
              <a:r>
                <a:rPr lang="es-MX" baseline="0">
                  <a:effectLst/>
                </a:rPr>
                <a:t> de madera, 100,000 L de agua y 221 kg  de diesel</a:t>
              </a:r>
              <a:endParaRPr lang="es-MX">
                <a:effectLst/>
              </a:endParaRPr>
            </a:p>
            <a:p>
              <a:endParaRPr lang="es-MX" sz="1050" b="0"/>
            </a:p>
          </xdr:txBody>
        </xdr:sp>
      </mc:Fallback>
    </mc:AlternateContent>
    <xdr:clientData/>
  </xdr:oneCellAnchor>
  <xdr:oneCellAnchor>
    <xdr:from>
      <xdr:col>12</xdr:col>
      <xdr:colOff>1628775</xdr:colOff>
      <xdr:row>303</xdr:row>
      <xdr:rowOff>571500</xdr:rowOff>
    </xdr:from>
    <xdr:ext cx="391583" cy="395432"/>
    <xdr:pic>
      <xdr:nvPicPr>
        <xdr:cNvPr id="1065" name="Gráfico 1064" descr="Hogar">
          <a:hlinkClick xmlns:r="http://schemas.openxmlformats.org/officeDocument/2006/relationships" r:id="rId81"/>
          <a:extLst>
            <a:ext uri="{FF2B5EF4-FFF2-40B4-BE49-F238E27FC236}">
              <a16:creationId xmlns:a16="http://schemas.microsoft.com/office/drawing/2014/main" id="{A91682DC-81C3-4CDB-8F60-694B719B10E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287750" y="256841625"/>
          <a:ext cx="391583" cy="395432"/>
        </a:xfrm>
        <a:prstGeom prst="rect">
          <a:avLst/>
        </a:prstGeom>
      </xdr:spPr>
    </xdr:pic>
    <xdr:clientData/>
  </xdr:oneCellAnchor>
  <xdr:oneCellAnchor>
    <xdr:from>
      <xdr:col>12</xdr:col>
      <xdr:colOff>2057400</xdr:colOff>
      <xdr:row>303</xdr:row>
      <xdr:rowOff>590550</xdr:rowOff>
    </xdr:from>
    <xdr:ext cx="452966" cy="448733"/>
    <xdr:pic>
      <xdr:nvPicPr>
        <xdr:cNvPr id="1066" name="Gráfico 1065" descr="Inalámbrico">
          <a:hlinkClick xmlns:r="http://schemas.openxmlformats.org/officeDocument/2006/relationships" r:id="rId82"/>
          <a:extLst>
            <a:ext uri="{FF2B5EF4-FFF2-40B4-BE49-F238E27FC236}">
              <a16:creationId xmlns:a16="http://schemas.microsoft.com/office/drawing/2014/main" id="{68D5E926-12D0-4E5B-B78A-878213CEDA9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716375" y="256860675"/>
          <a:ext cx="452966" cy="448733"/>
        </a:xfrm>
        <a:prstGeom prst="rect">
          <a:avLst/>
        </a:prstGeom>
      </xdr:spPr>
    </xdr:pic>
    <xdr:clientData/>
  </xdr:oneCellAnchor>
  <xdr:oneCellAnchor>
    <xdr:from>
      <xdr:col>12</xdr:col>
      <xdr:colOff>2031424</xdr:colOff>
      <xdr:row>414</xdr:row>
      <xdr:rowOff>858116</xdr:rowOff>
    </xdr:from>
    <xdr:ext cx="391583" cy="395432"/>
    <xdr:pic>
      <xdr:nvPicPr>
        <xdr:cNvPr id="1067" name="Gráfico 1066" descr="Hogar">
          <a:hlinkClick xmlns:r="http://schemas.openxmlformats.org/officeDocument/2006/relationships" r:id="rId81"/>
          <a:extLst>
            <a:ext uri="{FF2B5EF4-FFF2-40B4-BE49-F238E27FC236}">
              <a16:creationId xmlns:a16="http://schemas.microsoft.com/office/drawing/2014/main" id="{BD7BCB7A-D46C-480B-86CA-5D2F8ABF43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90399" y="304096016"/>
          <a:ext cx="391583" cy="395432"/>
        </a:xfrm>
        <a:prstGeom prst="rect">
          <a:avLst/>
        </a:prstGeom>
      </xdr:spPr>
    </xdr:pic>
    <xdr:clientData/>
  </xdr:oneCellAnchor>
  <xdr:oneCellAnchor>
    <xdr:from>
      <xdr:col>12</xdr:col>
      <xdr:colOff>2383848</xdr:colOff>
      <xdr:row>414</xdr:row>
      <xdr:rowOff>831273</xdr:rowOff>
    </xdr:from>
    <xdr:ext cx="452966" cy="448733"/>
    <xdr:pic>
      <xdr:nvPicPr>
        <xdr:cNvPr id="1068" name="Gráfico 1067" descr="Inalámbrico">
          <a:hlinkClick xmlns:r="http://schemas.openxmlformats.org/officeDocument/2006/relationships" r:id="rId82"/>
          <a:extLst>
            <a:ext uri="{FF2B5EF4-FFF2-40B4-BE49-F238E27FC236}">
              <a16:creationId xmlns:a16="http://schemas.microsoft.com/office/drawing/2014/main" id="{737D019E-6760-4FD1-8AB3-63F026DDF48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42823" y="304069173"/>
          <a:ext cx="452966" cy="448733"/>
        </a:xfrm>
        <a:prstGeom prst="rect">
          <a:avLst/>
        </a:prstGeom>
      </xdr:spPr>
    </xdr:pic>
    <xdr:clientData/>
  </xdr:oneCellAnchor>
  <xdr:oneCellAnchor>
    <xdr:from>
      <xdr:col>12</xdr:col>
      <xdr:colOff>2031424</xdr:colOff>
      <xdr:row>405</xdr:row>
      <xdr:rowOff>858116</xdr:rowOff>
    </xdr:from>
    <xdr:ext cx="391583" cy="395432"/>
    <xdr:pic>
      <xdr:nvPicPr>
        <xdr:cNvPr id="1069" name="Gráfico 1068" descr="Hogar">
          <a:hlinkClick xmlns:r="http://schemas.openxmlformats.org/officeDocument/2006/relationships" r:id="rId112"/>
          <a:extLst>
            <a:ext uri="{FF2B5EF4-FFF2-40B4-BE49-F238E27FC236}">
              <a16:creationId xmlns:a16="http://schemas.microsoft.com/office/drawing/2014/main" id="{2BA49CA8-D7D6-408C-839D-5F494B38DD9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90399" y="304096016"/>
          <a:ext cx="391583" cy="395432"/>
        </a:xfrm>
        <a:prstGeom prst="rect">
          <a:avLst/>
        </a:prstGeom>
      </xdr:spPr>
    </xdr:pic>
    <xdr:clientData/>
  </xdr:oneCellAnchor>
  <xdr:oneCellAnchor>
    <xdr:from>
      <xdr:col>12</xdr:col>
      <xdr:colOff>2383848</xdr:colOff>
      <xdr:row>405</xdr:row>
      <xdr:rowOff>831273</xdr:rowOff>
    </xdr:from>
    <xdr:ext cx="452966" cy="448733"/>
    <xdr:pic>
      <xdr:nvPicPr>
        <xdr:cNvPr id="1070" name="Gráfico 1069" descr="Inalámbrico">
          <a:hlinkClick xmlns:r="http://schemas.openxmlformats.org/officeDocument/2006/relationships" r:id="rId82"/>
          <a:extLst>
            <a:ext uri="{FF2B5EF4-FFF2-40B4-BE49-F238E27FC236}">
              <a16:creationId xmlns:a16="http://schemas.microsoft.com/office/drawing/2014/main" id="{76B7228E-1125-4F95-8A3B-BADFFC8B8DD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42823" y="304069173"/>
          <a:ext cx="452966" cy="448733"/>
        </a:xfrm>
        <a:prstGeom prst="rect">
          <a:avLst/>
        </a:prstGeom>
      </xdr:spPr>
    </xdr:pic>
    <xdr:clientData/>
  </xdr:oneCellAnchor>
  <xdr:oneCellAnchor>
    <xdr:from>
      <xdr:col>10</xdr:col>
      <xdr:colOff>238125</xdr:colOff>
      <xdr:row>405</xdr:row>
      <xdr:rowOff>238125</xdr:rowOff>
    </xdr:from>
    <xdr:ext cx="1443470" cy="881303"/>
    <mc:AlternateContent xmlns:mc="http://schemas.openxmlformats.org/markup-compatibility/2006" xmlns:a14="http://schemas.microsoft.com/office/drawing/2010/main">
      <mc:Choice Requires="a14">
        <xdr:sp macro="" textlink="">
          <xdr:nvSpPr>
            <xdr:cNvPr id="1071" name="CuadroTexto 1070">
              <a:extLst>
                <a:ext uri="{FF2B5EF4-FFF2-40B4-BE49-F238E27FC236}">
                  <a16:creationId xmlns:a16="http://schemas.microsoft.com/office/drawing/2014/main" id="{21DDDC11-4956-4568-B32F-43C15434ABB9}"/>
                </a:ext>
              </a:extLst>
            </xdr:cNvPr>
            <xdr:cNvSpPr txBox="1"/>
          </xdr:nvSpPr>
          <xdr:spPr>
            <a:xfrm>
              <a:off x="10915650" y="318982725"/>
              <a:ext cx="1443470" cy="881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𝐴𝑐𝑒𝑟𝑜</m:t>
                  </m:r>
                  <m:r>
                    <a:rPr lang="es-MX" sz="1050" b="0" i="1">
                      <a:latin typeface="Cambria Math" panose="02040503050406030204" pitchFamily="18" charset="0"/>
                    </a:rPr>
                    <m:t>=</m:t>
                  </m:r>
                  <m:r>
                    <a:rPr lang="es-MX" sz="1050" b="0" i="0">
                      <a:latin typeface="Cambria Math" panose="02040503050406030204" pitchFamily="18" charset="0"/>
                    </a:rPr>
                    <m:t>2.450 </m:t>
                  </m:r>
                  <m:r>
                    <m:rPr>
                      <m:sty m:val="p"/>
                    </m:rPr>
                    <a:rPr lang="es-MX" sz="1050" b="0" i="0">
                      <a:latin typeface="Cambria Math" panose="02040503050406030204" pitchFamily="18" charset="0"/>
                    </a:rPr>
                    <m:t>kg</m:t>
                  </m:r>
                </m:oMath>
              </a14:m>
              <a:r>
                <a:rPr lang="es-MX" sz="1050" b="0" i="0">
                  <a:latin typeface="Cambria Math" panose="02040503050406030204" pitchFamily="18" charset="0"/>
                </a:rPr>
                <a:t> Mat Ahorrado</a:t>
              </a: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𝐴𝑐𝑒𝑟𝑜</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2,450</m:t>
                    </m:r>
                  </m:oMath>
                </m:oMathPara>
              </a14:m>
              <a:endParaRPr lang="es-MX" sz="1050" b="0" i="0">
                <a:solidFill>
                  <a:schemeClr val="tx1"/>
                </a:solidFill>
                <a:effectLst/>
                <a:latin typeface="Cambria Math" panose="02040503050406030204" pitchFamily="18" charset="0"/>
                <a:ea typeface="+mn-ea"/>
                <a:cs typeface="+mn-cs"/>
              </a:endParaRPr>
            </a:p>
            <a:p>
              <a:pPr/>
              <a14:m>
                <m:oMathPara xmlns:m="http://schemas.openxmlformats.org/officeDocument/2006/math">
                  <m:oMathParaPr>
                    <m:jc m:val="centerGroup"/>
                  </m:oMathParaPr>
                  <m:oMath xmlns:m="http://schemas.openxmlformats.org/officeDocument/2006/math">
                    <m:r>
                      <a:rPr lang="es-MX" sz="1100" b="0" i="0">
                        <a:solidFill>
                          <a:schemeClr val="tx1"/>
                        </a:solidFill>
                        <a:effectLst/>
                        <a:latin typeface="Cambria Math" panose="02040503050406030204" pitchFamily="18" charset="0"/>
                        <a:ea typeface="+mn-ea"/>
                        <a:cs typeface="+mn-cs"/>
                      </a:rPr>
                      <m:t> </m:t>
                    </m:r>
                    <m:r>
                      <m:rPr>
                        <m:sty m:val="p"/>
                      </m:rPr>
                      <a:rPr lang="es-MX" sz="1100" b="0" i="0">
                        <a:solidFill>
                          <a:schemeClr val="tx1"/>
                        </a:solidFill>
                        <a:effectLst/>
                        <a:latin typeface="Cambria Math" panose="02040503050406030204" pitchFamily="18" charset="0"/>
                        <a:ea typeface="+mn-ea"/>
                        <a:cs typeface="+mn-cs"/>
                      </a:rPr>
                      <m:t>kg</m:t>
                    </m:r>
                    <m:r>
                      <a:rPr lang="es-MX" sz="1100" b="0" i="0">
                        <a:solidFill>
                          <a:schemeClr val="tx1"/>
                        </a:solidFill>
                        <a:effectLst/>
                        <a:latin typeface="Cambria Math" panose="02040503050406030204" pitchFamily="18" charset="0"/>
                        <a:ea typeface="+mn-ea"/>
                        <a:cs typeface="+mn-cs"/>
                      </a:rPr>
                      <m:t> </m:t>
                    </m:r>
                    <m:r>
                      <m:rPr>
                        <m:nor/>
                      </m:rPr>
                      <a:rPr lang="es-MX" sz="1100" b="0" i="0">
                        <a:solidFill>
                          <a:schemeClr val="tx1"/>
                        </a:solidFill>
                        <a:effectLst/>
                        <a:latin typeface="+mn-lt"/>
                        <a:ea typeface="+mn-ea"/>
                        <a:cs typeface="+mn-cs"/>
                      </a:rPr>
                      <m:t>Mat</m:t>
                    </m:r>
                    <m:r>
                      <m:rPr>
                        <m:nor/>
                      </m:rPr>
                      <a:rPr lang="es-MX" sz="1100" b="0" i="0">
                        <a:solidFill>
                          <a:schemeClr val="tx1"/>
                        </a:solidFill>
                        <a:effectLst/>
                        <a:latin typeface="+mn-lt"/>
                        <a:ea typeface="+mn-ea"/>
                        <a:cs typeface="+mn-cs"/>
                      </a:rPr>
                      <m:t> </m:t>
                    </m:r>
                    <m:r>
                      <m:rPr>
                        <m:nor/>
                      </m:rPr>
                      <a:rPr lang="es-MX" sz="1100" b="0" i="0">
                        <a:solidFill>
                          <a:schemeClr val="tx1"/>
                        </a:solidFill>
                        <a:effectLst/>
                        <a:latin typeface="+mn-lt"/>
                        <a:ea typeface="+mn-ea"/>
                        <a:cs typeface="+mn-cs"/>
                      </a:rPr>
                      <m:t>Ahorrado</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071" name="CuadroTexto 1070">
              <a:extLst>
                <a:ext uri="{FF2B5EF4-FFF2-40B4-BE49-F238E27FC236}">
                  <a16:creationId xmlns:a16="http://schemas.microsoft.com/office/drawing/2014/main" id="{21DDDC11-4956-4568-B32F-43C15434ABB9}"/>
                </a:ext>
              </a:extLst>
            </xdr:cNvPr>
            <xdr:cNvSpPr txBox="1"/>
          </xdr:nvSpPr>
          <xdr:spPr>
            <a:xfrm>
              <a:off x="10915650" y="318982725"/>
              <a:ext cx="1443470" cy="881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latin typeface="Cambria Math" panose="02040503050406030204" pitchFamily="18" charset="0"/>
                </a:rPr>
                <a:t>1 𝑘𝑔 𝐴𝑐𝑒𝑟𝑜=2.450 kg Mat Ahorrado</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𝐴𝑐𝑒𝑟𝑜=2,450</a:t>
              </a:r>
            </a:p>
            <a:p>
              <a:pPr/>
              <a:r>
                <a:rPr lang="es-MX" sz="1100" b="0" i="0">
                  <a:solidFill>
                    <a:schemeClr val="tx1"/>
                  </a:solidFill>
                  <a:effectLst/>
                  <a:latin typeface="Cambria Math" panose="02040503050406030204" pitchFamily="18" charset="0"/>
                  <a:ea typeface="+mn-ea"/>
                  <a:cs typeface="+mn-cs"/>
                </a:rPr>
                <a:t> kg "Mat Ahorrado</a:t>
              </a:r>
              <a:r>
                <a:rPr lang="es-MX" sz="1100" b="0" i="0">
                  <a:solidFill>
                    <a:schemeClr val="tx1"/>
                  </a:solidFill>
                  <a:effectLst/>
                  <a:latin typeface="+mn-lt"/>
                  <a:ea typeface="+mn-ea"/>
                  <a:cs typeface="+mn-cs"/>
                </a:rPr>
                <a:t>"</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1828800</xdr:colOff>
      <xdr:row>471</xdr:row>
      <xdr:rowOff>352425</xdr:rowOff>
    </xdr:from>
    <xdr:ext cx="452966" cy="448733"/>
    <xdr:pic>
      <xdr:nvPicPr>
        <xdr:cNvPr id="1072" name="Gráfico 1071" descr="Inalámbrico">
          <a:hlinkClick xmlns:r="http://schemas.openxmlformats.org/officeDocument/2006/relationships" r:id="rId113"/>
          <a:extLst>
            <a:ext uri="{FF2B5EF4-FFF2-40B4-BE49-F238E27FC236}">
              <a16:creationId xmlns:a16="http://schemas.microsoft.com/office/drawing/2014/main" id="{D2C718CE-B5C2-4651-A001-405AC7DA426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592800" y="396373350"/>
          <a:ext cx="452966" cy="448733"/>
        </a:xfrm>
        <a:prstGeom prst="rect">
          <a:avLst/>
        </a:prstGeom>
      </xdr:spPr>
    </xdr:pic>
    <xdr:clientData/>
  </xdr:oneCellAnchor>
  <xdr:oneCellAnchor>
    <xdr:from>
      <xdr:col>12</xdr:col>
      <xdr:colOff>1676400</xdr:colOff>
      <xdr:row>302</xdr:row>
      <xdr:rowOff>333375</xdr:rowOff>
    </xdr:from>
    <xdr:ext cx="452966" cy="448733"/>
    <xdr:pic>
      <xdr:nvPicPr>
        <xdr:cNvPr id="1088" name="Gráfico 1087" descr="Inalámbrico">
          <a:hlinkClick xmlns:r="http://schemas.openxmlformats.org/officeDocument/2006/relationships" r:id="rId114"/>
          <a:extLst>
            <a:ext uri="{FF2B5EF4-FFF2-40B4-BE49-F238E27FC236}">
              <a16:creationId xmlns:a16="http://schemas.microsoft.com/office/drawing/2014/main" id="{896397BC-A988-40CB-B691-6ED72BBFA75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35375" y="255193800"/>
          <a:ext cx="452966" cy="448733"/>
        </a:xfrm>
        <a:prstGeom prst="rect">
          <a:avLst/>
        </a:prstGeom>
      </xdr:spPr>
    </xdr:pic>
    <xdr:clientData/>
  </xdr:oneCellAnchor>
  <xdr:oneCellAnchor>
    <xdr:from>
      <xdr:col>12</xdr:col>
      <xdr:colOff>2181225</xdr:colOff>
      <xdr:row>302</xdr:row>
      <xdr:rowOff>361950</xdr:rowOff>
    </xdr:from>
    <xdr:ext cx="391583" cy="395432"/>
    <xdr:pic>
      <xdr:nvPicPr>
        <xdr:cNvPr id="1089" name="Gráfico 1088" descr="Hogar">
          <a:hlinkClick xmlns:r="http://schemas.openxmlformats.org/officeDocument/2006/relationships" r:id="rId115"/>
          <a:extLst>
            <a:ext uri="{FF2B5EF4-FFF2-40B4-BE49-F238E27FC236}">
              <a16:creationId xmlns:a16="http://schemas.microsoft.com/office/drawing/2014/main" id="{60DA894C-5AD0-4A0F-8CEA-1A50C3A2FEF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40200" y="255222375"/>
          <a:ext cx="391583" cy="395432"/>
        </a:xfrm>
        <a:prstGeom prst="rect">
          <a:avLst/>
        </a:prstGeom>
      </xdr:spPr>
    </xdr:pic>
    <xdr:clientData/>
  </xdr:oneCellAnchor>
  <xdr:oneCellAnchor>
    <xdr:from>
      <xdr:col>12</xdr:col>
      <xdr:colOff>1676400</xdr:colOff>
      <xdr:row>382</xdr:row>
      <xdr:rowOff>333375</xdr:rowOff>
    </xdr:from>
    <xdr:ext cx="452966" cy="448733"/>
    <xdr:pic>
      <xdr:nvPicPr>
        <xdr:cNvPr id="1091" name="Gráfico 1090" descr="Inalámbrico">
          <a:hlinkClick xmlns:r="http://schemas.openxmlformats.org/officeDocument/2006/relationships" r:id="rId114"/>
          <a:extLst>
            <a:ext uri="{FF2B5EF4-FFF2-40B4-BE49-F238E27FC236}">
              <a16:creationId xmlns:a16="http://schemas.microsoft.com/office/drawing/2014/main" id="{9B205E70-E10C-4078-B8E9-AAF660AF231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35375" y="255193800"/>
          <a:ext cx="452966" cy="448733"/>
        </a:xfrm>
        <a:prstGeom prst="rect">
          <a:avLst/>
        </a:prstGeom>
      </xdr:spPr>
    </xdr:pic>
    <xdr:clientData/>
  </xdr:oneCellAnchor>
  <xdr:oneCellAnchor>
    <xdr:from>
      <xdr:col>12</xdr:col>
      <xdr:colOff>2181225</xdr:colOff>
      <xdr:row>382</xdr:row>
      <xdr:rowOff>361950</xdr:rowOff>
    </xdr:from>
    <xdr:ext cx="391583" cy="395432"/>
    <xdr:pic>
      <xdr:nvPicPr>
        <xdr:cNvPr id="1092" name="Gráfico 1091" descr="Hogar">
          <a:hlinkClick xmlns:r="http://schemas.openxmlformats.org/officeDocument/2006/relationships" r:id="rId115"/>
          <a:extLst>
            <a:ext uri="{FF2B5EF4-FFF2-40B4-BE49-F238E27FC236}">
              <a16:creationId xmlns:a16="http://schemas.microsoft.com/office/drawing/2014/main" id="{FAD7DFD9-31D4-4E8A-A648-BE53F5276F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40200" y="255222375"/>
          <a:ext cx="391583" cy="395432"/>
        </a:xfrm>
        <a:prstGeom prst="rect">
          <a:avLst/>
        </a:prstGeom>
      </xdr:spPr>
    </xdr:pic>
    <xdr:clientData/>
  </xdr:oneCellAnchor>
  <xdr:oneCellAnchor>
    <xdr:from>
      <xdr:col>9</xdr:col>
      <xdr:colOff>185209</xdr:colOff>
      <xdr:row>7</xdr:row>
      <xdr:rowOff>328082</xdr:rowOff>
    </xdr:from>
    <xdr:ext cx="1821392" cy="370417"/>
    <mc:AlternateContent xmlns:mc="http://schemas.openxmlformats.org/markup-compatibility/2006" xmlns:a14="http://schemas.microsoft.com/office/drawing/2010/main">
      <mc:Choice Requires="a14">
        <xdr:sp macro="" textlink="">
          <xdr:nvSpPr>
            <xdr:cNvPr id="1023" name="CuadroTexto 1022">
              <a:extLst>
                <a:ext uri="{FF2B5EF4-FFF2-40B4-BE49-F238E27FC236}">
                  <a16:creationId xmlns:a16="http://schemas.microsoft.com/office/drawing/2014/main" id="{ECBAEA5A-5FA3-4B21-A29D-1585F538B46C}"/>
                </a:ext>
              </a:extLst>
            </xdr:cNvPr>
            <xdr:cNvSpPr txBox="1"/>
          </xdr:nvSpPr>
          <xdr:spPr>
            <a:xfrm>
              <a:off x="10011834" y="6979707"/>
              <a:ext cx="1821392" cy="3704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sty m:val="p"/>
                      </m:rPr>
                      <a:rPr lang="es-MX" sz="1050" b="0" i="0">
                        <a:latin typeface="Cambria Math" panose="02040503050406030204" pitchFamily="18" charset="0"/>
                      </a:rPr>
                      <m:t>NF</m:t>
                    </m:r>
                    <m:r>
                      <a:rPr lang="es-MX" sz="1050" b="0" i="1">
                        <a:latin typeface="Cambria Math" panose="02040503050406030204" pitchFamily="18" charset="0"/>
                      </a:rPr>
                      <m:t>=</m:t>
                    </m:r>
                    <m:f>
                      <m:fPr>
                        <m:ctrlPr>
                          <a:rPr lang="es-MX" sz="1050" b="0" i="1">
                            <a:latin typeface="Cambria Math" panose="02040503050406030204" pitchFamily="18" charset="0"/>
                          </a:rPr>
                        </m:ctrlPr>
                      </m:fPr>
                      <m:num>
                        <m:d>
                          <m:dPr>
                            <m:ctrlPr>
                              <a:rPr lang="es-MX" sz="1050" b="0" i="1">
                                <a:latin typeface="Cambria Math" panose="02040503050406030204" pitchFamily="18" charset="0"/>
                              </a:rPr>
                            </m:ctrlPr>
                          </m:dPr>
                          <m:e>
                            <m:r>
                              <a:rPr lang="es-MX" sz="1050" b="0" i="1">
                                <a:latin typeface="Cambria Math" panose="02040503050406030204" pitchFamily="18" charset="0"/>
                              </a:rPr>
                              <m:t>15.277 </m:t>
                            </m:r>
                            <m:r>
                              <a:rPr lang="es-MX" sz="1050" b="0" i="1">
                                <a:latin typeface="Cambria Math" panose="02040503050406030204" pitchFamily="18" charset="0"/>
                              </a:rPr>
                              <m:t>𝑘𝑤h</m:t>
                            </m:r>
                            <m:r>
                              <a:rPr lang="es-MX" sz="1050" b="0" i="1">
                                <a:latin typeface="Cambria Math" panose="02040503050406030204" pitchFamily="18" charset="0"/>
                              </a:rPr>
                              <m:t>∗1000</m:t>
                            </m:r>
                          </m:e>
                        </m:d>
                      </m:num>
                      <m:den>
                        <m:r>
                          <a:rPr lang="es-MX" sz="1050" b="0" i="1">
                            <a:latin typeface="Cambria Math" panose="02040503050406030204" pitchFamily="18" charset="0"/>
                          </a:rPr>
                          <m:t>9</m:t>
                        </m:r>
                        <m:r>
                          <a:rPr lang="es-MX" sz="1050" b="0" i="1">
                            <a:latin typeface="Cambria Math" panose="02040503050406030204" pitchFamily="18" charset="0"/>
                          </a:rPr>
                          <m:t>𝑤</m:t>
                        </m:r>
                      </m:den>
                    </m:f>
                  </m:oMath>
                </m:oMathPara>
              </a14:m>
              <a:endParaRPr lang="es-MX" sz="1050"/>
            </a:p>
          </xdr:txBody>
        </xdr:sp>
      </mc:Choice>
      <mc:Fallback xmlns="">
        <xdr:sp macro="" textlink="">
          <xdr:nvSpPr>
            <xdr:cNvPr id="1023" name="CuadroTexto 1022">
              <a:extLst>
                <a:ext uri="{FF2B5EF4-FFF2-40B4-BE49-F238E27FC236}">
                  <a16:creationId xmlns:a16="http://schemas.microsoft.com/office/drawing/2014/main" id="{ECBAEA5A-5FA3-4B21-A29D-1585F538B46C}"/>
                </a:ext>
              </a:extLst>
            </xdr:cNvPr>
            <xdr:cNvSpPr txBox="1"/>
          </xdr:nvSpPr>
          <xdr:spPr>
            <a:xfrm>
              <a:off x="10011834" y="6979707"/>
              <a:ext cx="1821392" cy="3704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NF=((15.277 𝑘𝑤ℎ∗1000))/9𝑤</a:t>
              </a:r>
              <a:endParaRPr lang="es-MX" sz="1050"/>
            </a:p>
          </xdr:txBody>
        </xdr:sp>
      </mc:Fallback>
    </mc:AlternateContent>
    <xdr:clientData/>
  </xdr:oneCellAnchor>
  <xdr:oneCellAnchor>
    <xdr:from>
      <xdr:col>10</xdr:col>
      <xdr:colOff>142876</xdr:colOff>
      <xdr:row>55</xdr:row>
      <xdr:rowOff>457200</xdr:rowOff>
    </xdr:from>
    <xdr:ext cx="1771650" cy="628650"/>
    <mc:AlternateContent xmlns:mc="http://schemas.openxmlformats.org/markup-compatibility/2006" xmlns:a14="http://schemas.microsoft.com/office/drawing/2010/main">
      <mc:Choice Requires="a14">
        <xdr:sp macro="" textlink="">
          <xdr:nvSpPr>
            <xdr:cNvPr id="1080" name="CuadroTexto 1079">
              <a:extLst>
                <a:ext uri="{FF2B5EF4-FFF2-40B4-BE49-F238E27FC236}">
                  <a16:creationId xmlns:a16="http://schemas.microsoft.com/office/drawing/2014/main" id="{C9EFBC0D-61C6-4F9E-8F3C-9C6232BE6058}"/>
                </a:ext>
              </a:extLst>
            </xdr:cNvPr>
            <xdr:cNvSpPr txBox="1"/>
          </xdr:nvSpPr>
          <xdr:spPr>
            <a:xfrm>
              <a:off x="10810876" y="59988450"/>
              <a:ext cx="177165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𝑃𝐸𝑇</m:t>
                    </m:r>
                    <m:r>
                      <a:rPr lang="es-MX" sz="1050" b="0" i="1">
                        <a:latin typeface="Cambria Math" panose="02040503050406030204" pitchFamily="18" charset="0"/>
                      </a:rPr>
                      <m:t>=</m:t>
                    </m:r>
                    <m:r>
                      <a:rPr lang="es-MX" sz="1050" b="0" i="0">
                        <a:latin typeface="Cambria Math" panose="02040503050406030204" pitchFamily="18" charset="0"/>
                      </a:rPr>
                      <m:t>.0038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𝑃𝐸𝑇</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3.8 </m:t>
                    </m:r>
                    <m:r>
                      <m:rPr>
                        <m:sty m:val="p"/>
                      </m:rPr>
                      <a:rPr lang="es-MX" sz="1050" b="0" i="0">
                        <a:solidFill>
                          <a:schemeClr val="tx1"/>
                        </a:solidFill>
                        <a:effectLst/>
                        <a:latin typeface="Cambria Math" panose="02040503050406030204" pitchFamily="18" charset="0"/>
                        <a:ea typeface="+mn-ea"/>
                        <a:cs typeface="+mn-cs"/>
                      </a:rPr>
                      <m:t>BP</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080" name="CuadroTexto 1079">
              <a:extLst>
                <a:ext uri="{FF2B5EF4-FFF2-40B4-BE49-F238E27FC236}">
                  <a16:creationId xmlns:a16="http://schemas.microsoft.com/office/drawing/2014/main" id="{C9EFBC0D-61C6-4F9E-8F3C-9C6232BE6058}"/>
                </a:ext>
              </a:extLst>
            </xdr:cNvPr>
            <xdr:cNvSpPr txBox="1"/>
          </xdr:nvSpPr>
          <xdr:spPr>
            <a:xfrm>
              <a:off x="10810876" y="59988450"/>
              <a:ext cx="1771650"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𝑃𝐸𝑇=.0038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𝑃𝐸𝑇=3.8 BP</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1133475</xdr:colOff>
      <xdr:row>43</xdr:row>
      <xdr:rowOff>485775</xdr:rowOff>
    </xdr:from>
    <xdr:ext cx="374254" cy="372798"/>
    <xdr:pic>
      <xdr:nvPicPr>
        <xdr:cNvPr id="1090" name="Gráfico 1089" descr="Inalámbrico">
          <a:hlinkClick xmlns:r="http://schemas.openxmlformats.org/officeDocument/2006/relationships" r:id="rId116"/>
          <a:extLst>
            <a:ext uri="{FF2B5EF4-FFF2-40B4-BE49-F238E27FC236}">
              <a16:creationId xmlns:a16="http://schemas.microsoft.com/office/drawing/2014/main" id="{E972DA68-CF5D-41EF-BDD4-ECA6DD5EEF0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82925" y="45329475"/>
          <a:ext cx="374254" cy="372798"/>
        </a:xfrm>
        <a:prstGeom prst="rect">
          <a:avLst/>
        </a:prstGeom>
      </xdr:spPr>
    </xdr:pic>
    <xdr:clientData/>
  </xdr:oneCellAnchor>
  <xdr:oneCellAnchor>
    <xdr:from>
      <xdr:col>10</xdr:col>
      <xdr:colOff>133350</xdr:colOff>
      <xdr:row>43</xdr:row>
      <xdr:rowOff>295275</xdr:rowOff>
    </xdr:from>
    <xdr:ext cx="1852084" cy="641779"/>
    <mc:AlternateContent xmlns:mc="http://schemas.openxmlformats.org/markup-compatibility/2006" xmlns:a14="http://schemas.microsoft.com/office/drawing/2010/main">
      <mc:Choice Requires="a14">
        <xdr:sp macro="" textlink="">
          <xdr:nvSpPr>
            <xdr:cNvPr id="1094" name="CuadroTexto 1093">
              <a:extLst>
                <a:ext uri="{FF2B5EF4-FFF2-40B4-BE49-F238E27FC236}">
                  <a16:creationId xmlns:a16="http://schemas.microsoft.com/office/drawing/2014/main" id="{CB8F9C30-6FF0-4943-B52F-29721B400DC6}"/>
                </a:ext>
              </a:extLst>
            </xdr:cNvPr>
            <xdr:cNvSpPr txBox="1"/>
          </xdr:nvSpPr>
          <xdr:spPr>
            <a:xfrm>
              <a:off x="10801350" y="47215425"/>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00" b="0" i="1">
                        <a:latin typeface="Cambria Math" panose="02040503050406030204" pitchFamily="18" charset="0"/>
                      </a:rPr>
                      <m:t>1 </m:t>
                    </m:r>
                    <m:r>
                      <a:rPr lang="es-MX" sz="1000" b="0" i="1">
                        <a:latin typeface="Cambria Math" panose="02040503050406030204" pitchFamily="18" charset="0"/>
                      </a:rPr>
                      <m:t>𝑘𝑔</m:t>
                    </m:r>
                    <m:r>
                      <a:rPr lang="es-MX" sz="1000" b="0" i="1">
                        <a:latin typeface="Cambria Math" panose="02040503050406030204" pitchFamily="18" charset="0"/>
                      </a:rPr>
                      <m:t> </m:t>
                    </m:r>
                    <m:r>
                      <a:rPr lang="es-MX" sz="1000" b="0" i="1">
                        <a:latin typeface="Cambria Math" panose="02040503050406030204" pitchFamily="18" charset="0"/>
                      </a:rPr>
                      <m:t>𝑃𝐸𝑇</m:t>
                    </m:r>
                    <m:r>
                      <a:rPr lang="es-MX" sz="1000" b="0" i="1">
                        <a:latin typeface="Cambria Math" panose="02040503050406030204" pitchFamily="18" charset="0"/>
                      </a:rPr>
                      <m:t>=.0</m:t>
                    </m:r>
                    <m:r>
                      <a:rPr lang="es-MX" sz="1000" b="0" i="0">
                        <a:latin typeface="Cambria Math" panose="02040503050406030204" pitchFamily="18" charset="0"/>
                      </a:rPr>
                      <m:t>057 </m:t>
                    </m:r>
                    <m:r>
                      <m:rPr>
                        <m:sty m:val="p"/>
                      </m:rPr>
                      <a:rPr lang="es-MX" sz="1000" b="0" i="0">
                        <a:latin typeface="Cambria Math" panose="02040503050406030204" pitchFamily="18" charset="0"/>
                      </a:rPr>
                      <m:t>m</m:t>
                    </m:r>
                    <m:r>
                      <a:rPr lang="es-MX" sz="1000" b="0" i="0">
                        <a:latin typeface="Cambria Math" panose="02040503050406030204" pitchFamily="18" charset="0"/>
                      </a:rPr>
                      <m:t>3</m:t>
                    </m:r>
                  </m:oMath>
                </m:oMathPara>
              </a14:m>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𝑃𝐸𝑇</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5.7 </m:t>
                    </m:r>
                    <m:r>
                      <m:rPr>
                        <m:sty m:val="p"/>
                      </m:rPr>
                      <a:rPr lang="es-MX" sz="1100" b="0" i="0">
                        <a:solidFill>
                          <a:schemeClr val="tx1"/>
                        </a:solidFill>
                        <a:effectLst/>
                        <a:latin typeface="Cambria Math" panose="02040503050406030204" pitchFamily="18" charset="0"/>
                        <a:ea typeface="+mn-ea"/>
                        <a:cs typeface="+mn-cs"/>
                      </a:rPr>
                      <m:t>m</m:t>
                    </m:r>
                    <m:r>
                      <a:rPr lang="es-MX" sz="1100" b="0" i="0">
                        <a:solidFill>
                          <a:schemeClr val="tx1"/>
                        </a:solidFill>
                        <a:effectLst/>
                        <a:latin typeface="Cambria Math" panose="02040503050406030204" pitchFamily="18" charset="0"/>
                        <a:ea typeface="+mn-ea"/>
                        <a:cs typeface="+mn-cs"/>
                      </a:rPr>
                      <m:t>3</m:t>
                    </m:r>
                  </m:oMath>
                </m:oMathPara>
              </a14:m>
              <a:endParaRPr lang="es-MX" sz="1000">
                <a:effectLst/>
              </a:endParaRPr>
            </a:p>
            <a:p>
              <a:endParaRPr lang="es-MX" sz="1000" b="0"/>
            </a:p>
          </xdr:txBody>
        </xdr:sp>
      </mc:Choice>
      <mc:Fallback xmlns="">
        <xdr:sp macro="" textlink="">
          <xdr:nvSpPr>
            <xdr:cNvPr id="1094" name="CuadroTexto 1093">
              <a:extLst>
                <a:ext uri="{FF2B5EF4-FFF2-40B4-BE49-F238E27FC236}">
                  <a16:creationId xmlns:a16="http://schemas.microsoft.com/office/drawing/2014/main" id="{CB8F9C30-6FF0-4943-B52F-29721B400DC6}"/>
                </a:ext>
              </a:extLst>
            </xdr:cNvPr>
            <xdr:cNvSpPr txBox="1"/>
          </xdr:nvSpPr>
          <xdr:spPr>
            <a:xfrm>
              <a:off x="10801350" y="47215425"/>
              <a:ext cx="1852084" cy="6417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b="0" i="0">
                  <a:latin typeface="Cambria Math" panose="02040503050406030204" pitchFamily="18" charset="0"/>
                </a:rPr>
                <a:t>1 𝑘𝑔 𝑃𝐸𝑇=.0057 m3</a:t>
              </a:r>
              <a:endParaRPr lang="es-MX" sz="1000" b="0"/>
            </a:p>
            <a:p>
              <a:endParaRPr lang="es-MX" sz="100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𝑃𝐸𝑇=5.7 m3</a:t>
              </a:r>
              <a:endParaRPr lang="es-MX" sz="1000">
                <a:effectLst/>
              </a:endParaRPr>
            </a:p>
            <a:p>
              <a:endParaRPr lang="es-MX" sz="1000" b="0"/>
            </a:p>
          </xdr:txBody>
        </xdr:sp>
      </mc:Fallback>
    </mc:AlternateContent>
    <xdr:clientData/>
  </xdr:oneCellAnchor>
  <xdr:oneCellAnchor>
    <xdr:from>
      <xdr:col>10</xdr:col>
      <xdr:colOff>190500</xdr:colOff>
      <xdr:row>404</xdr:row>
      <xdr:rowOff>133350</xdr:rowOff>
    </xdr:from>
    <xdr:ext cx="2076450" cy="1162050"/>
    <mc:AlternateContent xmlns:mc="http://schemas.openxmlformats.org/markup-compatibility/2006" xmlns:a14="http://schemas.microsoft.com/office/drawing/2010/main">
      <mc:Choice Requires="a14">
        <xdr:sp macro="" textlink="">
          <xdr:nvSpPr>
            <xdr:cNvPr id="1078" name="CuadroTexto 1077">
              <a:extLst>
                <a:ext uri="{FF2B5EF4-FFF2-40B4-BE49-F238E27FC236}">
                  <a16:creationId xmlns:a16="http://schemas.microsoft.com/office/drawing/2014/main" id="{894E8823-E1D5-4FB2-A200-59FC91810AFF}"/>
                </a:ext>
              </a:extLst>
            </xdr:cNvPr>
            <xdr:cNvSpPr txBox="1"/>
          </xdr:nvSpPr>
          <xdr:spPr>
            <a:xfrm>
              <a:off x="12573000" y="339270975"/>
              <a:ext cx="2076450" cy="1162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𝐴𝑐𝑒𝑟𝑜</m:t>
                    </m:r>
                    <m:r>
                      <a:rPr lang="es-MX" sz="1050" b="0" i="1">
                        <a:latin typeface="Cambria Math" panose="02040503050406030204" pitchFamily="18" charset="0"/>
                      </a:rPr>
                      <m:t>=</m:t>
                    </m:r>
                  </m:oMath>
                </m:oMathPara>
              </a14:m>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𝐴𝑐𝑒𝑟𝑜</m:t>
                    </m:r>
                    <m:r>
                      <a:rPr lang="es-MX" sz="1050" b="0" i="1">
                        <a:solidFill>
                          <a:schemeClr val="tx1"/>
                        </a:solidFill>
                        <a:effectLst/>
                        <a:latin typeface="Cambria Math" panose="02040503050406030204" pitchFamily="18" charset="0"/>
                        <a:ea typeface="+mn-ea"/>
                        <a:cs typeface="+mn-cs"/>
                      </a:rPr>
                      <m:t>=1,133.9</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mineral</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de</m:t>
                    </m:r>
                    <m:r>
                      <a:rPr lang="es-MX" sz="1050" b="0" i="0">
                        <a:solidFill>
                          <a:schemeClr val="tx1"/>
                        </a:solidFill>
                        <a:effectLst/>
                        <a:latin typeface="Cambria Math" panose="02040503050406030204" pitchFamily="18" charset="0"/>
                        <a:ea typeface="+mn-ea"/>
                        <a:cs typeface="+mn-cs"/>
                      </a:rPr>
                      <m:t> </m:t>
                    </m:r>
                    <m:r>
                      <m:rPr>
                        <m:sty m:val="p"/>
                      </m:rPr>
                      <a:rPr lang="es-MX" sz="1050" b="0" i="0">
                        <a:solidFill>
                          <a:schemeClr val="tx1"/>
                        </a:solidFill>
                        <a:effectLst/>
                        <a:latin typeface="Cambria Math" panose="02040503050406030204" pitchFamily="18" charset="0"/>
                        <a:ea typeface="+mn-ea"/>
                        <a:cs typeface="+mn-cs"/>
                      </a:rPr>
                      <m:t>hierro</m:t>
                    </m:r>
                  </m:oMath>
                </m:oMathPara>
              </a14:m>
              <a:endParaRPr lang="es-MX" sz="1050" b="0">
                <a:solidFill>
                  <a:schemeClr val="tx1"/>
                </a:solidFill>
                <a:effectLst/>
                <a:ea typeface="+mn-ea"/>
                <a:cs typeface="+mn-cs"/>
              </a:endParaRPr>
            </a:p>
            <a:p>
              <a:r>
                <a:rPr lang="es-MX" sz="1100">
                  <a:effectLst/>
                </a:rPr>
                <a:t>635</a:t>
              </a:r>
              <a:r>
                <a:rPr lang="es-MX" sz="1100" baseline="0">
                  <a:effectLst/>
                </a:rPr>
                <a:t> kg de carbon, y 54.4 kg de piedra caliza</a:t>
              </a:r>
              <a:endParaRPr lang="es-MX" sz="1100">
                <a:effectLst/>
              </a:endParaRPr>
            </a:p>
          </xdr:txBody>
        </xdr:sp>
      </mc:Choice>
      <mc:Fallback xmlns="">
        <xdr:sp macro="" textlink="">
          <xdr:nvSpPr>
            <xdr:cNvPr id="1078" name="CuadroTexto 1077">
              <a:extLst>
                <a:ext uri="{FF2B5EF4-FFF2-40B4-BE49-F238E27FC236}">
                  <a16:creationId xmlns:a16="http://schemas.microsoft.com/office/drawing/2014/main" id="{894E8823-E1D5-4FB2-A200-59FC91810AFF}"/>
                </a:ext>
              </a:extLst>
            </xdr:cNvPr>
            <xdr:cNvSpPr txBox="1"/>
          </xdr:nvSpPr>
          <xdr:spPr>
            <a:xfrm>
              <a:off x="12573000" y="339270975"/>
              <a:ext cx="2076450" cy="1162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𝐴𝑐𝑒𝑟𝑜=</a:t>
              </a:r>
            </a:p>
            <a:p>
              <a:pPr/>
              <a:r>
                <a:rPr lang="es-MX" sz="1050" b="0" i="0">
                  <a:solidFill>
                    <a:schemeClr val="tx1"/>
                  </a:solidFill>
                  <a:effectLst/>
                  <a:latin typeface="Cambria Math" panose="02040503050406030204" pitchFamily="18" charset="0"/>
                  <a:ea typeface="+mn-ea"/>
                  <a:cs typeface="+mn-cs"/>
                </a:rPr>
                <a:t>1 𝑡𝑜𝑛 𝐴𝑐𝑒𝑟𝑜=1,133.9 mineral de hierro</a:t>
              </a:r>
              <a:endParaRPr lang="es-MX" sz="1050" b="0">
                <a:solidFill>
                  <a:schemeClr val="tx1"/>
                </a:solidFill>
                <a:effectLst/>
                <a:ea typeface="+mn-ea"/>
                <a:cs typeface="+mn-cs"/>
              </a:endParaRPr>
            </a:p>
            <a:p>
              <a:r>
                <a:rPr lang="es-MX" sz="1100">
                  <a:effectLst/>
                </a:rPr>
                <a:t>635</a:t>
              </a:r>
              <a:r>
                <a:rPr lang="es-MX" sz="1100" baseline="0">
                  <a:effectLst/>
                </a:rPr>
                <a:t> kg de carbon, y 54.4 kg de piedra caliza</a:t>
              </a:r>
              <a:endParaRPr lang="es-MX" sz="1100">
                <a:effectLst/>
              </a:endParaRPr>
            </a:p>
          </xdr:txBody>
        </xdr:sp>
      </mc:Fallback>
    </mc:AlternateContent>
    <xdr:clientData/>
  </xdr:oneCellAnchor>
  <xdr:oneCellAnchor>
    <xdr:from>
      <xdr:col>10</xdr:col>
      <xdr:colOff>279400</xdr:colOff>
      <xdr:row>399</xdr:row>
      <xdr:rowOff>1241425</xdr:rowOff>
    </xdr:from>
    <xdr:ext cx="1990725" cy="473075"/>
    <mc:AlternateContent xmlns:mc="http://schemas.openxmlformats.org/markup-compatibility/2006" xmlns:a14="http://schemas.microsoft.com/office/drawing/2010/main">
      <mc:Choice Requires="a14">
        <xdr:sp macro="" textlink="">
          <xdr:nvSpPr>
            <xdr:cNvPr id="1093" name="CuadroTexto 1092">
              <a:extLst>
                <a:ext uri="{FF2B5EF4-FFF2-40B4-BE49-F238E27FC236}">
                  <a16:creationId xmlns:a16="http://schemas.microsoft.com/office/drawing/2014/main" id="{2263DB23-5010-43BF-8688-890CD0A043B6}"/>
                </a:ext>
              </a:extLst>
            </xdr:cNvPr>
            <xdr:cNvSpPr txBox="1"/>
          </xdr:nvSpPr>
          <xdr:spPr>
            <a:xfrm>
              <a:off x="12661900" y="332155800"/>
              <a:ext cx="1990725" cy="473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𝐻𝑜𝑗</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1.49 </m:t>
                  </m:r>
                  <m:r>
                    <m:rPr>
                      <m:sty m:val="p"/>
                    </m:rPr>
                    <a:rPr lang="es-MX" sz="1050" b="0" i="0">
                      <a:solidFill>
                        <a:schemeClr val="tx1"/>
                      </a:solidFill>
                      <a:effectLst/>
                      <a:latin typeface="Cambria Math" panose="02040503050406030204" pitchFamily="18" charset="0"/>
                      <a:ea typeface="+mn-ea"/>
                      <a:cs typeface="+mn-cs"/>
                    </a:rPr>
                    <m:t>Ton</m:t>
                  </m:r>
                  <m:r>
                    <a:rPr lang="es-MX" sz="1050" b="0" i="0">
                      <a:solidFill>
                        <a:schemeClr val="tx1"/>
                      </a:solidFill>
                      <a:effectLst/>
                      <a:latin typeface="Cambria Math" panose="02040503050406030204" pitchFamily="18" charset="0"/>
                      <a:ea typeface="+mn-ea"/>
                      <a:cs typeface="+mn-cs"/>
                    </a:rPr>
                    <m:t> </m:t>
                  </m:r>
                </m:oMath>
              </a14:m>
              <a:r>
                <a:rPr lang="es-MX" sz="1100" b="0"/>
                <a:t>mineral de</a:t>
              </a:r>
              <a:r>
                <a:rPr lang="es-MX" sz="1100" b="0" baseline="0"/>
                <a:t> hierron</a:t>
              </a:r>
              <a:endParaRPr lang="es-MX" sz="1100" b="0"/>
            </a:p>
          </xdr:txBody>
        </xdr:sp>
      </mc:Choice>
      <mc:Fallback xmlns="">
        <xdr:sp macro="" textlink="">
          <xdr:nvSpPr>
            <xdr:cNvPr id="1093" name="CuadroTexto 1092">
              <a:extLst>
                <a:ext uri="{FF2B5EF4-FFF2-40B4-BE49-F238E27FC236}">
                  <a16:creationId xmlns:a16="http://schemas.microsoft.com/office/drawing/2014/main" id="{2263DB23-5010-43BF-8688-890CD0A043B6}"/>
                </a:ext>
              </a:extLst>
            </xdr:cNvPr>
            <xdr:cNvSpPr txBox="1"/>
          </xdr:nvSpPr>
          <xdr:spPr>
            <a:xfrm>
              <a:off x="12661900" y="332155800"/>
              <a:ext cx="1990725" cy="473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MX" sz="1050" b="0" i="0">
                  <a:solidFill>
                    <a:schemeClr val="tx1"/>
                  </a:solidFill>
                  <a:effectLst/>
                  <a:latin typeface="Cambria Math" panose="02040503050406030204" pitchFamily="18" charset="0"/>
                  <a:ea typeface="+mn-ea"/>
                  <a:cs typeface="+mn-cs"/>
                </a:rPr>
                <a:t>1 𝑡𝑜𝑛 𝐻𝑜𝑗=1.49 Ton </a:t>
              </a:r>
              <a:r>
                <a:rPr lang="es-MX" sz="1100" b="0"/>
                <a:t>mineral de</a:t>
              </a:r>
              <a:r>
                <a:rPr lang="es-MX" sz="1100" b="0" baseline="0"/>
                <a:t> hierron</a:t>
              </a:r>
              <a:endParaRPr lang="es-MX" sz="1100" b="0"/>
            </a:p>
          </xdr:txBody>
        </xdr:sp>
      </mc:Fallback>
    </mc:AlternateContent>
    <xdr:clientData/>
  </xdr:oneCellAnchor>
  <xdr:oneCellAnchor>
    <xdr:from>
      <xdr:col>12</xdr:col>
      <xdr:colOff>2352675</xdr:colOff>
      <xdr:row>404</xdr:row>
      <xdr:rowOff>904875</xdr:rowOff>
    </xdr:from>
    <xdr:ext cx="452966" cy="448733"/>
    <xdr:pic>
      <xdr:nvPicPr>
        <xdr:cNvPr id="1095" name="Gráfico 1094" descr="Inalámbrico">
          <a:hlinkClick xmlns:r="http://schemas.openxmlformats.org/officeDocument/2006/relationships" r:id="rId117"/>
          <a:extLst>
            <a:ext uri="{FF2B5EF4-FFF2-40B4-BE49-F238E27FC236}">
              <a16:creationId xmlns:a16="http://schemas.microsoft.com/office/drawing/2014/main" id="{61B2D94E-66B7-4A2D-A1B8-CA37183A6CB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002125" y="328279125"/>
          <a:ext cx="452966" cy="448733"/>
        </a:xfrm>
        <a:prstGeom prst="rect">
          <a:avLst/>
        </a:prstGeom>
      </xdr:spPr>
    </xdr:pic>
    <xdr:clientData/>
  </xdr:oneCellAnchor>
  <xdr:oneCellAnchor>
    <xdr:from>
      <xdr:col>12</xdr:col>
      <xdr:colOff>2000250</xdr:colOff>
      <xdr:row>404</xdr:row>
      <xdr:rowOff>914400</xdr:rowOff>
    </xdr:from>
    <xdr:ext cx="391583" cy="395432"/>
    <xdr:pic>
      <xdr:nvPicPr>
        <xdr:cNvPr id="1098" name="Gráfico 1097" descr="Hogar">
          <a:hlinkClick xmlns:r="http://schemas.openxmlformats.org/officeDocument/2006/relationships" r:id="rId118"/>
          <a:extLst>
            <a:ext uri="{FF2B5EF4-FFF2-40B4-BE49-F238E27FC236}">
              <a16:creationId xmlns:a16="http://schemas.microsoft.com/office/drawing/2014/main" id="{61E1330D-EA20-4B18-BEC6-AFA928B5CC3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649700" y="328288650"/>
          <a:ext cx="391583" cy="395432"/>
        </a:xfrm>
        <a:prstGeom prst="rect">
          <a:avLst/>
        </a:prstGeom>
      </xdr:spPr>
    </xdr:pic>
    <xdr:clientData/>
  </xdr:oneCellAnchor>
  <xdr:oneCellAnchor>
    <xdr:from>
      <xdr:col>12</xdr:col>
      <xdr:colOff>1800225</xdr:colOff>
      <xdr:row>470</xdr:row>
      <xdr:rowOff>628650</xdr:rowOff>
    </xdr:from>
    <xdr:ext cx="452966" cy="448733"/>
    <xdr:pic>
      <xdr:nvPicPr>
        <xdr:cNvPr id="1100" name="Gráfico 1099" descr="Inalámbrico">
          <a:hlinkClick xmlns:r="http://schemas.openxmlformats.org/officeDocument/2006/relationships" r:id="rId119"/>
          <a:extLst>
            <a:ext uri="{FF2B5EF4-FFF2-40B4-BE49-F238E27FC236}">
              <a16:creationId xmlns:a16="http://schemas.microsoft.com/office/drawing/2014/main" id="{B00DC5C0-830A-4F16-927B-65AE0E0EC91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564225" y="395030325"/>
          <a:ext cx="452966" cy="448733"/>
        </a:xfrm>
        <a:prstGeom prst="rect">
          <a:avLst/>
        </a:prstGeom>
      </xdr:spPr>
    </xdr:pic>
    <xdr:clientData/>
  </xdr:oneCellAnchor>
  <xdr:oneCellAnchor>
    <xdr:from>
      <xdr:col>12</xdr:col>
      <xdr:colOff>2524125</xdr:colOff>
      <xdr:row>450</xdr:row>
      <xdr:rowOff>1019175</xdr:rowOff>
    </xdr:from>
    <xdr:ext cx="223310" cy="223310"/>
    <xdr:pic>
      <xdr:nvPicPr>
        <xdr:cNvPr id="1101" name="Gráfico 1100" descr="Inalámbrico">
          <a:hlinkClick xmlns:r="http://schemas.openxmlformats.org/officeDocument/2006/relationships" r:id="rId120"/>
          <a:extLst>
            <a:ext uri="{FF2B5EF4-FFF2-40B4-BE49-F238E27FC236}">
              <a16:creationId xmlns:a16="http://schemas.microsoft.com/office/drawing/2014/main" id="{A696C3DB-65AD-45D2-B550-058F57D8435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3575" y="367369725"/>
          <a:ext cx="223310" cy="223310"/>
        </a:xfrm>
        <a:prstGeom prst="rect">
          <a:avLst/>
        </a:prstGeom>
      </xdr:spPr>
    </xdr:pic>
    <xdr:clientData/>
  </xdr:oneCellAnchor>
  <xdr:oneCellAnchor>
    <xdr:from>
      <xdr:col>12</xdr:col>
      <xdr:colOff>2247900</xdr:colOff>
      <xdr:row>450</xdr:row>
      <xdr:rowOff>962025</xdr:rowOff>
    </xdr:from>
    <xdr:ext cx="247650" cy="250084"/>
    <xdr:pic>
      <xdr:nvPicPr>
        <xdr:cNvPr id="1102" name="Gráfico 1101" descr="Hogar">
          <a:hlinkClick xmlns:r="http://schemas.openxmlformats.org/officeDocument/2006/relationships" r:id="rId121"/>
          <a:extLst>
            <a:ext uri="{FF2B5EF4-FFF2-40B4-BE49-F238E27FC236}">
              <a16:creationId xmlns:a16="http://schemas.microsoft.com/office/drawing/2014/main" id="{A65883B6-9440-4A60-9113-93E2D5BDFD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97350" y="367312575"/>
          <a:ext cx="247650" cy="250084"/>
        </a:xfrm>
        <a:prstGeom prst="rect">
          <a:avLst/>
        </a:prstGeom>
      </xdr:spPr>
    </xdr:pic>
    <xdr:clientData/>
  </xdr:oneCellAnchor>
  <xdr:oneCellAnchor>
    <xdr:from>
      <xdr:col>12</xdr:col>
      <xdr:colOff>2524125</xdr:colOff>
      <xdr:row>457</xdr:row>
      <xdr:rowOff>1019175</xdr:rowOff>
    </xdr:from>
    <xdr:ext cx="223310" cy="223310"/>
    <xdr:pic>
      <xdr:nvPicPr>
        <xdr:cNvPr id="1103" name="Gráfico 1102" descr="Inalámbrico">
          <a:hlinkClick xmlns:r="http://schemas.openxmlformats.org/officeDocument/2006/relationships" r:id="rId120"/>
          <a:extLst>
            <a:ext uri="{FF2B5EF4-FFF2-40B4-BE49-F238E27FC236}">
              <a16:creationId xmlns:a16="http://schemas.microsoft.com/office/drawing/2014/main" id="{9D8AEB68-B9DA-42DA-8DD5-ADF252A6705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73575" y="367369725"/>
          <a:ext cx="223310" cy="223310"/>
        </a:xfrm>
        <a:prstGeom prst="rect">
          <a:avLst/>
        </a:prstGeom>
      </xdr:spPr>
    </xdr:pic>
    <xdr:clientData/>
  </xdr:oneCellAnchor>
  <xdr:oneCellAnchor>
    <xdr:from>
      <xdr:col>12</xdr:col>
      <xdr:colOff>2247900</xdr:colOff>
      <xdr:row>457</xdr:row>
      <xdr:rowOff>962025</xdr:rowOff>
    </xdr:from>
    <xdr:ext cx="247650" cy="250084"/>
    <xdr:pic>
      <xdr:nvPicPr>
        <xdr:cNvPr id="1104" name="Gráfico 1103" descr="Hogar">
          <a:hlinkClick xmlns:r="http://schemas.openxmlformats.org/officeDocument/2006/relationships" r:id="rId121"/>
          <a:extLst>
            <a:ext uri="{FF2B5EF4-FFF2-40B4-BE49-F238E27FC236}">
              <a16:creationId xmlns:a16="http://schemas.microsoft.com/office/drawing/2014/main" id="{864F093F-202B-418C-9F32-94CE96BE333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97350" y="367312575"/>
          <a:ext cx="247650" cy="250084"/>
        </a:xfrm>
        <a:prstGeom prst="rect">
          <a:avLst/>
        </a:prstGeom>
      </xdr:spPr>
    </xdr:pic>
    <xdr:clientData/>
  </xdr:oneCellAnchor>
  <xdr:oneCellAnchor>
    <xdr:from>
      <xdr:col>12</xdr:col>
      <xdr:colOff>2543175</xdr:colOff>
      <xdr:row>457</xdr:row>
      <xdr:rowOff>1143000</xdr:rowOff>
    </xdr:from>
    <xdr:ext cx="295276" cy="295276"/>
    <xdr:pic>
      <xdr:nvPicPr>
        <xdr:cNvPr id="1043" name="Gráfico 1042" descr="Inalámbrico">
          <a:hlinkClick xmlns:r="http://schemas.openxmlformats.org/officeDocument/2006/relationships" r:id="rId100" invalidUrl="http://www.conama11.vsf.es/conama10/download/files/conama2016/CT 2016/1998973493.pdf"/>
          <a:extLst>
            <a:ext uri="{FF2B5EF4-FFF2-40B4-BE49-F238E27FC236}">
              <a16:creationId xmlns:a16="http://schemas.microsoft.com/office/drawing/2014/main" id="{448BA019-EE85-4A8B-9A32-C5183E0A766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92625" y="371227350"/>
          <a:ext cx="295276" cy="295276"/>
        </a:xfrm>
        <a:prstGeom prst="rect">
          <a:avLst/>
        </a:prstGeom>
      </xdr:spPr>
    </xdr:pic>
    <xdr:clientData/>
  </xdr:oneCellAnchor>
  <xdr:oneCellAnchor>
    <xdr:from>
      <xdr:col>9</xdr:col>
      <xdr:colOff>342900</xdr:colOff>
      <xdr:row>456</xdr:row>
      <xdr:rowOff>482600</xdr:rowOff>
    </xdr:from>
    <xdr:ext cx="1717675" cy="319511"/>
    <mc:AlternateContent xmlns:mc="http://schemas.openxmlformats.org/markup-compatibility/2006" xmlns:a14="http://schemas.microsoft.com/office/drawing/2010/main">
      <mc:Choice Requires="a14">
        <xdr:sp macro="" textlink="">
          <xdr:nvSpPr>
            <xdr:cNvPr id="1107" name="CuadroTexto 1106">
              <a:extLst>
                <a:ext uri="{FF2B5EF4-FFF2-40B4-BE49-F238E27FC236}">
                  <a16:creationId xmlns:a16="http://schemas.microsoft.com/office/drawing/2014/main" id="{EB5F6A7D-716C-44B1-BB23-2ADC275C11C0}"/>
                </a:ext>
              </a:extLst>
            </xdr:cNvPr>
            <xdr:cNvSpPr txBox="1"/>
          </xdr:nvSpPr>
          <xdr:spPr>
            <a:xfrm>
              <a:off x="10169525" y="383911475"/>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1000</m:t>
                        </m:r>
                        <m:r>
                          <a:rPr lang="es-MX" sz="1000" b="0" i="1">
                            <a:solidFill>
                              <a:schemeClr val="tx1"/>
                            </a:solidFill>
                            <a:effectLst/>
                            <a:latin typeface="Cambria Math" panose="02040503050406030204" pitchFamily="18" charset="0"/>
                            <a:ea typeface="+mn-ea"/>
                            <a:cs typeface="+mn-cs"/>
                          </a:rPr>
                          <m:t>𝑘𝑔</m:t>
                        </m:r>
                        <m:r>
                          <a:rPr lang="es-MX" sz="1000" b="0" i="1">
                            <a:solidFill>
                              <a:schemeClr val="tx1"/>
                            </a:solidFill>
                            <a:effectLst/>
                            <a:latin typeface="Cambria Math" panose="02040503050406030204" pitchFamily="18" charset="0"/>
                            <a:ea typeface="+mn-ea"/>
                            <a:cs typeface="+mn-cs"/>
                          </a:rPr>
                          <m:t> </m:t>
                        </m:r>
                      </m:num>
                      <m:den>
                        <m:r>
                          <a:rPr lang="es-MX" sz="1000" b="0" i="1">
                            <a:solidFill>
                              <a:schemeClr val="tx1"/>
                            </a:solidFill>
                            <a:effectLst/>
                            <a:latin typeface="Cambria Math" panose="02040503050406030204" pitchFamily="18" charset="0"/>
                            <a:ea typeface="+mn-ea"/>
                            <a:cs typeface="+mn-cs"/>
                          </a:rPr>
                          <m:t>1</m:t>
                        </m:r>
                      </m:den>
                    </m:f>
                    <m:r>
                      <a:rPr lang="es-MX" sz="1000" b="0" i="1">
                        <a:latin typeface="Cambria Math" panose="02040503050406030204" pitchFamily="18" charset="0"/>
                      </a:rPr>
                      <m:t> </m:t>
                    </m:r>
                    <m:r>
                      <a:rPr lang="es-MX" sz="1000" b="0" i="0">
                        <a:latin typeface="Cambria Math" panose="02040503050406030204" pitchFamily="18" charset="0"/>
                      </a:rPr>
                      <m:t>→</m:t>
                    </m:r>
                    <m:f>
                      <m:fPr>
                        <m:ctrlPr>
                          <a:rPr lang="es-MX" sz="1000" i="1">
                            <a:solidFill>
                              <a:schemeClr val="tx1"/>
                            </a:solidFill>
                            <a:effectLst/>
                            <a:latin typeface="Cambria Math" panose="02040503050406030204" pitchFamily="18" charset="0"/>
                            <a:ea typeface="+mn-ea"/>
                            <a:cs typeface="+mn-cs"/>
                          </a:rPr>
                        </m:ctrlPr>
                      </m:fPr>
                      <m:num>
                        <m:r>
                          <a:rPr lang="es-MX" sz="1000" b="0" i="1">
                            <a:solidFill>
                              <a:schemeClr val="tx1"/>
                            </a:solidFill>
                            <a:effectLst/>
                            <a:latin typeface="Cambria Math" panose="02040503050406030204" pitchFamily="18" charset="0"/>
                            <a:ea typeface="+mn-ea"/>
                            <a:cs typeface="+mn-cs"/>
                          </a:rPr>
                          <m:t>670 </m:t>
                        </m:r>
                        <m:r>
                          <a:rPr lang="es-MX" sz="1000" b="0" i="1">
                            <a:solidFill>
                              <a:schemeClr val="tx1"/>
                            </a:solidFill>
                            <a:effectLst/>
                            <a:latin typeface="Cambria Math" panose="02040503050406030204" pitchFamily="18" charset="0"/>
                            <a:ea typeface="+mn-ea"/>
                            <a:cs typeface="+mn-cs"/>
                          </a:rPr>
                          <m:t>𝑘𝑔𝑐𝑜</m:t>
                        </m:r>
                        <m:r>
                          <a:rPr lang="es-MX" sz="1000" b="0" i="1">
                            <a:solidFill>
                              <a:schemeClr val="tx1"/>
                            </a:solidFill>
                            <a:effectLst/>
                            <a:latin typeface="Cambria Math" panose="02040503050406030204" pitchFamily="18" charset="0"/>
                            <a:ea typeface="+mn-ea"/>
                            <a:cs typeface="+mn-cs"/>
                          </a:rPr>
                          <m:t>2</m:t>
                        </m:r>
                      </m:num>
                      <m:den>
                        <m:r>
                          <a:rPr lang="es-MX" sz="1000" b="0" i="1">
                            <a:solidFill>
                              <a:schemeClr val="tx1"/>
                            </a:solidFill>
                            <a:effectLst/>
                            <a:latin typeface="Cambria Math" panose="02040503050406030204" pitchFamily="18" charset="0"/>
                            <a:ea typeface="+mn-ea"/>
                            <a:cs typeface="+mn-cs"/>
                          </a:rPr>
                          <m:t>?(.670)</m:t>
                        </m:r>
                      </m:den>
                    </m:f>
                    <m:r>
                      <a:rPr lang="es-MX" sz="1000" b="0" i="1">
                        <a:latin typeface="Cambria Math" panose="02040503050406030204" pitchFamily="18" charset="0"/>
                      </a:rPr>
                      <m:t> </m:t>
                    </m:r>
                  </m:oMath>
                </m:oMathPara>
              </a14:m>
              <a:endParaRPr lang="es-MX" sz="1000"/>
            </a:p>
          </xdr:txBody>
        </xdr:sp>
      </mc:Choice>
      <mc:Fallback xmlns="">
        <xdr:sp macro="" textlink="">
          <xdr:nvSpPr>
            <xdr:cNvPr id="1107" name="CuadroTexto 1106">
              <a:extLst>
                <a:ext uri="{FF2B5EF4-FFF2-40B4-BE49-F238E27FC236}">
                  <a16:creationId xmlns:a16="http://schemas.microsoft.com/office/drawing/2014/main" id="{EB5F6A7D-716C-44B1-BB23-2ADC275C11C0}"/>
                </a:ext>
              </a:extLst>
            </xdr:cNvPr>
            <xdr:cNvSpPr txBox="1"/>
          </xdr:nvSpPr>
          <xdr:spPr>
            <a:xfrm>
              <a:off x="10169525" y="383911475"/>
              <a:ext cx="1717675" cy="319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1000𝑘𝑔 )/1 </a:t>
              </a:r>
              <a:r>
                <a:rPr lang="es-MX" sz="1000" b="0" i="0">
                  <a:latin typeface="Cambria Math" panose="02040503050406030204" pitchFamily="18" charset="0"/>
                </a:rPr>
                <a:t> →</a:t>
              </a:r>
              <a:r>
                <a:rPr lang="es-MX" sz="1000" i="0">
                  <a:solidFill>
                    <a:schemeClr val="tx1"/>
                  </a:solidFill>
                  <a:effectLst/>
                  <a:latin typeface="Cambria Math" panose="02040503050406030204" pitchFamily="18" charset="0"/>
                  <a:ea typeface="+mn-ea"/>
                  <a:cs typeface="+mn-cs"/>
                </a:rPr>
                <a:t>(</a:t>
              </a:r>
              <a:r>
                <a:rPr lang="es-MX" sz="1000" b="0" i="0">
                  <a:solidFill>
                    <a:schemeClr val="tx1"/>
                  </a:solidFill>
                  <a:effectLst/>
                  <a:latin typeface="Cambria Math" panose="02040503050406030204" pitchFamily="18" charset="0"/>
                  <a:ea typeface="+mn-ea"/>
                  <a:cs typeface="+mn-cs"/>
                </a:rPr>
                <a:t>670 𝑘𝑔𝑐𝑜2)/(?(.670)) </a:t>
              </a:r>
              <a:r>
                <a:rPr lang="es-MX" sz="1000" b="0" i="0">
                  <a:latin typeface="Cambria Math" panose="02040503050406030204" pitchFamily="18" charset="0"/>
                </a:rPr>
                <a:t> </a:t>
              </a:r>
              <a:endParaRPr lang="es-MX" sz="1000"/>
            </a:p>
          </xdr:txBody>
        </xdr:sp>
      </mc:Fallback>
    </mc:AlternateContent>
    <xdr:clientData/>
  </xdr:oneCellAnchor>
  <xdr:oneCellAnchor>
    <xdr:from>
      <xdr:col>10</xdr:col>
      <xdr:colOff>142875</xdr:colOff>
      <xdr:row>456</xdr:row>
      <xdr:rowOff>95250</xdr:rowOff>
    </xdr:from>
    <xdr:ext cx="1785937" cy="1121589"/>
    <mc:AlternateContent xmlns:mc="http://schemas.openxmlformats.org/markup-compatibility/2006" xmlns:a14="http://schemas.microsoft.com/office/drawing/2010/main">
      <mc:Choice Requires="a14">
        <xdr:sp macro="" textlink="">
          <xdr:nvSpPr>
            <xdr:cNvPr id="1109" name="CuadroTexto 1108">
              <a:extLst>
                <a:ext uri="{FF2B5EF4-FFF2-40B4-BE49-F238E27FC236}">
                  <a16:creationId xmlns:a16="http://schemas.microsoft.com/office/drawing/2014/main" id="{DCCFE9AC-0EA4-4DC1-B71F-85C969666060}"/>
                </a:ext>
              </a:extLst>
            </xdr:cNvPr>
            <xdr:cNvSpPr txBox="1"/>
          </xdr:nvSpPr>
          <xdr:spPr>
            <a:xfrm>
              <a:off x="10810875" y="371589300"/>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𝑉𝑖𝑑𝑟𝑖𝑜</m:t>
                    </m:r>
                    <m:r>
                      <a:rPr lang="es-MX" sz="1050" b="0" i="1">
                        <a:latin typeface="Cambria Math" panose="02040503050406030204" pitchFamily="18" charset="0"/>
                      </a:rPr>
                      <m:t>=.670</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kg</m:t>
                        </m:r>
                      </m:num>
                      <m:den>
                        <m:r>
                          <m:rPr>
                            <m:sty m:val="p"/>
                          </m:rPr>
                          <a:rPr lang="es-MX" sz="1050" b="0" i="0">
                            <a:solidFill>
                              <a:schemeClr val="tx1"/>
                            </a:solidFill>
                            <a:effectLst/>
                            <a:latin typeface="Cambria Math" panose="02040503050406030204" pitchFamily="18" charset="0"/>
                            <a:ea typeface="+mn-ea"/>
                            <a:cs typeface="+mn-cs"/>
                          </a:rPr>
                          <m:t>C</m:t>
                        </m:r>
                        <m:r>
                          <a:rPr lang="es-MX" sz="1050" b="0" i="1">
                            <a:solidFill>
                              <a:schemeClr val="tx1"/>
                            </a:solidFill>
                            <a:effectLst/>
                            <a:latin typeface="Cambria Math" panose="02040503050406030204" pitchFamily="18" charset="0"/>
                            <a:ea typeface="+mn-ea"/>
                            <a:cs typeface="+mn-cs"/>
                          </a:rPr>
                          <m:t>𝑜</m:t>
                        </m:r>
                        <m:r>
                          <a:rPr lang="es-MX" sz="1050" b="0" i="1">
                            <a:solidFill>
                              <a:schemeClr val="tx1"/>
                            </a:solidFill>
                            <a:effectLst/>
                            <a:latin typeface="Cambria Math" panose="02040503050406030204" pitchFamily="18" charset="0"/>
                            <a:ea typeface="+mn-ea"/>
                            <a:cs typeface="+mn-cs"/>
                          </a:rPr>
                          <m:t>2</m:t>
                        </m:r>
                      </m:den>
                    </m:f>
                  </m:oMath>
                </m:oMathPara>
              </a14:m>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𝑉𝑖𝑑𝑟𝑖𝑜</m:t>
                    </m:r>
                    <m:r>
                      <a:rPr lang="es-MX" sz="1100" b="0" i="1">
                        <a:solidFill>
                          <a:schemeClr val="tx1"/>
                        </a:solidFill>
                        <a:effectLst/>
                        <a:latin typeface="Cambria Math" panose="02040503050406030204" pitchFamily="18" charset="0"/>
                        <a:ea typeface="+mn-ea"/>
                        <a:cs typeface="+mn-cs"/>
                      </a:rPr>
                      <m:t>=670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kg</m:t>
                        </m:r>
                      </m:num>
                      <m:den>
                        <m:r>
                          <m:rPr>
                            <m:sty m:val="p"/>
                          </m:rPr>
                          <a:rPr lang="es-MX" sz="1100" b="0" i="0">
                            <a:solidFill>
                              <a:schemeClr val="tx1"/>
                            </a:solidFill>
                            <a:effectLst/>
                            <a:latin typeface="Cambria Math" panose="02040503050406030204" pitchFamily="18" charset="0"/>
                            <a:ea typeface="+mn-ea"/>
                            <a:cs typeface="+mn-cs"/>
                          </a:rPr>
                          <m:t>C</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2</m:t>
                        </m:r>
                      </m:den>
                    </m:f>
                  </m:oMath>
                </m:oMathPara>
              </a14:m>
              <a:endParaRPr lang="es-MX" sz="1050">
                <a:effectLst/>
              </a:endParaRPr>
            </a:p>
            <a:p>
              <a:endParaRPr lang="es-MX" sz="1050" b="0"/>
            </a:p>
          </xdr:txBody>
        </xdr:sp>
      </mc:Choice>
      <mc:Fallback xmlns="">
        <xdr:sp macro="" textlink="">
          <xdr:nvSpPr>
            <xdr:cNvPr id="1109" name="CuadroTexto 1108">
              <a:extLst>
                <a:ext uri="{FF2B5EF4-FFF2-40B4-BE49-F238E27FC236}">
                  <a16:creationId xmlns:a16="http://schemas.microsoft.com/office/drawing/2014/main" id="{DCCFE9AC-0EA4-4DC1-B71F-85C969666060}"/>
                </a:ext>
              </a:extLst>
            </xdr:cNvPr>
            <xdr:cNvSpPr txBox="1"/>
          </xdr:nvSpPr>
          <xdr:spPr>
            <a:xfrm>
              <a:off x="10810875" y="371589300"/>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𝑉𝑖𝑑𝑟𝑖𝑜=.670</a:t>
              </a:r>
              <a:r>
                <a:rPr lang="es-MX" sz="1050" b="0" i="0">
                  <a:solidFill>
                    <a:schemeClr val="tx1"/>
                  </a:solidFill>
                  <a:effectLst/>
                  <a:latin typeface="Cambria Math" panose="02040503050406030204" pitchFamily="18" charset="0"/>
                  <a:ea typeface="+mn-ea"/>
                  <a:cs typeface="+mn-cs"/>
                </a:rPr>
                <a:t> kg/C𝑜2</a:t>
              </a:r>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𝑉𝑖𝑑𝑟𝑖𝑜=670 kg/C𝑜2</a:t>
              </a:r>
              <a:endParaRPr lang="es-MX" sz="1050">
                <a:effectLst/>
              </a:endParaRPr>
            </a:p>
            <a:p>
              <a:endParaRPr lang="es-MX" sz="1050" b="0"/>
            </a:p>
          </xdr:txBody>
        </xdr:sp>
      </mc:Fallback>
    </mc:AlternateContent>
    <xdr:clientData/>
  </xdr:oneCellAnchor>
  <xdr:oneCellAnchor>
    <xdr:from>
      <xdr:col>12</xdr:col>
      <xdr:colOff>2238375</xdr:colOff>
      <xdr:row>456</xdr:row>
      <xdr:rowOff>1114425</xdr:rowOff>
    </xdr:from>
    <xdr:ext cx="276225" cy="281044"/>
    <xdr:pic>
      <xdr:nvPicPr>
        <xdr:cNvPr id="1110" name="Gráfico 1109" descr="Hogar">
          <a:hlinkClick xmlns:r="http://schemas.openxmlformats.org/officeDocument/2006/relationships" r:id="rId122"/>
          <a:extLst>
            <a:ext uri="{FF2B5EF4-FFF2-40B4-BE49-F238E27FC236}">
              <a16:creationId xmlns:a16="http://schemas.microsoft.com/office/drawing/2014/main" id="{506037A2-7FB0-4F8C-92B0-0014701B853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887825" y="372608475"/>
          <a:ext cx="276225" cy="281044"/>
        </a:xfrm>
        <a:prstGeom prst="rect">
          <a:avLst/>
        </a:prstGeom>
      </xdr:spPr>
    </xdr:pic>
    <xdr:clientData/>
  </xdr:oneCellAnchor>
  <xdr:oneCellAnchor>
    <xdr:from>
      <xdr:col>12</xdr:col>
      <xdr:colOff>2505075</xdr:colOff>
      <xdr:row>456</xdr:row>
      <xdr:rowOff>1095375</xdr:rowOff>
    </xdr:from>
    <xdr:ext cx="295276" cy="295276"/>
    <xdr:pic>
      <xdr:nvPicPr>
        <xdr:cNvPr id="1113" name="Gráfico 1112" descr="Inalámbrico">
          <a:hlinkClick xmlns:r="http://schemas.openxmlformats.org/officeDocument/2006/relationships" r:id="rId123"/>
          <a:extLst>
            <a:ext uri="{FF2B5EF4-FFF2-40B4-BE49-F238E27FC236}">
              <a16:creationId xmlns:a16="http://schemas.microsoft.com/office/drawing/2014/main" id="{9D9736F8-EC46-4BD4-85AF-8F4747003EF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154525" y="372589425"/>
          <a:ext cx="295276" cy="295276"/>
        </a:xfrm>
        <a:prstGeom prst="rect">
          <a:avLst/>
        </a:prstGeom>
      </xdr:spPr>
    </xdr:pic>
    <xdr:clientData/>
  </xdr:oneCellAnchor>
  <xdr:oneCellAnchor>
    <xdr:from>
      <xdr:col>12</xdr:col>
      <xdr:colOff>2562225</xdr:colOff>
      <xdr:row>71</xdr:row>
      <xdr:rowOff>790575</xdr:rowOff>
    </xdr:from>
    <xdr:ext cx="295276" cy="295276"/>
    <xdr:pic>
      <xdr:nvPicPr>
        <xdr:cNvPr id="1108" name="Gráfico 1107" descr="Inalámbrico">
          <a:hlinkClick xmlns:r="http://schemas.openxmlformats.org/officeDocument/2006/relationships" r:id="rId124"/>
          <a:extLst>
            <a:ext uri="{FF2B5EF4-FFF2-40B4-BE49-F238E27FC236}">
              <a16:creationId xmlns:a16="http://schemas.microsoft.com/office/drawing/2014/main" id="{4273DAAA-B4A4-4E4C-BFC9-2122C899CDD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211675" y="81743550"/>
          <a:ext cx="295276" cy="295276"/>
        </a:xfrm>
        <a:prstGeom prst="rect">
          <a:avLst/>
        </a:prstGeom>
      </xdr:spPr>
    </xdr:pic>
    <xdr:clientData/>
  </xdr:oneCellAnchor>
  <xdr:oneCellAnchor>
    <xdr:from>
      <xdr:col>10</xdr:col>
      <xdr:colOff>239473</xdr:colOff>
      <xdr:row>305</xdr:row>
      <xdr:rowOff>779606</xdr:rowOff>
    </xdr:from>
    <xdr:ext cx="1459441" cy="321435"/>
    <mc:AlternateContent xmlns:mc="http://schemas.openxmlformats.org/markup-compatibility/2006" xmlns:a14="http://schemas.microsoft.com/office/drawing/2010/main">
      <mc:Choice Requires="a14">
        <xdr:sp macro="" textlink="">
          <xdr:nvSpPr>
            <xdr:cNvPr id="1111" name="CuadroTexto 1110">
              <a:extLst>
                <a:ext uri="{FF2B5EF4-FFF2-40B4-BE49-F238E27FC236}">
                  <a16:creationId xmlns:a16="http://schemas.microsoft.com/office/drawing/2014/main" id="{53E99BFE-3C6A-4E94-8AB1-626E1D946757}"/>
                </a:ext>
              </a:extLst>
            </xdr:cNvPr>
            <xdr:cNvSpPr txBox="1"/>
          </xdr:nvSpPr>
          <xdr:spPr>
            <a:xfrm>
              <a:off x="10907473" y="262688531"/>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𝐸𝑅</m:t>
                    </m:r>
                    <m:r>
                      <a:rPr lang="es-MX" sz="1100" i="1">
                        <a:latin typeface="Cambria Math" panose="02040503050406030204" pitchFamily="18" charset="0"/>
                      </a:rPr>
                      <m:t>=</m:t>
                    </m:r>
                    <m:r>
                      <a:rPr lang="es-MX" sz="1100" b="0" i="1">
                        <a:latin typeface="Cambria Math" panose="02040503050406030204" pitchFamily="18" charset="0"/>
                      </a:rPr>
                      <m:t>2,550</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1111" name="CuadroTexto 1110">
              <a:extLst>
                <a:ext uri="{FF2B5EF4-FFF2-40B4-BE49-F238E27FC236}">
                  <a16:creationId xmlns:a16="http://schemas.microsoft.com/office/drawing/2014/main" id="{53E99BFE-3C6A-4E94-8AB1-626E1D946757}"/>
                </a:ext>
              </a:extLst>
            </xdr:cNvPr>
            <xdr:cNvSpPr txBox="1"/>
          </xdr:nvSpPr>
          <xdr:spPr>
            <a:xfrm>
              <a:off x="10907473" y="262688531"/>
              <a:ext cx="1459441"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𝐸𝑅</a:t>
              </a:r>
              <a:r>
                <a:rPr lang="es-MX" sz="1100" i="0">
                  <a:latin typeface="Cambria Math" panose="02040503050406030204" pitchFamily="18" charset="0"/>
                </a:rPr>
                <a:t>=</a:t>
              </a:r>
              <a:r>
                <a:rPr lang="es-MX" sz="1100" b="0" i="0">
                  <a:latin typeface="Cambria Math" panose="02040503050406030204" pitchFamily="18" charset="0"/>
                </a:rPr>
                <a:t>2,550</a:t>
              </a:r>
              <a:r>
                <a:rPr lang="es-MX" sz="1100" b="0" i="0">
                  <a:solidFill>
                    <a:schemeClr val="tx1"/>
                  </a:solidFill>
                  <a:effectLst/>
                  <a:latin typeface="Cambria Math" panose="02040503050406030204" pitchFamily="18" charset="0"/>
                  <a:ea typeface="+mn-ea"/>
                  <a:cs typeface="+mn-cs"/>
                </a:rPr>
                <a:t> kwh/(1 ton)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259773</xdr:colOff>
      <xdr:row>305</xdr:row>
      <xdr:rowOff>207818</xdr:rowOff>
    </xdr:from>
    <xdr:ext cx="1459441" cy="449407"/>
    <mc:AlternateContent xmlns:mc="http://schemas.openxmlformats.org/markup-compatibility/2006" xmlns:a14="http://schemas.microsoft.com/office/drawing/2010/main">
      <mc:Choice Requires="a14">
        <xdr:sp macro="" textlink="">
          <xdr:nvSpPr>
            <xdr:cNvPr id="1112" name="CuadroTexto 1111">
              <a:extLst>
                <a:ext uri="{FF2B5EF4-FFF2-40B4-BE49-F238E27FC236}">
                  <a16:creationId xmlns:a16="http://schemas.microsoft.com/office/drawing/2014/main" id="{E3AD1570-253C-419E-A38E-0546D53A5C01}"/>
                </a:ext>
              </a:extLst>
            </xdr:cNvPr>
            <xdr:cNvSpPr txBox="1"/>
          </xdr:nvSpPr>
          <xdr:spPr>
            <a:xfrm>
              <a:off x="10927773" y="262116743"/>
              <a:ext cx="1459441" cy="449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𝐸𝑉</m:t>
                    </m:r>
                    <m:r>
                      <a:rPr lang="es-MX" sz="1100" i="1">
                        <a:latin typeface="Cambria Math" panose="02040503050406030204" pitchFamily="18" charset="0"/>
                      </a:rPr>
                      <m:t>=</m:t>
                    </m:r>
                    <m:r>
                      <a:rPr lang="es-MX" sz="1100" b="0" i="0">
                        <a:latin typeface="Cambria Math" panose="02040503050406030204" pitchFamily="18" charset="0"/>
                      </a:rPr>
                      <m:t>37,588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den>
                    </m:f>
                    <m:r>
                      <a:rPr lang="es-MX" sz="1100" b="0" i="1">
                        <a:latin typeface="Cambria Math" panose="02040503050406030204" pitchFamily="18" charset="0"/>
                      </a:rPr>
                      <m:t> </m:t>
                    </m:r>
                  </m:oMath>
                </m:oMathPara>
              </a14:m>
              <a:endParaRPr lang="es-MX" sz="1100"/>
            </a:p>
          </xdr:txBody>
        </xdr:sp>
      </mc:Choice>
      <mc:Fallback xmlns="">
        <xdr:sp macro="" textlink="">
          <xdr:nvSpPr>
            <xdr:cNvPr id="1112" name="CuadroTexto 1111">
              <a:extLst>
                <a:ext uri="{FF2B5EF4-FFF2-40B4-BE49-F238E27FC236}">
                  <a16:creationId xmlns:a16="http://schemas.microsoft.com/office/drawing/2014/main" id="{E3AD1570-253C-419E-A38E-0546D53A5C01}"/>
                </a:ext>
              </a:extLst>
            </xdr:cNvPr>
            <xdr:cNvSpPr txBox="1"/>
          </xdr:nvSpPr>
          <xdr:spPr>
            <a:xfrm>
              <a:off x="10927773" y="262116743"/>
              <a:ext cx="1459441" cy="449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100" b="0" i="0">
                  <a:latin typeface="Cambria Math" panose="02040503050406030204" pitchFamily="18" charset="0"/>
                </a:rPr>
                <a:t>𝐸𝑉</a:t>
              </a:r>
              <a:r>
                <a:rPr lang="es-MX" sz="1100" i="0">
                  <a:latin typeface="Cambria Math" panose="02040503050406030204" pitchFamily="18" charset="0"/>
                </a:rPr>
                <a:t>=</a:t>
              </a:r>
              <a:r>
                <a:rPr lang="es-MX" sz="1100" b="0" i="0">
                  <a:latin typeface="Cambria Math" panose="02040503050406030204" pitchFamily="18" charset="0"/>
                </a:rPr>
                <a:t>37,588</a:t>
              </a:r>
              <a:r>
                <a:rPr lang="es-MX" sz="1100" b="0" i="0">
                  <a:solidFill>
                    <a:schemeClr val="tx1"/>
                  </a:solidFill>
                  <a:effectLst/>
                  <a:latin typeface="Cambria Math" panose="02040503050406030204" pitchFamily="18" charset="0"/>
                  <a:ea typeface="+mn-ea"/>
                  <a:cs typeface="+mn-cs"/>
                </a:rPr>
                <a:t> kwh/(1 𝑡𝑜𝑛)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168275</xdr:colOff>
      <xdr:row>305</xdr:row>
      <xdr:rowOff>1666875</xdr:rowOff>
    </xdr:from>
    <xdr:ext cx="391583" cy="395432"/>
    <xdr:pic>
      <xdr:nvPicPr>
        <xdr:cNvPr id="1114" name="Gráfico 1113" descr="Hogar">
          <a:hlinkClick xmlns:r="http://schemas.openxmlformats.org/officeDocument/2006/relationships" r:id="rId125"/>
          <a:extLst>
            <a:ext uri="{FF2B5EF4-FFF2-40B4-BE49-F238E27FC236}">
              <a16:creationId xmlns:a16="http://schemas.microsoft.com/office/drawing/2014/main" id="{0D7ED93E-2D69-4CB9-81F8-0B0C73EDA83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964025" y="258238625"/>
          <a:ext cx="391583" cy="395432"/>
        </a:xfrm>
        <a:prstGeom prst="rect">
          <a:avLst/>
        </a:prstGeom>
      </xdr:spPr>
    </xdr:pic>
    <xdr:clientData/>
  </xdr:oneCellAnchor>
  <xdr:oneCellAnchor>
    <xdr:from>
      <xdr:col>12</xdr:col>
      <xdr:colOff>1374775</xdr:colOff>
      <xdr:row>305</xdr:row>
      <xdr:rowOff>1749425</xdr:rowOff>
    </xdr:from>
    <xdr:ext cx="452966" cy="448733"/>
    <xdr:pic>
      <xdr:nvPicPr>
        <xdr:cNvPr id="1115" name="Gráfico 1114" descr="Inalámbrico">
          <a:hlinkClick xmlns:r="http://schemas.openxmlformats.org/officeDocument/2006/relationships" r:id="rId126"/>
          <a:extLst>
            <a:ext uri="{FF2B5EF4-FFF2-40B4-BE49-F238E27FC236}">
              <a16:creationId xmlns:a16="http://schemas.microsoft.com/office/drawing/2014/main" id="{97AFE578-91A8-4647-AD11-2D27EE7BF15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170525" y="258321175"/>
          <a:ext cx="452966" cy="448733"/>
        </a:xfrm>
        <a:prstGeom prst="rect">
          <a:avLst/>
        </a:prstGeom>
      </xdr:spPr>
    </xdr:pic>
    <xdr:clientData/>
  </xdr:oneCellAnchor>
  <xdr:oneCellAnchor>
    <xdr:from>
      <xdr:col>9</xdr:col>
      <xdr:colOff>320675</xdr:colOff>
      <xdr:row>305</xdr:row>
      <xdr:rowOff>254000</xdr:rowOff>
    </xdr:from>
    <xdr:ext cx="1752600" cy="246093"/>
    <mc:AlternateContent xmlns:mc="http://schemas.openxmlformats.org/markup-compatibility/2006" xmlns:a14="http://schemas.microsoft.com/office/drawing/2010/main">
      <mc:Choice Requires="a14">
        <xdr:sp macro="" textlink="">
          <xdr:nvSpPr>
            <xdr:cNvPr id="1116" name="CuadroTexto 1115">
              <a:extLst>
                <a:ext uri="{FF2B5EF4-FFF2-40B4-BE49-F238E27FC236}">
                  <a16:creationId xmlns:a16="http://schemas.microsoft.com/office/drawing/2014/main" id="{8A342230-BC66-46B3-9B00-D52CEB139C65}"/>
                </a:ext>
              </a:extLst>
            </xdr:cNvPr>
            <xdr:cNvSpPr txBox="1"/>
          </xdr:nvSpPr>
          <xdr:spPr>
            <a:xfrm>
              <a:off x="10147300" y="256825750"/>
              <a:ext cx="1752600" cy="246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800" b="0" i="0">
                      <a:latin typeface="Cambria Math" panose="02040503050406030204" pitchFamily="18" charset="0"/>
                    </a:rPr>
                    <m:t>1</m:t>
                  </m:r>
                  <m:r>
                    <a:rPr lang="es-MX" sz="800" b="0" i="1">
                      <a:latin typeface="Cambria Math" panose="02040503050406030204" pitchFamily="18" charset="0"/>
                    </a:rPr>
                    <m:t>35.32</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𝐺𝐽</m:t>
                      </m:r>
                    </m:num>
                    <m:den>
                      <m:r>
                        <m:rPr>
                          <m:sty m:val="p"/>
                        </m:rPr>
                        <a:rPr lang="es-MX" sz="800" b="0" i="0">
                          <a:solidFill>
                            <a:schemeClr val="tx1"/>
                          </a:solidFill>
                          <a:effectLst/>
                          <a:latin typeface="Cambria Math" panose="02040503050406030204" pitchFamily="18" charset="0"/>
                          <a:ea typeface="+mn-ea"/>
                          <a:cs typeface="+mn-cs"/>
                        </a:rPr>
                        <m:t>Ton</m:t>
                      </m:r>
                    </m:den>
                  </m:f>
                  <m:r>
                    <a:rPr lang="es-MX" sz="800" b="0" i="1">
                      <a:latin typeface="Cambria Math" panose="02040503050406030204" pitchFamily="18" charset="0"/>
                    </a:rPr>
                    <m:t> </m:t>
                  </m:r>
                  <m:r>
                    <m:rPr>
                      <m:sty m:val="p"/>
                    </m:rPr>
                    <a:rPr lang="es-MX" sz="800" b="0" i="0">
                      <a:latin typeface="Cambria Math" panose="02040503050406030204" pitchFamily="18" charset="0"/>
                    </a:rPr>
                    <m:t>x</m:t>
                  </m:r>
                  <m:r>
                    <a:rPr lang="es-MX" sz="800" b="0" i="1">
                      <a:latin typeface="Cambria Math" panose="02040503050406030204" pitchFamily="18" charset="0"/>
                    </a:rPr>
                    <m:t> 277.778</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𝑘𝑤h</m:t>
                      </m:r>
                    </m:num>
                    <m:den>
                      <m:r>
                        <a:rPr lang="es-MX" sz="800" b="0" i="0">
                          <a:solidFill>
                            <a:schemeClr val="tx1"/>
                          </a:solidFill>
                          <a:effectLst/>
                          <a:latin typeface="Cambria Math" panose="02040503050406030204" pitchFamily="18" charset="0"/>
                          <a:ea typeface="+mn-ea"/>
                          <a:cs typeface="+mn-cs"/>
                        </a:rPr>
                        <m:t>1</m:t>
                      </m:r>
                      <m:r>
                        <m:rPr>
                          <m:sty m:val="p"/>
                        </m:rPr>
                        <a:rPr lang="es-MX" sz="800" b="0" i="0">
                          <a:solidFill>
                            <a:schemeClr val="tx1"/>
                          </a:solidFill>
                          <a:effectLst/>
                          <a:latin typeface="Cambria Math" panose="02040503050406030204" pitchFamily="18" charset="0"/>
                          <a:ea typeface="+mn-ea"/>
                          <a:cs typeface="+mn-cs"/>
                        </a:rPr>
                        <m:t>G</m:t>
                      </m:r>
                      <m:r>
                        <a:rPr lang="es-MX" sz="800" b="0" i="1">
                          <a:solidFill>
                            <a:schemeClr val="tx1"/>
                          </a:solidFill>
                          <a:effectLst/>
                          <a:latin typeface="Cambria Math" panose="02040503050406030204" pitchFamily="18" charset="0"/>
                          <a:ea typeface="+mn-ea"/>
                          <a:cs typeface="+mn-cs"/>
                        </a:rPr>
                        <m:t>𝐽</m:t>
                      </m:r>
                    </m:den>
                  </m:f>
                  <m:r>
                    <a:rPr lang="es-MX" sz="800" b="0" i="1">
                      <a:latin typeface="Cambria Math" panose="02040503050406030204" pitchFamily="18" charset="0"/>
                    </a:rPr>
                    <m:t> </m:t>
                  </m:r>
                </m:oMath>
              </a14:m>
              <a:r>
                <a:rPr lang="es-MX" sz="800"/>
                <a:t>=37,588</a:t>
              </a:r>
              <a14:m>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𝑘𝑤h</m:t>
                      </m:r>
                    </m:num>
                    <m:den>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𝑇𝑜𝑛</m:t>
                      </m:r>
                    </m:den>
                  </m:f>
                  <m:r>
                    <a:rPr lang="es-MX" sz="1100" b="0" i="1">
                      <a:solidFill>
                        <a:schemeClr val="tx1"/>
                      </a:solidFill>
                      <a:effectLst/>
                      <a:latin typeface="Cambria Math" panose="02040503050406030204" pitchFamily="18" charset="0"/>
                      <a:ea typeface="+mn-ea"/>
                      <a:cs typeface="+mn-cs"/>
                    </a:rPr>
                    <m:t> </m:t>
                  </m:r>
                </m:oMath>
              </a14:m>
              <a:endParaRPr lang="es-MX" sz="800"/>
            </a:p>
          </xdr:txBody>
        </xdr:sp>
      </mc:Choice>
      <mc:Fallback xmlns="">
        <xdr:sp macro="" textlink="">
          <xdr:nvSpPr>
            <xdr:cNvPr id="1116" name="CuadroTexto 1115">
              <a:extLst>
                <a:ext uri="{FF2B5EF4-FFF2-40B4-BE49-F238E27FC236}">
                  <a16:creationId xmlns:a16="http://schemas.microsoft.com/office/drawing/2014/main" id="{8A342230-BC66-46B3-9B00-D52CEB139C65}"/>
                </a:ext>
              </a:extLst>
            </xdr:cNvPr>
            <xdr:cNvSpPr txBox="1"/>
          </xdr:nvSpPr>
          <xdr:spPr>
            <a:xfrm>
              <a:off x="10147300" y="256825750"/>
              <a:ext cx="1752600" cy="246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b="0" i="0">
                  <a:latin typeface="Cambria Math" panose="02040503050406030204" pitchFamily="18" charset="0"/>
                </a:rPr>
                <a:t>135.32</a:t>
              </a:r>
              <a:r>
                <a:rPr lang="es-MX" sz="800" b="0" i="0">
                  <a:solidFill>
                    <a:schemeClr val="tx1"/>
                  </a:solidFill>
                  <a:effectLst/>
                  <a:latin typeface="Cambria Math" panose="02040503050406030204" pitchFamily="18" charset="0"/>
                  <a:ea typeface="+mn-ea"/>
                  <a:cs typeface="+mn-cs"/>
                </a:rPr>
                <a:t> 𝐺𝐽/Ton </a:t>
              </a:r>
              <a:r>
                <a:rPr lang="es-MX" sz="800" b="0" i="0">
                  <a:latin typeface="Cambria Math" panose="02040503050406030204" pitchFamily="18" charset="0"/>
                </a:rPr>
                <a:t> x 277.778</a:t>
              </a:r>
              <a:r>
                <a:rPr lang="es-MX" sz="800" b="0" i="0">
                  <a:solidFill>
                    <a:schemeClr val="tx1"/>
                  </a:solidFill>
                  <a:effectLst/>
                  <a:latin typeface="Cambria Math" panose="02040503050406030204" pitchFamily="18" charset="0"/>
                  <a:ea typeface="+mn-ea"/>
                  <a:cs typeface="+mn-cs"/>
                </a:rPr>
                <a:t> 𝑘𝑤ℎ/1G𝐽 </a:t>
              </a:r>
              <a:r>
                <a:rPr lang="es-MX" sz="800" b="0" i="0">
                  <a:latin typeface="Cambria Math" panose="02040503050406030204" pitchFamily="18" charset="0"/>
                </a:rPr>
                <a:t> </a:t>
              </a:r>
              <a:r>
                <a:rPr lang="es-MX" sz="800"/>
                <a:t>=37,588</a:t>
              </a:r>
              <a:r>
                <a:rPr lang="es-MX" sz="1100" b="0" i="0">
                  <a:solidFill>
                    <a:schemeClr val="tx1"/>
                  </a:solidFill>
                  <a:effectLst/>
                  <a:latin typeface="Cambria Math" panose="02040503050406030204" pitchFamily="18" charset="0"/>
                  <a:ea typeface="+mn-ea"/>
                  <a:cs typeface="+mn-cs"/>
                </a:rPr>
                <a:t>𝑘𝑤ℎ/1𝑇𝑜𝑛  </a:t>
              </a:r>
              <a:endParaRPr lang="es-MX" sz="800"/>
            </a:p>
          </xdr:txBody>
        </xdr:sp>
      </mc:Fallback>
    </mc:AlternateContent>
    <xdr:clientData/>
  </xdr:oneCellAnchor>
  <xdr:oneCellAnchor>
    <xdr:from>
      <xdr:col>9</xdr:col>
      <xdr:colOff>279400</xdr:colOff>
      <xdr:row>305</xdr:row>
      <xdr:rowOff>977901</xdr:rowOff>
    </xdr:from>
    <xdr:ext cx="1981200" cy="285750"/>
    <mc:AlternateContent xmlns:mc="http://schemas.openxmlformats.org/markup-compatibility/2006" xmlns:a14="http://schemas.microsoft.com/office/drawing/2010/main">
      <mc:Choice Requires="a14">
        <xdr:sp macro="" textlink="">
          <xdr:nvSpPr>
            <xdr:cNvPr id="1117" name="CuadroTexto 1116">
              <a:extLst>
                <a:ext uri="{FF2B5EF4-FFF2-40B4-BE49-F238E27FC236}">
                  <a16:creationId xmlns:a16="http://schemas.microsoft.com/office/drawing/2014/main" id="{0FB62C13-964F-4567-BFDC-689EEBA7876C}"/>
                </a:ext>
              </a:extLst>
            </xdr:cNvPr>
            <xdr:cNvSpPr txBox="1"/>
          </xdr:nvSpPr>
          <xdr:spPr>
            <a:xfrm>
              <a:off x="10106025" y="257549651"/>
              <a:ext cx="1981200"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0">
                        <a:solidFill>
                          <a:schemeClr val="tx1"/>
                        </a:solidFill>
                        <a:effectLst/>
                        <a:latin typeface="Cambria Math" panose="02040503050406030204" pitchFamily="18" charset="0"/>
                        <a:ea typeface="+mn-ea"/>
                        <a:cs typeface="+mn-cs"/>
                      </a:rPr>
                      <m:t>9.18</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𝐺𝐽</m:t>
                        </m:r>
                      </m:num>
                      <m:den>
                        <m:r>
                          <m:rPr>
                            <m:sty m:val="p"/>
                          </m:rPr>
                          <a:rPr lang="es-MX" sz="800" b="0" i="0">
                            <a:solidFill>
                              <a:schemeClr val="tx1"/>
                            </a:solidFill>
                            <a:effectLst/>
                            <a:latin typeface="Cambria Math" panose="02040503050406030204" pitchFamily="18" charset="0"/>
                            <a:ea typeface="+mn-ea"/>
                            <a:cs typeface="+mn-cs"/>
                          </a:rPr>
                          <m:t>Ton</m:t>
                        </m:r>
                      </m:den>
                    </m:f>
                    <m:r>
                      <a:rPr lang="es-MX" sz="800" b="0" i="1">
                        <a:latin typeface="Cambria Math" panose="02040503050406030204" pitchFamily="18" charset="0"/>
                      </a:rPr>
                      <m:t> </m:t>
                    </m:r>
                    <m:r>
                      <m:rPr>
                        <m:sty m:val="p"/>
                      </m:rPr>
                      <a:rPr lang="es-MX" sz="800" b="0" i="0">
                        <a:latin typeface="Cambria Math" panose="02040503050406030204" pitchFamily="18" charset="0"/>
                      </a:rPr>
                      <m:t>x</m:t>
                    </m:r>
                    <m:r>
                      <a:rPr lang="es-MX" sz="800" b="0" i="1">
                        <a:latin typeface="Cambria Math" panose="02040503050406030204" pitchFamily="18" charset="0"/>
                      </a:rPr>
                      <m:t> 277.778</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𝑘𝑤h</m:t>
                        </m:r>
                      </m:num>
                      <m:den>
                        <m:r>
                          <a:rPr lang="es-MX" sz="800" b="0" i="0">
                            <a:solidFill>
                              <a:schemeClr val="tx1"/>
                            </a:solidFill>
                            <a:effectLst/>
                            <a:latin typeface="Cambria Math" panose="02040503050406030204" pitchFamily="18" charset="0"/>
                            <a:ea typeface="+mn-ea"/>
                            <a:cs typeface="+mn-cs"/>
                          </a:rPr>
                          <m:t>1</m:t>
                        </m:r>
                        <m:r>
                          <m:rPr>
                            <m:sty m:val="p"/>
                          </m:rPr>
                          <a:rPr lang="es-MX" sz="800" b="0" i="0">
                            <a:solidFill>
                              <a:schemeClr val="tx1"/>
                            </a:solidFill>
                            <a:effectLst/>
                            <a:latin typeface="Cambria Math" panose="02040503050406030204" pitchFamily="18" charset="0"/>
                            <a:ea typeface="+mn-ea"/>
                            <a:cs typeface="+mn-cs"/>
                          </a:rPr>
                          <m:t>G</m:t>
                        </m:r>
                        <m:r>
                          <a:rPr lang="es-MX" sz="800" b="0" i="1">
                            <a:solidFill>
                              <a:schemeClr val="tx1"/>
                            </a:solidFill>
                            <a:effectLst/>
                            <a:latin typeface="Cambria Math" panose="02040503050406030204" pitchFamily="18" charset="0"/>
                            <a:ea typeface="+mn-ea"/>
                            <a:cs typeface="+mn-cs"/>
                          </a:rPr>
                          <m:t>𝐽</m:t>
                        </m:r>
                      </m:den>
                    </m:f>
                    <m:r>
                      <a:rPr lang="es-MX" sz="800" b="0" i="1">
                        <a:latin typeface="Cambria Math" panose="02040503050406030204" pitchFamily="18" charset="0"/>
                      </a:rPr>
                      <m:t>=2,550</m:t>
                    </m:r>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𝑘𝑤h</m:t>
                        </m:r>
                      </m:num>
                      <m:den>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𝑡𝑜𝑛</m:t>
                        </m:r>
                      </m:den>
                    </m:f>
                    <m:r>
                      <a:rPr lang="es-MX" sz="1100" b="0" i="1">
                        <a:solidFill>
                          <a:schemeClr val="tx1"/>
                        </a:solidFill>
                        <a:effectLst/>
                        <a:latin typeface="Cambria Math" panose="02040503050406030204" pitchFamily="18" charset="0"/>
                        <a:ea typeface="+mn-ea"/>
                        <a:cs typeface="+mn-cs"/>
                      </a:rPr>
                      <m:t> </m:t>
                    </m:r>
                  </m:oMath>
                </m:oMathPara>
              </a14:m>
              <a:endParaRPr lang="es-MX" sz="800"/>
            </a:p>
          </xdr:txBody>
        </xdr:sp>
      </mc:Choice>
      <mc:Fallback xmlns="">
        <xdr:sp macro="" textlink="">
          <xdr:nvSpPr>
            <xdr:cNvPr id="1117" name="CuadroTexto 1116">
              <a:extLst>
                <a:ext uri="{FF2B5EF4-FFF2-40B4-BE49-F238E27FC236}">
                  <a16:creationId xmlns:a16="http://schemas.microsoft.com/office/drawing/2014/main" id="{0FB62C13-964F-4567-BFDC-689EEBA7876C}"/>
                </a:ext>
              </a:extLst>
            </xdr:cNvPr>
            <xdr:cNvSpPr txBox="1"/>
          </xdr:nvSpPr>
          <xdr:spPr>
            <a:xfrm>
              <a:off x="10106025" y="257549651"/>
              <a:ext cx="1981200"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solidFill>
                    <a:schemeClr val="tx1"/>
                  </a:solidFill>
                  <a:effectLst/>
                  <a:latin typeface="Cambria Math" panose="02040503050406030204" pitchFamily="18" charset="0"/>
                  <a:ea typeface="+mn-ea"/>
                  <a:cs typeface="+mn-cs"/>
                </a:rPr>
                <a:t>9.18 𝐺𝐽/Ton </a:t>
              </a:r>
              <a:r>
                <a:rPr lang="es-MX" sz="800" b="0" i="0">
                  <a:latin typeface="Cambria Math" panose="02040503050406030204" pitchFamily="18" charset="0"/>
                </a:rPr>
                <a:t> x 277.778</a:t>
              </a:r>
              <a:r>
                <a:rPr lang="es-MX" sz="800" b="0" i="0">
                  <a:solidFill>
                    <a:schemeClr val="tx1"/>
                  </a:solidFill>
                  <a:effectLst/>
                  <a:latin typeface="Cambria Math" panose="02040503050406030204" pitchFamily="18" charset="0"/>
                  <a:ea typeface="+mn-ea"/>
                  <a:cs typeface="+mn-cs"/>
                </a:rPr>
                <a:t> 𝑘𝑤ℎ/1G𝐽</a:t>
              </a:r>
              <a:r>
                <a:rPr lang="es-MX" sz="800" b="0" i="0">
                  <a:latin typeface="Cambria Math" panose="02040503050406030204" pitchFamily="18" charset="0"/>
                </a:rPr>
                <a:t>=2,550</a:t>
              </a:r>
              <a:r>
                <a:rPr lang="es-MX" sz="1100" b="0" i="0">
                  <a:solidFill>
                    <a:schemeClr val="tx1"/>
                  </a:solidFill>
                  <a:effectLst/>
                  <a:latin typeface="Cambria Math" panose="02040503050406030204" pitchFamily="18" charset="0"/>
                  <a:ea typeface="+mn-ea"/>
                  <a:cs typeface="+mn-cs"/>
                </a:rPr>
                <a:t> 𝑘𝑤ℎ/1𝑡𝑜𝑛  </a:t>
              </a:r>
              <a:endParaRPr lang="es-MX" sz="800"/>
            </a:p>
          </xdr:txBody>
        </xdr:sp>
      </mc:Fallback>
    </mc:AlternateContent>
    <xdr:clientData/>
  </xdr:oneCellAnchor>
  <xdr:oneCellAnchor>
    <xdr:from>
      <xdr:col>9</xdr:col>
      <xdr:colOff>374649</xdr:colOff>
      <xdr:row>305</xdr:row>
      <xdr:rowOff>1762125</xdr:rowOff>
    </xdr:from>
    <xdr:ext cx="1895475" cy="233847"/>
    <mc:AlternateContent xmlns:mc="http://schemas.openxmlformats.org/markup-compatibility/2006" xmlns:a14="http://schemas.microsoft.com/office/drawing/2010/main">
      <mc:Choice Requires="a14">
        <xdr:sp macro="" textlink="">
          <xdr:nvSpPr>
            <xdr:cNvPr id="1118" name="CuadroTexto 1117">
              <a:extLst>
                <a:ext uri="{FF2B5EF4-FFF2-40B4-BE49-F238E27FC236}">
                  <a16:creationId xmlns:a16="http://schemas.microsoft.com/office/drawing/2014/main" id="{3E370003-906C-4D58-BB26-7A3C829E79C4}"/>
                </a:ext>
              </a:extLst>
            </xdr:cNvPr>
            <xdr:cNvSpPr txBox="1"/>
          </xdr:nvSpPr>
          <xdr:spPr>
            <a:xfrm>
              <a:off x="10201274" y="258333875"/>
              <a:ext cx="1895475" cy="233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𝐸𝐴</m:t>
                    </m:r>
                    <m:r>
                      <a:rPr lang="es-MX" sz="800" i="1">
                        <a:latin typeface="Cambria Math" panose="02040503050406030204" pitchFamily="18" charset="0"/>
                      </a:rPr>
                      <m:t>=</m:t>
                    </m:r>
                    <m:r>
                      <m:rPr>
                        <m:nor/>
                      </m:rPr>
                      <a:rPr lang="es-MX" sz="800">
                        <a:solidFill>
                          <a:schemeClr val="tx1"/>
                        </a:solidFill>
                        <a:effectLst/>
                        <a:latin typeface="+mn-lt"/>
                        <a:ea typeface="+mn-ea"/>
                        <a:cs typeface="+mn-cs"/>
                      </a:rPr>
                      <m:t>37,588</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kwh</m:t>
                        </m:r>
                      </m:num>
                      <m:den>
                        <m:r>
                          <a:rPr lang="es-MX" sz="800" b="0" i="0">
                            <a:solidFill>
                              <a:schemeClr val="tx1"/>
                            </a:solidFill>
                            <a:effectLst/>
                            <a:latin typeface="Cambria Math" panose="02040503050406030204" pitchFamily="18" charset="0"/>
                            <a:ea typeface="+mn-ea"/>
                            <a:cs typeface="+mn-cs"/>
                          </a:rPr>
                          <m:t>1</m:t>
                        </m:r>
                        <m:r>
                          <m:rPr>
                            <m:sty m:val="p"/>
                          </m:rPr>
                          <a:rPr lang="es-MX" sz="800" b="0" i="0">
                            <a:solidFill>
                              <a:schemeClr val="tx1"/>
                            </a:solidFill>
                            <a:effectLst/>
                            <a:latin typeface="Cambria Math" panose="02040503050406030204" pitchFamily="18" charset="0"/>
                            <a:ea typeface="+mn-ea"/>
                            <a:cs typeface="+mn-cs"/>
                          </a:rPr>
                          <m:t>ton</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2,550</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kwh</m:t>
                        </m:r>
                      </m:num>
                      <m:den>
                        <m:r>
                          <a:rPr lang="es-MX" sz="800" b="0" i="1">
                            <a:solidFill>
                              <a:schemeClr val="tx1"/>
                            </a:solidFill>
                            <a:effectLst/>
                            <a:latin typeface="Cambria Math" panose="02040503050406030204" pitchFamily="18" charset="0"/>
                            <a:ea typeface="+mn-ea"/>
                            <a:cs typeface="+mn-cs"/>
                          </a:rPr>
                          <m:t>1</m:t>
                        </m:r>
                        <m:r>
                          <a:rPr lang="es-MX" sz="800" b="0" i="1">
                            <a:solidFill>
                              <a:schemeClr val="tx1"/>
                            </a:solidFill>
                            <a:effectLst/>
                            <a:latin typeface="Cambria Math" panose="02040503050406030204" pitchFamily="18" charset="0"/>
                            <a:ea typeface="+mn-ea"/>
                            <a:cs typeface="+mn-cs"/>
                          </a:rPr>
                          <m:t>𝑇𝑜𝑛</m:t>
                        </m:r>
                      </m:den>
                    </m:f>
                    <m:r>
                      <a:rPr lang="es-MX" sz="800" b="0" i="1">
                        <a:solidFill>
                          <a:schemeClr val="tx1"/>
                        </a:solidFill>
                        <a:effectLst/>
                        <a:latin typeface="Cambria Math" panose="02040503050406030204" pitchFamily="18" charset="0"/>
                        <a:ea typeface="+mn-ea"/>
                        <a:cs typeface="+mn-cs"/>
                      </a:rPr>
                      <m:t>=35,038</m:t>
                    </m:r>
                    <m:r>
                      <a:rPr lang="es-MX" sz="800" b="0" i="1">
                        <a:latin typeface="Cambria Math" panose="02040503050406030204" pitchFamily="18" charset="0"/>
                      </a:rPr>
                      <m:t> </m:t>
                    </m:r>
                  </m:oMath>
                </m:oMathPara>
              </a14:m>
              <a:endParaRPr lang="es-MX" sz="800"/>
            </a:p>
          </xdr:txBody>
        </xdr:sp>
      </mc:Choice>
      <mc:Fallback xmlns="">
        <xdr:sp macro="" textlink="">
          <xdr:nvSpPr>
            <xdr:cNvPr id="1118" name="CuadroTexto 1117">
              <a:extLst>
                <a:ext uri="{FF2B5EF4-FFF2-40B4-BE49-F238E27FC236}">
                  <a16:creationId xmlns:a16="http://schemas.microsoft.com/office/drawing/2014/main" id="{3E370003-906C-4D58-BB26-7A3C829E79C4}"/>
                </a:ext>
              </a:extLst>
            </xdr:cNvPr>
            <xdr:cNvSpPr txBox="1"/>
          </xdr:nvSpPr>
          <xdr:spPr>
            <a:xfrm>
              <a:off x="10201274" y="258333875"/>
              <a:ext cx="1895475" cy="233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𝐸𝐴</a:t>
              </a:r>
              <a:r>
                <a:rPr lang="es-MX" sz="800" i="0">
                  <a:latin typeface="Cambria Math" panose="02040503050406030204" pitchFamily="18" charset="0"/>
                </a:rPr>
                <a:t>=</a:t>
              </a:r>
              <a:r>
                <a:rPr lang="es-MX" sz="800" i="0">
                  <a:solidFill>
                    <a:schemeClr val="tx1"/>
                  </a:solidFill>
                  <a:effectLst/>
                  <a:latin typeface="Cambria Math" panose="02040503050406030204" pitchFamily="18" charset="0"/>
                  <a:ea typeface="+mn-ea"/>
                  <a:cs typeface="+mn-cs"/>
                </a:rPr>
                <a:t>"37,588" </a:t>
              </a:r>
              <a:r>
                <a:rPr lang="es-MX" sz="800" b="0" i="0">
                  <a:solidFill>
                    <a:schemeClr val="tx1"/>
                  </a:solidFill>
                  <a:effectLst/>
                  <a:latin typeface="Cambria Math" panose="02040503050406030204" pitchFamily="18" charset="0"/>
                  <a:ea typeface="+mn-ea"/>
                  <a:cs typeface="+mn-cs"/>
                </a:rPr>
                <a:t> kwh/1ton </a:t>
              </a:r>
              <a:r>
                <a:rPr lang="es-MX" sz="800" b="0" i="0">
                  <a:latin typeface="Cambria Math" panose="02040503050406030204" pitchFamily="18" charset="0"/>
                </a:rPr>
                <a:t> −2,550</a:t>
              </a:r>
              <a:r>
                <a:rPr lang="es-MX" sz="800" b="0" i="0">
                  <a:solidFill>
                    <a:schemeClr val="tx1"/>
                  </a:solidFill>
                  <a:effectLst/>
                  <a:latin typeface="Cambria Math" panose="02040503050406030204" pitchFamily="18" charset="0"/>
                  <a:ea typeface="+mn-ea"/>
                  <a:cs typeface="+mn-cs"/>
                </a:rPr>
                <a:t> kwh/1𝑇𝑜𝑛=35,038</a:t>
              </a:r>
              <a:r>
                <a:rPr lang="es-MX" sz="800" b="0" i="0">
                  <a:latin typeface="Cambria Math" panose="02040503050406030204" pitchFamily="18" charset="0"/>
                </a:rPr>
                <a:t> </a:t>
              </a:r>
              <a:endParaRPr lang="es-MX" sz="800"/>
            </a:p>
          </xdr:txBody>
        </xdr:sp>
      </mc:Fallback>
    </mc:AlternateContent>
    <xdr:clientData/>
  </xdr:oneCellAnchor>
  <xdr:oneCellAnchor>
    <xdr:from>
      <xdr:col>10</xdr:col>
      <xdr:colOff>190500</xdr:colOff>
      <xdr:row>305</xdr:row>
      <xdr:rowOff>1514475</xdr:rowOff>
    </xdr:from>
    <xdr:ext cx="1459441" cy="248273"/>
    <mc:AlternateContent xmlns:mc="http://schemas.openxmlformats.org/markup-compatibility/2006" xmlns:a14="http://schemas.microsoft.com/office/drawing/2010/main">
      <mc:Choice Requires="a14">
        <xdr:sp macro="" textlink="">
          <xdr:nvSpPr>
            <xdr:cNvPr id="1119" name="CuadroTexto 1118">
              <a:extLst>
                <a:ext uri="{FF2B5EF4-FFF2-40B4-BE49-F238E27FC236}">
                  <a16:creationId xmlns:a16="http://schemas.microsoft.com/office/drawing/2014/main" id="{560DEE44-3FC5-4D29-9339-8807013A71F2}"/>
                </a:ext>
              </a:extLst>
            </xdr:cNvPr>
            <xdr:cNvSpPr txBox="1"/>
          </xdr:nvSpPr>
          <xdr:spPr>
            <a:xfrm>
              <a:off x="10858500" y="263423400"/>
              <a:ext cx="1459441" cy="2482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35,038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a14:m>
              <a:r>
                <a:rPr lang="es-MX" sz="1100"/>
                <a:t>=93%</a:t>
              </a:r>
            </a:p>
          </xdr:txBody>
        </xdr:sp>
      </mc:Choice>
      <mc:Fallback xmlns="">
        <xdr:sp macro="" textlink="">
          <xdr:nvSpPr>
            <xdr:cNvPr id="1119" name="CuadroTexto 1118">
              <a:extLst>
                <a:ext uri="{FF2B5EF4-FFF2-40B4-BE49-F238E27FC236}">
                  <a16:creationId xmlns:a16="http://schemas.microsoft.com/office/drawing/2014/main" id="{560DEE44-3FC5-4D29-9339-8807013A71F2}"/>
                </a:ext>
              </a:extLst>
            </xdr:cNvPr>
            <xdr:cNvSpPr txBox="1"/>
          </xdr:nvSpPr>
          <xdr:spPr>
            <a:xfrm>
              <a:off x="10858500" y="263423400"/>
              <a:ext cx="1459441" cy="2482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35,038</a:t>
              </a:r>
              <a:r>
                <a:rPr lang="es-MX" sz="1100" b="0" i="0">
                  <a:solidFill>
                    <a:schemeClr val="tx1"/>
                  </a:solidFill>
                  <a:effectLst/>
                  <a:latin typeface="Cambria Math" panose="02040503050406030204" pitchFamily="18" charset="0"/>
                  <a:ea typeface="+mn-ea"/>
                  <a:cs typeface="+mn-cs"/>
                </a:rPr>
                <a:t> kwh/(1 ton) </a:t>
              </a:r>
              <a:r>
                <a:rPr lang="es-MX" sz="1100" b="0" i="0">
                  <a:latin typeface="Cambria Math" panose="02040503050406030204" pitchFamily="18" charset="0"/>
                </a:rPr>
                <a:t> </a:t>
              </a:r>
              <a:r>
                <a:rPr lang="es-MX" sz="1100"/>
                <a:t>=93%</a:t>
              </a:r>
            </a:p>
          </xdr:txBody>
        </xdr:sp>
      </mc:Fallback>
    </mc:AlternateContent>
    <xdr:clientData/>
  </xdr:oneCellAnchor>
  <xdr:oneCellAnchor>
    <xdr:from>
      <xdr:col>9</xdr:col>
      <xdr:colOff>120650</xdr:colOff>
      <xdr:row>5</xdr:row>
      <xdr:rowOff>434975</xdr:rowOff>
    </xdr:from>
    <xdr:ext cx="2063750" cy="351122"/>
    <mc:AlternateContent xmlns:mc="http://schemas.openxmlformats.org/markup-compatibility/2006" xmlns:a14="http://schemas.microsoft.com/office/drawing/2010/main">
      <mc:Choice Requires="a14">
        <xdr:sp macro="" textlink="">
          <xdr:nvSpPr>
            <xdr:cNvPr id="1130" name="CuadroTexto 1129">
              <a:extLst>
                <a:ext uri="{FF2B5EF4-FFF2-40B4-BE49-F238E27FC236}">
                  <a16:creationId xmlns:a16="http://schemas.microsoft.com/office/drawing/2014/main" id="{E07A8A0B-7A27-49DA-83CC-A4B7D89662EF}"/>
                </a:ext>
              </a:extLst>
            </xdr:cNvPr>
            <xdr:cNvSpPr txBox="1"/>
          </xdr:nvSpPr>
          <xdr:spPr>
            <a:xfrm>
              <a:off x="9947275" y="4213225"/>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19.4</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−4.1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1130" name="CuadroTexto 1129">
              <a:extLst>
                <a:ext uri="{FF2B5EF4-FFF2-40B4-BE49-F238E27FC236}">
                  <a16:creationId xmlns:a16="http://schemas.microsoft.com/office/drawing/2014/main" id="{E07A8A0B-7A27-49DA-83CC-A4B7D89662EF}"/>
                </a:ext>
              </a:extLst>
            </xdr:cNvPr>
            <xdr:cNvSpPr txBox="1"/>
          </xdr:nvSpPr>
          <xdr:spPr>
            <a:xfrm>
              <a:off x="9947275" y="4213225"/>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19.4</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−4.1</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200025</xdr:colOff>
      <xdr:row>5</xdr:row>
      <xdr:rowOff>142875</xdr:rowOff>
    </xdr:from>
    <xdr:ext cx="1459441" cy="351122"/>
    <mc:AlternateContent xmlns:mc="http://schemas.openxmlformats.org/markup-compatibility/2006" xmlns:a14="http://schemas.microsoft.com/office/drawing/2010/main">
      <mc:Choice Requires="a14">
        <xdr:sp macro="" textlink="">
          <xdr:nvSpPr>
            <xdr:cNvPr id="1131" name="CuadroTexto 1130">
              <a:extLst>
                <a:ext uri="{FF2B5EF4-FFF2-40B4-BE49-F238E27FC236}">
                  <a16:creationId xmlns:a16="http://schemas.microsoft.com/office/drawing/2014/main" id="{81B0CE28-7C64-4454-B955-C99581B6F9B7}"/>
                </a:ext>
              </a:extLst>
            </xdr:cNvPr>
            <xdr:cNvSpPr txBox="1"/>
          </xdr:nvSpPr>
          <xdr:spPr>
            <a:xfrm>
              <a:off x="10868025" y="3867150"/>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15.</m:t>
                    </m:r>
                    <m:r>
                      <a:rPr lang="es-MX" sz="1100" b="0" i="1">
                        <a:latin typeface="Cambria Math" panose="02040503050406030204" pitchFamily="18" charset="0"/>
                      </a:rPr>
                      <m:t>277</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1131" name="CuadroTexto 1130">
              <a:extLst>
                <a:ext uri="{FF2B5EF4-FFF2-40B4-BE49-F238E27FC236}">
                  <a16:creationId xmlns:a16="http://schemas.microsoft.com/office/drawing/2014/main" id="{81B0CE28-7C64-4454-B955-C99581B6F9B7}"/>
                </a:ext>
              </a:extLst>
            </xdr:cNvPr>
            <xdr:cNvSpPr txBox="1"/>
          </xdr:nvSpPr>
          <xdr:spPr>
            <a:xfrm>
              <a:off x="10868025" y="3867150"/>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15.277</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228600</xdr:colOff>
      <xdr:row>5</xdr:row>
      <xdr:rowOff>647700</xdr:rowOff>
    </xdr:from>
    <xdr:ext cx="1362075" cy="321435"/>
    <mc:AlternateContent xmlns:mc="http://schemas.openxmlformats.org/markup-compatibility/2006" xmlns:a14="http://schemas.microsoft.com/office/drawing/2010/main">
      <mc:Choice Requires="a14">
        <xdr:sp macro="" textlink="">
          <xdr:nvSpPr>
            <xdr:cNvPr id="1132" name="CuadroTexto 1131">
              <a:extLst>
                <a:ext uri="{FF2B5EF4-FFF2-40B4-BE49-F238E27FC236}">
                  <a16:creationId xmlns:a16="http://schemas.microsoft.com/office/drawing/2014/main" id="{A4EC343E-6F87-4DCE-8A5B-160C9259AF4F}"/>
                </a:ext>
              </a:extLst>
            </xdr:cNvPr>
            <xdr:cNvSpPr txBox="1"/>
          </xdr:nvSpPr>
          <xdr:spPr>
            <a:xfrm>
              <a:off x="10896600" y="4371975"/>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15</m:t>
                    </m:r>
                    <m:r>
                      <a:rPr lang="es-MX" sz="1100" b="0" i="1">
                        <a:latin typeface="Cambria Math" panose="02040503050406030204" pitchFamily="18" charset="0"/>
                      </a:rPr>
                      <m:t>,277</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1132" name="CuadroTexto 1131">
              <a:extLst>
                <a:ext uri="{FF2B5EF4-FFF2-40B4-BE49-F238E27FC236}">
                  <a16:creationId xmlns:a16="http://schemas.microsoft.com/office/drawing/2014/main" id="{A4EC343E-6F87-4DCE-8A5B-160C9259AF4F}"/>
                </a:ext>
              </a:extLst>
            </xdr:cNvPr>
            <xdr:cNvSpPr txBox="1"/>
          </xdr:nvSpPr>
          <xdr:spPr>
            <a:xfrm>
              <a:off x="10896600" y="4371975"/>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15,277</a:t>
              </a:r>
              <a:r>
                <a:rPr lang="es-MX" sz="1100" b="0" i="0">
                  <a:solidFill>
                    <a:schemeClr val="tx1"/>
                  </a:solidFill>
                  <a:effectLst/>
                  <a:latin typeface="Cambria Math" panose="02040503050406030204" pitchFamily="18" charset="0"/>
                  <a:ea typeface="+mn-ea"/>
                  <a:cs typeface="+mn-cs"/>
                </a:rPr>
                <a:t> kwh/ton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1628775</xdr:colOff>
      <xdr:row>307</xdr:row>
      <xdr:rowOff>571500</xdr:rowOff>
    </xdr:from>
    <xdr:ext cx="391583" cy="395432"/>
    <xdr:pic>
      <xdr:nvPicPr>
        <xdr:cNvPr id="1135" name="Gráfico 1134" descr="Hogar">
          <a:hlinkClick xmlns:r="http://schemas.openxmlformats.org/officeDocument/2006/relationships" r:id="rId127"/>
          <a:extLst>
            <a:ext uri="{FF2B5EF4-FFF2-40B4-BE49-F238E27FC236}">
              <a16:creationId xmlns:a16="http://schemas.microsoft.com/office/drawing/2014/main" id="{B0B0F645-2F83-4869-A09C-3E7AD5FFA79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278225" y="262480425"/>
          <a:ext cx="391583" cy="395432"/>
        </a:xfrm>
        <a:prstGeom prst="rect">
          <a:avLst/>
        </a:prstGeom>
      </xdr:spPr>
    </xdr:pic>
    <xdr:clientData/>
  </xdr:oneCellAnchor>
  <xdr:oneCellAnchor>
    <xdr:from>
      <xdr:col>12</xdr:col>
      <xdr:colOff>2057400</xdr:colOff>
      <xdr:row>307</xdr:row>
      <xdr:rowOff>590550</xdr:rowOff>
    </xdr:from>
    <xdr:ext cx="452966" cy="448733"/>
    <xdr:pic>
      <xdr:nvPicPr>
        <xdr:cNvPr id="1136" name="Gráfico 1135" descr="Inalámbrico">
          <a:hlinkClick xmlns:r="http://schemas.openxmlformats.org/officeDocument/2006/relationships" r:id="rId128"/>
          <a:extLst>
            <a:ext uri="{FF2B5EF4-FFF2-40B4-BE49-F238E27FC236}">
              <a16:creationId xmlns:a16="http://schemas.microsoft.com/office/drawing/2014/main" id="{68664460-CF63-48F8-9669-A43B8DF7C6C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706850" y="262499475"/>
          <a:ext cx="452966" cy="448733"/>
        </a:xfrm>
        <a:prstGeom prst="rect">
          <a:avLst/>
        </a:prstGeom>
      </xdr:spPr>
    </xdr:pic>
    <xdr:clientData/>
  </xdr:oneCellAnchor>
  <xdr:oneCellAnchor>
    <xdr:from>
      <xdr:col>9</xdr:col>
      <xdr:colOff>609600</xdr:colOff>
      <xdr:row>307</xdr:row>
      <xdr:rowOff>2232025</xdr:rowOff>
    </xdr:from>
    <xdr:ext cx="533400" cy="268600"/>
    <mc:AlternateContent xmlns:mc="http://schemas.openxmlformats.org/markup-compatibility/2006" xmlns:a14="http://schemas.microsoft.com/office/drawing/2010/main">
      <mc:Choice Requires="a14">
        <xdr:sp macro="" textlink="">
          <xdr:nvSpPr>
            <xdr:cNvPr id="1137" name="CuadroTexto 1136">
              <a:extLst>
                <a:ext uri="{FF2B5EF4-FFF2-40B4-BE49-F238E27FC236}">
                  <a16:creationId xmlns:a16="http://schemas.microsoft.com/office/drawing/2014/main" id="{51413CCB-F272-4A85-8E4F-8DA145C8E34B}"/>
                </a:ext>
              </a:extLst>
            </xdr:cNvPr>
            <xdr:cNvSpPr txBox="1"/>
          </xdr:nvSpPr>
          <xdr:spPr>
            <a:xfrm>
              <a:off x="10436225" y="261629525"/>
              <a:ext cx="533400" cy="26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45</a:t>
              </a:r>
              <a14:m>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𝑘𝑤h</m:t>
                      </m:r>
                    </m:num>
                    <m:den>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𝑘𝑔</m:t>
                      </m:r>
                    </m:den>
                  </m:f>
                  <m:r>
                    <a:rPr lang="es-MX" sz="1100" b="0" i="1">
                      <a:solidFill>
                        <a:schemeClr val="tx1"/>
                      </a:solidFill>
                      <a:effectLst/>
                      <a:latin typeface="Cambria Math" panose="02040503050406030204" pitchFamily="18" charset="0"/>
                      <a:ea typeface="+mn-ea"/>
                      <a:cs typeface="+mn-cs"/>
                    </a:rPr>
                    <m:t> </m:t>
                  </m:r>
                </m:oMath>
              </a14:m>
              <a:endParaRPr lang="es-MX" sz="800"/>
            </a:p>
          </xdr:txBody>
        </xdr:sp>
      </mc:Choice>
      <mc:Fallback xmlns="">
        <xdr:sp macro="" textlink="">
          <xdr:nvSpPr>
            <xdr:cNvPr id="1137" name="CuadroTexto 1136">
              <a:extLst>
                <a:ext uri="{FF2B5EF4-FFF2-40B4-BE49-F238E27FC236}">
                  <a16:creationId xmlns:a16="http://schemas.microsoft.com/office/drawing/2014/main" id="{51413CCB-F272-4A85-8E4F-8DA145C8E34B}"/>
                </a:ext>
              </a:extLst>
            </xdr:cNvPr>
            <xdr:cNvSpPr txBox="1"/>
          </xdr:nvSpPr>
          <xdr:spPr>
            <a:xfrm>
              <a:off x="10436225" y="261629525"/>
              <a:ext cx="533400" cy="26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45</a:t>
              </a:r>
              <a:r>
                <a:rPr lang="es-MX" sz="1100" b="0" i="0">
                  <a:solidFill>
                    <a:schemeClr val="tx1"/>
                  </a:solidFill>
                  <a:effectLst/>
                  <a:latin typeface="Cambria Math" panose="02040503050406030204" pitchFamily="18" charset="0"/>
                  <a:ea typeface="+mn-ea"/>
                  <a:cs typeface="+mn-cs"/>
                </a:rPr>
                <a:t>𝑘𝑤ℎ/1𝑘𝑔  </a:t>
              </a:r>
              <a:endParaRPr lang="es-MX" sz="800"/>
            </a:p>
          </xdr:txBody>
        </xdr:sp>
      </mc:Fallback>
    </mc:AlternateContent>
    <xdr:clientData/>
  </xdr:oneCellAnchor>
  <xdr:oneCellAnchor>
    <xdr:from>
      <xdr:col>9</xdr:col>
      <xdr:colOff>247649</xdr:colOff>
      <xdr:row>307</xdr:row>
      <xdr:rowOff>1581150</xdr:rowOff>
    </xdr:from>
    <xdr:ext cx="1895475" cy="255326"/>
    <mc:AlternateContent xmlns:mc="http://schemas.openxmlformats.org/markup-compatibility/2006" xmlns:a14="http://schemas.microsoft.com/office/drawing/2010/main">
      <mc:Choice Requires="a14">
        <xdr:sp macro="" textlink="">
          <xdr:nvSpPr>
            <xdr:cNvPr id="1139" name="CuadroTexto 1138">
              <a:extLst>
                <a:ext uri="{FF2B5EF4-FFF2-40B4-BE49-F238E27FC236}">
                  <a16:creationId xmlns:a16="http://schemas.microsoft.com/office/drawing/2014/main" id="{EA90A06B-0D8D-4F42-AEEB-20D799C93DFD}"/>
                </a:ext>
              </a:extLst>
            </xdr:cNvPr>
            <xdr:cNvSpPr txBox="1"/>
          </xdr:nvSpPr>
          <xdr:spPr>
            <a:xfrm>
              <a:off x="10074274" y="260978650"/>
              <a:ext cx="1895475" cy="255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800" b="0" i="1">
                        <a:latin typeface="Cambria Math" panose="02040503050406030204" pitchFamily="18" charset="0"/>
                      </a:rPr>
                      <m:t>𝐸𝐴</m:t>
                    </m:r>
                    <m:r>
                      <a:rPr lang="es-MX" sz="800" i="1">
                        <a:latin typeface="Cambria Math" panose="02040503050406030204" pitchFamily="18" charset="0"/>
                      </a:rPr>
                      <m:t>=</m:t>
                    </m:r>
                    <m:r>
                      <m:rPr>
                        <m:nor/>
                      </m:rPr>
                      <a:rPr lang="es-MX" sz="800" b="0" i="0">
                        <a:solidFill>
                          <a:schemeClr val="tx1"/>
                        </a:solidFill>
                        <a:effectLst/>
                        <a:latin typeface="+mn-lt"/>
                        <a:ea typeface="+mn-ea"/>
                        <a:cs typeface="+mn-cs"/>
                      </a:rPr>
                      <m:t>45</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kwh</m:t>
                        </m:r>
                      </m:num>
                      <m:den>
                        <m:r>
                          <a:rPr lang="es-MX" sz="800" b="0" i="0">
                            <a:solidFill>
                              <a:schemeClr val="tx1"/>
                            </a:solidFill>
                            <a:effectLst/>
                            <a:latin typeface="Cambria Math" panose="02040503050406030204" pitchFamily="18" charset="0"/>
                            <a:ea typeface="+mn-ea"/>
                            <a:cs typeface="+mn-cs"/>
                          </a:rPr>
                          <m:t>1</m:t>
                        </m:r>
                        <m:r>
                          <a:rPr lang="es-MX" sz="800" b="0" i="1">
                            <a:solidFill>
                              <a:schemeClr val="tx1"/>
                            </a:solidFill>
                            <a:effectLst/>
                            <a:latin typeface="Cambria Math" panose="02040503050406030204" pitchFamily="18" charset="0"/>
                            <a:ea typeface="+mn-ea"/>
                            <a:cs typeface="+mn-cs"/>
                          </a:rPr>
                          <m:t>𝑘𝑔</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2.8</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kwh</m:t>
                        </m:r>
                      </m:num>
                      <m:den>
                        <m:r>
                          <a:rPr lang="es-MX" sz="800" b="0" i="1">
                            <a:solidFill>
                              <a:schemeClr val="tx1"/>
                            </a:solidFill>
                            <a:effectLst/>
                            <a:latin typeface="Cambria Math" panose="02040503050406030204" pitchFamily="18" charset="0"/>
                            <a:ea typeface="+mn-ea"/>
                            <a:cs typeface="+mn-cs"/>
                          </a:rPr>
                          <m:t>1</m:t>
                        </m:r>
                        <m:r>
                          <a:rPr lang="es-MX" sz="800" b="0" i="1">
                            <a:solidFill>
                              <a:schemeClr val="tx1"/>
                            </a:solidFill>
                            <a:effectLst/>
                            <a:latin typeface="Cambria Math" panose="02040503050406030204" pitchFamily="18" charset="0"/>
                            <a:ea typeface="+mn-ea"/>
                            <a:cs typeface="+mn-cs"/>
                          </a:rPr>
                          <m:t>𝑘𝑔</m:t>
                        </m:r>
                      </m:den>
                    </m:f>
                    <m:r>
                      <a:rPr lang="es-MX" sz="800" b="0" i="1">
                        <a:solidFill>
                          <a:schemeClr val="tx1"/>
                        </a:solidFill>
                        <a:effectLst/>
                        <a:latin typeface="Cambria Math" panose="02040503050406030204" pitchFamily="18" charset="0"/>
                        <a:ea typeface="+mn-ea"/>
                        <a:cs typeface="+mn-cs"/>
                      </a:rPr>
                      <m:t>=42.2</m:t>
                    </m:r>
                    <m:r>
                      <a:rPr lang="es-MX" sz="800" b="0" i="1">
                        <a:latin typeface="Cambria Math" panose="02040503050406030204" pitchFamily="18" charset="0"/>
                      </a:rPr>
                      <m:t> </m:t>
                    </m:r>
                  </m:oMath>
                </m:oMathPara>
              </a14:m>
              <a:endParaRPr lang="es-MX" sz="800"/>
            </a:p>
          </xdr:txBody>
        </xdr:sp>
      </mc:Choice>
      <mc:Fallback xmlns="">
        <xdr:sp macro="" textlink="">
          <xdr:nvSpPr>
            <xdr:cNvPr id="1139" name="CuadroTexto 1138">
              <a:extLst>
                <a:ext uri="{FF2B5EF4-FFF2-40B4-BE49-F238E27FC236}">
                  <a16:creationId xmlns:a16="http://schemas.microsoft.com/office/drawing/2014/main" id="{EA90A06B-0D8D-4F42-AEEB-20D799C93DFD}"/>
                </a:ext>
              </a:extLst>
            </xdr:cNvPr>
            <xdr:cNvSpPr txBox="1"/>
          </xdr:nvSpPr>
          <xdr:spPr>
            <a:xfrm>
              <a:off x="10074274" y="260978650"/>
              <a:ext cx="1895475" cy="255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800" b="0" i="0">
                  <a:latin typeface="Cambria Math" panose="02040503050406030204" pitchFamily="18" charset="0"/>
                </a:rPr>
                <a:t>𝐸𝐴</a:t>
              </a:r>
              <a:r>
                <a:rPr lang="es-MX" sz="800" i="0">
                  <a:latin typeface="Cambria Math" panose="02040503050406030204" pitchFamily="18" charset="0"/>
                </a:rPr>
                <a:t>=</a:t>
              </a:r>
              <a:r>
                <a:rPr lang="es-MX" sz="800" b="0" i="0">
                  <a:solidFill>
                    <a:schemeClr val="tx1"/>
                  </a:solidFill>
                  <a:effectLst/>
                  <a:latin typeface="Cambria Math" panose="02040503050406030204" pitchFamily="18" charset="0"/>
                  <a:ea typeface="+mn-ea"/>
                  <a:cs typeface="+mn-cs"/>
                </a:rPr>
                <a:t>"45"  kwh/1𝑘𝑔 </a:t>
              </a:r>
              <a:r>
                <a:rPr lang="es-MX" sz="800" b="0" i="0">
                  <a:latin typeface="Cambria Math" panose="02040503050406030204" pitchFamily="18" charset="0"/>
                </a:rPr>
                <a:t> −2.8</a:t>
              </a:r>
              <a:r>
                <a:rPr lang="es-MX" sz="800" b="0" i="0">
                  <a:solidFill>
                    <a:schemeClr val="tx1"/>
                  </a:solidFill>
                  <a:effectLst/>
                  <a:latin typeface="Cambria Math" panose="02040503050406030204" pitchFamily="18" charset="0"/>
                  <a:ea typeface="+mn-ea"/>
                  <a:cs typeface="+mn-cs"/>
                </a:rPr>
                <a:t> kwh/1𝑘𝑔=42.2</a:t>
              </a:r>
              <a:r>
                <a:rPr lang="es-MX" sz="800" b="0" i="0">
                  <a:latin typeface="Cambria Math" panose="02040503050406030204" pitchFamily="18" charset="0"/>
                </a:rPr>
                <a:t> </a:t>
              </a:r>
              <a:endParaRPr lang="es-MX" sz="800"/>
            </a:p>
          </xdr:txBody>
        </xdr:sp>
      </mc:Fallback>
    </mc:AlternateContent>
    <xdr:clientData/>
  </xdr:oneCellAnchor>
  <xdr:oneCellAnchor>
    <xdr:from>
      <xdr:col>10</xdr:col>
      <xdr:colOff>555625</xdr:colOff>
      <xdr:row>307</xdr:row>
      <xdr:rowOff>1533525</xdr:rowOff>
    </xdr:from>
    <xdr:ext cx="1459441" cy="267574"/>
    <mc:AlternateContent xmlns:mc="http://schemas.openxmlformats.org/markup-compatibility/2006" xmlns:a14="http://schemas.microsoft.com/office/drawing/2010/main">
      <mc:Choice Requires="a14">
        <xdr:sp macro="" textlink="">
          <xdr:nvSpPr>
            <xdr:cNvPr id="1140" name="CuadroTexto 1139">
              <a:extLst>
                <a:ext uri="{FF2B5EF4-FFF2-40B4-BE49-F238E27FC236}">
                  <a16:creationId xmlns:a16="http://schemas.microsoft.com/office/drawing/2014/main" id="{8992574F-A4AD-438F-BAAF-0DF935CB0CCF}"/>
                </a:ext>
              </a:extLst>
            </xdr:cNvPr>
            <xdr:cNvSpPr txBox="1"/>
          </xdr:nvSpPr>
          <xdr:spPr>
            <a:xfrm>
              <a:off x="12938125" y="260931025"/>
              <a:ext cx="1459441" cy="267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42.2</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a:rPr lang="es-MX" sz="1100" b="0" i="0">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𝑘𝑔</m:t>
                      </m:r>
                    </m:den>
                  </m:f>
                  <m:r>
                    <a:rPr lang="es-MX" sz="1100" b="0" i="1">
                      <a:latin typeface="Cambria Math" panose="02040503050406030204" pitchFamily="18" charset="0"/>
                    </a:rPr>
                    <m:t> </m:t>
                  </m:r>
                </m:oMath>
              </a14:m>
              <a:r>
                <a:rPr lang="es-MX" sz="1100"/>
                <a:t>=93.7%</a:t>
              </a:r>
            </a:p>
          </xdr:txBody>
        </xdr:sp>
      </mc:Choice>
      <mc:Fallback xmlns="">
        <xdr:sp macro="" textlink="">
          <xdr:nvSpPr>
            <xdr:cNvPr id="1140" name="CuadroTexto 1139">
              <a:extLst>
                <a:ext uri="{FF2B5EF4-FFF2-40B4-BE49-F238E27FC236}">
                  <a16:creationId xmlns:a16="http://schemas.microsoft.com/office/drawing/2014/main" id="{8992574F-A4AD-438F-BAAF-0DF935CB0CCF}"/>
                </a:ext>
              </a:extLst>
            </xdr:cNvPr>
            <xdr:cNvSpPr txBox="1"/>
          </xdr:nvSpPr>
          <xdr:spPr>
            <a:xfrm>
              <a:off x="12938125" y="260931025"/>
              <a:ext cx="1459441" cy="267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42.2</a:t>
              </a:r>
              <a:r>
                <a:rPr lang="es-MX" sz="1100" b="0" i="0">
                  <a:solidFill>
                    <a:schemeClr val="tx1"/>
                  </a:solidFill>
                  <a:effectLst/>
                  <a:latin typeface="Cambria Math" panose="02040503050406030204" pitchFamily="18" charset="0"/>
                  <a:ea typeface="+mn-ea"/>
                  <a:cs typeface="+mn-cs"/>
                </a:rPr>
                <a:t> kwh/(1 𝑘𝑔) </a:t>
              </a:r>
              <a:r>
                <a:rPr lang="es-MX" sz="1100" b="0" i="0">
                  <a:latin typeface="Cambria Math" panose="02040503050406030204" pitchFamily="18" charset="0"/>
                </a:rPr>
                <a:t> </a:t>
              </a:r>
              <a:r>
                <a:rPr lang="es-MX" sz="1100"/>
                <a:t>=93.7%</a:t>
              </a:r>
            </a:p>
          </xdr:txBody>
        </xdr:sp>
      </mc:Fallback>
    </mc:AlternateContent>
    <xdr:clientData/>
  </xdr:oneCellAnchor>
  <xdr:oneCellAnchor>
    <xdr:from>
      <xdr:col>9</xdr:col>
      <xdr:colOff>638175</xdr:colOff>
      <xdr:row>307</xdr:row>
      <xdr:rowOff>847725</xdr:rowOff>
    </xdr:from>
    <xdr:ext cx="533400" cy="268600"/>
    <mc:AlternateContent xmlns:mc="http://schemas.openxmlformats.org/markup-compatibility/2006" xmlns:a14="http://schemas.microsoft.com/office/drawing/2010/main">
      <mc:Choice Requires="a14">
        <xdr:sp macro="" textlink="">
          <xdr:nvSpPr>
            <xdr:cNvPr id="1141" name="CuadroTexto 1140">
              <a:extLst>
                <a:ext uri="{FF2B5EF4-FFF2-40B4-BE49-F238E27FC236}">
                  <a16:creationId xmlns:a16="http://schemas.microsoft.com/office/drawing/2014/main" id="{DEAF25D1-7D88-479B-92AF-DB8DA7DF2628}"/>
                </a:ext>
              </a:extLst>
            </xdr:cNvPr>
            <xdr:cNvSpPr txBox="1"/>
          </xdr:nvSpPr>
          <xdr:spPr>
            <a:xfrm>
              <a:off x="9410700" y="265299825"/>
              <a:ext cx="533400" cy="26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i="0">
                  <a:solidFill>
                    <a:schemeClr val="tx1"/>
                  </a:solidFill>
                  <a:effectLst/>
                  <a:latin typeface="+mn-lt"/>
                  <a:ea typeface="+mn-ea"/>
                  <a:cs typeface="+mn-cs"/>
                </a:rPr>
                <a:t>2.8</a:t>
              </a:r>
              <a14:m>
                <m:oMath xmlns:m="http://schemas.openxmlformats.org/officeDocument/2006/math">
                  <m:f>
                    <m:fPr>
                      <m:ctrlPr>
                        <a:rPr lang="es-MX" sz="110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𝑘𝑤h</m:t>
                      </m:r>
                    </m:num>
                    <m:den>
                      <m:r>
                        <a:rPr lang="es-MX" sz="1100" b="0" i="0">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𝑘𝑔</m:t>
                      </m:r>
                    </m:den>
                  </m:f>
                  <m:r>
                    <a:rPr lang="es-MX" sz="1100" b="0" i="1">
                      <a:solidFill>
                        <a:schemeClr val="tx1"/>
                      </a:solidFill>
                      <a:effectLst/>
                      <a:latin typeface="Cambria Math" panose="02040503050406030204" pitchFamily="18" charset="0"/>
                      <a:ea typeface="+mn-ea"/>
                      <a:cs typeface="+mn-cs"/>
                    </a:rPr>
                    <m:t> </m:t>
                  </m:r>
                </m:oMath>
              </a14:m>
              <a:endParaRPr lang="es-MX" sz="800"/>
            </a:p>
          </xdr:txBody>
        </xdr:sp>
      </mc:Choice>
      <mc:Fallback xmlns="">
        <xdr:sp macro="" textlink="">
          <xdr:nvSpPr>
            <xdr:cNvPr id="1141" name="CuadroTexto 1140">
              <a:extLst>
                <a:ext uri="{FF2B5EF4-FFF2-40B4-BE49-F238E27FC236}">
                  <a16:creationId xmlns:a16="http://schemas.microsoft.com/office/drawing/2014/main" id="{DEAF25D1-7D88-479B-92AF-DB8DA7DF2628}"/>
                </a:ext>
              </a:extLst>
            </xdr:cNvPr>
            <xdr:cNvSpPr txBox="1"/>
          </xdr:nvSpPr>
          <xdr:spPr>
            <a:xfrm>
              <a:off x="9410700" y="265299825"/>
              <a:ext cx="533400" cy="26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i="0">
                  <a:solidFill>
                    <a:schemeClr val="tx1"/>
                  </a:solidFill>
                  <a:effectLst/>
                  <a:latin typeface="+mn-lt"/>
                  <a:ea typeface="+mn-ea"/>
                  <a:cs typeface="+mn-cs"/>
                </a:rPr>
                <a:t>2.8</a:t>
              </a:r>
              <a:r>
                <a:rPr lang="es-MX" sz="1100" b="0" i="0">
                  <a:solidFill>
                    <a:schemeClr val="tx1"/>
                  </a:solidFill>
                  <a:effectLst/>
                  <a:latin typeface="+mn-lt"/>
                  <a:ea typeface="+mn-ea"/>
                  <a:cs typeface="+mn-cs"/>
                </a:rPr>
                <a:t>𝑘𝑤ℎ/1</a:t>
              </a:r>
              <a:r>
                <a:rPr lang="es-MX" sz="1100" b="0" i="0">
                  <a:solidFill>
                    <a:schemeClr val="tx1"/>
                  </a:solidFill>
                  <a:effectLst/>
                  <a:latin typeface="Cambria Math" panose="02040503050406030204" pitchFamily="18" charset="0"/>
                  <a:ea typeface="+mn-ea"/>
                  <a:cs typeface="+mn-cs"/>
                </a:rPr>
                <a:t>𝑘𝑔</a:t>
              </a:r>
              <a:r>
                <a:rPr lang="es-MX" sz="1100" b="0" i="0">
                  <a:solidFill>
                    <a:schemeClr val="tx1"/>
                  </a:solidFill>
                  <a:effectLst/>
                  <a:latin typeface="+mn-lt"/>
                  <a:ea typeface="+mn-ea"/>
                  <a:cs typeface="+mn-cs"/>
                </a:rPr>
                <a:t>  </a:t>
              </a:r>
              <a:endParaRPr lang="es-MX" sz="800"/>
            </a:p>
          </xdr:txBody>
        </xdr:sp>
      </mc:Fallback>
    </mc:AlternateContent>
    <xdr:clientData/>
  </xdr:oneCellAnchor>
  <xdr:oneCellAnchor>
    <xdr:from>
      <xdr:col>12</xdr:col>
      <xdr:colOff>1666875</xdr:colOff>
      <xdr:row>358</xdr:row>
      <xdr:rowOff>1724025</xdr:rowOff>
    </xdr:from>
    <xdr:ext cx="327653" cy="324377"/>
    <xdr:pic>
      <xdr:nvPicPr>
        <xdr:cNvPr id="1142" name="Gráfico 1141" descr="Hogar">
          <a:hlinkClick xmlns:r="http://schemas.openxmlformats.org/officeDocument/2006/relationships" r:id="rId129"/>
          <a:extLst>
            <a:ext uri="{FF2B5EF4-FFF2-40B4-BE49-F238E27FC236}">
              <a16:creationId xmlns:a16="http://schemas.microsoft.com/office/drawing/2014/main" id="{1B629CD9-FFA1-4D48-BBD3-02AA6D11A4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316325" y="298332525"/>
          <a:ext cx="327653" cy="324377"/>
        </a:xfrm>
        <a:prstGeom prst="rect">
          <a:avLst/>
        </a:prstGeom>
      </xdr:spPr>
    </xdr:pic>
    <xdr:clientData/>
  </xdr:oneCellAnchor>
  <xdr:oneCellAnchor>
    <xdr:from>
      <xdr:col>12</xdr:col>
      <xdr:colOff>2047875</xdr:colOff>
      <xdr:row>358</xdr:row>
      <xdr:rowOff>1695450</xdr:rowOff>
    </xdr:from>
    <xdr:ext cx="375893" cy="369522"/>
    <xdr:pic>
      <xdr:nvPicPr>
        <xdr:cNvPr id="1143" name="Gráfico 1142" descr="Inalámbrico">
          <a:hlinkClick xmlns:r="http://schemas.openxmlformats.org/officeDocument/2006/relationships" r:id="rId128"/>
          <a:extLst>
            <a:ext uri="{FF2B5EF4-FFF2-40B4-BE49-F238E27FC236}">
              <a16:creationId xmlns:a16="http://schemas.microsoft.com/office/drawing/2014/main" id="{843E2750-1ECD-4A4F-A694-AD740863819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697325" y="298303950"/>
          <a:ext cx="375893" cy="369522"/>
        </a:xfrm>
        <a:prstGeom prst="rect">
          <a:avLst/>
        </a:prstGeom>
      </xdr:spPr>
    </xdr:pic>
    <xdr:clientData/>
  </xdr:oneCellAnchor>
  <xdr:oneCellAnchor>
    <xdr:from>
      <xdr:col>12</xdr:col>
      <xdr:colOff>1666875</xdr:colOff>
      <xdr:row>358</xdr:row>
      <xdr:rowOff>1724025</xdr:rowOff>
    </xdr:from>
    <xdr:ext cx="327653" cy="324377"/>
    <xdr:pic>
      <xdr:nvPicPr>
        <xdr:cNvPr id="1144" name="Gráfico 1143" descr="Hogar">
          <a:hlinkClick xmlns:r="http://schemas.openxmlformats.org/officeDocument/2006/relationships" r:id="rId130"/>
          <a:extLst>
            <a:ext uri="{FF2B5EF4-FFF2-40B4-BE49-F238E27FC236}">
              <a16:creationId xmlns:a16="http://schemas.microsoft.com/office/drawing/2014/main" id="{234683A5-2D7F-4923-9AB1-DA217C1FE19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316325" y="300799500"/>
          <a:ext cx="327653" cy="324377"/>
        </a:xfrm>
        <a:prstGeom prst="rect">
          <a:avLst/>
        </a:prstGeom>
      </xdr:spPr>
    </xdr:pic>
    <xdr:clientData/>
  </xdr:oneCellAnchor>
  <xdr:oneCellAnchor>
    <xdr:from>
      <xdr:col>12</xdr:col>
      <xdr:colOff>2047875</xdr:colOff>
      <xdr:row>358</xdr:row>
      <xdr:rowOff>1695450</xdr:rowOff>
    </xdr:from>
    <xdr:ext cx="375893" cy="369522"/>
    <xdr:pic>
      <xdr:nvPicPr>
        <xdr:cNvPr id="1145" name="Gráfico 1144" descr="Inalámbrico">
          <a:hlinkClick xmlns:r="http://schemas.openxmlformats.org/officeDocument/2006/relationships" r:id="rId128"/>
          <a:extLst>
            <a:ext uri="{FF2B5EF4-FFF2-40B4-BE49-F238E27FC236}">
              <a16:creationId xmlns:a16="http://schemas.microsoft.com/office/drawing/2014/main" id="{7FDEA76A-06DF-4742-9BC3-94B5674249C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697325" y="300770925"/>
          <a:ext cx="375893" cy="369522"/>
        </a:xfrm>
        <a:prstGeom prst="rect">
          <a:avLst/>
        </a:prstGeom>
      </xdr:spPr>
    </xdr:pic>
    <xdr:clientData/>
  </xdr:oneCellAnchor>
  <xdr:oneCellAnchor>
    <xdr:from>
      <xdr:col>12</xdr:col>
      <xdr:colOff>1425575</xdr:colOff>
      <xdr:row>305</xdr:row>
      <xdr:rowOff>882650</xdr:rowOff>
    </xdr:from>
    <xdr:ext cx="452966" cy="448733"/>
    <xdr:pic>
      <xdr:nvPicPr>
        <xdr:cNvPr id="1146" name="Gráfico 1145" descr="Inalámbrico">
          <a:hlinkClick xmlns:r="http://schemas.openxmlformats.org/officeDocument/2006/relationships" r:id="rId131"/>
          <a:extLst>
            <a:ext uri="{FF2B5EF4-FFF2-40B4-BE49-F238E27FC236}">
              <a16:creationId xmlns:a16="http://schemas.microsoft.com/office/drawing/2014/main" id="{BD6DB01D-01D7-4AE4-B991-C4BA397A19F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221325" y="257454400"/>
          <a:ext cx="452966" cy="448733"/>
        </a:xfrm>
        <a:prstGeom prst="rect">
          <a:avLst/>
        </a:prstGeom>
      </xdr:spPr>
    </xdr:pic>
    <xdr:clientData/>
  </xdr:oneCellAnchor>
  <xdr:oneCellAnchor>
    <xdr:from>
      <xdr:col>12</xdr:col>
      <xdr:colOff>209550</xdr:colOff>
      <xdr:row>305</xdr:row>
      <xdr:rowOff>860425</xdr:rowOff>
    </xdr:from>
    <xdr:ext cx="391583" cy="395432"/>
    <xdr:pic>
      <xdr:nvPicPr>
        <xdr:cNvPr id="1147" name="Gráfico 1146" descr="Hogar">
          <a:hlinkClick xmlns:r="http://schemas.openxmlformats.org/officeDocument/2006/relationships" r:id="rId132"/>
          <a:extLst>
            <a:ext uri="{FF2B5EF4-FFF2-40B4-BE49-F238E27FC236}">
              <a16:creationId xmlns:a16="http://schemas.microsoft.com/office/drawing/2014/main" id="{E80DEE9A-6EE1-455C-AB9A-EBDDDDA2B76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05300" y="257432175"/>
          <a:ext cx="391583" cy="395432"/>
        </a:xfrm>
        <a:prstGeom prst="rect">
          <a:avLst/>
        </a:prstGeom>
      </xdr:spPr>
    </xdr:pic>
    <xdr:clientData/>
  </xdr:oneCellAnchor>
  <xdr:twoCellAnchor>
    <xdr:from>
      <xdr:col>12</xdr:col>
      <xdr:colOff>1905000</xdr:colOff>
      <xdr:row>4</xdr:row>
      <xdr:rowOff>857250</xdr:rowOff>
    </xdr:from>
    <xdr:to>
      <xdr:col>12</xdr:col>
      <xdr:colOff>2124075</xdr:colOff>
      <xdr:row>4</xdr:row>
      <xdr:rowOff>1085849</xdr:rowOff>
    </xdr:to>
    <xdr:sp macro="" textlink="">
      <xdr:nvSpPr>
        <xdr:cNvPr id="2" name="Onda 1">
          <a:hlinkClick xmlns:r="http://schemas.openxmlformats.org/officeDocument/2006/relationships" r:id="rId133"/>
          <a:extLst>
            <a:ext uri="{FF2B5EF4-FFF2-40B4-BE49-F238E27FC236}">
              <a16:creationId xmlns:a16="http://schemas.microsoft.com/office/drawing/2014/main" id="{92917ADF-5319-599F-55BE-DBAE5DF903BE}"/>
            </a:ext>
          </a:extLst>
        </xdr:cNvPr>
        <xdr:cNvSpPr/>
      </xdr:nvSpPr>
      <xdr:spPr>
        <a:xfrm>
          <a:off x="16554450" y="31718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1933575</xdr:colOff>
      <xdr:row>5</xdr:row>
      <xdr:rowOff>723900</xdr:rowOff>
    </xdr:from>
    <xdr:to>
      <xdr:col>12</xdr:col>
      <xdr:colOff>2152650</xdr:colOff>
      <xdr:row>5</xdr:row>
      <xdr:rowOff>952499</xdr:rowOff>
    </xdr:to>
    <xdr:sp macro="" textlink="">
      <xdr:nvSpPr>
        <xdr:cNvPr id="1053" name="Onda 1052">
          <a:hlinkClick xmlns:r="http://schemas.openxmlformats.org/officeDocument/2006/relationships" r:id="rId134"/>
          <a:extLst>
            <a:ext uri="{FF2B5EF4-FFF2-40B4-BE49-F238E27FC236}">
              <a16:creationId xmlns:a16="http://schemas.microsoft.com/office/drawing/2014/main" id="{B490E564-7588-43C7-BC1E-E30D2DC7CEF8}"/>
            </a:ext>
          </a:extLst>
        </xdr:cNvPr>
        <xdr:cNvSpPr/>
      </xdr:nvSpPr>
      <xdr:spPr>
        <a:xfrm>
          <a:off x="16583025" y="444817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12</xdr:col>
      <xdr:colOff>1981201</xdr:colOff>
      <xdr:row>6</xdr:row>
      <xdr:rowOff>733426</xdr:rowOff>
    </xdr:from>
    <xdr:to>
      <xdr:col>12</xdr:col>
      <xdr:colOff>2257425</xdr:colOff>
      <xdr:row>6</xdr:row>
      <xdr:rowOff>981076</xdr:rowOff>
    </xdr:to>
    <xdr:pic>
      <xdr:nvPicPr>
        <xdr:cNvPr id="36" name="Imagen 35">
          <a:hlinkClick xmlns:r="http://schemas.openxmlformats.org/officeDocument/2006/relationships" r:id="rId135"/>
          <a:extLst>
            <a:ext uri="{FF2B5EF4-FFF2-40B4-BE49-F238E27FC236}">
              <a16:creationId xmlns:a16="http://schemas.microsoft.com/office/drawing/2014/main" id="{45EADA87-21AE-32D2-2462-119C099BED9E}"/>
            </a:ext>
          </a:extLst>
        </xdr:cNvPr>
        <xdr:cNvPicPr>
          <a:picLocks noChangeAspect="1"/>
        </xdr:cNvPicPr>
      </xdr:nvPicPr>
      <xdr:blipFill>
        <a:blip xmlns:r="http://schemas.openxmlformats.org/officeDocument/2006/relationships" r:embed="rId136"/>
        <a:stretch>
          <a:fillRect/>
        </a:stretch>
      </xdr:blipFill>
      <xdr:spPr>
        <a:xfrm>
          <a:off x="16630651" y="5981701"/>
          <a:ext cx="276224" cy="247650"/>
        </a:xfrm>
        <a:prstGeom prst="rect">
          <a:avLst/>
        </a:prstGeom>
      </xdr:spPr>
    </xdr:pic>
    <xdr:clientData/>
  </xdr:twoCellAnchor>
  <xdr:twoCellAnchor editAs="oneCell">
    <xdr:from>
      <xdr:col>12</xdr:col>
      <xdr:colOff>152400</xdr:colOff>
      <xdr:row>7</xdr:row>
      <xdr:rowOff>400052</xdr:rowOff>
    </xdr:from>
    <xdr:to>
      <xdr:col>12</xdr:col>
      <xdr:colOff>638367</xdr:colOff>
      <xdr:row>7</xdr:row>
      <xdr:rowOff>781050</xdr:rowOff>
    </xdr:to>
    <xdr:pic>
      <xdr:nvPicPr>
        <xdr:cNvPr id="59" name="Imagen 58">
          <a:hlinkClick xmlns:r="http://schemas.openxmlformats.org/officeDocument/2006/relationships" r:id="rId137"/>
          <a:extLst>
            <a:ext uri="{FF2B5EF4-FFF2-40B4-BE49-F238E27FC236}">
              <a16:creationId xmlns:a16="http://schemas.microsoft.com/office/drawing/2014/main" id="{8E767A6C-9BE5-1D16-0D82-B9001DD8A1C6}"/>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7058027"/>
          <a:ext cx="485967" cy="380998"/>
        </a:xfrm>
        <a:prstGeom prst="rect">
          <a:avLst/>
        </a:prstGeom>
      </xdr:spPr>
    </xdr:pic>
    <xdr:clientData/>
  </xdr:twoCellAnchor>
  <xdr:twoCellAnchor editAs="oneCell">
    <xdr:from>
      <xdr:col>12</xdr:col>
      <xdr:colOff>161925</xdr:colOff>
      <xdr:row>8</xdr:row>
      <xdr:rowOff>790575</xdr:rowOff>
    </xdr:from>
    <xdr:to>
      <xdr:col>12</xdr:col>
      <xdr:colOff>581025</xdr:colOff>
      <xdr:row>8</xdr:row>
      <xdr:rowOff>1209675</xdr:rowOff>
    </xdr:to>
    <xdr:pic>
      <xdr:nvPicPr>
        <xdr:cNvPr id="1120" name="Imagen 1119">
          <a:hlinkClick xmlns:r="http://schemas.openxmlformats.org/officeDocument/2006/relationships" r:id="rId53"/>
          <a:extLst>
            <a:ext uri="{FF2B5EF4-FFF2-40B4-BE49-F238E27FC236}">
              <a16:creationId xmlns:a16="http://schemas.microsoft.com/office/drawing/2014/main" id="{7ED7F2D2-1B6F-463E-B75D-DFCDDB6389F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11375" y="8915400"/>
          <a:ext cx="419100" cy="419100"/>
        </a:xfrm>
        <a:prstGeom prst="rect">
          <a:avLst/>
        </a:prstGeom>
      </xdr:spPr>
    </xdr:pic>
    <xdr:clientData/>
  </xdr:twoCellAnchor>
  <xdr:twoCellAnchor editAs="oneCell">
    <xdr:from>
      <xdr:col>12</xdr:col>
      <xdr:colOff>1295400</xdr:colOff>
      <xdr:row>8</xdr:row>
      <xdr:rowOff>809625</xdr:rowOff>
    </xdr:from>
    <xdr:to>
      <xdr:col>12</xdr:col>
      <xdr:colOff>1697771</xdr:colOff>
      <xdr:row>8</xdr:row>
      <xdr:rowOff>1218092</xdr:rowOff>
    </xdr:to>
    <xdr:pic>
      <xdr:nvPicPr>
        <xdr:cNvPr id="60" name="Imagen 59">
          <a:hlinkClick xmlns:r="http://schemas.openxmlformats.org/officeDocument/2006/relationships" r:id="rId140"/>
          <a:extLst>
            <a:ext uri="{FF2B5EF4-FFF2-40B4-BE49-F238E27FC236}">
              <a16:creationId xmlns:a16="http://schemas.microsoft.com/office/drawing/2014/main" id="{20B380B0-AC97-98D8-DBE6-07E6E99F2B47}"/>
            </a:ext>
          </a:extLst>
        </xdr:cNvPr>
        <xdr:cNvPicPr>
          <a:picLocks noChangeAspect="1"/>
        </xdr:cNvPicPr>
      </xdr:nvPicPr>
      <xdr:blipFill>
        <a:blip xmlns:r="http://schemas.openxmlformats.org/officeDocument/2006/relationships" r:embed="rId141"/>
        <a:stretch>
          <a:fillRect/>
        </a:stretch>
      </xdr:blipFill>
      <xdr:spPr>
        <a:xfrm>
          <a:off x="15944850" y="8934450"/>
          <a:ext cx="402371" cy="408467"/>
        </a:xfrm>
        <a:prstGeom prst="rect">
          <a:avLst/>
        </a:prstGeom>
      </xdr:spPr>
    </xdr:pic>
    <xdr:clientData/>
  </xdr:twoCellAnchor>
  <xdr:twoCellAnchor editAs="oneCell">
    <xdr:from>
      <xdr:col>12</xdr:col>
      <xdr:colOff>752475</xdr:colOff>
      <xdr:row>8</xdr:row>
      <xdr:rowOff>809625</xdr:rowOff>
    </xdr:from>
    <xdr:to>
      <xdr:col>12</xdr:col>
      <xdr:colOff>1171575</xdr:colOff>
      <xdr:row>8</xdr:row>
      <xdr:rowOff>1228725</xdr:rowOff>
    </xdr:to>
    <xdr:pic>
      <xdr:nvPicPr>
        <xdr:cNvPr id="1121" name="Imagen 1120">
          <a:hlinkClick xmlns:r="http://schemas.openxmlformats.org/officeDocument/2006/relationships" r:id="rId142"/>
          <a:extLst>
            <a:ext uri="{FF2B5EF4-FFF2-40B4-BE49-F238E27FC236}">
              <a16:creationId xmlns:a16="http://schemas.microsoft.com/office/drawing/2014/main" id="{E77E80E3-9A7C-4ED2-8E0C-298A013AB62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5401925" y="8934450"/>
          <a:ext cx="419100" cy="419100"/>
        </a:xfrm>
        <a:prstGeom prst="rect">
          <a:avLst/>
        </a:prstGeom>
      </xdr:spPr>
    </xdr:pic>
    <xdr:clientData/>
  </xdr:twoCellAnchor>
  <xdr:twoCellAnchor editAs="oneCell">
    <xdr:from>
      <xdr:col>12</xdr:col>
      <xdr:colOff>1143001</xdr:colOff>
      <xdr:row>10</xdr:row>
      <xdr:rowOff>368872</xdr:rowOff>
    </xdr:from>
    <xdr:to>
      <xdr:col>12</xdr:col>
      <xdr:colOff>1543050</xdr:colOff>
      <xdr:row>10</xdr:row>
      <xdr:rowOff>756989</xdr:rowOff>
    </xdr:to>
    <xdr:pic>
      <xdr:nvPicPr>
        <xdr:cNvPr id="1126" name="Imagen 1125">
          <a:hlinkClick xmlns:r="http://schemas.openxmlformats.org/officeDocument/2006/relationships" r:id="rId140"/>
          <a:extLst>
            <a:ext uri="{FF2B5EF4-FFF2-40B4-BE49-F238E27FC236}">
              <a16:creationId xmlns:a16="http://schemas.microsoft.com/office/drawing/2014/main" id="{8F39FB3A-73FF-4B93-AD49-339D73DD2CCE}"/>
            </a:ext>
          </a:extLst>
        </xdr:cNvPr>
        <xdr:cNvPicPr>
          <a:picLocks noChangeAspect="1"/>
        </xdr:cNvPicPr>
      </xdr:nvPicPr>
      <xdr:blipFill>
        <a:blip xmlns:r="http://schemas.openxmlformats.org/officeDocument/2006/relationships" r:embed="rId141"/>
        <a:stretch>
          <a:fillRect/>
        </a:stretch>
      </xdr:blipFill>
      <xdr:spPr>
        <a:xfrm>
          <a:off x="15792451" y="11370247"/>
          <a:ext cx="400049" cy="388117"/>
        </a:xfrm>
        <a:prstGeom prst="rect">
          <a:avLst/>
        </a:prstGeom>
      </xdr:spPr>
    </xdr:pic>
    <xdr:clientData/>
  </xdr:twoCellAnchor>
  <xdr:twoCellAnchor editAs="oneCell">
    <xdr:from>
      <xdr:col>12</xdr:col>
      <xdr:colOff>123825</xdr:colOff>
      <xdr:row>10</xdr:row>
      <xdr:rowOff>438150</xdr:rowOff>
    </xdr:from>
    <xdr:to>
      <xdr:col>12</xdr:col>
      <xdr:colOff>542925</xdr:colOff>
      <xdr:row>10</xdr:row>
      <xdr:rowOff>857250</xdr:rowOff>
    </xdr:to>
    <xdr:pic>
      <xdr:nvPicPr>
        <xdr:cNvPr id="1138" name="Imagen 1137">
          <a:hlinkClick xmlns:r="http://schemas.openxmlformats.org/officeDocument/2006/relationships" r:id="rId143"/>
          <a:extLst>
            <a:ext uri="{FF2B5EF4-FFF2-40B4-BE49-F238E27FC236}">
              <a16:creationId xmlns:a16="http://schemas.microsoft.com/office/drawing/2014/main" id="{9E9195E9-0D32-44B9-A588-F04727910E0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11439525"/>
          <a:ext cx="419100" cy="419100"/>
        </a:xfrm>
        <a:prstGeom prst="rect">
          <a:avLst/>
        </a:prstGeom>
      </xdr:spPr>
    </xdr:pic>
    <xdr:clientData/>
  </xdr:twoCellAnchor>
  <xdr:twoCellAnchor editAs="oneCell">
    <xdr:from>
      <xdr:col>12</xdr:col>
      <xdr:colOff>2038350</xdr:colOff>
      <xdr:row>8</xdr:row>
      <xdr:rowOff>838200</xdr:rowOff>
    </xdr:from>
    <xdr:to>
      <xdr:col>12</xdr:col>
      <xdr:colOff>2381250</xdr:colOff>
      <xdr:row>8</xdr:row>
      <xdr:rowOff>1181100</xdr:rowOff>
    </xdr:to>
    <xdr:pic>
      <xdr:nvPicPr>
        <xdr:cNvPr id="68" name="Imagen 67">
          <a:hlinkClick xmlns:r="http://schemas.openxmlformats.org/officeDocument/2006/relationships" r:id="rId135"/>
          <a:extLst>
            <a:ext uri="{FF2B5EF4-FFF2-40B4-BE49-F238E27FC236}">
              <a16:creationId xmlns:a16="http://schemas.microsoft.com/office/drawing/2014/main" id="{A5637AE6-F74C-7B2D-240C-F31E79F7AB2E}"/>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687800" y="8963025"/>
          <a:ext cx="342900" cy="342900"/>
        </a:xfrm>
        <a:prstGeom prst="rect">
          <a:avLst/>
        </a:prstGeom>
      </xdr:spPr>
    </xdr:pic>
    <xdr:clientData/>
  </xdr:twoCellAnchor>
  <xdr:twoCellAnchor editAs="oneCell">
    <xdr:from>
      <xdr:col>12</xdr:col>
      <xdr:colOff>2095500</xdr:colOff>
      <xdr:row>10</xdr:row>
      <xdr:rowOff>476250</xdr:rowOff>
    </xdr:from>
    <xdr:to>
      <xdr:col>12</xdr:col>
      <xdr:colOff>2438400</xdr:colOff>
      <xdr:row>10</xdr:row>
      <xdr:rowOff>819150</xdr:rowOff>
    </xdr:to>
    <xdr:pic>
      <xdr:nvPicPr>
        <xdr:cNvPr id="1148" name="Imagen 1147">
          <a:hlinkClick xmlns:r="http://schemas.openxmlformats.org/officeDocument/2006/relationships" r:id="rId145"/>
          <a:extLst>
            <a:ext uri="{FF2B5EF4-FFF2-40B4-BE49-F238E27FC236}">
              <a16:creationId xmlns:a16="http://schemas.microsoft.com/office/drawing/2014/main" id="{A8DFCD9C-2EFE-4FB2-8E9F-454877F3B4C3}"/>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744950" y="11477625"/>
          <a:ext cx="342900" cy="342900"/>
        </a:xfrm>
        <a:prstGeom prst="rect">
          <a:avLst/>
        </a:prstGeom>
      </xdr:spPr>
    </xdr:pic>
    <xdr:clientData/>
  </xdr:twoCellAnchor>
  <xdr:twoCellAnchor editAs="oneCell">
    <xdr:from>
      <xdr:col>12</xdr:col>
      <xdr:colOff>123825</xdr:colOff>
      <xdr:row>10</xdr:row>
      <xdr:rowOff>1123950</xdr:rowOff>
    </xdr:from>
    <xdr:to>
      <xdr:col>12</xdr:col>
      <xdr:colOff>542925</xdr:colOff>
      <xdr:row>10</xdr:row>
      <xdr:rowOff>1543050</xdr:rowOff>
    </xdr:to>
    <xdr:pic>
      <xdr:nvPicPr>
        <xdr:cNvPr id="1149" name="Imagen 1148">
          <a:hlinkClick xmlns:r="http://schemas.openxmlformats.org/officeDocument/2006/relationships" r:id="rId146"/>
          <a:extLst>
            <a:ext uri="{FF2B5EF4-FFF2-40B4-BE49-F238E27FC236}">
              <a16:creationId xmlns:a16="http://schemas.microsoft.com/office/drawing/2014/main" id="{42CB2F1C-658A-40EB-AA37-AA255293F65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12125325"/>
          <a:ext cx="419100" cy="419100"/>
        </a:xfrm>
        <a:prstGeom prst="rect">
          <a:avLst/>
        </a:prstGeom>
      </xdr:spPr>
    </xdr:pic>
    <xdr:clientData/>
  </xdr:twoCellAnchor>
  <xdr:twoCellAnchor editAs="oneCell">
    <xdr:from>
      <xdr:col>12</xdr:col>
      <xdr:colOff>152400</xdr:colOff>
      <xdr:row>11</xdr:row>
      <xdr:rowOff>447675</xdr:rowOff>
    </xdr:from>
    <xdr:to>
      <xdr:col>12</xdr:col>
      <xdr:colOff>571500</xdr:colOff>
      <xdr:row>11</xdr:row>
      <xdr:rowOff>866775</xdr:rowOff>
    </xdr:to>
    <xdr:pic>
      <xdr:nvPicPr>
        <xdr:cNvPr id="1151" name="Imagen 1150">
          <a:hlinkClick xmlns:r="http://schemas.openxmlformats.org/officeDocument/2006/relationships" r:id="rId147"/>
          <a:extLst>
            <a:ext uri="{FF2B5EF4-FFF2-40B4-BE49-F238E27FC236}">
              <a16:creationId xmlns:a16="http://schemas.microsoft.com/office/drawing/2014/main" id="{E82665C8-F797-444B-BB62-482D7173664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13401675"/>
          <a:ext cx="419100" cy="419100"/>
        </a:xfrm>
        <a:prstGeom prst="rect">
          <a:avLst/>
        </a:prstGeom>
      </xdr:spPr>
    </xdr:pic>
    <xdr:clientData/>
  </xdr:twoCellAnchor>
  <xdr:twoCellAnchor editAs="oneCell">
    <xdr:from>
      <xdr:col>12</xdr:col>
      <xdr:colOff>209550</xdr:colOff>
      <xdr:row>12</xdr:row>
      <xdr:rowOff>495300</xdr:rowOff>
    </xdr:from>
    <xdr:to>
      <xdr:col>12</xdr:col>
      <xdr:colOff>571500</xdr:colOff>
      <xdr:row>12</xdr:row>
      <xdr:rowOff>857250</xdr:rowOff>
    </xdr:to>
    <xdr:pic>
      <xdr:nvPicPr>
        <xdr:cNvPr id="1152" name="Imagen 1151">
          <a:hlinkClick xmlns:r="http://schemas.openxmlformats.org/officeDocument/2006/relationships" r:id="rId148"/>
          <a:extLst>
            <a:ext uri="{FF2B5EF4-FFF2-40B4-BE49-F238E27FC236}">
              <a16:creationId xmlns:a16="http://schemas.microsoft.com/office/drawing/2014/main" id="{C149D770-8CB4-4603-8E9A-1C50294C167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59000" y="14859000"/>
          <a:ext cx="361950" cy="361950"/>
        </a:xfrm>
        <a:prstGeom prst="rect">
          <a:avLst/>
        </a:prstGeom>
      </xdr:spPr>
    </xdr:pic>
    <xdr:clientData/>
  </xdr:twoCellAnchor>
  <xdr:twoCellAnchor editAs="oneCell">
    <xdr:from>
      <xdr:col>12</xdr:col>
      <xdr:colOff>1990725</xdr:colOff>
      <xdr:row>12</xdr:row>
      <xdr:rowOff>533400</xdr:rowOff>
    </xdr:from>
    <xdr:to>
      <xdr:col>12</xdr:col>
      <xdr:colOff>2276475</xdr:colOff>
      <xdr:row>12</xdr:row>
      <xdr:rowOff>819150</xdr:rowOff>
    </xdr:to>
    <xdr:pic>
      <xdr:nvPicPr>
        <xdr:cNvPr id="1154" name="Imagen 1153">
          <a:hlinkClick xmlns:r="http://schemas.openxmlformats.org/officeDocument/2006/relationships" r:id="rId145"/>
          <a:extLst>
            <a:ext uri="{FF2B5EF4-FFF2-40B4-BE49-F238E27FC236}">
              <a16:creationId xmlns:a16="http://schemas.microsoft.com/office/drawing/2014/main" id="{3789A5CC-36E6-4944-B55D-C152BA87C60B}"/>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640175" y="14897100"/>
          <a:ext cx="285750" cy="285750"/>
        </a:xfrm>
        <a:prstGeom prst="rect">
          <a:avLst/>
        </a:prstGeom>
      </xdr:spPr>
    </xdr:pic>
    <xdr:clientData/>
  </xdr:twoCellAnchor>
  <xdr:twoCellAnchor editAs="oneCell">
    <xdr:from>
      <xdr:col>12</xdr:col>
      <xdr:colOff>190500</xdr:colOff>
      <xdr:row>12</xdr:row>
      <xdr:rowOff>1152525</xdr:rowOff>
    </xdr:from>
    <xdr:to>
      <xdr:col>12</xdr:col>
      <xdr:colOff>552450</xdr:colOff>
      <xdr:row>12</xdr:row>
      <xdr:rowOff>1514475</xdr:rowOff>
    </xdr:to>
    <xdr:pic>
      <xdr:nvPicPr>
        <xdr:cNvPr id="1155" name="Imagen 1154">
          <a:hlinkClick xmlns:r="http://schemas.openxmlformats.org/officeDocument/2006/relationships" r:id="rId149"/>
          <a:extLst>
            <a:ext uri="{FF2B5EF4-FFF2-40B4-BE49-F238E27FC236}">
              <a16:creationId xmlns:a16="http://schemas.microsoft.com/office/drawing/2014/main" id="{96D106A1-62B7-4DAA-8BB7-149A42AE0F4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9950" y="15573375"/>
          <a:ext cx="361950" cy="361950"/>
        </a:xfrm>
        <a:prstGeom prst="rect">
          <a:avLst/>
        </a:prstGeom>
      </xdr:spPr>
    </xdr:pic>
    <xdr:clientData/>
  </xdr:twoCellAnchor>
  <xdr:twoCellAnchor editAs="oneCell">
    <xdr:from>
      <xdr:col>12</xdr:col>
      <xdr:colOff>200025</xdr:colOff>
      <xdr:row>12</xdr:row>
      <xdr:rowOff>1828800</xdr:rowOff>
    </xdr:from>
    <xdr:to>
      <xdr:col>12</xdr:col>
      <xdr:colOff>561975</xdr:colOff>
      <xdr:row>12</xdr:row>
      <xdr:rowOff>2190750</xdr:rowOff>
    </xdr:to>
    <xdr:pic>
      <xdr:nvPicPr>
        <xdr:cNvPr id="1156" name="Imagen 1155">
          <a:hlinkClick xmlns:r="http://schemas.openxmlformats.org/officeDocument/2006/relationships" r:id="rId150"/>
          <a:extLst>
            <a:ext uri="{FF2B5EF4-FFF2-40B4-BE49-F238E27FC236}">
              <a16:creationId xmlns:a16="http://schemas.microsoft.com/office/drawing/2014/main" id="{F4FCE4A4-4F25-4B02-901F-866FF0C70C5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49475" y="15821025"/>
          <a:ext cx="361950" cy="361950"/>
        </a:xfrm>
        <a:prstGeom prst="rect">
          <a:avLst/>
        </a:prstGeom>
      </xdr:spPr>
    </xdr:pic>
    <xdr:clientData/>
  </xdr:twoCellAnchor>
  <xdr:twoCellAnchor editAs="oneCell">
    <xdr:from>
      <xdr:col>12</xdr:col>
      <xdr:colOff>228600</xdr:colOff>
      <xdr:row>16</xdr:row>
      <xdr:rowOff>238125</xdr:rowOff>
    </xdr:from>
    <xdr:to>
      <xdr:col>12</xdr:col>
      <xdr:colOff>590550</xdr:colOff>
      <xdr:row>16</xdr:row>
      <xdr:rowOff>600075</xdr:rowOff>
    </xdr:to>
    <xdr:pic>
      <xdr:nvPicPr>
        <xdr:cNvPr id="1158" name="Imagen 1157">
          <a:hlinkClick xmlns:r="http://schemas.openxmlformats.org/officeDocument/2006/relationships" r:id="rId151"/>
          <a:extLst>
            <a:ext uri="{FF2B5EF4-FFF2-40B4-BE49-F238E27FC236}">
              <a16:creationId xmlns:a16="http://schemas.microsoft.com/office/drawing/2014/main" id="{EBCAFC36-C78E-47D8-98E6-4DCEC8B669E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17364075"/>
          <a:ext cx="361950" cy="361950"/>
        </a:xfrm>
        <a:prstGeom prst="rect">
          <a:avLst/>
        </a:prstGeom>
      </xdr:spPr>
    </xdr:pic>
    <xdr:clientData/>
  </xdr:twoCellAnchor>
  <xdr:twoCellAnchor editAs="oneCell">
    <xdr:from>
      <xdr:col>12</xdr:col>
      <xdr:colOff>190500</xdr:colOff>
      <xdr:row>17</xdr:row>
      <xdr:rowOff>600075</xdr:rowOff>
    </xdr:from>
    <xdr:to>
      <xdr:col>12</xdr:col>
      <xdr:colOff>552450</xdr:colOff>
      <xdr:row>17</xdr:row>
      <xdr:rowOff>962025</xdr:rowOff>
    </xdr:to>
    <xdr:pic>
      <xdr:nvPicPr>
        <xdr:cNvPr id="1160" name="Imagen 1159">
          <a:hlinkClick xmlns:r="http://schemas.openxmlformats.org/officeDocument/2006/relationships" r:id="rId152"/>
          <a:extLst>
            <a:ext uri="{FF2B5EF4-FFF2-40B4-BE49-F238E27FC236}">
              <a16:creationId xmlns:a16="http://schemas.microsoft.com/office/drawing/2014/main" id="{D0211566-8FD1-49C8-8C6F-304E7A0E164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9950" y="19135725"/>
          <a:ext cx="361950" cy="361950"/>
        </a:xfrm>
        <a:prstGeom prst="rect">
          <a:avLst/>
        </a:prstGeom>
      </xdr:spPr>
    </xdr:pic>
    <xdr:clientData/>
  </xdr:twoCellAnchor>
  <xdr:twoCellAnchor>
    <xdr:from>
      <xdr:col>12</xdr:col>
      <xdr:colOff>2057400</xdr:colOff>
      <xdr:row>17</xdr:row>
      <xdr:rowOff>676275</xdr:rowOff>
    </xdr:from>
    <xdr:to>
      <xdr:col>12</xdr:col>
      <xdr:colOff>2276475</xdr:colOff>
      <xdr:row>17</xdr:row>
      <xdr:rowOff>904874</xdr:rowOff>
    </xdr:to>
    <xdr:sp macro="" textlink="">
      <xdr:nvSpPr>
        <xdr:cNvPr id="1161" name="Onda 1160">
          <a:hlinkClick xmlns:r="http://schemas.openxmlformats.org/officeDocument/2006/relationships" r:id="rId134"/>
          <a:extLst>
            <a:ext uri="{FF2B5EF4-FFF2-40B4-BE49-F238E27FC236}">
              <a16:creationId xmlns:a16="http://schemas.microsoft.com/office/drawing/2014/main" id="{FF44D890-AB63-43E6-8F01-51B2DCDE9D32}"/>
            </a:ext>
          </a:extLst>
        </xdr:cNvPr>
        <xdr:cNvSpPr/>
      </xdr:nvSpPr>
      <xdr:spPr>
        <a:xfrm>
          <a:off x="16706850" y="192119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12</xdr:col>
      <xdr:colOff>228600</xdr:colOff>
      <xdr:row>18</xdr:row>
      <xdr:rowOff>409575</xdr:rowOff>
    </xdr:from>
    <xdr:to>
      <xdr:col>12</xdr:col>
      <xdr:colOff>590550</xdr:colOff>
      <xdr:row>18</xdr:row>
      <xdr:rowOff>771525</xdr:rowOff>
    </xdr:to>
    <xdr:pic>
      <xdr:nvPicPr>
        <xdr:cNvPr id="1162" name="Imagen 1161">
          <a:hlinkClick xmlns:r="http://schemas.openxmlformats.org/officeDocument/2006/relationships" r:id="rId153"/>
          <a:extLst>
            <a:ext uri="{FF2B5EF4-FFF2-40B4-BE49-F238E27FC236}">
              <a16:creationId xmlns:a16="http://schemas.microsoft.com/office/drawing/2014/main" id="{9CB0C69A-ED9E-4772-ADFD-D5079A6701A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20354925"/>
          <a:ext cx="361950" cy="361950"/>
        </a:xfrm>
        <a:prstGeom prst="rect">
          <a:avLst/>
        </a:prstGeom>
      </xdr:spPr>
    </xdr:pic>
    <xdr:clientData/>
  </xdr:twoCellAnchor>
  <xdr:twoCellAnchor editAs="oneCell">
    <xdr:from>
      <xdr:col>12</xdr:col>
      <xdr:colOff>282575</xdr:colOff>
      <xdr:row>19</xdr:row>
      <xdr:rowOff>682625</xdr:rowOff>
    </xdr:from>
    <xdr:to>
      <xdr:col>12</xdr:col>
      <xdr:colOff>644525</xdr:colOff>
      <xdr:row>19</xdr:row>
      <xdr:rowOff>1044575</xdr:rowOff>
    </xdr:to>
    <xdr:pic>
      <xdr:nvPicPr>
        <xdr:cNvPr id="1163" name="Imagen 1162">
          <a:hlinkClick xmlns:r="http://schemas.openxmlformats.org/officeDocument/2006/relationships" r:id="rId154"/>
          <a:extLst>
            <a:ext uri="{FF2B5EF4-FFF2-40B4-BE49-F238E27FC236}">
              <a16:creationId xmlns:a16="http://schemas.microsoft.com/office/drawing/2014/main" id="{1EB0CFBA-6C16-4F44-9F3E-3A3DB0E9B19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78325" y="22812375"/>
          <a:ext cx="361950" cy="361950"/>
        </a:xfrm>
        <a:prstGeom prst="rect">
          <a:avLst/>
        </a:prstGeom>
      </xdr:spPr>
    </xdr:pic>
    <xdr:clientData/>
  </xdr:twoCellAnchor>
  <xdr:twoCellAnchor editAs="oneCell">
    <xdr:from>
      <xdr:col>12</xdr:col>
      <xdr:colOff>276225</xdr:colOff>
      <xdr:row>20</xdr:row>
      <xdr:rowOff>419100</xdr:rowOff>
    </xdr:from>
    <xdr:to>
      <xdr:col>12</xdr:col>
      <xdr:colOff>638175</xdr:colOff>
      <xdr:row>20</xdr:row>
      <xdr:rowOff>781050</xdr:rowOff>
    </xdr:to>
    <xdr:pic>
      <xdr:nvPicPr>
        <xdr:cNvPr id="1164" name="Imagen 1163">
          <a:hlinkClick xmlns:r="http://schemas.openxmlformats.org/officeDocument/2006/relationships" r:id="rId155"/>
          <a:extLst>
            <a:ext uri="{FF2B5EF4-FFF2-40B4-BE49-F238E27FC236}">
              <a16:creationId xmlns:a16="http://schemas.microsoft.com/office/drawing/2014/main" id="{9C36ED31-04B0-498D-9542-9AF05FD73DA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25675" y="23183850"/>
          <a:ext cx="361950" cy="361950"/>
        </a:xfrm>
        <a:prstGeom prst="rect">
          <a:avLst/>
        </a:prstGeom>
      </xdr:spPr>
    </xdr:pic>
    <xdr:clientData/>
  </xdr:twoCellAnchor>
  <xdr:twoCellAnchor editAs="oneCell">
    <xdr:from>
      <xdr:col>12</xdr:col>
      <xdr:colOff>266700</xdr:colOff>
      <xdr:row>21</xdr:row>
      <xdr:rowOff>390525</xdr:rowOff>
    </xdr:from>
    <xdr:to>
      <xdr:col>12</xdr:col>
      <xdr:colOff>628650</xdr:colOff>
      <xdr:row>21</xdr:row>
      <xdr:rowOff>752475</xdr:rowOff>
    </xdr:to>
    <xdr:pic>
      <xdr:nvPicPr>
        <xdr:cNvPr id="1165" name="Imagen 1164">
          <a:hlinkClick xmlns:r="http://schemas.openxmlformats.org/officeDocument/2006/relationships" r:id="rId155"/>
          <a:extLst>
            <a:ext uri="{FF2B5EF4-FFF2-40B4-BE49-F238E27FC236}">
              <a16:creationId xmlns:a16="http://schemas.microsoft.com/office/drawing/2014/main" id="{8379DAAA-EA4C-40A2-B0D0-7F1BA62A9A01}"/>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16150" y="24564975"/>
          <a:ext cx="361950" cy="361950"/>
        </a:xfrm>
        <a:prstGeom prst="rect">
          <a:avLst/>
        </a:prstGeom>
      </xdr:spPr>
    </xdr:pic>
    <xdr:clientData/>
  </xdr:twoCellAnchor>
  <xdr:twoCellAnchor editAs="oneCell">
    <xdr:from>
      <xdr:col>12</xdr:col>
      <xdr:colOff>295275</xdr:colOff>
      <xdr:row>22</xdr:row>
      <xdr:rowOff>371475</xdr:rowOff>
    </xdr:from>
    <xdr:to>
      <xdr:col>12</xdr:col>
      <xdr:colOff>657225</xdr:colOff>
      <xdr:row>22</xdr:row>
      <xdr:rowOff>733425</xdr:rowOff>
    </xdr:to>
    <xdr:pic>
      <xdr:nvPicPr>
        <xdr:cNvPr id="1166" name="Imagen 1165">
          <a:hlinkClick xmlns:r="http://schemas.openxmlformats.org/officeDocument/2006/relationships" r:id="rId155"/>
          <a:extLst>
            <a:ext uri="{FF2B5EF4-FFF2-40B4-BE49-F238E27FC236}">
              <a16:creationId xmlns:a16="http://schemas.microsoft.com/office/drawing/2014/main" id="{75AFB344-5CBD-447E-8907-D472CABBC89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44725" y="25955625"/>
          <a:ext cx="361950" cy="361950"/>
        </a:xfrm>
        <a:prstGeom prst="rect">
          <a:avLst/>
        </a:prstGeom>
      </xdr:spPr>
    </xdr:pic>
    <xdr:clientData/>
  </xdr:twoCellAnchor>
  <xdr:oneCellAnchor>
    <xdr:from>
      <xdr:col>12</xdr:col>
      <xdr:colOff>1257300</xdr:colOff>
      <xdr:row>23</xdr:row>
      <xdr:rowOff>312738</xdr:rowOff>
    </xdr:from>
    <xdr:ext cx="376237" cy="376237"/>
    <xdr:pic>
      <xdr:nvPicPr>
        <xdr:cNvPr id="1167" name="Gráfico 1166" descr="Inalámbrico">
          <a:hlinkClick xmlns:r="http://schemas.openxmlformats.org/officeDocument/2006/relationships" r:id="rId12"/>
          <a:extLst>
            <a:ext uri="{FF2B5EF4-FFF2-40B4-BE49-F238E27FC236}">
              <a16:creationId xmlns:a16="http://schemas.microsoft.com/office/drawing/2014/main" id="{BF9F74A4-D2BF-4A6F-B7B6-A8D4356C67C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906750" y="25896888"/>
          <a:ext cx="376237" cy="376237"/>
        </a:xfrm>
        <a:prstGeom prst="rect">
          <a:avLst/>
        </a:prstGeom>
      </xdr:spPr>
    </xdr:pic>
    <xdr:clientData/>
  </xdr:oneCellAnchor>
  <xdr:oneCellAnchor>
    <xdr:from>
      <xdr:col>12</xdr:col>
      <xdr:colOff>295275</xdr:colOff>
      <xdr:row>23</xdr:row>
      <xdr:rowOff>371475</xdr:rowOff>
    </xdr:from>
    <xdr:ext cx="361950" cy="361950"/>
    <xdr:pic>
      <xdr:nvPicPr>
        <xdr:cNvPr id="1168" name="Imagen 1167">
          <a:hlinkClick xmlns:r="http://schemas.openxmlformats.org/officeDocument/2006/relationships" r:id="rId155"/>
          <a:extLst>
            <a:ext uri="{FF2B5EF4-FFF2-40B4-BE49-F238E27FC236}">
              <a16:creationId xmlns:a16="http://schemas.microsoft.com/office/drawing/2014/main" id="{17612ADC-CB24-43E1-A0DB-B9A99436363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44725" y="25955625"/>
          <a:ext cx="361950" cy="361950"/>
        </a:xfrm>
        <a:prstGeom prst="rect">
          <a:avLst/>
        </a:prstGeom>
      </xdr:spPr>
    </xdr:pic>
    <xdr:clientData/>
  </xdr:oneCellAnchor>
  <xdr:oneCellAnchor>
    <xdr:from>
      <xdr:col>12</xdr:col>
      <xdr:colOff>285750</xdr:colOff>
      <xdr:row>24</xdr:row>
      <xdr:rowOff>752475</xdr:rowOff>
    </xdr:from>
    <xdr:ext cx="361950" cy="361950"/>
    <xdr:pic>
      <xdr:nvPicPr>
        <xdr:cNvPr id="1169" name="Imagen 1168">
          <a:hlinkClick xmlns:r="http://schemas.openxmlformats.org/officeDocument/2006/relationships" r:id="rId156"/>
          <a:extLst>
            <a:ext uri="{FF2B5EF4-FFF2-40B4-BE49-F238E27FC236}">
              <a16:creationId xmlns:a16="http://schemas.microsoft.com/office/drawing/2014/main" id="{AD09C95A-AF6A-4349-A52C-D48E63F75EB7}"/>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35200" y="29156025"/>
          <a:ext cx="361950" cy="361950"/>
        </a:xfrm>
        <a:prstGeom prst="rect">
          <a:avLst/>
        </a:prstGeom>
      </xdr:spPr>
    </xdr:pic>
    <xdr:clientData/>
  </xdr:oneCellAnchor>
  <xdr:oneCellAnchor>
    <xdr:from>
      <xdr:col>12</xdr:col>
      <xdr:colOff>200025</xdr:colOff>
      <xdr:row>26</xdr:row>
      <xdr:rowOff>771525</xdr:rowOff>
    </xdr:from>
    <xdr:ext cx="361950" cy="361950"/>
    <xdr:pic>
      <xdr:nvPicPr>
        <xdr:cNvPr id="1170" name="Imagen 1169">
          <a:hlinkClick xmlns:r="http://schemas.openxmlformats.org/officeDocument/2006/relationships" r:id="rId157"/>
          <a:extLst>
            <a:ext uri="{FF2B5EF4-FFF2-40B4-BE49-F238E27FC236}">
              <a16:creationId xmlns:a16="http://schemas.microsoft.com/office/drawing/2014/main" id="{D41BF618-390A-447C-82B9-592FE5E5D633}"/>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49475" y="31994475"/>
          <a:ext cx="361950" cy="361950"/>
        </a:xfrm>
        <a:prstGeom prst="rect">
          <a:avLst/>
        </a:prstGeom>
      </xdr:spPr>
    </xdr:pic>
    <xdr:clientData/>
  </xdr:oneCellAnchor>
  <xdr:oneCellAnchor>
    <xdr:from>
      <xdr:col>12</xdr:col>
      <xdr:colOff>800100</xdr:colOff>
      <xdr:row>26</xdr:row>
      <xdr:rowOff>790575</xdr:rowOff>
    </xdr:from>
    <xdr:ext cx="361950" cy="361950"/>
    <xdr:pic>
      <xdr:nvPicPr>
        <xdr:cNvPr id="1171" name="Imagen 1170">
          <a:hlinkClick xmlns:r="http://schemas.openxmlformats.org/officeDocument/2006/relationships" r:id="rId158"/>
          <a:extLst>
            <a:ext uri="{FF2B5EF4-FFF2-40B4-BE49-F238E27FC236}">
              <a16:creationId xmlns:a16="http://schemas.microsoft.com/office/drawing/2014/main" id="{1FC34598-7332-48C2-9FB0-229592B2E8D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5449550" y="32013525"/>
          <a:ext cx="361950" cy="361950"/>
        </a:xfrm>
        <a:prstGeom prst="rect">
          <a:avLst/>
        </a:prstGeom>
      </xdr:spPr>
    </xdr:pic>
    <xdr:clientData/>
  </xdr:oneCellAnchor>
  <xdr:oneCellAnchor>
    <xdr:from>
      <xdr:col>12</xdr:col>
      <xdr:colOff>171450</xdr:colOff>
      <xdr:row>31</xdr:row>
      <xdr:rowOff>314325</xdr:rowOff>
    </xdr:from>
    <xdr:ext cx="361950" cy="361950"/>
    <xdr:pic>
      <xdr:nvPicPr>
        <xdr:cNvPr id="1172" name="Imagen 1171">
          <a:hlinkClick xmlns:r="http://schemas.openxmlformats.org/officeDocument/2006/relationships" r:id="rId84"/>
          <a:extLst>
            <a:ext uri="{FF2B5EF4-FFF2-40B4-BE49-F238E27FC236}">
              <a16:creationId xmlns:a16="http://schemas.microsoft.com/office/drawing/2014/main" id="{A77AB0DD-9167-4B63-8FA4-D10550CD808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20900" y="33851850"/>
          <a:ext cx="361950" cy="361950"/>
        </a:xfrm>
        <a:prstGeom prst="rect">
          <a:avLst/>
        </a:prstGeom>
      </xdr:spPr>
    </xdr:pic>
    <xdr:clientData/>
  </xdr:oneCellAnchor>
  <xdr:oneCellAnchor>
    <xdr:from>
      <xdr:col>12</xdr:col>
      <xdr:colOff>123825</xdr:colOff>
      <xdr:row>32</xdr:row>
      <xdr:rowOff>219075</xdr:rowOff>
    </xdr:from>
    <xdr:ext cx="361950" cy="361950"/>
    <xdr:pic>
      <xdr:nvPicPr>
        <xdr:cNvPr id="1173" name="Imagen 1172">
          <a:hlinkClick xmlns:r="http://schemas.openxmlformats.org/officeDocument/2006/relationships" r:id="rId84"/>
          <a:extLst>
            <a:ext uri="{FF2B5EF4-FFF2-40B4-BE49-F238E27FC236}">
              <a16:creationId xmlns:a16="http://schemas.microsoft.com/office/drawing/2014/main" id="{3E1B2092-29A6-426D-9247-CF8BFFC90D8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35166300"/>
          <a:ext cx="361950" cy="361950"/>
        </a:xfrm>
        <a:prstGeom prst="rect">
          <a:avLst/>
        </a:prstGeom>
      </xdr:spPr>
    </xdr:pic>
    <xdr:clientData/>
  </xdr:oneCellAnchor>
  <xdr:oneCellAnchor>
    <xdr:from>
      <xdr:col>12</xdr:col>
      <xdr:colOff>133350</xdr:colOff>
      <xdr:row>41</xdr:row>
      <xdr:rowOff>219075</xdr:rowOff>
    </xdr:from>
    <xdr:ext cx="361950" cy="361950"/>
    <xdr:pic>
      <xdr:nvPicPr>
        <xdr:cNvPr id="1033" name="Imagen 1032">
          <a:hlinkClick xmlns:r="http://schemas.openxmlformats.org/officeDocument/2006/relationships" r:id="rId159"/>
          <a:extLst>
            <a:ext uri="{FF2B5EF4-FFF2-40B4-BE49-F238E27FC236}">
              <a16:creationId xmlns:a16="http://schemas.microsoft.com/office/drawing/2014/main" id="{D184C106-7F83-4CAB-93F3-A0C186CCB8A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82800" y="42243375"/>
          <a:ext cx="361950" cy="361950"/>
        </a:xfrm>
        <a:prstGeom prst="rect">
          <a:avLst/>
        </a:prstGeom>
      </xdr:spPr>
    </xdr:pic>
    <xdr:clientData/>
  </xdr:oneCellAnchor>
  <xdr:oneCellAnchor>
    <xdr:from>
      <xdr:col>12</xdr:col>
      <xdr:colOff>228600</xdr:colOff>
      <xdr:row>43</xdr:row>
      <xdr:rowOff>428625</xdr:rowOff>
    </xdr:from>
    <xdr:ext cx="361950" cy="361950"/>
    <xdr:pic>
      <xdr:nvPicPr>
        <xdr:cNvPr id="1036" name="Imagen 1035">
          <a:hlinkClick xmlns:r="http://schemas.openxmlformats.org/officeDocument/2006/relationships" r:id="rId160"/>
          <a:extLst>
            <a:ext uri="{FF2B5EF4-FFF2-40B4-BE49-F238E27FC236}">
              <a16:creationId xmlns:a16="http://schemas.microsoft.com/office/drawing/2014/main" id="{9D392AFA-63DD-464A-BC3B-A817BDD7613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45272325"/>
          <a:ext cx="361950" cy="361950"/>
        </a:xfrm>
        <a:prstGeom prst="rect">
          <a:avLst/>
        </a:prstGeom>
      </xdr:spPr>
    </xdr:pic>
    <xdr:clientData/>
  </xdr:oneCellAnchor>
  <xdr:oneCellAnchor>
    <xdr:from>
      <xdr:col>12</xdr:col>
      <xdr:colOff>180975</xdr:colOff>
      <xdr:row>45</xdr:row>
      <xdr:rowOff>209550</xdr:rowOff>
    </xdr:from>
    <xdr:ext cx="361950" cy="361950"/>
    <xdr:pic>
      <xdr:nvPicPr>
        <xdr:cNvPr id="1050" name="Imagen 1049">
          <a:hlinkClick xmlns:r="http://schemas.openxmlformats.org/officeDocument/2006/relationships" r:id="rId84"/>
          <a:extLst>
            <a:ext uri="{FF2B5EF4-FFF2-40B4-BE49-F238E27FC236}">
              <a16:creationId xmlns:a16="http://schemas.microsoft.com/office/drawing/2014/main" id="{F5D57AB0-19C7-413F-8C1A-79687402F87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0425" y="47872650"/>
          <a:ext cx="361950" cy="361950"/>
        </a:xfrm>
        <a:prstGeom prst="rect">
          <a:avLst/>
        </a:prstGeom>
      </xdr:spPr>
    </xdr:pic>
    <xdr:clientData/>
  </xdr:oneCellAnchor>
  <xdr:oneCellAnchor>
    <xdr:from>
      <xdr:col>12</xdr:col>
      <xdr:colOff>133350</xdr:colOff>
      <xdr:row>52</xdr:row>
      <xdr:rowOff>219075</xdr:rowOff>
    </xdr:from>
    <xdr:ext cx="361950" cy="361950"/>
    <xdr:pic>
      <xdr:nvPicPr>
        <xdr:cNvPr id="1051" name="Imagen 1050">
          <a:hlinkClick xmlns:r="http://schemas.openxmlformats.org/officeDocument/2006/relationships" r:id="rId159"/>
          <a:extLst>
            <a:ext uri="{FF2B5EF4-FFF2-40B4-BE49-F238E27FC236}">
              <a16:creationId xmlns:a16="http://schemas.microsoft.com/office/drawing/2014/main" id="{E18EF55D-32F0-4656-8F2F-7F6254A626C3}"/>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82800" y="42243375"/>
          <a:ext cx="361950" cy="361950"/>
        </a:xfrm>
        <a:prstGeom prst="rect">
          <a:avLst/>
        </a:prstGeom>
      </xdr:spPr>
    </xdr:pic>
    <xdr:clientData/>
  </xdr:oneCellAnchor>
  <xdr:oneCellAnchor>
    <xdr:from>
      <xdr:col>12</xdr:col>
      <xdr:colOff>152400</xdr:colOff>
      <xdr:row>53</xdr:row>
      <xdr:rowOff>266700</xdr:rowOff>
    </xdr:from>
    <xdr:ext cx="361950" cy="361950"/>
    <xdr:pic>
      <xdr:nvPicPr>
        <xdr:cNvPr id="1079" name="Imagen 1078">
          <a:hlinkClick xmlns:r="http://schemas.openxmlformats.org/officeDocument/2006/relationships" r:id="rId161"/>
          <a:extLst>
            <a:ext uri="{FF2B5EF4-FFF2-40B4-BE49-F238E27FC236}">
              <a16:creationId xmlns:a16="http://schemas.microsoft.com/office/drawing/2014/main" id="{41F2BF56-EDAC-43F6-953A-F8B606F0A84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56311800"/>
          <a:ext cx="361950" cy="361950"/>
        </a:xfrm>
        <a:prstGeom prst="rect">
          <a:avLst/>
        </a:prstGeom>
      </xdr:spPr>
    </xdr:pic>
    <xdr:clientData/>
  </xdr:oneCellAnchor>
  <xdr:oneCellAnchor>
    <xdr:from>
      <xdr:col>12</xdr:col>
      <xdr:colOff>1133475</xdr:colOff>
      <xdr:row>55</xdr:row>
      <xdr:rowOff>485775</xdr:rowOff>
    </xdr:from>
    <xdr:ext cx="374254" cy="372798"/>
    <xdr:pic>
      <xdr:nvPicPr>
        <xdr:cNvPr id="1096" name="Gráfico 1095" descr="Inalámbrico">
          <a:hlinkClick xmlns:r="http://schemas.openxmlformats.org/officeDocument/2006/relationships" r:id="rId116"/>
          <a:extLst>
            <a:ext uri="{FF2B5EF4-FFF2-40B4-BE49-F238E27FC236}">
              <a16:creationId xmlns:a16="http://schemas.microsoft.com/office/drawing/2014/main" id="{6ECF99A7-C423-4F27-9B6A-7C6A761988E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82925" y="45329475"/>
          <a:ext cx="374254" cy="372798"/>
        </a:xfrm>
        <a:prstGeom prst="rect">
          <a:avLst/>
        </a:prstGeom>
      </xdr:spPr>
    </xdr:pic>
    <xdr:clientData/>
  </xdr:oneCellAnchor>
  <xdr:oneCellAnchor>
    <xdr:from>
      <xdr:col>12</xdr:col>
      <xdr:colOff>228600</xdr:colOff>
      <xdr:row>55</xdr:row>
      <xdr:rowOff>428625</xdr:rowOff>
    </xdr:from>
    <xdr:ext cx="361950" cy="361950"/>
    <xdr:pic>
      <xdr:nvPicPr>
        <xdr:cNvPr id="1097" name="Imagen 1096">
          <a:hlinkClick xmlns:r="http://schemas.openxmlformats.org/officeDocument/2006/relationships" r:id="rId160"/>
          <a:extLst>
            <a:ext uri="{FF2B5EF4-FFF2-40B4-BE49-F238E27FC236}">
              <a16:creationId xmlns:a16="http://schemas.microsoft.com/office/drawing/2014/main" id="{14E8B5EA-E4C9-4F30-BF4C-1B241FB6D586}"/>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45272325"/>
          <a:ext cx="361950" cy="361950"/>
        </a:xfrm>
        <a:prstGeom prst="rect">
          <a:avLst/>
        </a:prstGeom>
      </xdr:spPr>
    </xdr:pic>
    <xdr:clientData/>
  </xdr:oneCellAnchor>
  <xdr:oneCellAnchor>
    <xdr:from>
      <xdr:col>12</xdr:col>
      <xdr:colOff>1193534</xdr:colOff>
      <xdr:row>56</xdr:row>
      <xdr:rowOff>428624</xdr:rowOff>
    </xdr:from>
    <xdr:ext cx="374254" cy="372798"/>
    <xdr:pic>
      <xdr:nvPicPr>
        <xdr:cNvPr id="1122" name="Gráfico 1121" descr="Inalámbrico">
          <a:hlinkClick xmlns:r="http://schemas.openxmlformats.org/officeDocument/2006/relationships" r:id="rId57"/>
          <a:extLst>
            <a:ext uri="{FF2B5EF4-FFF2-40B4-BE49-F238E27FC236}">
              <a16:creationId xmlns:a16="http://schemas.microsoft.com/office/drawing/2014/main" id="{D0A6E59A-96DB-402F-A64F-A2B67BBEF92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2984" y="56473724"/>
          <a:ext cx="374254" cy="372798"/>
        </a:xfrm>
        <a:prstGeom prst="rect">
          <a:avLst/>
        </a:prstGeom>
      </xdr:spPr>
    </xdr:pic>
    <xdr:clientData/>
  </xdr:oneCellAnchor>
  <xdr:oneCellAnchor>
    <xdr:from>
      <xdr:col>12</xdr:col>
      <xdr:colOff>152400</xdr:colOff>
      <xdr:row>56</xdr:row>
      <xdr:rowOff>266700</xdr:rowOff>
    </xdr:from>
    <xdr:ext cx="361950" cy="361950"/>
    <xdr:pic>
      <xdr:nvPicPr>
        <xdr:cNvPr id="1125" name="Imagen 1124">
          <a:hlinkClick xmlns:r="http://schemas.openxmlformats.org/officeDocument/2006/relationships" r:id="rId161"/>
          <a:extLst>
            <a:ext uri="{FF2B5EF4-FFF2-40B4-BE49-F238E27FC236}">
              <a16:creationId xmlns:a16="http://schemas.microsoft.com/office/drawing/2014/main" id="{1AD7F231-0958-4F21-A872-E169EE6D85D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56311800"/>
          <a:ext cx="361950" cy="361950"/>
        </a:xfrm>
        <a:prstGeom prst="rect">
          <a:avLst/>
        </a:prstGeom>
      </xdr:spPr>
    </xdr:pic>
    <xdr:clientData/>
  </xdr:oneCellAnchor>
  <xdr:oneCellAnchor>
    <xdr:from>
      <xdr:col>12</xdr:col>
      <xdr:colOff>123825</xdr:colOff>
      <xdr:row>57</xdr:row>
      <xdr:rowOff>247650</xdr:rowOff>
    </xdr:from>
    <xdr:ext cx="361950" cy="361950"/>
    <xdr:pic>
      <xdr:nvPicPr>
        <xdr:cNvPr id="1133" name="Imagen 1132">
          <a:hlinkClick xmlns:r="http://schemas.openxmlformats.org/officeDocument/2006/relationships" r:id="rId162"/>
          <a:extLst>
            <a:ext uri="{FF2B5EF4-FFF2-40B4-BE49-F238E27FC236}">
              <a16:creationId xmlns:a16="http://schemas.microsoft.com/office/drawing/2014/main" id="{DE2A3BB7-A9C8-4E07-9711-40F407025DE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61931550"/>
          <a:ext cx="361950" cy="361950"/>
        </a:xfrm>
        <a:prstGeom prst="rect">
          <a:avLst/>
        </a:prstGeom>
      </xdr:spPr>
    </xdr:pic>
    <xdr:clientData/>
  </xdr:oneCellAnchor>
  <xdr:oneCellAnchor>
    <xdr:from>
      <xdr:col>12</xdr:col>
      <xdr:colOff>180975</xdr:colOff>
      <xdr:row>59</xdr:row>
      <xdr:rowOff>219075</xdr:rowOff>
    </xdr:from>
    <xdr:ext cx="361950" cy="361950"/>
    <xdr:pic>
      <xdr:nvPicPr>
        <xdr:cNvPr id="1134" name="Imagen 1133">
          <a:hlinkClick xmlns:r="http://schemas.openxmlformats.org/officeDocument/2006/relationships" r:id="rId163"/>
          <a:extLst>
            <a:ext uri="{FF2B5EF4-FFF2-40B4-BE49-F238E27FC236}">
              <a16:creationId xmlns:a16="http://schemas.microsoft.com/office/drawing/2014/main" id="{6491A9B2-9A5A-4E48-B509-6D66B86A85D6}"/>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0425" y="67113150"/>
          <a:ext cx="361950" cy="361950"/>
        </a:xfrm>
        <a:prstGeom prst="rect">
          <a:avLst/>
        </a:prstGeom>
      </xdr:spPr>
    </xdr:pic>
    <xdr:clientData/>
  </xdr:oneCellAnchor>
  <xdr:oneCellAnchor>
    <xdr:from>
      <xdr:col>12</xdr:col>
      <xdr:colOff>180975</xdr:colOff>
      <xdr:row>59</xdr:row>
      <xdr:rowOff>828675</xdr:rowOff>
    </xdr:from>
    <xdr:ext cx="361950" cy="361950"/>
    <xdr:pic>
      <xdr:nvPicPr>
        <xdr:cNvPr id="1150" name="Imagen 1149">
          <a:hlinkClick xmlns:r="http://schemas.openxmlformats.org/officeDocument/2006/relationships" r:id="rId164"/>
          <a:extLst>
            <a:ext uri="{FF2B5EF4-FFF2-40B4-BE49-F238E27FC236}">
              <a16:creationId xmlns:a16="http://schemas.microsoft.com/office/drawing/2014/main" id="{A8F38E7A-A12E-4071-91D6-882067B7419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0425" y="67722750"/>
          <a:ext cx="361950" cy="361950"/>
        </a:xfrm>
        <a:prstGeom prst="rect">
          <a:avLst/>
        </a:prstGeom>
      </xdr:spPr>
    </xdr:pic>
    <xdr:clientData/>
  </xdr:oneCellAnchor>
  <xdr:oneCellAnchor>
    <xdr:from>
      <xdr:col>12</xdr:col>
      <xdr:colOff>133350</xdr:colOff>
      <xdr:row>64</xdr:row>
      <xdr:rowOff>219075</xdr:rowOff>
    </xdr:from>
    <xdr:ext cx="361950" cy="361950"/>
    <xdr:pic>
      <xdr:nvPicPr>
        <xdr:cNvPr id="1153" name="Imagen 1152">
          <a:hlinkClick xmlns:r="http://schemas.openxmlformats.org/officeDocument/2006/relationships" r:id="rId159"/>
          <a:extLst>
            <a:ext uri="{FF2B5EF4-FFF2-40B4-BE49-F238E27FC236}">
              <a16:creationId xmlns:a16="http://schemas.microsoft.com/office/drawing/2014/main" id="{E2498B64-126D-4E11-A4D1-33E313F22F4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82800" y="54854475"/>
          <a:ext cx="361950" cy="361950"/>
        </a:xfrm>
        <a:prstGeom prst="rect">
          <a:avLst/>
        </a:prstGeom>
      </xdr:spPr>
    </xdr:pic>
    <xdr:clientData/>
  </xdr:oneCellAnchor>
  <xdr:oneCellAnchor>
    <xdr:from>
      <xdr:col>12</xdr:col>
      <xdr:colOff>152400</xdr:colOff>
      <xdr:row>65</xdr:row>
      <xdr:rowOff>828675</xdr:rowOff>
    </xdr:from>
    <xdr:ext cx="361950" cy="361950"/>
    <xdr:pic>
      <xdr:nvPicPr>
        <xdr:cNvPr id="1157" name="Imagen 1156">
          <a:hlinkClick xmlns:r="http://schemas.openxmlformats.org/officeDocument/2006/relationships" r:id="rId165"/>
          <a:extLst>
            <a:ext uri="{FF2B5EF4-FFF2-40B4-BE49-F238E27FC236}">
              <a16:creationId xmlns:a16="http://schemas.microsoft.com/office/drawing/2014/main" id="{127BB87A-4BFA-4544-A775-44E220EE793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74066400"/>
          <a:ext cx="361950" cy="361950"/>
        </a:xfrm>
        <a:prstGeom prst="rect">
          <a:avLst/>
        </a:prstGeom>
      </xdr:spPr>
    </xdr:pic>
    <xdr:clientData/>
  </xdr:oneCellAnchor>
  <xdr:oneCellAnchor>
    <xdr:from>
      <xdr:col>12</xdr:col>
      <xdr:colOff>219075</xdr:colOff>
      <xdr:row>66</xdr:row>
      <xdr:rowOff>638175</xdr:rowOff>
    </xdr:from>
    <xdr:ext cx="361950" cy="361950"/>
    <xdr:pic>
      <xdr:nvPicPr>
        <xdr:cNvPr id="1174" name="Imagen 1173">
          <a:hlinkClick xmlns:r="http://schemas.openxmlformats.org/officeDocument/2006/relationships" r:id="rId166"/>
          <a:extLst>
            <a:ext uri="{FF2B5EF4-FFF2-40B4-BE49-F238E27FC236}">
              <a16:creationId xmlns:a16="http://schemas.microsoft.com/office/drawing/2014/main" id="{A793DC6B-7C51-4FED-8717-24C692F2A16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68525" y="75285600"/>
          <a:ext cx="361950" cy="361950"/>
        </a:xfrm>
        <a:prstGeom prst="rect">
          <a:avLst/>
        </a:prstGeom>
      </xdr:spPr>
    </xdr:pic>
    <xdr:clientData/>
  </xdr:oneCellAnchor>
  <xdr:twoCellAnchor>
    <xdr:from>
      <xdr:col>12</xdr:col>
      <xdr:colOff>2314575</xdr:colOff>
      <xdr:row>66</xdr:row>
      <xdr:rowOff>762000</xdr:rowOff>
    </xdr:from>
    <xdr:to>
      <xdr:col>12</xdr:col>
      <xdr:colOff>2533650</xdr:colOff>
      <xdr:row>66</xdr:row>
      <xdr:rowOff>990599</xdr:rowOff>
    </xdr:to>
    <xdr:sp macro="" textlink="">
      <xdr:nvSpPr>
        <xdr:cNvPr id="1060" name="Onda 1059">
          <a:hlinkClick xmlns:r="http://schemas.openxmlformats.org/officeDocument/2006/relationships" r:id="rId134"/>
          <a:extLst>
            <a:ext uri="{FF2B5EF4-FFF2-40B4-BE49-F238E27FC236}">
              <a16:creationId xmlns:a16="http://schemas.microsoft.com/office/drawing/2014/main" id="{D1556950-2924-44E4-BB93-93059AFADB0E}"/>
            </a:ext>
          </a:extLst>
        </xdr:cNvPr>
        <xdr:cNvSpPr/>
      </xdr:nvSpPr>
      <xdr:spPr>
        <a:xfrm>
          <a:off x="16964025" y="754094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1125008</xdr:colOff>
      <xdr:row>139</xdr:row>
      <xdr:rowOff>771525</xdr:rowOff>
    </xdr:from>
    <xdr:ext cx="362601" cy="360890"/>
    <xdr:pic>
      <xdr:nvPicPr>
        <xdr:cNvPr id="1061" name="Gráfico 1060" descr="Inalámbrico">
          <a:hlinkClick xmlns:r="http://schemas.openxmlformats.org/officeDocument/2006/relationships" r:id="rId7"/>
          <a:extLst>
            <a:ext uri="{FF2B5EF4-FFF2-40B4-BE49-F238E27FC236}">
              <a16:creationId xmlns:a16="http://schemas.microsoft.com/office/drawing/2014/main" id="{F6D8E61D-7DAF-46AC-AB09-37CC5397444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74458" y="118433850"/>
          <a:ext cx="362601" cy="360890"/>
        </a:xfrm>
        <a:prstGeom prst="rect">
          <a:avLst/>
        </a:prstGeom>
      </xdr:spPr>
    </xdr:pic>
    <xdr:clientData/>
  </xdr:oneCellAnchor>
  <xdr:twoCellAnchor>
    <xdr:from>
      <xdr:col>12</xdr:col>
      <xdr:colOff>1905000</xdr:colOff>
      <xdr:row>139</xdr:row>
      <xdr:rowOff>857250</xdr:rowOff>
    </xdr:from>
    <xdr:to>
      <xdr:col>12</xdr:col>
      <xdr:colOff>2124075</xdr:colOff>
      <xdr:row>139</xdr:row>
      <xdr:rowOff>1085849</xdr:rowOff>
    </xdr:to>
    <xdr:sp macro="" textlink="">
      <xdr:nvSpPr>
        <xdr:cNvPr id="1105" name="Onda 1104">
          <a:hlinkClick xmlns:r="http://schemas.openxmlformats.org/officeDocument/2006/relationships" r:id="rId133"/>
          <a:extLst>
            <a:ext uri="{FF2B5EF4-FFF2-40B4-BE49-F238E27FC236}">
              <a16:creationId xmlns:a16="http://schemas.microsoft.com/office/drawing/2014/main" id="{A4840EA0-E139-45A7-A869-E2DC17872812}"/>
            </a:ext>
          </a:extLst>
        </xdr:cNvPr>
        <xdr:cNvSpPr/>
      </xdr:nvSpPr>
      <xdr:spPr>
        <a:xfrm>
          <a:off x="16554450" y="31718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1933575</xdr:colOff>
      <xdr:row>140</xdr:row>
      <xdr:rowOff>723900</xdr:rowOff>
    </xdr:from>
    <xdr:to>
      <xdr:col>12</xdr:col>
      <xdr:colOff>2152650</xdr:colOff>
      <xdr:row>140</xdr:row>
      <xdr:rowOff>952499</xdr:rowOff>
    </xdr:to>
    <xdr:sp macro="" textlink="">
      <xdr:nvSpPr>
        <xdr:cNvPr id="1175" name="Onda 1174">
          <a:hlinkClick xmlns:r="http://schemas.openxmlformats.org/officeDocument/2006/relationships" r:id="rId134"/>
          <a:extLst>
            <a:ext uri="{FF2B5EF4-FFF2-40B4-BE49-F238E27FC236}">
              <a16:creationId xmlns:a16="http://schemas.microsoft.com/office/drawing/2014/main" id="{61FB7B7D-0410-4FF0-846D-9919B1003FD7}"/>
            </a:ext>
          </a:extLst>
        </xdr:cNvPr>
        <xdr:cNvSpPr/>
      </xdr:nvSpPr>
      <xdr:spPr>
        <a:xfrm>
          <a:off x="16583025" y="45053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1205440</xdr:colOff>
      <xdr:row>141</xdr:row>
      <xdr:rowOff>664970</xdr:rowOff>
    </xdr:from>
    <xdr:ext cx="404285" cy="406062"/>
    <xdr:pic>
      <xdr:nvPicPr>
        <xdr:cNvPr id="1176" name="Gráfico 1175" descr="Inalámbrico">
          <a:hlinkClick xmlns:r="http://schemas.openxmlformats.org/officeDocument/2006/relationships" r:id="rId10"/>
          <a:extLst>
            <a:ext uri="{FF2B5EF4-FFF2-40B4-BE49-F238E27FC236}">
              <a16:creationId xmlns:a16="http://schemas.microsoft.com/office/drawing/2014/main" id="{8B733DA4-82F4-4B6C-9254-E83BFDA467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4890" y="5913245"/>
          <a:ext cx="404285" cy="406062"/>
        </a:xfrm>
        <a:prstGeom prst="rect">
          <a:avLst/>
        </a:prstGeom>
      </xdr:spPr>
    </xdr:pic>
    <xdr:clientData/>
  </xdr:oneCellAnchor>
  <xdr:oneCellAnchor>
    <xdr:from>
      <xdr:col>12</xdr:col>
      <xdr:colOff>1981201</xdr:colOff>
      <xdr:row>141</xdr:row>
      <xdr:rowOff>733426</xdr:rowOff>
    </xdr:from>
    <xdr:ext cx="276224" cy="247650"/>
    <xdr:pic>
      <xdr:nvPicPr>
        <xdr:cNvPr id="1178" name="Imagen 1177">
          <a:hlinkClick xmlns:r="http://schemas.openxmlformats.org/officeDocument/2006/relationships" r:id="rId135"/>
          <a:extLst>
            <a:ext uri="{FF2B5EF4-FFF2-40B4-BE49-F238E27FC236}">
              <a16:creationId xmlns:a16="http://schemas.microsoft.com/office/drawing/2014/main" id="{8C209417-1DAA-485E-8AD2-0AF2F55DA5D7}"/>
            </a:ext>
          </a:extLst>
        </xdr:cNvPr>
        <xdr:cNvPicPr>
          <a:picLocks noChangeAspect="1"/>
        </xdr:cNvPicPr>
      </xdr:nvPicPr>
      <xdr:blipFill>
        <a:blip xmlns:r="http://schemas.openxmlformats.org/officeDocument/2006/relationships" r:embed="rId136"/>
        <a:stretch>
          <a:fillRect/>
        </a:stretch>
      </xdr:blipFill>
      <xdr:spPr>
        <a:xfrm>
          <a:off x="16630651" y="5981701"/>
          <a:ext cx="276224" cy="247650"/>
        </a:xfrm>
        <a:prstGeom prst="rect">
          <a:avLst/>
        </a:prstGeom>
      </xdr:spPr>
    </xdr:pic>
    <xdr:clientData/>
  </xdr:oneCellAnchor>
  <xdr:oneCellAnchor>
    <xdr:from>
      <xdr:col>9</xdr:col>
      <xdr:colOff>171450</xdr:colOff>
      <xdr:row>140</xdr:row>
      <xdr:rowOff>438150</xdr:rowOff>
    </xdr:from>
    <xdr:ext cx="2063750" cy="351122"/>
    <mc:AlternateContent xmlns:mc="http://schemas.openxmlformats.org/markup-compatibility/2006" xmlns:a14="http://schemas.microsoft.com/office/drawing/2010/main">
      <mc:Choice Requires="a14">
        <xdr:sp macro="" textlink="">
          <xdr:nvSpPr>
            <xdr:cNvPr id="1179" name="CuadroTexto 1178">
              <a:extLst>
                <a:ext uri="{FF2B5EF4-FFF2-40B4-BE49-F238E27FC236}">
                  <a16:creationId xmlns:a16="http://schemas.microsoft.com/office/drawing/2014/main" id="{E905F01D-E7B9-4413-A286-F612868DA566}"/>
                </a:ext>
              </a:extLst>
            </xdr:cNvPr>
            <xdr:cNvSpPr txBox="1"/>
          </xdr:nvSpPr>
          <xdr:spPr>
            <a:xfrm>
              <a:off x="9998075" y="121612025"/>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20.9</m:t>
                    </m:r>
                    <m:r>
                      <a:rPr lang="es-MX" sz="1100" b="0" i="1">
                        <a:latin typeface="Cambria Math" panose="02040503050406030204" pitchFamily="18" charset="0"/>
                      </a:rPr>
                      <m:t>16</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r>
                      <a:rPr lang="es-MX" sz="1100" b="0" i="0">
                        <a:latin typeface="Cambria Math" panose="02040503050406030204" pitchFamily="18" charset="0"/>
                      </a:rPr>
                      <m:t>−2.41</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1179" name="CuadroTexto 1178">
              <a:extLst>
                <a:ext uri="{FF2B5EF4-FFF2-40B4-BE49-F238E27FC236}">
                  <a16:creationId xmlns:a16="http://schemas.microsoft.com/office/drawing/2014/main" id="{E905F01D-E7B9-4413-A286-F612868DA566}"/>
                </a:ext>
              </a:extLst>
            </xdr:cNvPr>
            <xdr:cNvSpPr txBox="1"/>
          </xdr:nvSpPr>
          <xdr:spPr>
            <a:xfrm>
              <a:off x="9998075" y="121612025"/>
              <a:ext cx="2063750"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20.916</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−2.41</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171450</xdr:colOff>
      <xdr:row>140</xdr:row>
      <xdr:rowOff>228600</xdr:rowOff>
    </xdr:from>
    <xdr:ext cx="1459441" cy="351122"/>
    <mc:AlternateContent xmlns:mc="http://schemas.openxmlformats.org/markup-compatibility/2006" xmlns:a14="http://schemas.microsoft.com/office/drawing/2010/main">
      <mc:Choice Requires="a14">
        <xdr:sp macro="" textlink="">
          <xdr:nvSpPr>
            <xdr:cNvPr id="1180" name="CuadroTexto 1179">
              <a:extLst>
                <a:ext uri="{FF2B5EF4-FFF2-40B4-BE49-F238E27FC236}">
                  <a16:creationId xmlns:a16="http://schemas.microsoft.com/office/drawing/2014/main" id="{58D561C0-EE39-491F-BE40-38DCED4C8468}"/>
                </a:ext>
              </a:extLst>
            </xdr:cNvPr>
            <xdr:cNvSpPr txBox="1"/>
          </xdr:nvSpPr>
          <xdr:spPr>
            <a:xfrm>
              <a:off x="10839450" y="119357775"/>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1">
                        <a:latin typeface="Cambria Math" panose="02040503050406030204" pitchFamily="18" charset="0"/>
                      </a:rPr>
                      <m:t>18.50 </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kg</m:t>
                        </m:r>
                      </m:den>
                    </m:f>
                    <m:r>
                      <a:rPr lang="es-MX" sz="1100" b="0" i="1">
                        <a:latin typeface="Cambria Math" panose="02040503050406030204" pitchFamily="18" charset="0"/>
                      </a:rPr>
                      <m:t> </m:t>
                    </m:r>
                  </m:oMath>
                </m:oMathPara>
              </a14:m>
              <a:endParaRPr lang="es-MX" sz="1100"/>
            </a:p>
          </xdr:txBody>
        </xdr:sp>
      </mc:Choice>
      <mc:Fallback xmlns="">
        <xdr:sp macro="" textlink="">
          <xdr:nvSpPr>
            <xdr:cNvPr id="1180" name="CuadroTexto 1179">
              <a:extLst>
                <a:ext uri="{FF2B5EF4-FFF2-40B4-BE49-F238E27FC236}">
                  <a16:creationId xmlns:a16="http://schemas.microsoft.com/office/drawing/2014/main" id="{58D561C0-EE39-491F-BE40-38DCED4C8468}"/>
                </a:ext>
              </a:extLst>
            </xdr:cNvPr>
            <xdr:cNvSpPr txBox="1"/>
          </xdr:nvSpPr>
          <xdr:spPr>
            <a:xfrm>
              <a:off x="10839450" y="119357775"/>
              <a:ext cx="1459441" cy="351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18.50 </a:t>
              </a:r>
              <a:r>
                <a:rPr lang="es-MX" sz="1100" b="0" i="0">
                  <a:solidFill>
                    <a:schemeClr val="tx1"/>
                  </a:solidFill>
                  <a:effectLst/>
                  <a:latin typeface="Cambria Math" panose="02040503050406030204" pitchFamily="18" charset="0"/>
                  <a:ea typeface="+mn-ea"/>
                  <a:cs typeface="+mn-cs"/>
                </a:rPr>
                <a:t> kwh/kg </a:t>
              </a:r>
              <a:r>
                <a:rPr lang="es-MX" sz="1100" b="0" i="0">
                  <a:latin typeface="Cambria Math" panose="02040503050406030204" pitchFamily="18" charset="0"/>
                </a:rPr>
                <a:t> </a:t>
              </a:r>
              <a:endParaRPr lang="es-MX" sz="1100"/>
            </a:p>
          </xdr:txBody>
        </xdr:sp>
      </mc:Fallback>
    </mc:AlternateContent>
    <xdr:clientData/>
  </xdr:oneCellAnchor>
  <xdr:oneCellAnchor>
    <xdr:from>
      <xdr:col>10</xdr:col>
      <xdr:colOff>228600</xdr:colOff>
      <xdr:row>140</xdr:row>
      <xdr:rowOff>771525</xdr:rowOff>
    </xdr:from>
    <xdr:ext cx="1362075" cy="321435"/>
    <mc:AlternateContent xmlns:mc="http://schemas.openxmlformats.org/markup-compatibility/2006" xmlns:a14="http://schemas.microsoft.com/office/drawing/2010/main">
      <mc:Choice Requires="a14">
        <xdr:sp macro="" textlink="">
          <xdr:nvSpPr>
            <xdr:cNvPr id="1181" name="CuadroTexto 1180">
              <a:extLst>
                <a:ext uri="{FF2B5EF4-FFF2-40B4-BE49-F238E27FC236}">
                  <a16:creationId xmlns:a16="http://schemas.microsoft.com/office/drawing/2014/main" id="{1A493F20-B536-4E22-A08C-68F576E1850A}"/>
                </a:ext>
              </a:extLst>
            </xdr:cNvPr>
            <xdr:cNvSpPr txBox="1"/>
          </xdr:nvSpPr>
          <xdr:spPr>
            <a:xfrm>
              <a:off x="10896600" y="119900700"/>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𝐸𝐴</m:t>
                    </m:r>
                    <m:r>
                      <a:rPr lang="es-MX" sz="1100" i="1">
                        <a:latin typeface="Cambria Math" panose="02040503050406030204" pitchFamily="18" charset="0"/>
                      </a:rPr>
                      <m:t>=</m:t>
                    </m:r>
                    <m:r>
                      <a:rPr lang="es-MX" sz="1100" b="0" i="0">
                        <a:latin typeface="Cambria Math" panose="02040503050406030204" pitchFamily="18" charset="0"/>
                      </a:rPr>
                      <m:t>18,5</m:t>
                    </m:r>
                    <m:r>
                      <a:rPr lang="es-MX" sz="1100" b="0" i="1">
                        <a:latin typeface="Cambria Math" panose="02040503050406030204" pitchFamily="18" charset="0"/>
                      </a:rPr>
                      <m:t>03</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kwh</m:t>
                        </m:r>
                      </m:num>
                      <m:den>
                        <m:r>
                          <m:rPr>
                            <m:sty m:val="p"/>
                          </m:rPr>
                          <a:rPr lang="es-MX" sz="1100" b="0" i="0">
                            <a:solidFill>
                              <a:schemeClr val="tx1"/>
                            </a:solidFill>
                            <a:effectLst/>
                            <a:latin typeface="Cambria Math" panose="02040503050406030204" pitchFamily="18" charset="0"/>
                            <a:ea typeface="+mn-ea"/>
                            <a:cs typeface="+mn-cs"/>
                          </a:rPr>
                          <m:t>ton</m:t>
                        </m:r>
                      </m:den>
                    </m:f>
                    <m:r>
                      <a:rPr lang="es-MX" sz="1100" b="0" i="1">
                        <a:latin typeface="Cambria Math" panose="02040503050406030204" pitchFamily="18" charset="0"/>
                      </a:rPr>
                      <m:t> </m:t>
                    </m:r>
                  </m:oMath>
                </m:oMathPara>
              </a14:m>
              <a:endParaRPr lang="es-MX" sz="1100"/>
            </a:p>
          </xdr:txBody>
        </xdr:sp>
      </mc:Choice>
      <mc:Fallback xmlns="">
        <xdr:sp macro="" textlink="">
          <xdr:nvSpPr>
            <xdr:cNvPr id="1181" name="CuadroTexto 1180">
              <a:extLst>
                <a:ext uri="{FF2B5EF4-FFF2-40B4-BE49-F238E27FC236}">
                  <a16:creationId xmlns:a16="http://schemas.microsoft.com/office/drawing/2014/main" id="{1A493F20-B536-4E22-A08C-68F576E1850A}"/>
                </a:ext>
              </a:extLst>
            </xdr:cNvPr>
            <xdr:cNvSpPr txBox="1"/>
          </xdr:nvSpPr>
          <xdr:spPr>
            <a:xfrm>
              <a:off x="10896600" y="119900700"/>
              <a:ext cx="136207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𝐸𝐴</a:t>
              </a:r>
              <a:r>
                <a:rPr lang="es-MX" sz="1100" i="0">
                  <a:latin typeface="Cambria Math" panose="02040503050406030204" pitchFamily="18" charset="0"/>
                </a:rPr>
                <a:t>=</a:t>
              </a:r>
              <a:r>
                <a:rPr lang="es-MX" sz="1100" b="0" i="0">
                  <a:latin typeface="Cambria Math" panose="02040503050406030204" pitchFamily="18" charset="0"/>
                </a:rPr>
                <a:t>18,503</a:t>
              </a:r>
              <a:r>
                <a:rPr lang="es-MX" sz="1100" b="0" i="0">
                  <a:solidFill>
                    <a:schemeClr val="tx1"/>
                  </a:solidFill>
                  <a:effectLst/>
                  <a:latin typeface="Cambria Math" panose="02040503050406030204" pitchFamily="18" charset="0"/>
                  <a:ea typeface="+mn-ea"/>
                  <a:cs typeface="+mn-cs"/>
                </a:rPr>
                <a:t> kwh/ton </a:t>
              </a:r>
              <a:r>
                <a:rPr lang="es-MX" sz="1100" b="0" i="0">
                  <a:latin typeface="Cambria Math" panose="02040503050406030204" pitchFamily="18" charset="0"/>
                </a:rPr>
                <a:t> </a:t>
              </a:r>
              <a:endParaRPr lang="es-MX" sz="1100"/>
            </a:p>
          </xdr:txBody>
        </xdr:sp>
      </mc:Fallback>
    </mc:AlternateContent>
    <xdr:clientData/>
  </xdr:oneCellAnchor>
  <xdr:oneCellAnchor>
    <xdr:from>
      <xdr:col>12</xdr:col>
      <xdr:colOff>238125</xdr:colOff>
      <xdr:row>139</xdr:row>
      <xdr:rowOff>733425</xdr:rowOff>
    </xdr:from>
    <xdr:ext cx="361950" cy="361950"/>
    <xdr:pic>
      <xdr:nvPicPr>
        <xdr:cNvPr id="1182" name="Imagen 1181">
          <a:hlinkClick xmlns:r="http://schemas.openxmlformats.org/officeDocument/2006/relationships" r:id="rId167"/>
          <a:extLst>
            <a:ext uri="{FF2B5EF4-FFF2-40B4-BE49-F238E27FC236}">
              <a16:creationId xmlns:a16="http://schemas.microsoft.com/office/drawing/2014/main" id="{00F15195-A7B2-4F95-92F7-ECD64FF7969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87575" y="118395750"/>
          <a:ext cx="361950" cy="361950"/>
        </a:xfrm>
        <a:prstGeom prst="rect">
          <a:avLst/>
        </a:prstGeom>
      </xdr:spPr>
    </xdr:pic>
    <xdr:clientData/>
  </xdr:oneCellAnchor>
  <xdr:oneCellAnchor>
    <xdr:from>
      <xdr:col>12</xdr:col>
      <xdr:colOff>266700</xdr:colOff>
      <xdr:row>140</xdr:row>
      <xdr:rowOff>390525</xdr:rowOff>
    </xdr:from>
    <xdr:ext cx="361950" cy="361950"/>
    <xdr:pic>
      <xdr:nvPicPr>
        <xdr:cNvPr id="1183" name="Imagen 1182">
          <a:hlinkClick xmlns:r="http://schemas.openxmlformats.org/officeDocument/2006/relationships" r:id="rId108"/>
          <a:extLst>
            <a:ext uri="{FF2B5EF4-FFF2-40B4-BE49-F238E27FC236}">
              <a16:creationId xmlns:a16="http://schemas.microsoft.com/office/drawing/2014/main" id="{6B108A03-CE61-4A40-969C-054B25959DC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16150" y="119519700"/>
          <a:ext cx="361950" cy="361950"/>
        </a:xfrm>
        <a:prstGeom prst="rect">
          <a:avLst/>
        </a:prstGeom>
      </xdr:spPr>
    </xdr:pic>
    <xdr:clientData/>
  </xdr:oneCellAnchor>
  <xdr:oneCellAnchor>
    <xdr:from>
      <xdr:col>12</xdr:col>
      <xdr:colOff>295275</xdr:colOff>
      <xdr:row>141</xdr:row>
      <xdr:rowOff>619125</xdr:rowOff>
    </xdr:from>
    <xdr:ext cx="361950" cy="361950"/>
    <xdr:pic>
      <xdr:nvPicPr>
        <xdr:cNvPr id="1184" name="Imagen 1183">
          <a:hlinkClick xmlns:r="http://schemas.openxmlformats.org/officeDocument/2006/relationships" r:id="rId53"/>
          <a:extLst>
            <a:ext uri="{FF2B5EF4-FFF2-40B4-BE49-F238E27FC236}">
              <a16:creationId xmlns:a16="http://schemas.microsoft.com/office/drawing/2014/main" id="{4604DD1F-D6D1-4702-AA37-F6824FF57D2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944725" y="121158000"/>
          <a:ext cx="361950" cy="361950"/>
        </a:xfrm>
        <a:prstGeom prst="rect">
          <a:avLst/>
        </a:prstGeom>
      </xdr:spPr>
    </xdr:pic>
    <xdr:clientData/>
  </xdr:oneCellAnchor>
  <xdr:oneCellAnchor>
    <xdr:from>
      <xdr:col>12</xdr:col>
      <xdr:colOff>152400</xdr:colOff>
      <xdr:row>142</xdr:row>
      <xdr:rowOff>400052</xdr:rowOff>
    </xdr:from>
    <xdr:ext cx="485967" cy="380998"/>
    <xdr:pic>
      <xdr:nvPicPr>
        <xdr:cNvPr id="1185" name="Imagen 1184">
          <a:hlinkClick xmlns:r="http://schemas.openxmlformats.org/officeDocument/2006/relationships" r:id="rId137"/>
          <a:extLst>
            <a:ext uri="{FF2B5EF4-FFF2-40B4-BE49-F238E27FC236}">
              <a16:creationId xmlns:a16="http://schemas.microsoft.com/office/drawing/2014/main" id="{A3D4473E-81A6-4C5F-A13A-FFFF515D4A7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7058027"/>
          <a:ext cx="485967" cy="380998"/>
        </a:xfrm>
        <a:prstGeom prst="rect">
          <a:avLst/>
        </a:prstGeom>
      </xdr:spPr>
    </xdr:pic>
    <xdr:clientData/>
  </xdr:oneCellAnchor>
  <xdr:oneCellAnchor>
    <xdr:from>
      <xdr:col>12</xdr:col>
      <xdr:colOff>161925</xdr:colOff>
      <xdr:row>143</xdr:row>
      <xdr:rowOff>790575</xdr:rowOff>
    </xdr:from>
    <xdr:ext cx="419100" cy="419100"/>
    <xdr:pic>
      <xdr:nvPicPr>
        <xdr:cNvPr id="1186" name="Imagen 1185">
          <a:hlinkClick xmlns:r="http://schemas.openxmlformats.org/officeDocument/2006/relationships" r:id="rId53"/>
          <a:extLst>
            <a:ext uri="{FF2B5EF4-FFF2-40B4-BE49-F238E27FC236}">
              <a16:creationId xmlns:a16="http://schemas.microsoft.com/office/drawing/2014/main" id="{042E8A26-AB58-4B49-9CDC-2CC8CC67ED9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11375" y="8915400"/>
          <a:ext cx="419100" cy="419100"/>
        </a:xfrm>
        <a:prstGeom prst="rect">
          <a:avLst/>
        </a:prstGeom>
      </xdr:spPr>
    </xdr:pic>
    <xdr:clientData/>
  </xdr:oneCellAnchor>
  <xdr:oneCellAnchor>
    <xdr:from>
      <xdr:col>12</xdr:col>
      <xdr:colOff>1295400</xdr:colOff>
      <xdr:row>143</xdr:row>
      <xdr:rowOff>809625</xdr:rowOff>
    </xdr:from>
    <xdr:ext cx="402371" cy="408467"/>
    <xdr:pic>
      <xdr:nvPicPr>
        <xdr:cNvPr id="1187" name="Imagen 1186">
          <a:hlinkClick xmlns:r="http://schemas.openxmlformats.org/officeDocument/2006/relationships" r:id="rId140"/>
          <a:extLst>
            <a:ext uri="{FF2B5EF4-FFF2-40B4-BE49-F238E27FC236}">
              <a16:creationId xmlns:a16="http://schemas.microsoft.com/office/drawing/2014/main" id="{CF5CFC3C-25F6-435C-9C48-A137048E1210}"/>
            </a:ext>
          </a:extLst>
        </xdr:cNvPr>
        <xdr:cNvPicPr>
          <a:picLocks noChangeAspect="1"/>
        </xdr:cNvPicPr>
      </xdr:nvPicPr>
      <xdr:blipFill>
        <a:blip xmlns:r="http://schemas.openxmlformats.org/officeDocument/2006/relationships" r:embed="rId141"/>
        <a:stretch>
          <a:fillRect/>
        </a:stretch>
      </xdr:blipFill>
      <xdr:spPr>
        <a:xfrm>
          <a:off x="15944850" y="8934450"/>
          <a:ext cx="402371" cy="408467"/>
        </a:xfrm>
        <a:prstGeom prst="rect">
          <a:avLst/>
        </a:prstGeom>
      </xdr:spPr>
    </xdr:pic>
    <xdr:clientData/>
  </xdr:oneCellAnchor>
  <xdr:oneCellAnchor>
    <xdr:from>
      <xdr:col>12</xdr:col>
      <xdr:colOff>752475</xdr:colOff>
      <xdr:row>143</xdr:row>
      <xdr:rowOff>809625</xdr:rowOff>
    </xdr:from>
    <xdr:ext cx="419100" cy="419100"/>
    <xdr:pic>
      <xdr:nvPicPr>
        <xdr:cNvPr id="1188" name="Imagen 1187">
          <a:hlinkClick xmlns:r="http://schemas.openxmlformats.org/officeDocument/2006/relationships" r:id="rId142"/>
          <a:extLst>
            <a:ext uri="{FF2B5EF4-FFF2-40B4-BE49-F238E27FC236}">
              <a16:creationId xmlns:a16="http://schemas.microsoft.com/office/drawing/2014/main" id="{C3144A19-C70F-4CA0-BA9E-94E060766D9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5401925" y="8934450"/>
          <a:ext cx="419100" cy="419100"/>
        </a:xfrm>
        <a:prstGeom prst="rect">
          <a:avLst/>
        </a:prstGeom>
      </xdr:spPr>
    </xdr:pic>
    <xdr:clientData/>
  </xdr:oneCellAnchor>
  <xdr:oneCellAnchor>
    <xdr:from>
      <xdr:col>12</xdr:col>
      <xdr:colOff>2038350</xdr:colOff>
      <xdr:row>143</xdr:row>
      <xdr:rowOff>838200</xdr:rowOff>
    </xdr:from>
    <xdr:ext cx="342900" cy="342900"/>
    <xdr:pic>
      <xdr:nvPicPr>
        <xdr:cNvPr id="1189" name="Imagen 1188">
          <a:hlinkClick xmlns:r="http://schemas.openxmlformats.org/officeDocument/2006/relationships" r:id="rId135"/>
          <a:extLst>
            <a:ext uri="{FF2B5EF4-FFF2-40B4-BE49-F238E27FC236}">
              <a16:creationId xmlns:a16="http://schemas.microsoft.com/office/drawing/2014/main" id="{27C6E054-5B00-40C9-9743-CDC6F9274B4C}"/>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687800" y="8963025"/>
          <a:ext cx="342900" cy="342900"/>
        </a:xfrm>
        <a:prstGeom prst="rect">
          <a:avLst/>
        </a:prstGeom>
      </xdr:spPr>
    </xdr:pic>
    <xdr:clientData/>
  </xdr:oneCellAnchor>
  <xdr:oneCellAnchor>
    <xdr:from>
      <xdr:col>12</xdr:col>
      <xdr:colOff>1169988</xdr:colOff>
      <xdr:row>145</xdr:row>
      <xdr:rowOff>1119747</xdr:rowOff>
    </xdr:from>
    <xdr:ext cx="363537" cy="359802"/>
    <xdr:pic>
      <xdr:nvPicPr>
        <xdr:cNvPr id="1190" name="Gráfico 1189" descr="Inalámbrico">
          <a:hlinkClick xmlns:r="http://schemas.openxmlformats.org/officeDocument/2006/relationships" r:id="rId13"/>
          <a:extLst>
            <a:ext uri="{FF2B5EF4-FFF2-40B4-BE49-F238E27FC236}">
              <a16:creationId xmlns:a16="http://schemas.microsoft.com/office/drawing/2014/main" id="{64C58D49-446A-4D71-9904-D99DE523770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19438" y="12121122"/>
          <a:ext cx="363537" cy="359802"/>
        </a:xfrm>
        <a:prstGeom prst="rect">
          <a:avLst/>
        </a:prstGeom>
      </xdr:spPr>
    </xdr:pic>
    <xdr:clientData/>
  </xdr:oneCellAnchor>
  <xdr:oneCellAnchor>
    <xdr:from>
      <xdr:col>12</xdr:col>
      <xdr:colOff>1143001</xdr:colOff>
      <xdr:row>145</xdr:row>
      <xdr:rowOff>368872</xdr:rowOff>
    </xdr:from>
    <xdr:ext cx="400049" cy="388117"/>
    <xdr:pic>
      <xdr:nvPicPr>
        <xdr:cNvPr id="1191" name="Imagen 1190">
          <a:hlinkClick xmlns:r="http://schemas.openxmlformats.org/officeDocument/2006/relationships" r:id="rId140"/>
          <a:extLst>
            <a:ext uri="{FF2B5EF4-FFF2-40B4-BE49-F238E27FC236}">
              <a16:creationId xmlns:a16="http://schemas.microsoft.com/office/drawing/2014/main" id="{1C469CD6-FF64-43A6-9D6F-1CA2F62D4AB2}"/>
            </a:ext>
          </a:extLst>
        </xdr:cNvPr>
        <xdr:cNvPicPr>
          <a:picLocks noChangeAspect="1"/>
        </xdr:cNvPicPr>
      </xdr:nvPicPr>
      <xdr:blipFill>
        <a:blip xmlns:r="http://schemas.openxmlformats.org/officeDocument/2006/relationships" r:embed="rId141"/>
        <a:stretch>
          <a:fillRect/>
        </a:stretch>
      </xdr:blipFill>
      <xdr:spPr>
        <a:xfrm>
          <a:off x="15792451" y="11370247"/>
          <a:ext cx="400049" cy="388117"/>
        </a:xfrm>
        <a:prstGeom prst="rect">
          <a:avLst/>
        </a:prstGeom>
      </xdr:spPr>
    </xdr:pic>
    <xdr:clientData/>
  </xdr:oneCellAnchor>
  <xdr:oneCellAnchor>
    <xdr:from>
      <xdr:col>12</xdr:col>
      <xdr:colOff>123825</xdr:colOff>
      <xdr:row>145</xdr:row>
      <xdr:rowOff>438150</xdr:rowOff>
    </xdr:from>
    <xdr:ext cx="419100" cy="419100"/>
    <xdr:pic>
      <xdr:nvPicPr>
        <xdr:cNvPr id="1192" name="Imagen 1191">
          <a:hlinkClick xmlns:r="http://schemas.openxmlformats.org/officeDocument/2006/relationships" r:id="rId143"/>
          <a:extLst>
            <a:ext uri="{FF2B5EF4-FFF2-40B4-BE49-F238E27FC236}">
              <a16:creationId xmlns:a16="http://schemas.microsoft.com/office/drawing/2014/main" id="{40EBBF58-05DB-47BB-BDD7-F9B1DC99E6F7}"/>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11439525"/>
          <a:ext cx="419100" cy="419100"/>
        </a:xfrm>
        <a:prstGeom prst="rect">
          <a:avLst/>
        </a:prstGeom>
      </xdr:spPr>
    </xdr:pic>
    <xdr:clientData/>
  </xdr:oneCellAnchor>
  <xdr:oneCellAnchor>
    <xdr:from>
      <xdr:col>12</xdr:col>
      <xdr:colOff>2095500</xdr:colOff>
      <xdr:row>145</xdr:row>
      <xdr:rowOff>476250</xdr:rowOff>
    </xdr:from>
    <xdr:ext cx="342900" cy="342900"/>
    <xdr:pic>
      <xdr:nvPicPr>
        <xdr:cNvPr id="1193" name="Imagen 1192">
          <a:hlinkClick xmlns:r="http://schemas.openxmlformats.org/officeDocument/2006/relationships" r:id="rId145"/>
          <a:extLst>
            <a:ext uri="{FF2B5EF4-FFF2-40B4-BE49-F238E27FC236}">
              <a16:creationId xmlns:a16="http://schemas.microsoft.com/office/drawing/2014/main" id="{0AFC610D-C7F6-427C-9516-B1D3E8F99D41}"/>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744950" y="11477625"/>
          <a:ext cx="342900" cy="342900"/>
        </a:xfrm>
        <a:prstGeom prst="rect">
          <a:avLst/>
        </a:prstGeom>
      </xdr:spPr>
    </xdr:pic>
    <xdr:clientData/>
  </xdr:oneCellAnchor>
  <xdr:oneCellAnchor>
    <xdr:from>
      <xdr:col>12</xdr:col>
      <xdr:colOff>123825</xdr:colOff>
      <xdr:row>145</xdr:row>
      <xdr:rowOff>1123950</xdr:rowOff>
    </xdr:from>
    <xdr:ext cx="419100" cy="419100"/>
    <xdr:pic>
      <xdr:nvPicPr>
        <xdr:cNvPr id="1194" name="Imagen 1193">
          <a:hlinkClick xmlns:r="http://schemas.openxmlformats.org/officeDocument/2006/relationships" r:id="rId146"/>
          <a:extLst>
            <a:ext uri="{FF2B5EF4-FFF2-40B4-BE49-F238E27FC236}">
              <a16:creationId xmlns:a16="http://schemas.microsoft.com/office/drawing/2014/main" id="{CDCB985D-22D7-4391-AB7D-8747AB1E36F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12125325"/>
          <a:ext cx="419100" cy="419100"/>
        </a:xfrm>
        <a:prstGeom prst="rect">
          <a:avLst/>
        </a:prstGeom>
      </xdr:spPr>
    </xdr:pic>
    <xdr:clientData/>
  </xdr:oneCellAnchor>
  <xdr:oneCellAnchor>
    <xdr:from>
      <xdr:col>12</xdr:col>
      <xdr:colOff>1143001</xdr:colOff>
      <xdr:row>146</xdr:row>
      <xdr:rowOff>476251</xdr:rowOff>
    </xdr:from>
    <xdr:ext cx="381000" cy="381000"/>
    <xdr:pic>
      <xdr:nvPicPr>
        <xdr:cNvPr id="1195" name="Gráfico 1194" descr="Inalámbrico">
          <a:hlinkClick xmlns:r="http://schemas.openxmlformats.org/officeDocument/2006/relationships" r:id="rId49"/>
          <a:extLst>
            <a:ext uri="{FF2B5EF4-FFF2-40B4-BE49-F238E27FC236}">
              <a16:creationId xmlns:a16="http://schemas.microsoft.com/office/drawing/2014/main" id="{EE8AB97B-A998-4ED6-8207-32E756071D4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92451" y="13001626"/>
          <a:ext cx="381000" cy="381000"/>
        </a:xfrm>
        <a:prstGeom prst="rect">
          <a:avLst/>
        </a:prstGeom>
      </xdr:spPr>
    </xdr:pic>
    <xdr:clientData/>
  </xdr:oneCellAnchor>
  <xdr:oneCellAnchor>
    <xdr:from>
      <xdr:col>12</xdr:col>
      <xdr:colOff>123825</xdr:colOff>
      <xdr:row>145</xdr:row>
      <xdr:rowOff>1123950</xdr:rowOff>
    </xdr:from>
    <xdr:ext cx="419100" cy="419100"/>
    <xdr:pic>
      <xdr:nvPicPr>
        <xdr:cNvPr id="1196" name="Imagen 1195">
          <a:hlinkClick xmlns:r="http://schemas.openxmlformats.org/officeDocument/2006/relationships" r:id="rId146"/>
          <a:extLst>
            <a:ext uri="{FF2B5EF4-FFF2-40B4-BE49-F238E27FC236}">
              <a16:creationId xmlns:a16="http://schemas.microsoft.com/office/drawing/2014/main" id="{F0374841-29CB-45E9-8016-343EA086C4B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12125325"/>
          <a:ext cx="419100" cy="419100"/>
        </a:xfrm>
        <a:prstGeom prst="rect">
          <a:avLst/>
        </a:prstGeom>
      </xdr:spPr>
    </xdr:pic>
    <xdr:clientData/>
  </xdr:oneCellAnchor>
  <xdr:oneCellAnchor>
    <xdr:from>
      <xdr:col>12</xdr:col>
      <xdr:colOff>152400</xdr:colOff>
      <xdr:row>146</xdr:row>
      <xdr:rowOff>447675</xdr:rowOff>
    </xdr:from>
    <xdr:ext cx="419100" cy="419100"/>
    <xdr:pic>
      <xdr:nvPicPr>
        <xdr:cNvPr id="1197" name="Imagen 1196">
          <a:hlinkClick xmlns:r="http://schemas.openxmlformats.org/officeDocument/2006/relationships" r:id="rId147"/>
          <a:extLst>
            <a:ext uri="{FF2B5EF4-FFF2-40B4-BE49-F238E27FC236}">
              <a16:creationId xmlns:a16="http://schemas.microsoft.com/office/drawing/2014/main" id="{FD884E94-3499-4795-8FD3-FA944958D52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12973050"/>
          <a:ext cx="419100" cy="419100"/>
        </a:xfrm>
        <a:prstGeom prst="rect">
          <a:avLst/>
        </a:prstGeom>
      </xdr:spPr>
    </xdr:pic>
    <xdr:clientData/>
  </xdr:oneCellAnchor>
  <xdr:oneCellAnchor>
    <xdr:from>
      <xdr:col>12</xdr:col>
      <xdr:colOff>1191059</xdr:colOff>
      <xdr:row>147</xdr:row>
      <xdr:rowOff>1151897</xdr:rowOff>
    </xdr:from>
    <xdr:ext cx="296528" cy="299512"/>
    <xdr:pic>
      <xdr:nvPicPr>
        <xdr:cNvPr id="1201" name="Gráfico 1200" descr="Inalámbrico">
          <a:hlinkClick xmlns:r="http://schemas.openxmlformats.org/officeDocument/2006/relationships" r:id="rId55"/>
          <a:extLst>
            <a:ext uri="{FF2B5EF4-FFF2-40B4-BE49-F238E27FC236}">
              <a16:creationId xmlns:a16="http://schemas.microsoft.com/office/drawing/2014/main" id="{18208B0E-CD97-48BA-8C47-1988DCF83A7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0509" y="15144122"/>
          <a:ext cx="296528" cy="299512"/>
        </a:xfrm>
        <a:prstGeom prst="rect">
          <a:avLst/>
        </a:prstGeom>
      </xdr:spPr>
    </xdr:pic>
    <xdr:clientData/>
  </xdr:oneCellAnchor>
  <xdr:oneCellAnchor>
    <xdr:from>
      <xdr:col>12</xdr:col>
      <xdr:colOff>1205442</xdr:colOff>
      <xdr:row>147</xdr:row>
      <xdr:rowOff>1859786</xdr:rowOff>
    </xdr:from>
    <xdr:ext cx="299511" cy="305035"/>
    <xdr:pic>
      <xdr:nvPicPr>
        <xdr:cNvPr id="1202" name="Gráfico 1201" descr="Inalámbrico">
          <a:hlinkClick xmlns:r="http://schemas.openxmlformats.org/officeDocument/2006/relationships" r:id="rId56"/>
          <a:extLst>
            <a:ext uri="{FF2B5EF4-FFF2-40B4-BE49-F238E27FC236}">
              <a16:creationId xmlns:a16="http://schemas.microsoft.com/office/drawing/2014/main" id="{C19EB6B9-6C2C-4E0A-8392-7EB515853C8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4892" y="15852011"/>
          <a:ext cx="299511" cy="305035"/>
        </a:xfrm>
        <a:prstGeom prst="rect">
          <a:avLst/>
        </a:prstGeom>
      </xdr:spPr>
    </xdr:pic>
    <xdr:clientData/>
  </xdr:oneCellAnchor>
  <xdr:oneCellAnchor>
    <xdr:from>
      <xdr:col>12</xdr:col>
      <xdr:colOff>1180476</xdr:colOff>
      <xdr:row>147</xdr:row>
      <xdr:rowOff>509361</xdr:rowOff>
    </xdr:from>
    <xdr:ext cx="296528" cy="299512"/>
    <xdr:pic>
      <xdr:nvPicPr>
        <xdr:cNvPr id="1203" name="Gráfico 1202" descr="Inalámbrico">
          <a:hlinkClick xmlns:r="http://schemas.openxmlformats.org/officeDocument/2006/relationships" r:id="rId67"/>
          <a:extLst>
            <a:ext uri="{FF2B5EF4-FFF2-40B4-BE49-F238E27FC236}">
              <a16:creationId xmlns:a16="http://schemas.microsoft.com/office/drawing/2014/main" id="{2B7C8A16-1610-49E4-986D-AA5E4DC543E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29926" y="14501586"/>
          <a:ext cx="296528" cy="299512"/>
        </a:xfrm>
        <a:prstGeom prst="rect">
          <a:avLst/>
        </a:prstGeom>
      </xdr:spPr>
    </xdr:pic>
    <xdr:clientData/>
  </xdr:oneCellAnchor>
  <xdr:oneCellAnchor>
    <xdr:from>
      <xdr:col>12</xdr:col>
      <xdr:colOff>209550</xdr:colOff>
      <xdr:row>147</xdr:row>
      <xdr:rowOff>495300</xdr:rowOff>
    </xdr:from>
    <xdr:ext cx="361950" cy="361950"/>
    <xdr:pic>
      <xdr:nvPicPr>
        <xdr:cNvPr id="1204" name="Imagen 1203">
          <a:hlinkClick xmlns:r="http://schemas.openxmlformats.org/officeDocument/2006/relationships" r:id="rId148"/>
          <a:extLst>
            <a:ext uri="{FF2B5EF4-FFF2-40B4-BE49-F238E27FC236}">
              <a16:creationId xmlns:a16="http://schemas.microsoft.com/office/drawing/2014/main" id="{A9BC41CD-9F6E-4503-91CA-1BF811B12E9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59000" y="14487525"/>
          <a:ext cx="361950" cy="361950"/>
        </a:xfrm>
        <a:prstGeom prst="rect">
          <a:avLst/>
        </a:prstGeom>
      </xdr:spPr>
    </xdr:pic>
    <xdr:clientData/>
  </xdr:oneCellAnchor>
  <xdr:oneCellAnchor>
    <xdr:from>
      <xdr:col>12</xdr:col>
      <xdr:colOff>1990725</xdr:colOff>
      <xdr:row>147</xdr:row>
      <xdr:rowOff>533400</xdr:rowOff>
    </xdr:from>
    <xdr:ext cx="285750" cy="285750"/>
    <xdr:pic>
      <xdr:nvPicPr>
        <xdr:cNvPr id="1205" name="Imagen 1204">
          <a:hlinkClick xmlns:r="http://schemas.openxmlformats.org/officeDocument/2006/relationships" r:id="rId145"/>
          <a:extLst>
            <a:ext uri="{FF2B5EF4-FFF2-40B4-BE49-F238E27FC236}">
              <a16:creationId xmlns:a16="http://schemas.microsoft.com/office/drawing/2014/main" id="{43A150C5-2C7E-4824-8059-6D0726B0A477}"/>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6640175" y="14525625"/>
          <a:ext cx="285750" cy="285750"/>
        </a:xfrm>
        <a:prstGeom prst="rect">
          <a:avLst/>
        </a:prstGeom>
      </xdr:spPr>
    </xdr:pic>
    <xdr:clientData/>
  </xdr:oneCellAnchor>
  <xdr:oneCellAnchor>
    <xdr:from>
      <xdr:col>12</xdr:col>
      <xdr:colOff>190500</xdr:colOff>
      <xdr:row>147</xdr:row>
      <xdr:rowOff>1152525</xdr:rowOff>
    </xdr:from>
    <xdr:ext cx="361950" cy="361950"/>
    <xdr:pic>
      <xdr:nvPicPr>
        <xdr:cNvPr id="1206" name="Imagen 1205">
          <a:hlinkClick xmlns:r="http://schemas.openxmlformats.org/officeDocument/2006/relationships" r:id="rId149"/>
          <a:extLst>
            <a:ext uri="{FF2B5EF4-FFF2-40B4-BE49-F238E27FC236}">
              <a16:creationId xmlns:a16="http://schemas.microsoft.com/office/drawing/2014/main" id="{4CB68498-B0CB-40B0-8FD5-4E3789F71877}"/>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9950" y="15144750"/>
          <a:ext cx="361950" cy="361950"/>
        </a:xfrm>
        <a:prstGeom prst="rect">
          <a:avLst/>
        </a:prstGeom>
      </xdr:spPr>
    </xdr:pic>
    <xdr:clientData/>
  </xdr:oneCellAnchor>
  <xdr:oneCellAnchor>
    <xdr:from>
      <xdr:col>12</xdr:col>
      <xdr:colOff>200025</xdr:colOff>
      <xdr:row>147</xdr:row>
      <xdr:rowOff>1828800</xdr:rowOff>
    </xdr:from>
    <xdr:ext cx="361950" cy="361950"/>
    <xdr:pic>
      <xdr:nvPicPr>
        <xdr:cNvPr id="1207" name="Imagen 1206">
          <a:hlinkClick xmlns:r="http://schemas.openxmlformats.org/officeDocument/2006/relationships" r:id="rId150"/>
          <a:extLst>
            <a:ext uri="{FF2B5EF4-FFF2-40B4-BE49-F238E27FC236}">
              <a16:creationId xmlns:a16="http://schemas.microsoft.com/office/drawing/2014/main" id="{312C2ABA-FAC6-4DBE-BA0C-756D7B08D01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49475" y="15821025"/>
          <a:ext cx="361950" cy="361950"/>
        </a:xfrm>
        <a:prstGeom prst="rect">
          <a:avLst/>
        </a:prstGeom>
      </xdr:spPr>
    </xdr:pic>
    <xdr:clientData/>
  </xdr:oneCellAnchor>
  <xdr:oneCellAnchor>
    <xdr:from>
      <xdr:col>12</xdr:col>
      <xdr:colOff>190500</xdr:colOff>
      <xdr:row>152</xdr:row>
      <xdr:rowOff>600075</xdr:rowOff>
    </xdr:from>
    <xdr:ext cx="361950" cy="361950"/>
    <xdr:pic>
      <xdr:nvPicPr>
        <xdr:cNvPr id="1208" name="Imagen 1207">
          <a:hlinkClick xmlns:r="http://schemas.openxmlformats.org/officeDocument/2006/relationships" r:id="rId152"/>
          <a:extLst>
            <a:ext uri="{FF2B5EF4-FFF2-40B4-BE49-F238E27FC236}">
              <a16:creationId xmlns:a16="http://schemas.microsoft.com/office/drawing/2014/main" id="{981FAEFE-40E6-4EC6-A63C-5DF3B1FEE476}"/>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9950" y="19135725"/>
          <a:ext cx="361950" cy="361950"/>
        </a:xfrm>
        <a:prstGeom prst="rect">
          <a:avLst/>
        </a:prstGeom>
      </xdr:spPr>
    </xdr:pic>
    <xdr:clientData/>
  </xdr:oneCellAnchor>
  <xdr:twoCellAnchor>
    <xdr:from>
      <xdr:col>12</xdr:col>
      <xdr:colOff>2057400</xdr:colOff>
      <xdr:row>152</xdr:row>
      <xdr:rowOff>676275</xdr:rowOff>
    </xdr:from>
    <xdr:to>
      <xdr:col>12</xdr:col>
      <xdr:colOff>2276475</xdr:colOff>
      <xdr:row>152</xdr:row>
      <xdr:rowOff>904874</xdr:rowOff>
    </xdr:to>
    <xdr:sp macro="" textlink="">
      <xdr:nvSpPr>
        <xdr:cNvPr id="1209" name="Onda 1208">
          <a:hlinkClick xmlns:r="http://schemas.openxmlformats.org/officeDocument/2006/relationships" r:id="rId134"/>
          <a:extLst>
            <a:ext uri="{FF2B5EF4-FFF2-40B4-BE49-F238E27FC236}">
              <a16:creationId xmlns:a16="http://schemas.microsoft.com/office/drawing/2014/main" id="{5D8181D1-066C-4BD1-9B24-7C78985A2A19}"/>
            </a:ext>
          </a:extLst>
        </xdr:cNvPr>
        <xdr:cNvSpPr/>
      </xdr:nvSpPr>
      <xdr:spPr>
        <a:xfrm>
          <a:off x="16706850" y="192119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171450</xdr:colOff>
      <xdr:row>234</xdr:row>
      <xdr:rowOff>266700</xdr:rowOff>
    </xdr:from>
    <xdr:ext cx="361950" cy="361950"/>
    <xdr:pic>
      <xdr:nvPicPr>
        <xdr:cNvPr id="1210" name="Imagen 1209">
          <a:hlinkClick xmlns:r="http://schemas.openxmlformats.org/officeDocument/2006/relationships" r:id="rId168"/>
          <a:extLst>
            <a:ext uri="{FF2B5EF4-FFF2-40B4-BE49-F238E27FC236}">
              <a16:creationId xmlns:a16="http://schemas.microsoft.com/office/drawing/2014/main" id="{7CA234B7-13F0-4636-945E-DD20766001F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20900" y="177374550"/>
          <a:ext cx="361950" cy="361950"/>
        </a:xfrm>
        <a:prstGeom prst="rect">
          <a:avLst/>
        </a:prstGeom>
      </xdr:spPr>
    </xdr:pic>
    <xdr:clientData/>
  </xdr:oneCellAnchor>
  <xdr:oneCellAnchor>
    <xdr:from>
      <xdr:col>12</xdr:col>
      <xdr:colOff>1209675</xdr:colOff>
      <xdr:row>235</xdr:row>
      <xdr:rowOff>844551</xdr:rowOff>
    </xdr:from>
    <xdr:ext cx="371475" cy="371475"/>
    <xdr:pic>
      <xdr:nvPicPr>
        <xdr:cNvPr id="1211" name="Gráfico 1210" descr="Inalámbrico">
          <a:hlinkClick xmlns:r="http://schemas.openxmlformats.org/officeDocument/2006/relationships" r:id="rId42"/>
          <a:extLst>
            <a:ext uri="{FF2B5EF4-FFF2-40B4-BE49-F238E27FC236}">
              <a16:creationId xmlns:a16="http://schemas.microsoft.com/office/drawing/2014/main" id="{EC5E491F-51CF-466B-A9CE-C94D174D3A3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59125" y="74082276"/>
          <a:ext cx="371475" cy="371475"/>
        </a:xfrm>
        <a:prstGeom prst="rect">
          <a:avLst/>
        </a:prstGeom>
      </xdr:spPr>
    </xdr:pic>
    <xdr:clientData/>
  </xdr:oneCellAnchor>
  <xdr:oneCellAnchor>
    <xdr:from>
      <xdr:col>12</xdr:col>
      <xdr:colOff>152400</xdr:colOff>
      <xdr:row>235</xdr:row>
      <xdr:rowOff>828675</xdr:rowOff>
    </xdr:from>
    <xdr:ext cx="361950" cy="361950"/>
    <xdr:pic>
      <xdr:nvPicPr>
        <xdr:cNvPr id="1212" name="Imagen 1211">
          <a:hlinkClick xmlns:r="http://schemas.openxmlformats.org/officeDocument/2006/relationships" r:id="rId165"/>
          <a:extLst>
            <a:ext uri="{FF2B5EF4-FFF2-40B4-BE49-F238E27FC236}">
              <a16:creationId xmlns:a16="http://schemas.microsoft.com/office/drawing/2014/main" id="{05BF4079-8169-4E0A-AA57-01A7F4E42BB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74066400"/>
          <a:ext cx="361950" cy="361950"/>
        </a:xfrm>
        <a:prstGeom prst="rect">
          <a:avLst/>
        </a:prstGeom>
      </xdr:spPr>
    </xdr:pic>
    <xdr:clientData/>
  </xdr:oneCellAnchor>
  <xdr:oneCellAnchor>
    <xdr:from>
      <xdr:col>12</xdr:col>
      <xdr:colOff>219075</xdr:colOff>
      <xdr:row>236</xdr:row>
      <xdr:rowOff>638175</xdr:rowOff>
    </xdr:from>
    <xdr:ext cx="361950" cy="361950"/>
    <xdr:pic>
      <xdr:nvPicPr>
        <xdr:cNvPr id="1213" name="Imagen 1212">
          <a:hlinkClick xmlns:r="http://schemas.openxmlformats.org/officeDocument/2006/relationships" r:id="rId166"/>
          <a:extLst>
            <a:ext uri="{FF2B5EF4-FFF2-40B4-BE49-F238E27FC236}">
              <a16:creationId xmlns:a16="http://schemas.microsoft.com/office/drawing/2014/main" id="{E6EF7277-DF59-441A-A6E9-22C5164EA14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68525" y="75285600"/>
          <a:ext cx="361950" cy="361950"/>
        </a:xfrm>
        <a:prstGeom prst="rect">
          <a:avLst/>
        </a:prstGeom>
      </xdr:spPr>
    </xdr:pic>
    <xdr:clientData/>
  </xdr:oneCellAnchor>
  <xdr:twoCellAnchor>
    <xdr:from>
      <xdr:col>12</xdr:col>
      <xdr:colOff>2314575</xdr:colOff>
      <xdr:row>236</xdr:row>
      <xdr:rowOff>762000</xdr:rowOff>
    </xdr:from>
    <xdr:to>
      <xdr:col>12</xdr:col>
      <xdr:colOff>2533650</xdr:colOff>
      <xdr:row>236</xdr:row>
      <xdr:rowOff>990599</xdr:rowOff>
    </xdr:to>
    <xdr:sp macro="" textlink="">
      <xdr:nvSpPr>
        <xdr:cNvPr id="1214" name="Onda 1213">
          <a:hlinkClick xmlns:r="http://schemas.openxmlformats.org/officeDocument/2006/relationships" r:id="rId134"/>
          <a:extLst>
            <a:ext uri="{FF2B5EF4-FFF2-40B4-BE49-F238E27FC236}">
              <a16:creationId xmlns:a16="http://schemas.microsoft.com/office/drawing/2014/main" id="{64E48F71-0621-4295-8B76-F65F5540985B}"/>
            </a:ext>
          </a:extLst>
        </xdr:cNvPr>
        <xdr:cNvSpPr/>
      </xdr:nvSpPr>
      <xdr:spPr>
        <a:xfrm>
          <a:off x="16964025" y="75409425"/>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228600</xdr:colOff>
      <xdr:row>237</xdr:row>
      <xdr:rowOff>495300</xdr:rowOff>
    </xdr:from>
    <xdr:ext cx="361950" cy="361950"/>
    <xdr:pic>
      <xdr:nvPicPr>
        <xdr:cNvPr id="1215" name="Imagen 1214">
          <a:hlinkClick xmlns:r="http://schemas.openxmlformats.org/officeDocument/2006/relationships" r:id="rId169"/>
          <a:extLst>
            <a:ext uri="{FF2B5EF4-FFF2-40B4-BE49-F238E27FC236}">
              <a16:creationId xmlns:a16="http://schemas.microsoft.com/office/drawing/2014/main" id="{505A3DFE-3F82-415D-B4B8-053A29101DA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181813200"/>
          <a:ext cx="361950" cy="361950"/>
        </a:xfrm>
        <a:prstGeom prst="rect">
          <a:avLst/>
        </a:prstGeom>
      </xdr:spPr>
    </xdr:pic>
    <xdr:clientData/>
  </xdr:oneCellAnchor>
  <xdr:twoCellAnchor>
    <xdr:from>
      <xdr:col>12</xdr:col>
      <xdr:colOff>2333625</xdr:colOff>
      <xdr:row>237</xdr:row>
      <xdr:rowOff>628650</xdr:rowOff>
    </xdr:from>
    <xdr:to>
      <xdr:col>12</xdr:col>
      <xdr:colOff>2552700</xdr:colOff>
      <xdr:row>237</xdr:row>
      <xdr:rowOff>857249</xdr:rowOff>
    </xdr:to>
    <xdr:sp macro="" textlink="">
      <xdr:nvSpPr>
        <xdr:cNvPr id="1216" name="Onda 1215">
          <a:hlinkClick xmlns:r="http://schemas.openxmlformats.org/officeDocument/2006/relationships" r:id="rId170"/>
          <a:extLst>
            <a:ext uri="{FF2B5EF4-FFF2-40B4-BE49-F238E27FC236}">
              <a16:creationId xmlns:a16="http://schemas.microsoft.com/office/drawing/2014/main" id="{3033BA2C-5B7D-488F-A4A3-5D48E5CBBCC6}"/>
            </a:ext>
          </a:extLst>
        </xdr:cNvPr>
        <xdr:cNvSpPr/>
      </xdr:nvSpPr>
      <xdr:spPr>
        <a:xfrm>
          <a:off x="16983075" y="181946550"/>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1277408</xdr:colOff>
      <xdr:row>68</xdr:row>
      <xdr:rowOff>618067</xdr:rowOff>
    </xdr:from>
    <xdr:ext cx="295276" cy="295276"/>
    <xdr:pic>
      <xdr:nvPicPr>
        <xdr:cNvPr id="1217" name="Gráfico 1216" descr="Inalámbrico">
          <a:hlinkClick xmlns:r="http://schemas.openxmlformats.org/officeDocument/2006/relationships" r:id="rId64"/>
          <a:extLst>
            <a:ext uri="{FF2B5EF4-FFF2-40B4-BE49-F238E27FC236}">
              <a16:creationId xmlns:a16="http://schemas.microsoft.com/office/drawing/2014/main" id="{EA6DA402-97F7-4C7C-B00E-56C7B485BF7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926858" y="181935967"/>
          <a:ext cx="295276" cy="295276"/>
        </a:xfrm>
        <a:prstGeom prst="rect">
          <a:avLst/>
        </a:prstGeom>
      </xdr:spPr>
    </xdr:pic>
    <xdr:clientData/>
  </xdr:oneCellAnchor>
  <xdr:oneCellAnchor>
    <xdr:from>
      <xdr:col>12</xdr:col>
      <xdr:colOff>228600</xdr:colOff>
      <xdr:row>68</xdr:row>
      <xdr:rowOff>495300</xdr:rowOff>
    </xdr:from>
    <xdr:ext cx="361950" cy="361950"/>
    <xdr:pic>
      <xdr:nvPicPr>
        <xdr:cNvPr id="1218" name="Imagen 1217">
          <a:hlinkClick xmlns:r="http://schemas.openxmlformats.org/officeDocument/2006/relationships" r:id="rId169"/>
          <a:extLst>
            <a:ext uri="{FF2B5EF4-FFF2-40B4-BE49-F238E27FC236}">
              <a16:creationId xmlns:a16="http://schemas.microsoft.com/office/drawing/2014/main" id="{3E22A0BA-DC13-46AD-8DC8-0F947151F757}"/>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78050" y="181813200"/>
          <a:ext cx="361950" cy="361950"/>
        </a:xfrm>
        <a:prstGeom prst="rect">
          <a:avLst/>
        </a:prstGeom>
      </xdr:spPr>
    </xdr:pic>
    <xdr:clientData/>
  </xdr:oneCellAnchor>
  <xdr:twoCellAnchor>
    <xdr:from>
      <xdr:col>12</xdr:col>
      <xdr:colOff>2333625</xdr:colOff>
      <xdr:row>68</xdr:row>
      <xdr:rowOff>628650</xdr:rowOff>
    </xdr:from>
    <xdr:to>
      <xdr:col>12</xdr:col>
      <xdr:colOff>2552700</xdr:colOff>
      <xdr:row>68</xdr:row>
      <xdr:rowOff>857249</xdr:rowOff>
    </xdr:to>
    <xdr:sp macro="" textlink="">
      <xdr:nvSpPr>
        <xdr:cNvPr id="1219" name="Onda 1218">
          <a:hlinkClick xmlns:r="http://schemas.openxmlformats.org/officeDocument/2006/relationships" r:id="rId170"/>
          <a:extLst>
            <a:ext uri="{FF2B5EF4-FFF2-40B4-BE49-F238E27FC236}">
              <a16:creationId xmlns:a16="http://schemas.microsoft.com/office/drawing/2014/main" id="{71F4A358-5284-4D00-B455-74F2E64ADF31}"/>
            </a:ext>
          </a:extLst>
        </xdr:cNvPr>
        <xdr:cNvSpPr/>
      </xdr:nvSpPr>
      <xdr:spPr>
        <a:xfrm>
          <a:off x="16983075" y="181946550"/>
          <a:ext cx="219075" cy="228599"/>
        </a:xfrm>
        <a:prstGeom prst="wav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12</xdr:col>
      <xdr:colOff>171450</xdr:colOff>
      <xdr:row>163</xdr:row>
      <xdr:rowOff>314325</xdr:rowOff>
    </xdr:from>
    <xdr:ext cx="361950" cy="361950"/>
    <xdr:pic>
      <xdr:nvPicPr>
        <xdr:cNvPr id="1039" name="Imagen 1038">
          <a:hlinkClick xmlns:r="http://schemas.openxmlformats.org/officeDocument/2006/relationships" r:id="rId84"/>
          <a:extLst>
            <a:ext uri="{FF2B5EF4-FFF2-40B4-BE49-F238E27FC236}">
              <a16:creationId xmlns:a16="http://schemas.microsoft.com/office/drawing/2014/main" id="{E8C1B5CF-55F1-43DF-AAFA-3E236DC2647A}"/>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20900" y="33851850"/>
          <a:ext cx="361950" cy="361950"/>
        </a:xfrm>
        <a:prstGeom prst="rect">
          <a:avLst/>
        </a:prstGeom>
      </xdr:spPr>
    </xdr:pic>
    <xdr:clientData/>
  </xdr:oneCellAnchor>
  <xdr:oneCellAnchor>
    <xdr:from>
      <xdr:col>12</xdr:col>
      <xdr:colOff>123825</xdr:colOff>
      <xdr:row>164</xdr:row>
      <xdr:rowOff>219075</xdr:rowOff>
    </xdr:from>
    <xdr:ext cx="361950" cy="361950"/>
    <xdr:pic>
      <xdr:nvPicPr>
        <xdr:cNvPr id="1045" name="Imagen 1044">
          <a:hlinkClick xmlns:r="http://schemas.openxmlformats.org/officeDocument/2006/relationships" r:id="rId84"/>
          <a:extLst>
            <a:ext uri="{FF2B5EF4-FFF2-40B4-BE49-F238E27FC236}">
              <a16:creationId xmlns:a16="http://schemas.microsoft.com/office/drawing/2014/main" id="{F441E165-C1E0-4FF4-A540-E9038EC84A0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35166300"/>
          <a:ext cx="361950" cy="361950"/>
        </a:xfrm>
        <a:prstGeom prst="rect">
          <a:avLst/>
        </a:prstGeom>
      </xdr:spPr>
    </xdr:pic>
    <xdr:clientData/>
  </xdr:oneCellAnchor>
  <xdr:oneCellAnchor>
    <xdr:from>
      <xdr:col>12</xdr:col>
      <xdr:colOff>133350</xdr:colOff>
      <xdr:row>224</xdr:row>
      <xdr:rowOff>219075</xdr:rowOff>
    </xdr:from>
    <xdr:ext cx="361950" cy="361950"/>
    <xdr:pic>
      <xdr:nvPicPr>
        <xdr:cNvPr id="1081" name="Imagen 1080">
          <a:hlinkClick xmlns:r="http://schemas.openxmlformats.org/officeDocument/2006/relationships" r:id="rId159"/>
          <a:extLst>
            <a:ext uri="{FF2B5EF4-FFF2-40B4-BE49-F238E27FC236}">
              <a16:creationId xmlns:a16="http://schemas.microsoft.com/office/drawing/2014/main" id="{37223AD3-BDD9-4DA5-AA12-B7CA1830CA7B}"/>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82800" y="54854475"/>
          <a:ext cx="361950" cy="361950"/>
        </a:xfrm>
        <a:prstGeom prst="rect">
          <a:avLst/>
        </a:prstGeom>
      </xdr:spPr>
    </xdr:pic>
    <xdr:clientData/>
  </xdr:oneCellAnchor>
  <xdr:oneCellAnchor>
    <xdr:from>
      <xdr:col>12</xdr:col>
      <xdr:colOff>1193534</xdr:colOff>
      <xdr:row>225</xdr:row>
      <xdr:rowOff>428624</xdr:rowOff>
    </xdr:from>
    <xdr:ext cx="374254" cy="372798"/>
    <xdr:pic>
      <xdr:nvPicPr>
        <xdr:cNvPr id="1106" name="Gráfico 1105" descr="Inalámbrico">
          <a:hlinkClick xmlns:r="http://schemas.openxmlformats.org/officeDocument/2006/relationships" r:id="rId57"/>
          <a:extLst>
            <a:ext uri="{FF2B5EF4-FFF2-40B4-BE49-F238E27FC236}">
              <a16:creationId xmlns:a16="http://schemas.microsoft.com/office/drawing/2014/main" id="{D6F2D23F-FDA2-4166-91CD-55B53F3D56A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2984" y="56473724"/>
          <a:ext cx="374254" cy="372798"/>
        </a:xfrm>
        <a:prstGeom prst="rect">
          <a:avLst/>
        </a:prstGeom>
      </xdr:spPr>
    </xdr:pic>
    <xdr:clientData/>
  </xdr:oneCellAnchor>
  <xdr:oneCellAnchor>
    <xdr:from>
      <xdr:col>12</xdr:col>
      <xdr:colOff>152400</xdr:colOff>
      <xdr:row>225</xdr:row>
      <xdr:rowOff>266700</xdr:rowOff>
    </xdr:from>
    <xdr:ext cx="361950" cy="361950"/>
    <xdr:pic>
      <xdr:nvPicPr>
        <xdr:cNvPr id="1159" name="Imagen 1158">
          <a:hlinkClick xmlns:r="http://schemas.openxmlformats.org/officeDocument/2006/relationships" r:id="rId161"/>
          <a:extLst>
            <a:ext uri="{FF2B5EF4-FFF2-40B4-BE49-F238E27FC236}">
              <a16:creationId xmlns:a16="http://schemas.microsoft.com/office/drawing/2014/main" id="{1F654F44-7A22-4A2D-9F73-CFED592CD53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56311800"/>
          <a:ext cx="361950" cy="361950"/>
        </a:xfrm>
        <a:prstGeom prst="rect">
          <a:avLst/>
        </a:prstGeom>
      </xdr:spPr>
    </xdr:pic>
    <xdr:clientData/>
  </xdr:oneCellAnchor>
  <xdr:oneCellAnchor>
    <xdr:from>
      <xdr:col>12</xdr:col>
      <xdr:colOff>95250</xdr:colOff>
      <xdr:row>226</xdr:row>
      <xdr:rowOff>581025</xdr:rowOff>
    </xdr:from>
    <xdr:ext cx="361950" cy="361950"/>
    <xdr:pic>
      <xdr:nvPicPr>
        <xdr:cNvPr id="1177" name="Imagen 1176">
          <a:hlinkClick xmlns:r="http://schemas.openxmlformats.org/officeDocument/2006/relationships" r:id="rId171"/>
          <a:extLst>
            <a:ext uri="{FF2B5EF4-FFF2-40B4-BE49-F238E27FC236}">
              <a16:creationId xmlns:a16="http://schemas.microsoft.com/office/drawing/2014/main" id="{D2A97DFA-D7B3-4A11-94F9-AF812130E08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44700" y="166125525"/>
          <a:ext cx="361950" cy="361950"/>
        </a:xfrm>
        <a:prstGeom prst="rect">
          <a:avLst/>
        </a:prstGeom>
      </xdr:spPr>
    </xdr:pic>
    <xdr:clientData/>
  </xdr:oneCellAnchor>
  <xdr:oneCellAnchor>
    <xdr:from>
      <xdr:col>12</xdr:col>
      <xdr:colOff>133350</xdr:colOff>
      <xdr:row>54</xdr:row>
      <xdr:rowOff>638175</xdr:rowOff>
    </xdr:from>
    <xdr:ext cx="361950" cy="361950"/>
    <xdr:pic>
      <xdr:nvPicPr>
        <xdr:cNvPr id="1198" name="Imagen 1197">
          <a:hlinkClick xmlns:r="http://schemas.openxmlformats.org/officeDocument/2006/relationships" r:id="rId172"/>
          <a:extLst>
            <a:ext uri="{FF2B5EF4-FFF2-40B4-BE49-F238E27FC236}">
              <a16:creationId xmlns:a16="http://schemas.microsoft.com/office/drawing/2014/main" id="{BF0A82D6-4309-4D3D-9E7A-9CC2EB21FC3C}"/>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82800" y="58092975"/>
          <a:ext cx="361950" cy="361950"/>
        </a:xfrm>
        <a:prstGeom prst="rect">
          <a:avLst/>
        </a:prstGeom>
      </xdr:spPr>
    </xdr:pic>
    <xdr:clientData/>
  </xdr:oneCellAnchor>
  <xdr:oneCellAnchor>
    <xdr:from>
      <xdr:col>12</xdr:col>
      <xdr:colOff>1131358</xdr:colOff>
      <xdr:row>228</xdr:row>
      <xdr:rowOff>255602</xdr:rowOff>
    </xdr:from>
    <xdr:ext cx="411692" cy="410090"/>
    <xdr:pic>
      <xdr:nvPicPr>
        <xdr:cNvPr id="1199" name="Gráfico 1198" descr="Inalámbrico">
          <a:hlinkClick xmlns:r="http://schemas.openxmlformats.org/officeDocument/2006/relationships" r:id="rId41"/>
          <a:extLst>
            <a:ext uri="{FF2B5EF4-FFF2-40B4-BE49-F238E27FC236}">
              <a16:creationId xmlns:a16="http://schemas.microsoft.com/office/drawing/2014/main" id="{E8CBAE28-C5B6-4302-9F5B-86778491403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780808" y="61939502"/>
          <a:ext cx="411692" cy="410090"/>
        </a:xfrm>
        <a:prstGeom prst="rect">
          <a:avLst/>
        </a:prstGeom>
      </xdr:spPr>
    </xdr:pic>
    <xdr:clientData/>
  </xdr:oneCellAnchor>
  <xdr:oneCellAnchor>
    <xdr:from>
      <xdr:col>12</xdr:col>
      <xdr:colOff>1193534</xdr:colOff>
      <xdr:row>227</xdr:row>
      <xdr:rowOff>428624</xdr:rowOff>
    </xdr:from>
    <xdr:ext cx="374254" cy="372798"/>
    <xdr:pic>
      <xdr:nvPicPr>
        <xdr:cNvPr id="1200" name="Gráfico 1199" descr="Inalámbrico">
          <a:hlinkClick xmlns:r="http://schemas.openxmlformats.org/officeDocument/2006/relationships" r:id="rId57"/>
          <a:extLst>
            <a:ext uri="{FF2B5EF4-FFF2-40B4-BE49-F238E27FC236}">
              <a16:creationId xmlns:a16="http://schemas.microsoft.com/office/drawing/2014/main" id="{9307C99A-1BE3-49CC-AB72-56183192248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842984" y="60702824"/>
          <a:ext cx="374254" cy="372798"/>
        </a:xfrm>
        <a:prstGeom prst="rect">
          <a:avLst/>
        </a:prstGeom>
      </xdr:spPr>
    </xdr:pic>
    <xdr:clientData/>
  </xdr:oneCellAnchor>
  <xdr:oneCellAnchor>
    <xdr:from>
      <xdr:col>12</xdr:col>
      <xdr:colOff>152400</xdr:colOff>
      <xdr:row>227</xdr:row>
      <xdr:rowOff>266700</xdr:rowOff>
    </xdr:from>
    <xdr:ext cx="361950" cy="361950"/>
    <xdr:pic>
      <xdr:nvPicPr>
        <xdr:cNvPr id="1220" name="Imagen 1219">
          <a:hlinkClick xmlns:r="http://schemas.openxmlformats.org/officeDocument/2006/relationships" r:id="rId161"/>
          <a:extLst>
            <a:ext uri="{FF2B5EF4-FFF2-40B4-BE49-F238E27FC236}">
              <a16:creationId xmlns:a16="http://schemas.microsoft.com/office/drawing/2014/main" id="{F3EEA95F-082C-4193-9B8B-C86F25A3D0C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01850" y="60540900"/>
          <a:ext cx="361950" cy="361950"/>
        </a:xfrm>
        <a:prstGeom prst="rect">
          <a:avLst/>
        </a:prstGeom>
      </xdr:spPr>
    </xdr:pic>
    <xdr:clientData/>
  </xdr:oneCellAnchor>
  <xdr:oneCellAnchor>
    <xdr:from>
      <xdr:col>12</xdr:col>
      <xdr:colOff>123825</xdr:colOff>
      <xdr:row>228</xdr:row>
      <xdr:rowOff>247650</xdr:rowOff>
    </xdr:from>
    <xdr:ext cx="361950" cy="361950"/>
    <xdr:pic>
      <xdr:nvPicPr>
        <xdr:cNvPr id="1221" name="Imagen 1220">
          <a:hlinkClick xmlns:r="http://schemas.openxmlformats.org/officeDocument/2006/relationships" r:id="rId162"/>
          <a:extLst>
            <a:ext uri="{FF2B5EF4-FFF2-40B4-BE49-F238E27FC236}">
              <a16:creationId xmlns:a16="http://schemas.microsoft.com/office/drawing/2014/main" id="{A6DA3652-B71C-43F8-A797-5F3FE5FE7BF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773275" y="61931550"/>
          <a:ext cx="361950" cy="361950"/>
        </a:xfrm>
        <a:prstGeom prst="rect">
          <a:avLst/>
        </a:prstGeom>
      </xdr:spPr>
    </xdr:pic>
    <xdr:clientData/>
  </xdr:oneCellAnchor>
  <xdr:oneCellAnchor>
    <xdr:from>
      <xdr:col>12</xdr:col>
      <xdr:colOff>180975</xdr:colOff>
      <xdr:row>230</xdr:row>
      <xdr:rowOff>219075</xdr:rowOff>
    </xdr:from>
    <xdr:ext cx="361950" cy="361950"/>
    <xdr:pic>
      <xdr:nvPicPr>
        <xdr:cNvPr id="1222" name="Imagen 1221">
          <a:hlinkClick xmlns:r="http://schemas.openxmlformats.org/officeDocument/2006/relationships" r:id="rId163"/>
          <a:extLst>
            <a:ext uri="{FF2B5EF4-FFF2-40B4-BE49-F238E27FC236}">
              <a16:creationId xmlns:a16="http://schemas.microsoft.com/office/drawing/2014/main" id="{08BEFF53-2A1B-409E-8D5A-307222919B1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0425" y="67113150"/>
          <a:ext cx="361950" cy="361950"/>
        </a:xfrm>
        <a:prstGeom prst="rect">
          <a:avLst/>
        </a:prstGeom>
      </xdr:spPr>
    </xdr:pic>
    <xdr:clientData/>
  </xdr:oneCellAnchor>
  <xdr:oneCellAnchor>
    <xdr:from>
      <xdr:col>12</xdr:col>
      <xdr:colOff>180975</xdr:colOff>
      <xdr:row>230</xdr:row>
      <xdr:rowOff>828675</xdr:rowOff>
    </xdr:from>
    <xdr:ext cx="361950" cy="361950"/>
    <xdr:pic>
      <xdr:nvPicPr>
        <xdr:cNvPr id="1223" name="Imagen 1222">
          <a:hlinkClick xmlns:r="http://schemas.openxmlformats.org/officeDocument/2006/relationships" r:id="rId164"/>
          <a:extLst>
            <a:ext uri="{FF2B5EF4-FFF2-40B4-BE49-F238E27FC236}">
              <a16:creationId xmlns:a16="http://schemas.microsoft.com/office/drawing/2014/main" id="{9651013D-54D1-44F5-9436-69E1B60DBB7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4830425" y="67722750"/>
          <a:ext cx="361950" cy="361950"/>
        </a:xfrm>
        <a:prstGeom prst="rect">
          <a:avLst/>
        </a:prstGeom>
      </xdr:spPr>
    </xdr:pic>
    <xdr:clientData/>
  </xdr:oneCellAnchor>
  <xdr:oneCellAnchor>
    <xdr:from>
      <xdr:col>13</xdr:col>
      <xdr:colOff>650345</xdr:colOff>
      <xdr:row>368</xdr:row>
      <xdr:rowOff>962819</xdr:rowOff>
    </xdr:from>
    <xdr:ext cx="295276" cy="295276"/>
    <xdr:pic>
      <xdr:nvPicPr>
        <xdr:cNvPr id="1224" name="Gráfico 1223" descr="Inalámbrico">
          <a:hlinkClick xmlns:r="http://schemas.openxmlformats.org/officeDocument/2006/relationships" r:id="rId66"/>
          <a:extLst>
            <a:ext uri="{FF2B5EF4-FFF2-40B4-BE49-F238E27FC236}">
              <a16:creationId xmlns:a16="http://schemas.microsoft.com/office/drawing/2014/main" id="{321C7306-116E-45D4-A64B-9BDF86C89C7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140626" y="309632350"/>
          <a:ext cx="295276" cy="295276"/>
        </a:xfrm>
        <a:prstGeom prst="rect">
          <a:avLst/>
        </a:prstGeom>
      </xdr:spPr>
    </xdr:pic>
    <xdr:clientData/>
  </xdr:oneCellAnchor>
  <xdr:oneCellAnchor>
    <xdr:from>
      <xdr:col>12</xdr:col>
      <xdr:colOff>1628775</xdr:colOff>
      <xdr:row>369</xdr:row>
      <xdr:rowOff>571500</xdr:rowOff>
    </xdr:from>
    <xdr:ext cx="391583" cy="395432"/>
    <xdr:pic>
      <xdr:nvPicPr>
        <xdr:cNvPr id="1225" name="Gráfico 1224" descr="Hogar">
          <a:hlinkClick xmlns:r="http://schemas.openxmlformats.org/officeDocument/2006/relationships" r:id="rId173"/>
          <a:extLst>
            <a:ext uri="{FF2B5EF4-FFF2-40B4-BE49-F238E27FC236}">
              <a16:creationId xmlns:a16="http://schemas.microsoft.com/office/drawing/2014/main" id="{6BC33A09-5DAB-4CF4-A049-CB9F921AB5C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297275" y="315622781"/>
          <a:ext cx="391583" cy="395432"/>
        </a:xfrm>
        <a:prstGeom prst="rect">
          <a:avLst/>
        </a:prstGeom>
      </xdr:spPr>
    </xdr:pic>
    <xdr:clientData/>
  </xdr:oneCellAnchor>
  <xdr:oneCellAnchor>
    <xdr:from>
      <xdr:col>12</xdr:col>
      <xdr:colOff>2057400</xdr:colOff>
      <xdr:row>369</xdr:row>
      <xdr:rowOff>590550</xdr:rowOff>
    </xdr:from>
    <xdr:ext cx="452966" cy="448733"/>
    <xdr:pic>
      <xdr:nvPicPr>
        <xdr:cNvPr id="1226" name="Gráfico 1225" descr="Inalámbrico">
          <a:hlinkClick xmlns:r="http://schemas.openxmlformats.org/officeDocument/2006/relationships" r:id="rId126"/>
          <a:extLst>
            <a:ext uri="{FF2B5EF4-FFF2-40B4-BE49-F238E27FC236}">
              <a16:creationId xmlns:a16="http://schemas.microsoft.com/office/drawing/2014/main" id="{89BC54D6-BDCF-4838-81B4-7686FEB8F70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725900" y="315641831"/>
          <a:ext cx="452966" cy="448733"/>
        </a:xfrm>
        <a:prstGeom prst="rect">
          <a:avLst/>
        </a:prstGeom>
      </xdr:spPr>
    </xdr:pic>
    <xdr:clientData/>
  </xdr:oneCellAnchor>
  <xdr:oneCellAnchor>
    <xdr:from>
      <xdr:col>9</xdr:col>
      <xdr:colOff>355599</xdr:colOff>
      <xdr:row>369</xdr:row>
      <xdr:rowOff>425450</xdr:rowOff>
    </xdr:from>
    <xdr:ext cx="1771651" cy="303353"/>
    <mc:AlternateContent xmlns:mc="http://schemas.openxmlformats.org/markup-compatibility/2006" xmlns:a14="http://schemas.microsoft.com/office/drawing/2010/main">
      <mc:Choice Requires="a14">
        <xdr:sp macro="" textlink="">
          <xdr:nvSpPr>
            <xdr:cNvPr id="1227" name="CuadroTexto 1226">
              <a:extLst>
                <a:ext uri="{FF2B5EF4-FFF2-40B4-BE49-F238E27FC236}">
                  <a16:creationId xmlns:a16="http://schemas.microsoft.com/office/drawing/2014/main" id="{4EA6358B-B4F4-4367-8C5C-86434DFDD357}"/>
                </a:ext>
              </a:extLst>
            </xdr:cNvPr>
            <xdr:cNvSpPr txBox="1"/>
          </xdr:nvSpPr>
          <xdr:spPr>
            <a:xfrm>
              <a:off x="10182224" y="311702450"/>
              <a:ext cx="1771651" cy="303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14:m>
                <m:oMath xmlns:m="http://schemas.openxmlformats.org/officeDocument/2006/math">
                  <m:r>
                    <a:rPr lang="es-MX" sz="800" i="1">
                      <a:latin typeface="Cambria Math" panose="02040503050406030204" pitchFamily="18" charset="0"/>
                    </a:rPr>
                    <m:t>=</m:t>
                  </m:r>
                  <m:r>
                    <a:rPr lang="es-MX" sz="800" b="0" i="1">
                      <a:latin typeface="Cambria Math" panose="02040503050406030204" pitchFamily="18" charset="0"/>
                    </a:rPr>
                    <m:t>8,455.31</m:t>
                  </m:r>
                  <m:f>
                    <m:fPr>
                      <m:ctrlPr>
                        <a:rPr lang="es-MX" sz="800" i="1">
                          <a:solidFill>
                            <a:schemeClr val="tx1"/>
                          </a:solidFill>
                          <a:effectLst/>
                          <a:latin typeface="Cambria Math" panose="02040503050406030204" pitchFamily="18" charset="0"/>
                          <a:ea typeface="+mn-ea"/>
                          <a:cs typeface="+mn-cs"/>
                        </a:rPr>
                      </m:ctrlPr>
                    </m:fPr>
                    <m:num>
                      <m:r>
                        <a:rPr lang="es-MX" sz="800" b="0" i="1">
                          <a:solidFill>
                            <a:schemeClr val="tx1"/>
                          </a:solidFill>
                          <a:effectLst/>
                          <a:latin typeface="Cambria Math" panose="02040503050406030204" pitchFamily="18" charset="0"/>
                          <a:ea typeface="+mn-ea"/>
                          <a:cs typeface="+mn-cs"/>
                        </a:rPr>
                        <m:t>𝐾𝐺𝐶𝑂</m:t>
                      </m:r>
                      <m:r>
                        <a:rPr lang="es-MX" sz="800" b="0" i="1">
                          <a:solidFill>
                            <a:schemeClr val="tx1"/>
                          </a:solidFill>
                          <a:effectLst/>
                          <a:latin typeface="Cambria Math" panose="02040503050406030204" pitchFamily="18" charset="0"/>
                          <a:ea typeface="+mn-ea"/>
                          <a:cs typeface="+mn-cs"/>
                        </a:rPr>
                        <m:t>2</m:t>
                      </m:r>
                    </m:num>
                    <m:den>
                      <m:r>
                        <a:rPr lang="es-MX" sz="800" b="0" i="0">
                          <a:solidFill>
                            <a:schemeClr val="tx1"/>
                          </a:solidFill>
                          <a:effectLst/>
                          <a:latin typeface="Cambria Math" panose="02040503050406030204" pitchFamily="18" charset="0"/>
                          <a:ea typeface="+mn-ea"/>
                          <a:cs typeface="+mn-cs"/>
                        </a:rPr>
                        <m:t>1</m:t>
                      </m:r>
                      <m:r>
                        <m:rPr>
                          <m:sty m:val="p"/>
                        </m:rPr>
                        <a:rPr lang="es-MX" sz="800" b="0" i="0">
                          <a:solidFill>
                            <a:schemeClr val="tx1"/>
                          </a:solidFill>
                          <a:effectLst/>
                          <a:latin typeface="Cambria Math" panose="02040503050406030204" pitchFamily="18" charset="0"/>
                          <a:ea typeface="+mn-ea"/>
                          <a:cs typeface="+mn-cs"/>
                        </a:rPr>
                        <m:t>ton</m:t>
                      </m:r>
                    </m:den>
                  </m:f>
                  <m:r>
                    <a:rPr lang="es-MX" sz="800" b="0" i="1">
                      <a:latin typeface="Cambria Math" panose="02040503050406030204" pitchFamily="18" charset="0"/>
                    </a:rPr>
                    <m:t> </m:t>
                  </m:r>
                  <m:r>
                    <a:rPr lang="es-MX" sz="800" b="0" i="0">
                      <a:latin typeface="Cambria Math" panose="02040503050406030204" pitchFamily="18" charset="0"/>
                    </a:rPr>
                    <m:t>−</m:t>
                  </m:r>
                  <m:r>
                    <a:rPr lang="es-MX" sz="800" b="0" i="1">
                      <a:latin typeface="Cambria Math" panose="02040503050406030204" pitchFamily="18" charset="0"/>
                    </a:rPr>
                    <m:t>526.71</m:t>
                  </m:r>
                  <m:f>
                    <m:fPr>
                      <m:ctrlPr>
                        <a:rPr lang="es-MX" sz="800" i="1">
                          <a:solidFill>
                            <a:schemeClr val="tx1"/>
                          </a:solidFill>
                          <a:effectLst/>
                          <a:latin typeface="Cambria Math" panose="02040503050406030204" pitchFamily="18" charset="0"/>
                          <a:ea typeface="+mn-ea"/>
                          <a:cs typeface="+mn-cs"/>
                        </a:rPr>
                      </m:ctrlPr>
                    </m:fPr>
                    <m:num>
                      <m:r>
                        <m:rPr>
                          <m:sty m:val="p"/>
                        </m:rPr>
                        <a:rPr lang="es-MX" sz="800" b="0" i="0">
                          <a:solidFill>
                            <a:schemeClr val="tx1"/>
                          </a:solidFill>
                          <a:effectLst/>
                          <a:latin typeface="Cambria Math" panose="02040503050406030204" pitchFamily="18" charset="0"/>
                          <a:ea typeface="+mn-ea"/>
                          <a:cs typeface="+mn-cs"/>
                        </a:rPr>
                        <m:t>KGCO</m:t>
                      </m:r>
                      <m:r>
                        <a:rPr lang="es-MX" sz="800" b="0" i="0">
                          <a:solidFill>
                            <a:schemeClr val="tx1"/>
                          </a:solidFill>
                          <a:effectLst/>
                          <a:latin typeface="Cambria Math" panose="02040503050406030204" pitchFamily="18" charset="0"/>
                          <a:ea typeface="+mn-ea"/>
                          <a:cs typeface="+mn-cs"/>
                        </a:rPr>
                        <m:t>2</m:t>
                      </m:r>
                    </m:num>
                    <m:den>
                      <m:r>
                        <a:rPr lang="es-MX" sz="800" b="0" i="1">
                          <a:solidFill>
                            <a:schemeClr val="tx1"/>
                          </a:solidFill>
                          <a:effectLst/>
                          <a:latin typeface="Cambria Math" panose="02040503050406030204" pitchFamily="18" charset="0"/>
                          <a:ea typeface="+mn-ea"/>
                          <a:cs typeface="+mn-cs"/>
                        </a:rPr>
                        <m:t>1</m:t>
                      </m:r>
                      <m:r>
                        <a:rPr lang="es-MX" sz="800" b="0" i="1">
                          <a:solidFill>
                            <a:schemeClr val="tx1"/>
                          </a:solidFill>
                          <a:effectLst/>
                          <a:latin typeface="Cambria Math" panose="02040503050406030204" pitchFamily="18" charset="0"/>
                          <a:ea typeface="+mn-ea"/>
                          <a:cs typeface="+mn-cs"/>
                        </a:rPr>
                        <m:t>𝑇𝑜𝑛</m:t>
                      </m:r>
                    </m:den>
                  </m:f>
                  <m:r>
                    <a:rPr lang="es-MX" sz="800" b="0" i="1">
                      <a:solidFill>
                        <a:schemeClr val="tx1"/>
                      </a:solidFill>
                      <a:effectLst/>
                      <a:latin typeface="Cambria Math" panose="02040503050406030204" pitchFamily="18" charset="0"/>
                      <a:ea typeface="+mn-ea"/>
                      <a:cs typeface="+mn-cs"/>
                    </a:rPr>
                    <m:t>=7928.6</m:t>
                  </m:r>
                </m:oMath>
              </a14:m>
              <a:endParaRPr lang="es-MX" sz="800"/>
            </a:p>
          </xdr:txBody>
        </xdr:sp>
      </mc:Choice>
      <mc:Fallback xmlns="">
        <xdr:sp macro="" textlink="">
          <xdr:nvSpPr>
            <xdr:cNvPr id="1227" name="CuadroTexto 1226">
              <a:extLst>
                <a:ext uri="{FF2B5EF4-FFF2-40B4-BE49-F238E27FC236}">
                  <a16:creationId xmlns:a16="http://schemas.microsoft.com/office/drawing/2014/main" id="{4EA6358B-B4F4-4367-8C5C-86434DFDD357}"/>
                </a:ext>
              </a:extLst>
            </xdr:cNvPr>
            <xdr:cNvSpPr txBox="1"/>
          </xdr:nvSpPr>
          <xdr:spPr>
            <a:xfrm>
              <a:off x="10182224" y="311702450"/>
              <a:ext cx="1771651" cy="303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800"/>
                <a:t>CO2</a:t>
              </a:r>
              <a:r>
                <a:rPr lang="es-MX" sz="800" i="0">
                  <a:latin typeface="Cambria Math" panose="02040503050406030204" pitchFamily="18" charset="0"/>
                </a:rPr>
                <a:t>=</a:t>
              </a:r>
              <a:r>
                <a:rPr lang="es-MX" sz="800" b="0" i="0">
                  <a:latin typeface="Cambria Math" panose="02040503050406030204" pitchFamily="18" charset="0"/>
                </a:rPr>
                <a:t>8,455.31</a:t>
              </a:r>
              <a:r>
                <a:rPr lang="es-MX" sz="800" b="0" i="0">
                  <a:solidFill>
                    <a:schemeClr val="tx1"/>
                  </a:solidFill>
                  <a:effectLst/>
                  <a:latin typeface="Cambria Math" panose="02040503050406030204" pitchFamily="18" charset="0"/>
                  <a:ea typeface="+mn-ea"/>
                  <a:cs typeface="+mn-cs"/>
                </a:rPr>
                <a:t> 𝐾𝐺𝐶𝑂2/1ton </a:t>
              </a:r>
              <a:r>
                <a:rPr lang="es-MX" sz="800" b="0" i="0">
                  <a:latin typeface="Cambria Math" panose="02040503050406030204" pitchFamily="18" charset="0"/>
                </a:rPr>
                <a:t> −526.71</a:t>
              </a:r>
              <a:r>
                <a:rPr lang="es-MX" sz="800" b="0" i="0">
                  <a:solidFill>
                    <a:schemeClr val="tx1"/>
                  </a:solidFill>
                  <a:effectLst/>
                  <a:latin typeface="Cambria Math" panose="02040503050406030204" pitchFamily="18" charset="0"/>
                  <a:ea typeface="+mn-ea"/>
                  <a:cs typeface="+mn-cs"/>
                </a:rPr>
                <a:t> KGCO2/1𝑇𝑜𝑛=7928.6</a:t>
              </a:r>
              <a:endParaRPr lang="es-MX" sz="800"/>
            </a:p>
          </xdr:txBody>
        </xdr:sp>
      </mc:Fallback>
    </mc:AlternateContent>
    <xdr:clientData/>
  </xdr:oneCellAnchor>
  <xdr:oneCellAnchor>
    <xdr:from>
      <xdr:col>9</xdr:col>
      <xdr:colOff>381000</xdr:colOff>
      <xdr:row>369</xdr:row>
      <xdr:rowOff>1139825</xdr:rowOff>
    </xdr:from>
    <xdr:ext cx="1459441" cy="172227"/>
    <mc:AlternateContent xmlns:mc="http://schemas.openxmlformats.org/markup-compatibility/2006" xmlns:a14="http://schemas.microsoft.com/office/drawing/2010/main">
      <mc:Choice Requires="a14">
        <xdr:sp macro="" textlink="">
          <xdr:nvSpPr>
            <xdr:cNvPr id="1228" name="CuadroTexto 1227">
              <a:extLst>
                <a:ext uri="{FF2B5EF4-FFF2-40B4-BE49-F238E27FC236}">
                  <a16:creationId xmlns:a16="http://schemas.microsoft.com/office/drawing/2014/main" id="{10D02E1A-FD6E-4333-B82A-9364F674A46B}"/>
                </a:ext>
              </a:extLst>
            </xdr:cNvPr>
            <xdr:cNvSpPr txBox="1"/>
          </xdr:nvSpPr>
          <xdr:spPr>
            <a:xfrm>
              <a:off x="10207625" y="312416825"/>
              <a:ext cx="14594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i="0">
                  <a:latin typeface="+mn-lt"/>
                </a:rPr>
                <a:t>KGCO2</a:t>
              </a:r>
              <a14:m>
                <m:oMath xmlns:m="http://schemas.openxmlformats.org/officeDocument/2006/math">
                  <m:r>
                    <a:rPr lang="es-MX" sz="1100" i="1">
                      <a:latin typeface="Cambria Math" panose="02040503050406030204" pitchFamily="18" charset="0"/>
                    </a:rPr>
                    <m:t>=</m:t>
                  </m:r>
                  <m:r>
                    <a:rPr lang="es-MX" sz="1100" b="0" i="1">
                      <a:latin typeface="Cambria Math" panose="02040503050406030204" pitchFamily="18" charset="0"/>
                    </a:rPr>
                    <m:t>7,928.6 </m:t>
                  </m:r>
                </m:oMath>
              </a14:m>
              <a:r>
                <a:rPr lang="es-MX" sz="1100"/>
                <a:t>=94%</a:t>
              </a:r>
            </a:p>
          </xdr:txBody>
        </xdr:sp>
      </mc:Choice>
      <mc:Fallback xmlns="">
        <xdr:sp macro="" textlink="">
          <xdr:nvSpPr>
            <xdr:cNvPr id="1228" name="CuadroTexto 1227">
              <a:extLst>
                <a:ext uri="{FF2B5EF4-FFF2-40B4-BE49-F238E27FC236}">
                  <a16:creationId xmlns:a16="http://schemas.microsoft.com/office/drawing/2014/main" id="{10D02E1A-FD6E-4333-B82A-9364F674A46B}"/>
                </a:ext>
              </a:extLst>
            </xdr:cNvPr>
            <xdr:cNvSpPr txBox="1"/>
          </xdr:nvSpPr>
          <xdr:spPr>
            <a:xfrm>
              <a:off x="10207625" y="312416825"/>
              <a:ext cx="14594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i="0">
                  <a:latin typeface="+mn-lt"/>
                </a:rPr>
                <a:t>KGCO2</a:t>
              </a:r>
              <a:r>
                <a:rPr lang="es-MX" sz="1100" i="0">
                  <a:latin typeface="Cambria Math" panose="02040503050406030204" pitchFamily="18" charset="0"/>
                </a:rPr>
                <a:t>=</a:t>
              </a:r>
              <a:r>
                <a:rPr lang="es-MX" sz="1100" b="0" i="0">
                  <a:latin typeface="Cambria Math" panose="02040503050406030204" pitchFamily="18" charset="0"/>
                </a:rPr>
                <a:t>7,928.6 </a:t>
              </a:r>
              <a:r>
                <a:rPr lang="es-MX" sz="1100"/>
                <a:t>=94%</a:t>
              </a:r>
            </a:p>
          </xdr:txBody>
        </xdr:sp>
      </mc:Fallback>
    </mc:AlternateContent>
    <xdr:clientData/>
  </xdr:oneCellAnchor>
  <xdr:oneCellAnchor>
    <xdr:from>
      <xdr:col>10</xdr:col>
      <xdr:colOff>166687</xdr:colOff>
      <xdr:row>369</xdr:row>
      <xdr:rowOff>676275</xdr:rowOff>
    </xdr:from>
    <xdr:ext cx="1785937" cy="1121589"/>
    <mc:AlternateContent xmlns:mc="http://schemas.openxmlformats.org/markup-compatibility/2006" xmlns:a14="http://schemas.microsoft.com/office/drawing/2010/main">
      <mc:Choice Requires="a14">
        <xdr:sp macro="" textlink="">
          <xdr:nvSpPr>
            <xdr:cNvPr id="1229" name="CuadroTexto 1228">
              <a:extLst>
                <a:ext uri="{FF2B5EF4-FFF2-40B4-BE49-F238E27FC236}">
                  <a16:creationId xmlns:a16="http://schemas.microsoft.com/office/drawing/2014/main" id="{FA6F3B48-23F1-4AEA-881A-C358E16CF195}"/>
                </a:ext>
              </a:extLst>
            </xdr:cNvPr>
            <xdr:cNvSpPr txBox="1"/>
          </xdr:nvSpPr>
          <xdr:spPr>
            <a:xfrm>
              <a:off x="10846593" y="315727556"/>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𝐴𝑙𝑢</m:t>
                    </m:r>
                    <m:r>
                      <a:rPr lang="es-MX" sz="1050" b="0" i="1">
                        <a:latin typeface="Cambria Math" panose="02040503050406030204" pitchFamily="18" charset="0"/>
                      </a:rPr>
                      <m:t>=7.9</m:t>
                    </m:r>
                    <m:f>
                      <m:fPr>
                        <m:ctrlPr>
                          <a:rPr lang="es-MX" sz="1050" i="1">
                            <a:solidFill>
                              <a:schemeClr val="tx1"/>
                            </a:solidFill>
                            <a:effectLst/>
                            <a:latin typeface="Cambria Math" panose="02040503050406030204" pitchFamily="18" charset="0"/>
                            <a:ea typeface="+mn-ea"/>
                            <a:cs typeface="+mn-cs"/>
                          </a:rPr>
                        </m:ctrlPr>
                      </m:fPr>
                      <m:num>
                        <m:r>
                          <m:rPr>
                            <m:sty m:val="p"/>
                          </m:rPr>
                          <a:rPr lang="es-MX" sz="1050" b="0" i="0">
                            <a:solidFill>
                              <a:schemeClr val="tx1"/>
                            </a:solidFill>
                            <a:effectLst/>
                            <a:latin typeface="Cambria Math" panose="02040503050406030204" pitchFamily="18" charset="0"/>
                            <a:ea typeface="+mn-ea"/>
                            <a:cs typeface="+mn-cs"/>
                          </a:rPr>
                          <m:t>kg</m:t>
                        </m:r>
                      </m:num>
                      <m:den>
                        <m:r>
                          <m:rPr>
                            <m:sty m:val="p"/>
                          </m:rPr>
                          <a:rPr lang="es-MX" sz="1050" b="0" i="0">
                            <a:solidFill>
                              <a:schemeClr val="tx1"/>
                            </a:solidFill>
                            <a:effectLst/>
                            <a:latin typeface="Cambria Math" panose="02040503050406030204" pitchFamily="18" charset="0"/>
                            <a:ea typeface="+mn-ea"/>
                            <a:cs typeface="+mn-cs"/>
                          </a:rPr>
                          <m:t>C</m:t>
                        </m:r>
                        <m:r>
                          <a:rPr lang="es-MX" sz="1050" b="0" i="1">
                            <a:solidFill>
                              <a:schemeClr val="tx1"/>
                            </a:solidFill>
                            <a:effectLst/>
                            <a:latin typeface="Cambria Math" panose="02040503050406030204" pitchFamily="18" charset="0"/>
                            <a:ea typeface="+mn-ea"/>
                            <a:cs typeface="+mn-cs"/>
                          </a:rPr>
                          <m:t>𝑜</m:t>
                        </m:r>
                        <m:r>
                          <a:rPr lang="es-MX" sz="1050" b="0" i="1">
                            <a:solidFill>
                              <a:schemeClr val="tx1"/>
                            </a:solidFill>
                            <a:effectLst/>
                            <a:latin typeface="Cambria Math" panose="02040503050406030204" pitchFamily="18" charset="0"/>
                            <a:ea typeface="+mn-ea"/>
                            <a:cs typeface="+mn-cs"/>
                          </a:rPr>
                          <m:t>2</m:t>
                        </m:r>
                        <m:r>
                          <a:rPr lang="es-MX" sz="1050" b="0" i="1">
                            <a:solidFill>
                              <a:schemeClr val="tx1"/>
                            </a:solidFill>
                            <a:effectLst/>
                            <a:latin typeface="Cambria Math" panose="02040503050406030204" pitchFamily="18" charset="0"/>
                            <a:ea typeface="+mn-ea"/>
                            <a:cs typeface="+mn-cs"/>
                          </a:rPr>
                          <m:t>𝑒</m:t>
                        </m:r>
                      </m:den>
                    </m:f>
                  </m:oMath>
                </m:oMathPara>
              </a14:m>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𝑇𝑜𝑛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𝐴𝑙𝑢</m:t>
                    </m:r>
                    <m:r>
                      <a:rPr lang="es-MX" sz="1100" b="0" i="1">
                        <a:solidFill>
                          <a:schemeClr val="tx1"/>
                        </a:solidFill>
                        <a:effectLst/>
                        <a:latin typeface="Cambria Math" panose="02040503050406030204" pitchFamily="18" charset="0"/>
                        <a:ea typeface="+mn-ea"/>
                        <a:cs typeface="+mn-cs"/>
                      </a:rPr>
                      <m:t>=7,928</m:t>
                    </m:r>
                    <m:f>
                      <m:fPr>
                        <m:ctrlPr>
                          <a:rPr lang="es-MX" sz="1100" i="1">
                            <a:solidFill>
                              <a:schemeClr val="tx1"/>
                            </a:solidFill>
                            <a:effectLst/>
                            <a:latin typeface="Cambria Math" panose="02040503050406030204" pitchFamily="18" charset="0"/>
                            <a:ea typeface="+mn-ea"/>
                            <a:cs typeface="+mn-cs"/>
                          </a:rPr>
                        </m:ctrlPr>
                      </m:fPr>
                      <m:num>
                        <m:r>
                          <m:rPr>
                            <m:sty m:val="p"/>
                          </m:rPr>
                          <a:rPr lang="es-MX" sz="1100" b="0" i="0">
                            <a:solidFill>
                              <a:schemeClr val="tx1"/>
                            </a:solidFill>
                            <a:effectLst/>
                            <a:latin typeface="Cambria Math" panose="02040503050406030204" pitchFamily="18" charset="0"/>
                            <a:ea typeface="+mn-ea"/>
                            <a:cs typeface="+mn-cs"/>
                          </a:rPr>
                          <m:t>kg</m:t>
                        </m:r>
                      </m:num>
                      <m:den>
                        <m:r>
                          <m:rPr>
                            <m:sty m:val="p"/>
                          </m:rPr>
                          <a:rPr lang="es-MX" sz="1100" b="0" i="0">
                            <a:solidFill>
                              <a:schemeClr val="tx1"/>
                            </a:solidFill>
                            <a:effectLst/>
                            <a:latin typeface="Cambria Math" panose="02040503050406030204" pitchFamily="18" charset="0"/>
                            <a:ea typeface="+mn-ea"/>
                            <a:cs typeface="+mn-cs"/>
                          </a:rPr>
                          <m:t>C</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2</m:t>
                        </m:r>
                        <m:r>
                          <a:rPr lang="es-MX" sz="1100" b="0" i="1">
                            <a:solidFill>
                              <a:schemeClr val="tx1"/>
                            </a:solidFill>
                            <a:effectLst/>
                            <a:latin typeface="Cambria Math" panose="02040503050406030204" pitchFamily="18" charset="0"/>
                            <a:ea typeface="+mn-ea"/>
                            <a:cs typeface="+mn-cs"/>
                          </a:rPr>
                          <m:t>𝑒</m:t>
                        </m:r>
                      </m:den>
                    </m:f>
                  </m:oMath>
                </m:oMathPara>
              </a14:m>
              <a:endParaRPr lang="es-MX" sz="1050">
                <a:effectLst/>
              </a:endParaRPr>
            </a:p>
            <a:p>
              <a:endParaRPr lang="es-MX" sz="1050" b="0"/>
            </a:p>
          </xdr:txBody>
        </xdr:sp>
      </mc:Choice>
      <mc:Fallback xmlns="">
        <xdr:sp macro="" textlink="">
          <xdr:nvSpPr>
            <xdr:cNvPr id="1229" name="CuadroTexto 1228">
              <a:extLst>
                <a:ext uri="{FF2B5EF4-FFF2-40B4-BE49-F238E27FC236}">
                  <a16:creationId xmlns:a16="http://schemas.microsoft.com/office/drawing/2014/main" id="{FA6F3B48-23F1-4AEA-881A-C358E16CF195}"/>
                </a:ext>
              </a:extLst>
            </xdr:cNvPr>
            <xdr:cNvSpPr txBox="1"/>
          </xdr:nvSpPr>
          <xdr:spPr>
            <a:xfrm>
              <a:off x="10846593" y="315727556"/>
              <a:ext cx="1785937" cy="1121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050" b="0" i="0">
                  <a:latin typeface="Cambria Math" panose="02040503050406030204" pitchFamily="18" charset="0"/>
                </a:rPr>
                <a:t>1 𝑘𝑔 𝐴𝑙𝑢=7.9</a:t>
              </a:r>
              <a:r>
                <a:rPr lang="es-MX" sz="1050" b="0" i="0">
                  <a:solidFill>
                    <a:schemeClr val="tx1"/>
                  </a:solidFill>
                  <a:effectLst/>
                  <a:latin typeface="Cambria Math" panose="02040503050406030204" pitchFamily="18" charset="0"/>
                  <a:ea typeface="+mn-ea"/>
                  <a:cs typeface="+mn-cs"/>
                </a:rPr>
                <a:t> kg/C𝑜2𝑒</a:t>
              </a:r>
              <a:endParaRPr lang="es-MX" sz="1050" b="0"/>
            </a:p>
            <a:p>
              <a:endParaRPr lang="es-MX" sz="1050" b="0"/>
            </a:p>
            <a:p>
              <a:endParaRPr lang="es-MX" sz="1050" b="0"/>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𝑇𝑜𝑛 𝐴𝑙𝑢=7,928 kg/C𝑜2𝑒</a:t>
              </a:r>
              <a:endParaRPr lang="es-MX" sz="1050">
                <a:effectLst/>
              </a:endParaRPr>
            </a:p>
            <a:p>
              <a:endParaRPr lang="es-MX" sz="1050" b="0"/>
            </a:p>
          </xdr:txBody>
        </xdr:sp>
      </mc:Fallback>
    </mc:AlternateContent>
    <xdr:clientData/>
  </xdr:oneCellAnchor>
  <xdr:oneCellAnchor>
    <xdr:from>
      <xdr:col>12</xdr:col>
      <xdr:colOff>2434166</xdr:colOff>
      <xdr:row>369</xdr:row>
      <xdr:rowOff>1023407</xdr:rowOff>
    </xdr:from>
    <xdr:ext cx="452966" cy="448733"/>
    <xdr:pic>
      <xdr:nvPicPr>
        <xdr:cNvPr id="1230" name="Gráfico 1229" descr="Inalámbrico">
          <a:hlinkClick xmlns:r="http://schemas.openxmlformats.org/officeDocument/2006/relationships" r:id="rId50"/>
          <a:extLst>
            <a:ext uri="{FF2B5EF4-FFF2-40B4-BE49-F238E27FC236}">
              <a16:creationId xmlns:a16="http://schemas.microsoft.com/office/drawing/2014/main" id="{3C221A7A-8C1F-436F-9A51-04785DE3579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229916" y="310887532"/>
          <a:ext cx="452966" cy="448733"/>
        </a:xfrm>
        <a:prstGeom prst="rect">
          <a:avLst/>
        </a:prstGeom>
      </xdr:spPr>
    </xdr:pic>
    <xdr:clientData/>
  </xdr:oneCellAnchor>
  <xdr:oneCellAnchor>
    <xdr:from>
      <xdr:col>12</xdr:col>
      <xdr:colOff>2434166</xdr:colOff>
      <xdr:row>370</xdr:row>
      <xdr:rowOff>1023407</xdr:rowOff>
    </xdr:from>
    <xdr:ext cx="452966" cy="448733"/>
    <xdr:pic>
      <xdr:nvPicPr>
        <xdr:cNvPr id="1231" name="Gráfico 1230" descr="Inalámbrico">
          <a:hlinkClick xmlns:r="http://schemas.openxmlformats.org/officeDocument/2006/relationships" r:id="rId50"/>
          <a:extLst>
            <a:ext uri="{FF2B5EF4-FFF2-40B4-BE49-F238E27FC236}">
              <a16:creationId xmlns:a16="http://schemas.microsoft.com/office/drawing/2014/main" id="{52E09F99-9291-4F90-B8F1-2584017EB45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229916" y="310887532"/>
          <a:ext cx="452966" cy="448733"/>
        </a:xfrm>
        <a:prstGeom prst="rect">
          <a:avLst/>
        </a:prstGeom>
      </xdr:spPr>
    </xdr:pic>
    <xdr:clientData/>
  </xdr:oneCellAnchor>
  <xdr:oneCellAnchor>
    <xdr:from>
      <xdr:col>12</xdr:col>
      <xdr:colOff>2434166</xdr:colOff>
      <xdr:row>371</xdr:row>
      <xdr:rowOff>1023407</xdr:rowOff>
    </xdr:from>
    <xdr:ext cx="452966" cy="448733"/>
    <xdr:pic>
      <xdr:nvPicPr>
        <xdr:cNvPr id="1232" name="Gráfico 1231" descr="Inalámbrico">
          <a:hlinkClick xmlns:r="http://schemas.openxmlformats.org/officeDocument/2006/relationships" r:id="rId50"/>
          <a:extLst>
            <a:ext uri="{FF2B5EF4-FFF2-40B4-BE49-F238E27FC236}">
              <a16:creationId xmlns:a16="http://schemas.microsoft.com/office/drawing/2014/main" id="{812210D5-C147-4545-B0AA-BA817D5314A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229916" y="312300407"/>
          <a:ext cx="452966" cy="448733"/>
        </a:xfrm>
        <a:prstGeom prst="rect">
          <a:avLst/>
        </a:prstGeom>
      </xdr:spPr>
    </xdr:pic>
    <xdr:clientData/>
  </xdr:oneCellAnchor>
  <xdr:twoCellAnchor editAs="oneCell">
    <xdr:from>
      <xdr:col>12</xdr:col>
      <xdr:colOff>247650</xdr:colOff>
      <xdr:row>470</xdr:row>
      <xdr:rowOff>657225</xdr:rowOff>
    </xdr:from>
    <xdr:to>
      <xdr:col>12</xdr:col>
      <xdr:colOff>666750</xdr:colOff>
      <xdr:row>470</xdr:row>
      <xdr:rowOff>1076325</xdr:rowOff>
    </xdr:to>
    <xdr:pic>
      <xdr:nvPicPr>
        <xdr:cNvPr id="1123" name="Imagen 1122">
          <a:hlinkClick xmlns:r="http://schemas.openxmlformats.org/officeDocument/2006/relationships" r:id="rId174"/>
          <a:extLst>
            <a:ext uri="{FF2B5EF4-FFF2-40B4-BE49-F238E27FC236}">
              <a16:creationId xmlns:a16="http://schemas.microsoft.com/office/drawing/2014/main" id="{D8E74D97-BDE5-48FA-8BED-32F736939770}"/>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11650" y="395058900"/>
          <a:ext cx="419100" cy="419100"/>
        </a:xfrm>
        <a:prstGeom prst="rect">
          <a:avLst/>
        </a:prstGeom>
      </xdr:spPr>
    </xdr:pic>
    <xdr:clientData/>
  </xdr:twoCellAnchor>
  <xdr:oneCellAnchor>
    <xdr:from>
      <xdr:col>10</xdr:col>
      <xdr:colOff>342900</xdr:colOff>
      <xdr:row>470</xdr:row>
      <xdr:rowOff>257175</xdr:rowOff>
    </xdr:from>
    <xdr:ext cx="1943100" cy="1038225"/>
    <mc:AlternateContent xmlns:mc="http://schemas.openxmlformats.org/markup-compatibility/2006" xmlns:a14="http://schemas.microsoft.com/office/drawing/2010/main">
      <mc:Choice Requires="a14">
        <xdr:sp macro="" textlink="">
          <xdr:nvSpPr>
            <xdr:cNvPr id="1124" name="CuadroTexto 1123">
              <a:extLst>
                <a:ext uri="{FF2B5EF4-FFF2-40B4-BE49-F238E27FC236}">
                  <a16:creationId xmlns:a16="http://schemas.microsoft.com/office/drawing/2014/main" id="{61AF2B20-7DFA-47E5-94BE-C604BA75F570}"/>
                </a:ext>
              </a:extLst>
            </xdr:cNvPr>
            <xdr:cNvSpPr txBox="1"/>
          </xdr:nvSpPr>
          <xdr:spPr>
            <a:xfrm>
              <a:off x="12696825" y="394658850"/>
              <a:ext cx="1943100" cy="1038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𝑝𝑎𝑝𝑒𝑙</m:t>
                  </m:r>
                  <m:r>
                    <a:rPr lang="es-MX" sz="1050" b="0" i="1">
                      <a:latin typeface="Cambria Math" panose="02040503050406030204" pitchFamily="18" charset="0"/>
                    </a:rPr>
                    <m:t> </m:t>
                  </m:r>
                  <m:r>
                    <a:rPr lang="es-MX" sz="1050" b="0" i="1">
                      <a:latin typeface="Cambria Math" panose="02040503050406030204" pitchFamily="18" charset="0"/>
                    </a:rPr>
                    <m:t>𝑜</m:t>
                  </m:r>
                  <m:r>
                    <a:rPr lang="es-MX" sz="1050" b="0" i="1">
                      <a:latin typeface="Cambria Math" panose="02040503050406030204" pitchFamily="18" charset="0"/>
                    </a:rPr>
                    <m:t> </m:t>
                  </m:r>
                  <m:r>
                    <a:rPr lang="es-MX" sz="1050" b="0" i="1">
                      <a:latin typeface="Cambria Math" panose="02040503050406030204" pitchFamily="18" charset="0"/>
                    </a:rPr>
                    <m:t>𝑐𝑎𝑟𝑡𝑜𝑛</m:t>
                  </m:r>
                  <m:r>
                    <a:rPr lang="es-MX" sz="1050" b="0" i="1">
                      <a:latin typeface="Cambria Math" panose="02040503050406030204" pitchFamily="18" charset="0"/>
                    </a:rPr>
                    <m:t>=</m:t>
                  </m:r>
                  <m:r>
                    <a:rPr lang="es-MX" sz="1050" b="0" i="0">
                      <a:latin typeface="Cambria Math" panose="02040503050406030204" pitchFamily="18" charset="0"/>
                    </a:rPr>
                    <m:t>4 </m:t>
                  </m:r>
                  <m:r>
                    <m:rPr>
                      <m:sty m:val="p"/>
                    </m:rPr>
                    <a:rPr lang="es-MX" sz="1050" b="0" i="0">
                      <a:latin typeface="Cambria Math" panose="02040503050406030204" pitchFamily="18" charset="0"/>
                    </a:rPr>
                    <m:t>kwh</m:t>
                  </m:r>
                </m:oMath>
              </a14:m>
              <a:r>
                <a:rPr lang="es-MX" sz="1050" b="0" i="0">
                  <a:latin typeface="Cambria Math" panose="02040503050406030204" pitchFamily="18" charset="0"/>
                </a:rPr>
                <a:t>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𝑝𝑎𝑝𝑒𝑙</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𝑜</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𝑐𝑎𝑟𝑡𝑜𝑛</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4,000 </m:t>
                  </m:r>
                  <m:r>
                    <m:rPr>
                      <m:sty m:val="p"/>
                    </m:rPr>
                    <a:rPr lang="es-MX" sz="1100" b="0" i="0">
                      <a:solidFill>
                        <a:schemeClr val="tx1"/>
                      </a:solidFill>
                      <a:effectLst/>
                      <a:latin typeface="Cambria Math" panose="02040503050406030204" pitchFamily="18" charset="0"/>
                      <a:ea typeface="+mn-ea"/>
                      <a:cs typeface="+mn-cs"/>
                    </a:rPr>
                    <m:t>kwh</m:t>
                  </m:r>
                </m:oMath>
              </a14:m>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1124" name="CuadroTexto 1123">
              <a:extLst>
                <a:ext uri="{FF2B5EF4-FFF2-40B4-BE49-F238E27FC236}">
                  <a16:creationId xmlns:a16="http://schemas.microsoft.com/office/drawing/2014/main" id="{61AF2B20-7DFA-47E5-94BE-C604BA75F570}"/>
                </a:ext>
              </a:extLst>
            </xdr:cNvPr>
            <xdr:cNvSpPr txBox="1"/>
          </xdr:nvSpPr>
          <xdr:spPr>
            <a:xfrm>
              <a:off x="12696825" y="394658850"/>
              <a:ext cx="1943100" cy="1038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𝑝𝑎𝑝𝑒𝑙 𝑜 𝑐𝑎𝑟𝑡𝑜𝑛=4 kwh </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𝑝𝑎𝑝𝑒𝑙 𝑜 𝑐𝑎𝑟𝑡𝑜𝑛=4,000 kwh</a:t>
              </a:r>
              <a:r>
                <a:rPr lang="es-MX" sz="1100" b="0" i="0">
                  <a:solidFill>
                    <a:schemeClr val="tx1"/>
                  </a:solidFill>
                  <a:effectLst/>
                  <a:latin typeface="+mn-lt"/>
                  <a:ea typeface="+mn-ea"/>
                  <a:cs typeface="+mn-cs"/>
                </a:rPr>
                <a:t> </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oneCellAnchor>
    <xdr:from>
      <xdr:col>12</xdr:col>
      <xdr:colOff>1800225</xdr:colOff>
      <xdr:row>482</xdr:row>
      <xdr:rowOff>628650</xdr:rowOff>
    </xdr:from>
    <xdr:ext cx="452966" cy="448733"/>
    <xdr:pic>
      <xdr:nvPicPr>
        <xdr:cNvPr id="1129" name="Gráfico 1128" descr="Inalámbrico">
          <a:hlinkClick xmlns:r="http://schemas.openxmlformats.org/officeDocument/2006/relationships" r:id="rId119"/>
          <a:extLst>
            <a:ext uri="{FF2B5EF4-FFF2-40B4-BE49-F238E27FC236}">
              <a16:creationId xmlns:a16="http://schemas.microsoft.com/office/drawing/2014/main" id="{C5C0A9D3-DE3F-479A-BBE0-DB106E3D105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564225" y="395030325"/>
          <a:ext cx="452966" cy="448733"/>
        </a:xfrm>
        <a:prstGeom prst="rect">
          <a:avLst/>
        </a:prstGeom>
      </xdr:spPr>
    </xdr:pic>
    <xdr:clientData/>
  </xdr:oneCellAnchor>
  <xdr:oneCellAnchor>
    <xdr:from>
      <xdr:col>12</xdr:col>
      <xdr:colOff>247650</xdr:colOff>
      <xdr:row>482</xdr:row>
      <xdr:rowOff>657225</xdr:rowOff>
    </xdr:from>
    <xdr:ext cx="419100" cy="419100"/>
    <xdr:pic>
      <xdr:nvPicPr>
        <xdr:cNvPr id="1233" name="Imagen 1232">
          <a:hlinkClick xmlns:r="http://schemas.openxmlformats.org/officeDocument/2006/relationships" r:id="rId174"/>
          <a:extLst>
            <a:ext uri="{FF2B5EF4-FFF2-40B4-BE49-F238E27FC236}">
              <a16:creationId xmlns:a16="http://schemas.microsoft.com/office/drawing/2014/main" id="{9B23B7C0-867E-4328-B0BB-B4AED59C395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11650" y="395058900"/>
          <a:ext cx="419100" cy="419100"/>
        </a:xfrm>
        <a:prstGeom prst="rect">
          <a:avLst/>
        </a:prstGeom>
      </xdr:spPr>
    </xdr:pic>
    <xdr:clientData/>
  </xdr:oneCellAnchor>
  <xdr:oneCellAnchor>
    <xdr:from>
      <xdr:col>10</xdr:col>
      <xdr:colOff>295275</xdr:colOff>
      <xdr:row>482</xdr:row>
      <xdr:rowOff>381000</xdr:rowOff>
    </xdr:from>
    <xdr:ext cx="1438275" cy="657225"/>
    <mc:AlternateContent xmlns:mc="http://schemas.openxmlformats.org/markup-compatibility/2006" xmlns:a14="http://schemas.microsoft.com/office/drawing/2010/main">
      <mc:Choice Requires="a14">
        <xdr:sp macro="" textlink="">
          <xdr:nvSpPr>
            <xdr:cNvPr id="1235" name="CuadroTexto 1234">
              <a:extLst>
                <a:ext uri="{FF2B5EF4-FFF2-40B4-BE49-F238E27FC236}">
                  <a16:creationId xmlns:a16="http://schemas.microsoft.com/office/drawing/2014/main" id="{755B577C-1EAB-48F5-A99C-EDEB0EC87631}"/>
                </a:ext>
              </a:extLst>
            </xdr:cNvPr>
            <xdr:cNvSpPr txBox="1"/>
          </xdr:nvSpPr>
          <xdr:spPr>
            <a:xfrm>
              <a:off x="12649200" y="408374850"/>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26.498 </m:t>
                    </m:r>
                    <m:r>
                      <m:rPr>
                        <m:sty m:val="p"/>
                      </m:rPr>
                      <a:rPr lang="es-MX" sz="1050" b="0" i="0">
                        <a:latin typeface="Cambria Math" panose="02040503050406030204" pitchFamily="18" charset="0"/>
                      </a:rPr>
                      <m:t>L</m:t>
                    </m:r>
                  </m:oMath>
                </m:oMathPara>
              </a14:m>
              <a:endParaRPr lang="es-MX" sz="1050" b="0" i="0">
                <a:latin typeface="Cambria Math" panose="02040503050406030204" pitchFamily="18" charset="0"/>
              </a:endParaRP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1 </m:t>
                    </m:r>
                    <m:r>
                      <a:rPr lang="es-MX" sz="1100" b="0" i="1">
                        <a:solidFill>
                          <a:schemeClr val="tx1"/>
                        </a:solidFill>
                        <a:effectLst/>
                        <a:latin typeface="Cambria Math" panose="02040503050406030204" pitchFamily="18" charset="0"/>
                        <a:ea typeface="+mn-ea"/>
                        <a:cs typeface="+mn-cs"/>
                      </a:rPr>
                      <m:t>𝑡𝑜𝑛</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𝐶𝐿</m:t>
                    </m:r>
                    <m:r>
                      <a:rPr lang="es-MX" sz="1100" b="0" i="1">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26,498 </m:t>
                    </m:r>
                    <m:r>
                      <m:rPr>
                        <m:sty m:val="p"/>
                      </m:rPr>
                      <a:rPr lang="es-MX" sz="1100" b="0" i="0">
                        <a:solidFill>
                          <a:schemeClr val="tx1"/>
                        </a:solidFill>
                        <a:effectLst/>
                        <a:latin typeface="Cambria Math" panose="02040503050406030204" pitchFamily="18" charset="0"/>
                        <a:ea typeface="+mn-ea"/>
                        <a:cs typeface="+mn-cs"/>
                      </a:rPr>
                      <m:t>L</m:t>
                    </m:r>
                  </m:oMath>
                </m:oMathPara>
              </a14:m>
              <a:endParaRPr lang="es-MX" sz="1050">
                <a:effectLst/>
              </a:endParaRPr>
            </a:p>
            <a:p>
              <a:pPr algn="l"/>
              <a:endParaRPr lang="es-MX" sz="1050" b="0" i="0">
                <a:latin typeface="Cambria Math" panose="02040503050406030204" pitchFamily="18" charset="0"/>
              </a:endParaRPr>
            </a:p>
          </xdr:txBody>
        </xdr:sp>
      </mc:Choice>
      <mc:Fallback xmlns="">
        <xdr:sp macro="" textlink="">
          <xdr:nvSpPr>
            <xdr:cNvPr id="1235" name="CuadroTexto 1234">
              <a:extLst>
                <a:ext uri="{FF2B5EF4-FFF2-40B4-BE49-F238E27FC236}">
                  <a16:creationId xmlns:a16="http://schemas.microsoft.com/office/drawing/2014/main" id="{755B577C-1EAB-48F5-A99C-EDEB0EC87631}"/>
                </a:ext>
              </a:extLst>
            </xdr:cNvPr>
            <xdr:cNvSpPr txBox="1"/>
          </xdr:nvSpPr>
          <xdr:spPr>
            <a:xfrm>
              <a:off x="12649200" y="408374850"/>
              <a:ext cx="143827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s-MX" sz="1050" b="0" i="0">
                  <a:latin typeface="Cambria Math" panose="02040503050406030204" pitchFamily="18" charset="0"/>
                </a:rPr>
                <a:t>1 𝑘𝑔 𝐶𝐿=26.498 L</a:t>
              </a:r>
            </a:p>
            <a:p>
              <a:pPr algn="l"/>
              <a:endParaRPr lang="es-MX" sz="1050" b="0" i="0">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1 𝑡𝑜𝑛 𝐶𝐿=26,498 L</a:t>
              </a:r>
              <a:endParaRPr lang="es-MX" sz="1050">
                <a:effectLst/>
              </a:endParaRPr>
            </a:p>
            <a:p>
              <a:pPr algn="l"/>
              <a:endParaRPr lang="es-MX" sz="1050" b="0" i="0">
                <a:latin typeface="Cambria Math" panose="02040503050406030204" pitchFamily="18" charset="0"/>
              </a:endParaRPr>
            </a:p>
          </xdr:txBody>
        </xdr:sp>
      </mc:Fallback>
    </mc:AlternateContent>
    <xdr:clientData/>
  </xdr:oneCellAnchor>
  <xdr:twoCellAnchor editAs="oneCell">
    <xdr:from>
      <xdr:col>12</xdr:col>
      <xdr:colOff>219075</xdr:colOff>
      <xdr:row>468</xdr:row>
      <xdr:rowOff>304800</xdr:rowOff>
    </xdr:from>
    <xdr:to>
      <xdr:col>12</xdr:col>
      <xdr:colOff>638175</xdr:colOff>
      <xdr:row>468</xdr:row>
      <xdr:rowOff>723900</xdr:rowOff>
    </xdr:to>
    <xdr:pic>
      <xdr:nvPicPr>
        <xdr:cNvPr id="1099" name="Imagen 1098">
          <a:hlinkClick xmlns:r="http://schemas.openxmlformats.org/officeDocument/2006/relationships" r:id="rId168"/>
          <a:extLst>
            <a:ext uri="{FF2B5EF4-FFF2-40B4-BE49-F238E27FC236}">
              <a16:creationId xmlns:a16="http://schemas.microsoft.com/office/drawing/2014/main" id="{CD6D2447-E29A-48DE-871C-8BC798CA13B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83075" y="391887075"/>
          <a:ext cx="419100" cy="419100"/>
        </a:xfrm>
        <a:prstGeom prst="rect">
          <a:avLst/>
        </a:prstGeom>
      </xdr:spPr>
    </xdr:pic>
    <xdr:clientData/>
  </xdr:twoCellAnchor>
  <xdr:twoCellAnchor editAs="oneCell">
    <xdr:from>
      <xdr:col>12</xdr:col>
      <xdr:colOff>180975</xdr:colOff>
      <xdr:row>469</xdr:row>
      <xdr:rowOff>342900</xdr:rowOff>
    </xdr:from>
    <xdr:to>
      <xdr:col>12</xdr:col>
      <xdr:colOff>600075</xdr:colOff>
      <xdr:row>469</xdr:row>
      <xdr:rowOff>762000</xdr:rowOff>
    </xdr:to>
    <xdr:pic>
      <xdr:nvPicPr>
        <xdr:cNvPr id="1234" name="Imagen 1233">
          <a:hlinkClick xmlns:r="http://schemas.openxmlformats.org/officeDocument/2006/relationships" r:id="rId175"/>
          <a:extLst>
            <a:ext uri="{FF2B5EF4-FFF2-40B4-BE49-F238E27FC236}">
              <a16:creationId xmlns:a16="http://schemas.microsoft.com/office/drawing/2014/main" id="{3ADDEEC7-E2B4-4F22-BC86-CFA1D11BEF4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393334875"/>
          <a:ext cx="419100" cy="419100"/>
        </a:xfrm>
        <a:prstGeom prst="rect">
          <a:avLst/>
        </a:prstGeom>
      </xdr:spPr>
    </xdr:pic>
    <xdr:clientData/>
  </xdr:twoCellAnchor>
  <xdr:twoCellAnchor editAs="oneCell">
    <xdr:from>
      <xdr:col>12</xdr:col>
      <xdr:colOff>180975</xdr:colOff>
      <xdr:row>471</xdr:row>
      <xdr:rowOff>400050</xdr:rowOff>
    </xdr:from>
    <xdr:to>
      <xdr:col>12</xdr:col>
      <xdr:colOff>600075</xdr:colOff>
      <xdr:row>471</xdr:row>
      <xdr:rowOff>819150</xdr:rowOff>
    </xdr:to>
    <xdr:pic>
      <xdr:nvPicPr>
        <xdr:cNvPr id="1237" name="Imagen 1236">
          <a:hlinkClick xmlns:r="http://schemas.openxmlformats.org/officeDocument/2006/relationships" r:id="rId176"/>
          <a:extLst>
            <a:ext uri="{FF2B5EF4-FFF2-40B4-BE49-F238E27FC236}">
              <a16:creationId xmlns:a16="http://schemas.microsoft.com/office/drawing/2014/main" id="{17A420DB-EA0D-4DA7-8CD9-A2875A6B702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396420975"/>
          <a:ext cx="419100" cy="419100"/>
        </a:xfrm>
        <a:prstGeom prst="rect">
          <a:avLst/>
        </a:prstGeom>
      </xdr:spPr>
    </xdr:pic>
    <xdr:clientData/>
  </xdr:twoCellAnchor>
  <xdr:oneCellAnchor>
    <xdr:from>
      <xdr:col>12</xdr:col>
      <xdr:colOff>1040823</xdr:colOff>
      <xdr:row>474</xdr:row>
      <xdr:rowOff>390790</xdr:rowOff>
    </xdr:from>
    <xdr:ext cx="378402" cy="374866"/>
    <xdr:pic>
      <xdr:nvPicPr>
        <xdr:cNvPr id="1238" name="Gráfico 1237" descr="Inalámbrico">
          <a:hlinkClick xmlns:r="http://schemas.openxmlformats.org/officeDocument/2006/relationships" r:id="rId90"/>
          <a:extLst>
            <a:ext uri="{FF2B5EF4-FFF2-40B4-BE49-F238E27FC236}">
              <a16:creationId xmlns:a16="http://schemas.microsoft.com/office/drawing/2014/main" id="{D8026252-A9C3-4630-8A53-4AC4DB8AE3E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04823" y="393382765"/>
          <a:ext cx="378402" cy="374866"/>
        </a:xfrm>
        <a:prstGeom prst="rect">
          <a:avLst/>
        </a:prstGeom>
      </xdr:spPr>
    </xdr:pic>
    <xdr:clientData/>
  </xdr:oneCellAnchor>
  <xdr:oneCellAnchor>
    <xdr:from>
      <xdr:col>12</xdr:col>
      <xdr:colOff>180975</xdr:colOff>
      <xdr:row>474</xdr:row>
      <xdr:rowOff>342900</xdr:rowOff>
    </xdr:from>
    <xdr:ext cx="419100" cy="419100"/>
    <xdr:pic>
      <xdr:nvPicPr>
        <xdr:cNvPr id="1239" name="Imagen 1238">
          <a:hlinkClick xmlns:r="http://schemas.openxmlformats.org/officeDocument/2006/relationships" r:id="rId175"/>
          <a:extLst>
            <a:ext uri="{FF2B5EF4-FFF2-40B4-BE49-F238E27FC236}">
              <a16:creationId xmlns:a16="http://schemas.microsoft.com/office/drawing/2014/main" id="{78C3FBD5-3E16-49B2-B996-A9BBAA36A1B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393334875"/>
          <a:ext cx="419100" cy="419100"/>
        </a:xfrm>
        <a:prstGeom prst="rect">
          <a:avLst/>
        </a:prstGeom>
      </xdr:spPr>
    </xdr:pic>
    <xdr:clientData/>
  </xdr:oneCellAnchor>
  <xdr:oneCellAnchor>
    <xdr:from>
      <xdr:col>12</xdr:col>
      <xdr:colOff>1828800</xdr:colOff>
      <xdr:row>475</xdr:row>
      <xdr:rowOff>352425</xdr:rowOff>
    </xdr:from>
    <xdr:ext cx="452966" cy="448733"/>
    <xdr:pic>
      <xdr:nvPicPr>
        <xdr:cNvPr id="1240" name="Gráfico 1239" descr="Inalámbrico">
          <a:hlinkClick xmlns:r="http://schemas.openxmlformats.org/officeDocument/2006/relationships" r:id="rId113"/>
          <a:extLst>
            <a:ext uri="{FF2B5EF4-FFF2-40B4-BE49-F238E27FC236}">
              <a16:creationId xmlns:a16="http://schemas.microsoft.com/office/drawing/2014/main" id="{0EAD06FD-F648-4FF6-9590-58296D573B3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592800" y="396373350"/>
          <a:ext cx="452966" cy="448733"/>
        </a:xfrm>
        <a:prstGeom prst="rect">
          <a:avLst/>
        </a:prstGeom>
      </xdr:spPr>
    </xdr:pic>
    <xdr:clientData/>
  </xdr:oneCellAnchor>
  <xdr:oneCellAnchor>
    <xdr:from>
      <xdr:col>12</xdr:col>
      <xdr:colOff>180975</xdr:colOff>
      <xdr:row>475</xdr:row>
      <xdr:rowOff>400050</xdr:rowOff>
    </xdr:from>
    <xdr:ext cx="419100" cy="419100"/>
    <xdr:pic>
      <xdr:nvPicPr>
        <xdr:cNvPr id="1241" name="Imagen 1240">
          <a:hlinkClick xmlns:r="http://schemas.openxmlformats.org/officeDocument/2006/relationships" r:id="rId176"/>
          <a:extLst>
            <a:ext uri="{FF2B5EF4-FFF2-40B4-BE49-F238E27FC236}">
              <a16:creationId xmlns:a16="http://schemas.microsoft.com/office/drawing/2014/main" id="{31938D6E-110B-45D2-ACEB-03112D86A3E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396420975"/>
          <a:ext cx="419100" cy="419100"/>
        </a:xfrm>
        <a:prstGeom prst="rect">
          <a:avLst/>
        </a:prstGeom>
      </xdr:spPr>
    </xdr:pic>
    <xdr:clientData/>
  </xdr:oneCellAnchor>
  <xdr:oneCellAnchor>
    <xdr:from>
      <xdr:col>12</xdr:col>
      <xdr:colOff>219075</xdr:colOff>
      <xdr:row>479</xdr:row>
      <xdr:rowOff>304800</xdr:rowOff>
    </xdr:from>
    <xdr:ext cx="419100" cy="419100"/>
    <xdr:pic>
      <xdr:nvPicPr>
        <xdr:cNvPr id="1242" name="Imagen 1241">
          <a:hlinkClick xmlns:r="http://schemas.openxmlformats.org/officeDocument/2006/relationships" r:id="rId168"/>
          <a:extLst>
            <a:ext uri="{FF2B5EF4-FFF2-40B4-BE49-F238E27FC236}">
              <a16:creationId xmlns:a16="http://schemas.microsoft.com/office/drawing/2014/main" id="{7BF66307-8612-4D69-B668-96E49EC4AA33}"/>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83075" y="391887075"/>
          <a:ext cx="419100" cy="419100"/>
        </a:xfrm>
        <a:prstGeom prst="rect">
          <a:avLst/>
        </a:prstGeom>
      </xdr:spPr>
    </xdr:pic>
    <xdr:clientData/>
  </xdr:oneCellAnchor>
  <xdr:oneCellAnchor>
    <xdr:from>
      <xdr:col>12</xdr:col>
      <xdr:colOff>257175</xdr:colOff>
      <xdr:row>481</xdr:row>
      <xdr:rowOff>638175</xdr:rowOff>
    </xdr:from>
    <xdr:ext cx="419100" cy="419100"/>
    <xdr:pic>
      <xdr:nvPicPr>
        <xdr:cNvPr id="1243" name="Imagen 1242">
          <a:hlinkClick xmlns:r="http://schemas.openxmlformats.org/officeDocument/2006/relationships" r:id="rId177"/>
          <a:extLst>
            <a:ext uri="{FF2B5EF4-FFF2-40B4-BE49-F238E27FC236}">
              <a16:creationId xmlns:a16="http://schemas.microsoft.com/office/drawing/2014/main" id="{E6D09C23-3CFA-4890-BC2A-92160824F937}"/>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21175" y="407431875"/>
          <a:ext cx="419100" cy="419100"/>
        </a:xfrm>
        <a:prstGeom prst="rect">
          <a:avLst/>
        </a:prstGeom>
      </xdr:spPr>
    </xdr:pic>
    <xdr:clientData/>
  </xdr:oneCellAnchor>
  <xdr:oneCellAnchor>
    <xdr:from>
      <xdr:col>12</xdr:col>
      <xdr:colOff>1123950</xdr:colOff>
      <xdr:row>484</xdr:row>
      <xdr:rowOff>390525</xdr:rowOff>
    </xdr:from>
    <xdr:ext cx="452966" cy="448733"/>
    <xdr:pic>
      <xdr:nvPicPr>
        <xdr:cNvPr id="1244" name="Gráfico 1243" descr="Inalámbrico">
          <a:hlinkClick xmlns:r="http://schemas.openxmlformats.org/officeDocument/2006/relationships" r:id="rId113"/>
          <a:extLst>
            <a:ext uri="{FF2B5EF4-FFF2-40B4-BE49-F238E27FC236}">
              <a16:creationId xmlns:a16="http://schemas.microsoft.com/office/drawing/2014/main" id="{E912063A-990A-4521-9F09-6275009E9A0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0594175"/>
          <a:ext cx="452966" cy="448733"/>
        </a:xfrm>
        <a:prstGeom prst="rect">
          <a:avLst/>
        </a:prstGeom>
      </xdr:spPr>
    </xdr:pic>
    <xdr:clientData/>
  </xdr:oneCellAnchor>
  <xdr:oneCellAnchor>
    <xdr:from>
      <xdr:col>12</xdr:col>
      <xdr:colOff>180975</xdr:colOff>
      <xdr:row>484</xdr:row>
      <xdr:rowOff>400050</xdr:rowOff>
    </xdr:from>
    <xdr:ext cx="419100" cy="419100"/>
    <xdr:pic>
      <xdr:nvPicPr>
        <xdr:cNvPr id="1245" name="Imagen 1244">
          <a:hlinkClick xmlns:r="http://schemas.openxmlformats.org/officeDocument/2006/relationships" r:id="rId176"/>
          <a:extLst>
            <a:ext uri="{FF2B5EF4-FFF2-40B4-BE49-F238E27FC236}">
              <a16:creationId xmlns:a16="http://schemas.microsoft.com/office/drawing/2014/main" id="{F5120D08-2831-4AA0-8870-13336A6BA26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402059775"/>
          <a:ext cx="419100" cy="419100"/>
        </a:xfrm>
        <a:prstGeom prst="rect">
          <a:avLst/>
        </a:prstGeom>
      </xdr:spPr>
    </xdr:pic>
    <xdr:clientData/>
  </xdr:oneCellAnchor>
  <xdr:oneCellAnchor>
    <xdr:from>
      <xdr:col>12</xdr:col>
      <xdr:colOff>152400</xdr:colOff>
      <xdr:row>485</xdr:row>
      <xdr:rowOff>476250</xdr:rowOff>
    </xdr:from>
    <xdr:ext cx="419100" cy="419100"/>
    <xdr:pic>
      <xdr:nvPicPr>
        <xdr:cNvPr id="1246" name="Imagen 1245">
          <a:hlinkClick xmlns:r="http://schemas.openxmlformats.org/officeDocument/2006/relationships" r:id="rId178"/>
          <a:extLst>
            <a:ext uri="{FF2B5EF4-FFF2-40B4-BE49-F238E27FC236}">
              <a16:creationId xmlns:a16="http://schemas.microsoft.com/office/drawing/2014/main" id="{C65089F9-5C6B-42E1-960B-724FC99EEED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16400" y="412089600"/>
          <a:ext cx="419100" cy="419100"/>
        </a:xfrm>
        <a:prstGeom prst="rect">
          <a:avLst/>
        </a:prstGeom>
      </xdr:spPr>
    </xdr:pic>
    <xdr:clientData/>
  </xdr:oneCellAnchor>
  <xdr:oneCellAnchor>
    <xdr:from>
      <xdr:col>12</xdr:col>
      <xdr:colOff>219075</xdr:colOff>
      <xdr:row>492</xdr:row>
      <xdr:rowOff>304800</xdr:rowOff>
    </xdr:from>
    <xdr:ext cx="419100" cy="419100"/>
    <xdr:pic>
      <xdr:nvPicPr>
        <xdr:cNvPr id="1249" name="Imagen 1248">
          <a:hlinkClick xmlns:r="http://schemas.openxmlformats.org/officeDocument/2006/relationships" r:id="rId168"/>
          <a:extLst>
            <a:ext uri="{FF2B5EF4-FFF2-40B4-BE49-F238E27FC236}">
              <a16:creationId xmlns:a16="http://schemas.microsoft.com/office/drawing/2014/main" id="{E116F965-3713-4ABC-ACEA-93955F0DDAAF}"/>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83075" y="404279100"/>
          <a:ext cx="419100" cy="419100"/>
        </a:xfrm>
        <a:prstGeom prst="rect">
          <a:avLst/>
        </a:prstGeom>
      </xdr:spPr>
    </xdr:pic>
    <xdr:clientData/>
  </xdr:oneCellAnchor>
  <xdr:oneCellAnchor>
    <xdr:from>
      <xdr:col>12</xdr:col>
      <xdr:colOff>1123950</xdr:colOff>
      <xdr:row>493</xdr:row>
      <xdr:rowOff>504825</xdr:rowOff>
    </xdr:from>
    <xdr:ext cx="452966" cy="448733"/>
    <xdr:pic>
      <xdr:nvPicPr>
        <xdr:cNvPr id="1252" name="Gráfico 1251" descr="Inalámbrico">
          <a:hlinkClick xmlns:r="http://schemas.openxmlformats.org/officeDocument/2006/relationships" r:id="rId102"/>
          <a:extLst>
            <a:ext uri="{FF2B5EF4-FFF2-40B4-BE49-F238E27FC236}">
              <a16:creationId xmlns:a16="http://schemas.microsoft.com/office/drawing/2014/main" id="{00ADFD68-00C0-477F-AC48-BE5680BA1BB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2118175"/>
          <a:ext cx="452966" cy="448733"/>
        </a:xfrm>
        <a:prstGeom prst="rect">
          <a:avLst/>
        </a:prstGeom>
      </xdr:spPr>
    </xdr:pic>
    <xdr:clientData/>
  </xdr:oneCellAnchor>
  <xdr:oneCellAnchor>
    <xdr:from>
      <xdr:col>12</xdr:col>
      <xdr:colOff>152400</xdr:colOff>
      <xdr:row>493</xdr:row>
      <xdr:rowOff>476250</xdr:rowOff>
    </xdr:from>
    <xdr:ext cx="419100" cy="419100"/>
    <xdr:pic>
      <xdr:nvPicPr>
        <xdr:cNvPr id="1253" name="Imagen 1252">
          <a:hlinkClick xmlns:r="http://schemas.openxmlformats.org/officeDocument/2006/relationships" r:id="rId178"/>
          <a:extLst>
            <a:ext uri="{FF2B5EF4-FFF2-40B4-BE49-F238E27FC236}">
              <a16:creationId xmlns:a16="http://schemas.microsoft.com/office/drawing/2014/main" id="{FDD69C7B-23AC-4DE4-9CD0-037F59F19A9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16400" y="412089600"/>
          <a:ext cx="419100" cy="419100"/>
        </a:xfrm>
        <a:prstGeom prst="rect">
          <a:avLst/>
        </a:prstGeom>
      </xdr:spPr>
    </xdr:pic>
    <xdr:clientData/>
  </xdr:oneCellAnchor>
  <xdr:oneCellAnchor>
    <xdr:from>
      <xdr:col>12</xdr:col>
      <xdr:colOff>1181100</xdr:colOff>
      <xdr:row>494</xdr:row>
      <xdr:rowOff>571500</xdr:rowOff>
    </xdr:from>
    <xdr:ext cx="374254" cy="372798"/>
    <xdr:pic>
      <xdr:nvPicPr>
        <xdr:cNvPr id="1254" name="Gráfico 1253" descr="Inalámbrico">
          <a:hlinkClick xmlns:r="http://schemas.openxmlformats.org/officeDocument/2006/relationships" r:id="rId111"/>
          <a:extLst>
            <a:ext uri="{FF2B5EF4-FFF2-40B4-BE49-F238E27FC236}">
              <a16:creationId xmlns:a16="http://schemas.microsoft.com/office/drawing/2014/main" id="{3F5B3361-CC37-4AC0-B9F8-8042BD44B53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45100" y="407365200"/>
          <a:ext cx="374254" cy="372798"/>
        </a:xfrm>
        <a:prstGeom prst="rect">
          <a:avLst/>
        </a:prstGeom>
      </xdr:spPr>
    </xdr:pic>
    <xdr:clientData/>
  </xdr:oneCellAnchor>
  <xdr:oneCellAnchor>
    <xdr:from>
      <xdr:col>12</xdr:col>
      <xdr:colOff>257175</xdr:colOff>
      <xdr:row>494</xdr:row>
      <xdr:rowOff>638175</xdr:rowOff>
    </xdr:from>
    <xdr:ext cx="419100" cy="419100"/>
    <xdr:pic>
      <xdr:nvPicPr>
        <xdr:cNvPr id="1255" name="Imagen 1254">
          <a:hlinkClick xmlns:r="http://schemas.openxmlformats.org/officeDocument/2006/relationships" r:id="rId177"/>
          <a:extLst>
            <a:ext uri="{FF2B5EF4-FFF2-40B4-BE49-F238E27FC236}">
              <a16:creationId xmlns:a16="http://schemas.microsoft.com/office/drawing/2014/main" id="{29BF883F-EFAA-4FF8-989B-53C95062BB6E}"/>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21175" y="407431875"/>
          <a:ext cx="419100" cy="419100"/>
        </a:xfrm>
        <a:prstGeom prst="rect">
          <a:avLst/>
        </a:prstGeom>
      </xdr:spPr>
    </xdr:pic>
    <xdr:clientData/>
  </xdr:oneCellAnchor>
  <xdr:oneCellAnchor>
    <xdr:from>
      <xdr:col>12</xdr:col>
      <xdr:colOff>314325</xdr:colOff>
      <xdr:row>495</xdr:row>
      <xdr:rowOff>323850</xdr:rowOff>
    </xdr:from>
    <xdr:ext cx="419100" cy="419100"/>
    <xdr:pic>
      <xdr:nvPicPr>
        <xdr:cNvPr id="1256" name="Imagen 1255">
          <a:hlinkClick xmlns:r="http://schemas.openxmlformats.org/officeDocument/2006/relationships" r:id="rId179"/>
          <a:extLst>
            <a:ext uri="{FF2B5EF4-FFF2-40B4-BE49-F238E27FC236}">
              <a16:creationId xmlns:a16="http://schemas.microsoft.com/office/drawing/2014/main" id="{418D1FEA-D16B-4535-B2EF-AB0C497F203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78325" y="421509825"/>
          <a:ext cx="419100" cy="419100"/>
        </a:xfrm>
        <a:prstGeom prst="rect">
          <a:avLst/>
        </a:prstGeom>
      </xdr:spPr>
    </xdr:pic>
    <xdr:clientData/>
  </xdr:oneCellAnchor>
  <xdr:oneCellAnchor>
    <xdr:from>
      <xdr:col>12</xdr:col>
      <xdr:colOff>1123950</xdr:colOff>
      <xdr:row>496</xdr:row>
      <xdr:rowOff>390525</xdr:rowOff>
    </xdr:from>
    <xdr:ext cx="452966" cy="448733"/>
    <xdr:pic>
      <xdr:nvPicPr>
        <xdr:cNvPr id="1257" name="Gráfico 1256" descr="Inalámbrico">
          <a:hlinkClick xmlns:r="http://schemas.openxmlformats.org/officeDocument/2006/relationships" r:id="rId113"/>
          <a:extLst>
            <a:ext uri="{FF2B5EF4-FFF2-40B4-BE49-F238E27FC236}">
              <a16:creationId xmlns:a16="http://schemas.microsoft.com/office/drawing/2014/main" id="{D0F2E794-11C4-45C2-954F-AC865198FD9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0594175"/>
          <a:ext cx="452966" cy="448733"/>
        </a:xfrm>
        <a:prstGeom prst="rect">
          <a:avLst/>
        </a:prstGeom>
      </xdr:spPr>
    </xdr:pic>
    <xdr:clientData/>
  </xdr:oneCellAnchor>
  <xdr:oneCellAnchor>
    <xdr:from>
      <xdr:col>12</xdr:col>
      <xdr:colOff>180975</xdr:colOff>
      <xdr:row>496</xdr:row>
      <xdr:rowOff>400050</xdr:rowOff>
    </xdr:from>
    <xdr:ext cx="419100" cy="419100"/>
    <xdr:pic>
      <xdr:nvPicPr>
        <xdr:cNvPr id="1258" name="Imagen 1257">
          <a:hlinkClick xmlns:r="http://schemas.openxmlformats.org/officeDocument/2006/relationships" r:id="rId176"/>
          <a:extLst>
            <a:ext uri="{FF2B5EF4-FFF2-40B4-BE49-F238E27FC236}">
              <a16:creationId xmlns:a16="http://schemas.microsoft.com/office/drawing/2014/main" id="{C054A91A-AC44-4BF6-B255-3918834225C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410603700"/>
          <a:ext cx="419100" cy="419100"/>
        </a:xfrm>
        <a:prstGeom prst="rect">
          <a:avLst/>
        </a:prstGeom>
      </xdr:spPr>
    </xdr:pic>
    <xdr:clientData/>
  </xdr:oneCellAnchor>
  <xdr:oneCellAnchor>
    <xdr:from>
      <xdr:col>12</xdr:col>
      <xdr:colOff>1040823</xdr:colOff>
      <xdr:row>497</xdr:row>
      <xdr:rowOff>390790</xdr:rowOff>
    </xdr:from>
    <xdr:ext cx="378402" cy="374866"/>
    <xdr:pic>
      <xdr:nvPicPr>
        <xdr:cNvPr id="1259" name="Gráfico 1258" descr="Inalámbrico">
          <a:hlinkClick xmlns:r="http://schemas.openxmlformats.org/officeDocument/2006/relationships" r:id="rId90"/>
          <a:extLst>
            <a:ext uri="{FF2B5EF4-FFF2-40B4-BE49-F238E27FC236}">
              <a16:creationId xmlns:a16="http://schemas.microsoft.com/office/drawing/2014/main" id="{C734C919-4562-4C68-95C0-4B7E3ED2629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04823" y="400640815"/>
          <a:ext cx="378402" cy="374866"/>
        </a:xfrm>
        <a:prstGeom prst="rect">
          <a:avLst/>
        </a:prstGeom>
      </xdr:spPr>
    </xdr:pic>
    <xdr:clientData/>
  </xdr:oneCellAnchor>
  <xdr:oneCellAnchor>
    <xdr:from>
      <xdr:col>12</xdr:col>
      <xdr:colOff>180975</xdr:colOff>
      <xdr:row>497</xdr:row>
      <xdr:rowOff>342900</xdr:rowOff>
    </xdr:from>
    <xdr:ext cx="419100" cy="419100"/>
    <xdr:pic>
      <xdr:nvPicPr>
        <xdr:cNvPr id="1260" name="Imagen 1259">
          <a:hlinkClick xmlns:r="http://schemas.openxmlformats.org/officeDocument/2006/relationships" r:id="rId175"/>
          <a:extLst>
            <a:ext uri="{FF2B5EF4-FFF2-40B4-BE49-F238E27FC236}">
              <a16:creationId xmlns:a16="http://schemas.microsoft.com/office/drawing/2014/main" id="{64330FB3-C897-4599-AB08-13941666DB0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400592925"/>
          <a:ext cx="419100" cy="419100"/>
        </a:xfrm>
        <a:prstGeom prst="rect">
          <a:avLst/>
        </a:prstGeom>
      </xdr:spPr>
    </xdr:pic>
    <xdr:clientData/>
  </xdr:oneCellAnchor>
  <xdr:oneCellAnchor>
    <xdr:from>
      <xdr:col>12</xdr:col>
      <xdr:colOff>990600</xdr:colOff>
      <xdr:row>502</xdr:row>
      <xdr:rowOff>333375</xdr:rowOff>
    </xdr:from>
    <xdr:ext cx="452966" cy="448733"/>
    <xdr:pic>
      <xdr:nvPicPr>
        <xdr:cNvPr id="1261" name="Gráfico 1260" descr="Inalámbrico">
          <a:hlinkClick xmlns:r="http://schemas.openxmlformats.org/officeDocument/2006/relationships" r:id="rId103"/>
          <a:extLst>
            <a:ext uri="{FF2B5EF4-FFF2-40B4-BE49-F238E27FC236}">
              <a16:creationId xmlns:a16="http://schemas.microsoft.com/office/drawing/2014/main" id="{3A873CD9-C38E-485B-9248-9669ADFF8AC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754600" y="421519350"/>
          <a:ext cx="452966" cy="448733"/>
        </a:xfrm>
        <a:prstGeom prst="rect">
          <a:avLst/>
        </a:prstGeom>
      </xdr:spPr>
    </xdr:pic>
    <xdr:clientData/>
  </xdr:oneCellAnchor>
  <xdr:oneCellAnchor>
    <xdr:from>
      <xdr:col>12</xdr:col>
      <xdr:colOff>314325</xdr:colOff>
      <xdr:row>502</xdr:row>
      <xdr:rowOff>323850</xdr:rowOff>
    </xdr:from>
    <xdr:ext cx="419100" cy="419100"/>
    <xdr:pic>
      <xdr:nvPicPr>
        <xdr:cNvPr id="1262" name="Imagen 1261">
          <a:hlinkClick xmlns:r="http://schemas.openxmlformats.org/officeDocument/2006/relationships" r:id="rId179"/>
          <a:extLst>
            <a:ext uri="{FF2B5EF4-FFF2-40B4-BE49-F238E27FC236}">
              <a16:creationId xmlns:a16="http://schemas.microsoft.com/office/drawing/2014/main" id="{37790BF3-3BDD-4934-AC98-712FD4676790}"/>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78325" y="421509825"/>
          <a:ext cx="419100" cy="419100"/>
        </a:xfrm>
        <a:prstGeom prst="rect">
          <a:avLst/>
        </a:prstGeom>
      </xdr:spPr>
    </xdr:pic>
    <xdr:clientData/>
  </xdr:oneCellAnchor>
  <xdr:oneCellAnchor>
    <xdr:from>
      <xdr:col>12</xdr:col>
      <xdr:colOff>1123950</xdr:colOff>
      <xdr:row>503</xdr:row>
      <xdr:rowOff>504825</xdr:rowOff>
    </xdr:from>
    <xdr:ext cx="452966" cy="448733"/>
    <xdr:pic>
      <xdr:nvPicPr>
        <xdr:cNvPr id="1263" name="Gráfico 1262" descr="Inalámbrico">
          <a:hlinkClick xmlns:r="http://schemas.openxmlformats.org/officeDocument/2006/relationships" r:id="rId102"/>
          <a:extLst>
            <a:ext uri="{FF2B5EF4-FFF2-40B4-BE49-F238E27FC236}">
              <a16:creationId xmlns:a16="http://schemas.microsoft.com/office/drawing/2014/main" id="{C7ABA653-C582-4C4D-9E84-3015B9E6FC4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8871400"/>
          <a:ext cx="452966" cy="448733"/>
        </a:xfrm>
        <a:prstGeom prst="rect">
          <a:avLst/>
        </a:prstGeom>
      </xdr:spPr>
    </xdr:pic>
    <xdr:clientData/>
  </xdr:oneCellAnchor>
  <xdr:oneCellAnchor>
    <xdr:from>
      <xdr:col>12</xdr:col>
      <xdr:colOff>152400</xdr:colOff>
      <xdr:row>503</xdr:row>
      <xdr:rowOff>476250</xdr:rowOff>
    </xdr:from>
    <xdr:ext cx="419100" cy="419100"/>
    <xdr:pic>
      <xdr:nvPicPr>
        <xdr:cNvPr id="1264" name="Imagen 1263">
          <a:hlinkClick xmlns:r="http://schemas.openxmlformats.org/officeDocument/2006/relationships" r:id="rId178"/>
          <a:extLst>
            <a:ext uri="{FF2B5EF4-FFF2-40B4-BE49-F238E27FC236}">
              <a16:creationId xmlns:a16="http://schemas.microsoft.com/office/drawing/2014/main" id="{7B99B352-A966-4CF2-8101-1EB170674FE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16400" y="418842825"/>
          <a:ext cx="419100" cy="419100"/>
        </a:xfrm>
        <a:prstGeom prst="rect">
          <a:avLst/>
        </a:prstGeom>
      </xdr:spPr>
    </xdr:pic>
    <xdr:clientData/>
  </xdr:oneCellAnchor>
  <xdr:oneCellAnchor>
    <xdr:from>
      <xdr:col>12</xdr:col>
      <xdr:colOff>990600</xdr:colOff>
      <xdr:row>508</xdr:row>
      <xdr:rowOff>333375</xdr:rowOff>
    </xdr:from>
    <xdr:ext cx="452966" cy="448733"/>
    <xdr:pic>
      <xdr:nvPicPr>
        <xdr:cNvPr id="1265" name="Gráfico 1264" descr="Inalámbrico">
          <a:hlinkClick xmlns:r="http://schemas.openxmlformats.org/officeDocument/2006/relationships" r:id="rId103"/>
          <a:extLst>
            <a:ext uri="{FF2B5EF4-FFF2-40B4-BE49-F238E27FC236}">
              <a16:creationId xmlns:a16="http://schemas.microsoft.com/office/drawing/2014/main" id="{DB71E79C-F146-47AD-9058-BA4B4915307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754600" y="428072550"/>
          <a:ext cx="452966" cy="448733"/>
        </a:xfrm>
        <a:prstGeom prst="rect">
          <a:avLst/>
        </a:prstGeom>
      </xdr:spPr>
    </xdr:pic>
    <xdr:clientData/>
  </xdr:oneCellAnchor>
  <xdr:oneCellAnchor>
    <xdr:from>
      <xdr:col>12</xdr:col>
      <xdr:colOff>314325</xdr:colOff>
      <xdr:row>508</xdr:row>
      <xdr:rowOff>323850</xdr:rowOff>
    </xdr:from>
    <xdr:ext cx="419100" cy="419100"/>
    <xdr:pic>
      <xdr:nvPicPr>
        <xdr:cNvPr id="1266" name="Imagen 1265">
          <a:hlinkClick xmlns:r="http://schemas.openxmlformats.org/officeDocument/2006/relationships" r:id="rId179"/>
          <a:extLst>
            <a:ext uri="{FF2B5EF4-FFF2-40B4-BE49-F238E27FC236}">
              <a16:creationId xmlns:a16="http://schemas.microsoft.com/office/drawing/2014/main" id="{95338C8E-F46C-4C99-9D1E-554F3F4E321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78325" y="428063025"/>
          <a:ext cx="419100" cy="419100"/>
        </a:xfrm>
        <a:prstGeom prst="rect">
          <a:avLst/>
        </a:prstGeom>
      </xdr:spPr>
    </xdr:pic>
    <xdr:clientData/>
  </xdr:oneCellAnchor>
  <xdr:oneCellAnchor>
    <xdr:from>
      <xdr:col>12</xdr:col>
      <xdr:colOff>219075</xdr:colOff>
      <xdr:row>509</xdr:row>
      <xdr:rowOff>304800</xdr:rowOff>
    </xdr:from>
    <xdr:ext cx="419100" cy="419100"/>
    <xdr:pic>
      <xdr:nvPicPr>
        <xdr:cNvPr id="1267" name="Imagen 1266">
          <a:hlinkClick xmlns:r="http://schemas.openxmlformats.org/officeDocument/2006/relationships" r:id="rId168"/>
          <a:extLst>
            <a:ext uri="{FF2B5EF4-FFF2-40B4-BE49-F238E27FC236}">
              <a16:creationId xmlns:a16="http://schemas.microsoft.com/office/drawing/2014/main" id="{034997F0-3EF3-4E63-9411-96B5EDBCA646}"/>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83075" y="417261675"/>
          <a:ext cx="419100" cy="419100"/>
        </a:xfrm>
        <a:prstGeom prst="rect">
          <a:avLst/>
        </a:prstGeom>
      </xdr:spPr>
    </xdr:pic>
    <xdr:clientData/>
  </xdr:oneCellAnchor>
  <xdr:oneCellAnchor>
    <xdr:from>
      <xdr:col>12</xdr:col>
      <xdr:colOff>1181100</xdr:colOff>
      <xdr:row>511</xdr:row>
      <xdr:rowOff>571500</xdr:rowOff>
    </xdr:from>
    <xdr:ext cx="374254" cy="372798"/>
    <xdr:pic>
      <xdr:nvPicPr>
        <xdr:cNvPr id="1268" name="Gráfico 1267" descr="Inalámbrico">
          <a:hlinkClick xmlns:r="http://schemas.openxmlformats.org/officeDocument/2006/relationships" r:id="rId111"/>
          <a:extLst>
            <a:ext uri="{FF2B5EF4-FFF2-40B4-BE49-F238E27FC236}">
              <a16:creationId xmlns:a16="http://schemas.microsoft.com/office/drawing/2014/main" id="{F310417B-0F7F-4995-99F6-55E2FF3B4F4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45100" y="420347775"/>
          <a:ext cx="374254" cy="372798"/>
        </a:xfrm>
        <a:prstGeom prst="rect">
          <a:avLst/>
        </a:prstGeom>
      </xdr:spPr>
    </xdr:pic>
    <xdr:clientData/>
  </xdr:oneCellAnchor>
  <xdr:oneCellAnchor>
    <xdr:from>
      <xdr:col>12</xdr:col>
      <xdr:colOff>257175</xdr:colOff>
      <xdr:row>511</xdr:row>
      <xdr:rowOff>638175</xdr:rowOff>
    </xdr:from>
    <xdr:ext cx="419100" cy="419100"/>
    <xdr:pic>
      <xdr:nvPicPr>
        <xdr:cNvPr id="1269" name="Imagen 1268">
          <a:hlinkClick xmlns:r="http://schemas.openxmlformats.org/officeDocument/2006/relationships" r:id="rId177"/>
          <a:extLst>
            <a:ext uri="{FF2B5EF4-FFF2-40B4-BE49-F238E27FC236}">
              <a16:creationId xmlns:a16="http://schemas.microsoft.com/office/drawing/2014/main" id="{BCB78F5A-FF87-4FBE-AEE1-25C178EE38E5}"/>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21175" y="420414450"/>
          <a:ext cx="419100" cy="419100"/>
        </a:xfrm>
        <a:prstGeom prst="rect">
          <a:avLst/>
        </a:prstGeom>
      </xdr:spPr>
    </xdr:pic>
    <xdr:clientData/>
  </xdr:oneCellAnchor>
  <xdr:oneCellAnchor>
    <xdr:from>
      <xdr:col>10</xdr:col>
      <xdr:colOff>438150</xdr:colOff>
      <xdr:row>510</xdr:row>
      <xdr:rowOff>314325</xdr:rowOff>
    </xdr:from>
    <xdr:ext cx="1537759" cy="628650"/>
    <mc:AlternateContent xmlns:mc="http://schemas.openxmlformats.org/markup-compatibility/2006" xmlns:a14="http://schemas.microsoft.com/office/drawing/2010/main">
      <mc:Choice Requires="a14">
        <xdr:sp macro="" textlink="">
          <xdr:nvSpPr>
            <xdr:cNvPr id="1270" name="CuadroTexto 1269">
              <a:extLst>
                <a:ext uri="{FF2B5EF4-FFF2-40B4-BE49-F238E27FC236}">
                  <a16:creationId xmlns:a16="http://schemas.microsoft.com/office/drawing/2014/main" id="{839D9EBB-077C-45C0-B29F-78FA7EEAC9A8}"/>
                </a:ext>
              </a:extLst>
            </xdr:cNvPr>
            <xdr:cNvSpPr txBox="1"/>
          </xdr:nvSpPr>
          <xdr:spPr>
            <a:xfrm>
              <a:off x="12792075" y="43723560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050" b="0" i="1">
                        <a:latin typeface="Cambria Math" panose="02040503050406030204" pitchFamily="18" charset="0"/>
                      </a:rPr>
                      <m:t>1 </m:t>
                    </m:r>
                    <m:r>
                      <a:rPr lang="es-MX" sz="1050" b="0" i="1">
                        <a:latin typeface="Cambria Math" panose="02040503050406030204" pitchFamily="18" charset="0"/>
                      </a:rPr>
                      <m:t>𝑘𝑔</m:t>
                    </m:r>
                    <m:r>
                      <a:rPr lang="es-MX" sz="1050" b="0" i="1">
                        <a:latin typeface="Cambria Math" panose="02040503050406030204" pitchFamily="18" charset="0"/>
                      </a:rPr>
                      <m:t> </m:t>
                    </m:r>
                    <m:r>
                      <a:rPr lang="es-MX" sz="1050" b="0" i="1">
                        <a:latin typeface="Cambria Math" panose="02040503050406030204" pitchFamily="18" charset="0"/>
                      </a:rPr>
                      <m:t>𝐶𝐿</m:t>
                    </m:r>
                    <m:r>
                      <a:rPr lang="es-MX" sz="1050" b="0" i="1">
                        <a:latin typeface="Cambria Math" panose="02040503050406030204" pitchFamily="18" charset="0"/>
                      </a:rPr>
                      <m:t>=</m:t>
                    </m:r>
                    <m:r>
                      <a:rPr lang="es-MX" sz="1050" b="0" i="0">
                        <a:latin typeface="Cambria Math" panose="02040503050406030204" pitchFamily="18" charset="0"/>
                      </a:rPr>
                      <m:t> .066 </m:t>
                    </m:r>
                    <m:r>
                      <m:rPr>
                        <m:sty m:val="p"/>
                      </m:rPr>
                      <a:rPr lang="es-MX" sz="1050" b="0" i="0">
                        <a:latin typeface="Cambria Math" panose="02040503050406030204" pitchFamily="18" charset="0"/>
                      </a:rPr>
                      <m:t>Bp</m:t>
                    </m:r>
                  </m:oMath>
                </m:oMathPara>
              </a14:m>
              <a:endParaRPr lang="es-MX" sz="1050" b="0" i="0">
                <a:latin typeface="Cambria Math" panose="02040503050406030204" pitchFamily="18" charset="0"/>
              </a:endParaRPr>
            </a:p>
            <a:p>
              <a:endParaRPr lang="es-MX" sz="1050" b="0"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s-MX" sz="1050" b="0" i="1">
                        <a:solidFill>
                          <a:schemeClr val="tx1"/>
                        </a:solidFill>
                        <a:effectLst/>
                        <a:latin typeface="Cambria Math" panose="02040503050406030204" pitchFamily="18" charset="0"/>
                        <a:ea typeface="+mn-ea"/>
                        <a:cs typeface="+mn-cs"/>
                      </a:rPr>
                      <m:t>1 </m:t>
                    </m:r>
                    <m:r>
                      <a:rPr lang="es-MX" sz="1050" b="0" i="1">
                        <a:solidFill>
                          <a:schemeClr val="tx1"/>
                        </a:solidFill>
                        <a:effectLst/>
                        <a:latin typeface="Cambria Math" panose="02040503050406030204" pitchFamily="18" charset="0"/>
                        <a:ea typeface="+mn-ea"/>
                        <a:cs typeface="+mn-cs"/>
                      </a:rPr>
                      <m:t>𝑡𝑜𝑛</m:t>
                    </m:r>
                    <m:r>
                      <a:rPr lang="es-MX" sz="1050" b="0" i="1">
                        <a:solidFill>
                          <a:schemeClr val="tx1"/>
                        </a:solidFill>
                        <a:effectLst/>
                        <a:latin typeface="Cambria Math" panose="02040503050406030204" pitchFamily="18" charset="0"/>
                        <a:ea typeface="+mn-ea"/>
                        <a:cs typeface="+mn-cs"/>
                      </a:rPr>
                      <m:t> </m:t>
                    </m:r>
                    <m:r>
                      <a:rPr lang="es-MX" sz="1050" b="0" i="1">
                        <a:solidFill>
                          <a:schemeClr val="tx1"/>
                        </a:solidFill>
                        <a:effectLst/>
                        <a:latin typeface="Cambria Math" panose="02040503050406030204" pitchFamily="18" charset="0"/>
                        <a:ea typeface="+mn-ea"/>
                        <a:cs typeface="+mn-cs"/>
                      </a:rPr>
                      <m:t>𝐶𝐿</m:t>
                    </m:r>
                    <m:r>
                      <a:rPr lang="es-MX" sz="1050" b="0" i="1">
                        <a:solidFill>
                          <a:schemeClr val="tx1"/>
                        </a:solidFill>
                        <a:effectLst/>
                        <a:latin typeface="Cambria Math" panose="02040503050406030204" pitchFamily="18" charset="0"/>
                        <a:ea typeface="+mn-ea"/>
                        <a:cs typeface="+mn-cs"/>
                      </a:rPr>
                      <m:t>=</m:t>
                    </m:r>
                    <m:r>
                      <a:rPr lang="es-MX" sz="1050" b="0" i="0">
                        <a:solidFill>
                          <a:schemeClr val="tx1"/>
                        </a:solidFill>
                        <a:effectLst/>
                        <a:latin typeface="Cambria Math" panose="02040503050406030204" pitchFamily="18" charset="0"/>
                        <a:ea typeface="+mn-ea"/>
                        <a:cs typeface="+mn-cs"/>
                      </a:rPr>
                      <m:t>6.6</m:t>
                    </m:r>
                  </m:oMath>
                </m:oMathPara>
              </a14:m>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Choice>
      <mc:Fallback xmlns="">
        <xdr:sp macro="" textlink="">
          <xdr:nvSpPr>
            <xdr:cNvPr id="1270" name="CuadroTexto 1269">
              <a:extLst>
                <a:ext uri="{FF2B5EF4-FFF2-40B4-BE49-F238E27FC236}">
                  <a16:creationId xmlns:a16="http://schemas.microsoft.com/office/drawing/2014/main" id="{839D9EBB-077C-45C0-B29F-78FA7EEAC9A8}"/>
                </a:ext>
              </a:extLst>
            </xdr:cNvPr>
            <xdr:cNvSpPr txBox="1"/>
          </xdr:nvSpPr>
          <xdr:spPr>
            <a:xfrm>
              <a:off x="12792075" y="437235600"/>
              <a:ext cx="1537759" cy="628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050" b="0" i="0">
                  <a:latin typeface="Cambria Math" panose="02040503050406030204" pitchFamily="18" charset="0"/>
                </a:rPr>
                <a:t>1 𝑘𝑔 𝐶𝐿= .066 Bp</a:t>
              </a:r>
            </a:p>
            <a:p>
              <a:endParaRPr lang="es-MX" sz="1050" b="0" i="0">
                <a:latin typeface="Cambria Math" panose="02040503050406030204" pitchFamily="18" charset="0"/>
              </a:endParaRPr>
            </a:p>
            <a:p>
              <a:pPr/>
              <a:r>
                <a:rPr lang="es-MX" sz="1050" b="0" i="0">
                  <a:solidFill>
                    <a:schemeClr val="tx1"/>
                  </a:solidFill>
                  <a:effectLst/>
                  <a:latin typeface="Cambria Math" panose="02040503050406030204" pitchFamily="18" charset="0"/>
                  <a:ea typeface="+mn-ea"/>
                  <a:cs typeface="+mn-cs"/>
                </a:rPr>
                <a:t>1 𝑡𝑜𝑛 𝐶𝐿=6.6</a:t>
              </a:r>
              <a:endParaRPr lang="es-MX" sz="105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a:effectLst/>
              </a:endParaRPr>
            </a:p>
            <a:p>
              <a:endParaRPr lang="es-MX" sz="1100" b="0"/>
            </a:p>
          </xdr:txBody>
        </xdr:sp>
      </mc:Fallback>
    </mc:AlternateContent>
    <xdr:clientData/>
  </xdr:oneCellAnchor>
  <xdr:oneCellAnchor>
    <xdr:from>
      <xdr:col>12</xdr:col>
      <xdr:colOff>1123950</xdr:colOff>
      <xdr:row>510</xdr:row>
      <xdr:rowOff>390525</xdr:rowOff>
    </xdr:from>
    <xdr:ext cx="452966" cy="448733"/>
    <xdr:pic>
      <xdr:nvPicPr>
        <xdr:cNvPr id="1011" name="Gráfico 1010" descr="Inalámbrico">
          <a:hlinkClick xmlns:r="http://schemas.openxmlformats.org/officeDocument/2006/relationships" r:id="rId113"/>
          <a:extLst>
            <a:ext uri="{FF2B5EF4-FFF2-40B4-BE49-F238E27FC236}">
              <a16:creationId xmlns:a16="http://schemas.microsoft.com/office/drawing/2014/main" id="{0DE6DC4E-4D87-4631-9A52-78CE195F3AD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887950" y="410594175"/>
          <a:ext cx="452966" cy="448733"/>
        </a:xfrm>
        <a:prstGeom prst="rect">
          <a:avLst/>
        </a:prstGeom>
      </xdr:spPr>
    </xdr:pic>
    <xdr:clientData/>
  </xdr:oneCellAnchor>
  <xdr:oneCellAnchor>
    <xdr:from>
      <xdr:col>12</xdr:col>
      <xdr:colOff>180975</xdr:colOff>
      <xdr:row>510</xdr:row>
      <xdr:rowOff>400050</xdr:rowOff>
    </xdr:from>
    <xdr:ext cx="419100" cy="419100"/>
    <xdr:pic>
      <xdr:nvPicPr>
        <xdr:cNvPr id="1012" name="Imagen 1011">
          <a:hlinkClick xmlns:r="http://schemas.openxmlformats.org/officeDocument/2006/relationships" r:id="rId176"/>
          <a:extLst>
            <a:ext uri="{FF2B5EF4-FFF2-40B4-BE49-F238E27FC236}">
              <a16:creationId xmlns:a16="http://schemas.microsoft.com/office/drawing/2014/main" id="{FE81123E-9889-444C-9695-A4F503EE5384}"/>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44975" y="410603700"/>
          <a:ext cx="419100" cy="419100"/>
        </a:xfrm>
        <a:prstGeom prst="rect">
          <a:avLst/>
        </a:prstGeom>
      </xdr:spPr>
    </xdr:pic>
    <xdr:clientData/>
  </xdr:oneCellAnchor>
  <xdr:oneCellAnchor>
    <xdr:from>
      <xdr:col>12</xdr:col>
      <xdr:colOff>1209675</xdr:colOff>
      <xdr:row>516</xdr:row>
      <xdr:rowOff>844551</xdr:rowOff>
    </xdr:from>
    <xdr:ext cx="371475" cy="371475"/>
    <xdr:pic>
      <xdr:nvPicPr>
        <xdr:cNvPr id="1013" name="Gráfico 1012" descr="Inalámbrico">
          <a:hlinkClick xmlns:r="http://schemas.openxmlformats.org/officeDocument/2006/relationships" r:id="rId42"/>
          <a:extLst>
            <a:ext uri="{FF2B5EF4-FFF2-40B4-BE49-F238E27FC236}">
              <a16:creationId xmlns:a16="http://schemas.microsoft.com/office/drawing/2014/main" id="{D09459AE-6875-448D-A424-1472ACA81F9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73675" y="75025251"/>
          <a:ext cx="371475" cy="371475"/>
        </a:xfrm>
        <a:prstGeom prst="rect">
          <a:avLst/>
        </a:prstGeom>
      </xdr:spPr>
    </xdr:pic>
    <xdr:clientData/>
  </xdr:oneCellAnchor>
  <xdr:oneCellAnchor>
    <xdr:from>
      <xdr:col>12</xdr:col>
      <xdr:colOff>152400</xdr:colOff>
      <xdr:row>516</xdr:row>
      <xdr:rowOff>828675</xdr:rowOff>
    </xdr:from>
    <xdr:ext cx="361950" cy="361950"/>
    <xdr:pic>
      <xdr:nvPicPr>
        <xdr:cNvPr id="1014" name="Imagen 1013">
          <a:hlinkClick xmlns:r="http://schemas.openxmlformats.org/officeDocument/2006/relationships" r:id="rId165"/>
          <a:extLst>
            <a:ext uri="{FF2B5EF4-FFF2-40B4-BE49-F238E27FC236}">
              <a16:creationId xmlns:a16="http://schemas.microsoft.com/office/drawing/2014/main" id="{D2A56477-4F87-430B-A5BE-9240093905D8}"/>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6916400" y="75009375"/>
          <a:ext cx="361950" cy="361950"/>
        </a:xfrm>
        <a:prstGeom prst="rect">
          <a:avLst/>
        </a:prstGeom>
      </xdr:spPr>
    </xdr:pic>
    <xdr:clientData/>
  </xdr:oneCellAnchor>
  <xdr:oneCellAnchor>
    <xdr:from>
      <xdr:col>12</xdr:col>
      <xdr:colOff>247650</xdr:colOff>
      <xdr:row>67</xdr:row>
      <xdr:rowOff>361950</xdr:rowOff>
    </xdr:from>
    <xdr:ext cx="361950" cy="361950"/>
    <xdr:pic>
      <xdr:nvPicPr>
        <xdr:cNvPr id="4" name="Imagen 3">
          <a:extLst>
            <a:ext uri="{FF2B5EF4-FFF2-40B4-BE49-F238E27FC236}">
              <a16:creationId xmlns:a16="http://schemas.microsoft.com/office/drawing/2014/main" id="{9F1404E3-81E2-432F-9A3A-F1E699D38C9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11650" y="77362050"/>
          <a:ext cx="361950" cy="361950"/>
        </a:xfrm>
        <a:prstGeom prst="rect">
          <a:avLst/>
        </a:prstGeom>
      </xdr:spPr>
    </xdr:pic>
    <xdr:clientData/>
  </xdr:oneCellAnchor>
  <xdr:oneCellAnchor>
    <xdr:from>
      <xdr:col>12</xdr:col>
      <xdr:colOff>1200150</xdr:colOff>
      <xdr:row>67</xdr:row>
      <xdr:rowOff>381000</xdr:rowOff>
    </xdr:from>
    <xdr:ext cx="295276" cy="295276"/>
    <xdr:pic>
      <xdr:nvPicPr>
        <xdr:cNvPr id="13" name="Gráfico 12" descr="Inalámbrico">
          <a:hlinkClick xmlns:r="http://schemas.openxmlformats.org/officeDocument/2006/relationships" r:id="rId180"/>
          <a:extLst>
            <a:ext uri="{FF2B5EF4-FFF2-40B4-BE49-F238E27FC236}">
              <a16:creationId xmlns:a16="http://schemas.microsoft.com/office/drawing/2014/main" id="{31A86DAE-29F5-4497-8646-493FE2263C8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64150" y="77381100"/>
          <a:ext cx="295276" cy="295276"/>
        </a:xfrm>
        <a:prstGeom prst="rect">
          <a:avLst/>
        </a:prstGeom>
      </xdr:spPr>
    </xdr:pic>
    <xdr:clientData/>
  </xdr:oneCellAnchor>
  <xdr:oneCellAnchor>
    <xdr:from>
      <xdr:col>12</xdr:col>
      <xdr:colOff>2419350</xdr:colOff>
      <xdr:row>425</xdr:row>
      <xdr:rowOff>476250</xdr:rowOff>
    </xdr:from>
    <xdr:ext cx="223310" cy="223310"/>
    <xdr:pic>
      <xdr:nvPicPr>
        <xdr:cNvPr id="17" name="Gráfico 16" descr="Inalámbrico">
          <a:hlinkClick xmlns:r="http://schemas.openxmlformats.org/officeDocument/2006/relationships" r:id="rId181"/>
          <a:extLst>
            <a:ext uri="{FF2B5EF4-FFF2-40B4-BE49-F238E27FC236}">
              <a16:creationId xmlns:a16="http://schemas.microsoft.com/office/drawing/2014/main" id="{BFBACB19-DA91-4513-A2A5-F559F48A15B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183350" y="361492800"/>
          <a:ext cx="223310" cy="223310"/>
        </a:xfrm>
        <a:prstGeom prst="rect">
          <a:avLst/>
        </a:prstGeom>
      </xdr:spPr>
    </xdr:pic>
    <xdr:clientData/>
  </xdr:oneCellAnchor>
  <xdr:oneCellAnchor>
    <xdr:from>
      <xdr:col>12</xdr:col>
      <xdr:colOff>2114550</xdr:colOff>
      <xdr:row>425</xdr:row>
      <xdr:rowOff>428625</xdr:rowOff>
    </xdr:from>
    <xdr:ext cx="247650" cy="250084"/>
    <xdr:pic>
      <xdr:nvPicPr>
        <xdr:cNvPr id="27" name="Gráfico 26" descr="Hogar">
          <a:hlinkClick xmlns:r="http://schemas.openxmlformats.org/officeDocument/2006/relationships" r:id="rId182"/>
          <a:extLst>
            <a:ext uri="{FF2B5EF4-FFF2-40B4-BE49-F238E27FC236}">
              <a16:creationId xmlns:a16="http://schemas.microsoft.com/office/drawing/2014/main" id="{17EE3160-FBD4-4071-9CFC-F6FF429D289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878550" y="361445175"/>
          <a:ext cx="247650" cy="250084"/>
        </a:xfrm>
        <a:prstGeom prst="rect">
          <a:avLst/>
        </a:prstGeom>
      </xdr:spPr>
    </xdr:pic>
    <xdr:clientData/>
  </xdr:oneCellAnchor>
  <xdr:oneCellAnchor>
    <xdr:from>
      <xdr:col>12</xdr:col>
      <xdr:colOff>2419350</xdr:colOff>
      <xdr:row>460</xdr:row>
      <xdr:rowOff>476250</xdr:rowOff>
    </xdr:from>
    <xdr:ext cx="223310" cy="223310"/>
    <xdr:pic>
      <xdr:nvPicPr>
        <xdr:cNvPr id="33" name="Gráfico 32" descr="Inalámbrico">
          <a:hlinkClick xmlns:r="http://schemas.openxmlformats.org/officeDocument/2006/relationships" r:id="rId181"/>
          <a:extLst>
            <a:ext uri="{FF2B5EF4-FFF2-40B4-BE49-F238E27FC236}">
              <a16:creationId xmlns:a16="http://schemas.microsoft.com/office/drawing/2014/main" id="{89257ABE-D759-46B6-BBCE-EDC2E924C73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183350" y="361492800"/>
          <a:ext cx="223310" cy="223310"/>
        </a:xfrm>
        <a:prstGeom prst="rect">
          <a:avLst/>
        </a:prstGeom>
      </xdr:spPr>
    </xdr:pic>
    <xdr:clientData/>
  </xdr:oneCellAnchor>
  <xdr:oneCellAnchor>
    <xdr:from>
      <xdr:col>12</xdr:col>
      <xdr:colOff>2114550</xdr:colOff>
      <xdr:row>460</xdr:row>
      <xdr:rowOff>428625</xdr:rowOff>
    </xdr:from>
    <xdr:ext cx="247650" cy="250084"/>
    <xdr:pic>
      <xdr:nvPicPr>
        <xdr:cNvPr id="34" name="Gráfico 33" descr="Hogar">
          <a:hlinkClick xmlns:r="http://schemas.openxmlformats.org/officeDocument/2006/relationships" r:id="rId183"/>
          <a:extLst>
            <a:ext uri="{FF2B5EF4-FFF2-40B4-BE49-F238E27FC236}">
              <a16:creationId xmlns:a16="http://schemas.microsoft.com/office/drawing/2014/main" id="{10EA26FA-9929-43E7-8D48-1A10AA2D813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878550" y="361445175"/>
          <a:ext cx="247650" cy="250084"/>
        </a:xfrm>
        <a:prstGeom prst="rect">
          <a:avLst/>
        </a:prstGeom>
      </xdr:spPr>
    </xdr:pic>
    <xdr:clientData/>
  </xdr:oneCellAnchor>
  <xdr:oneCellAnchor>
    <xdr:from>
      <xdr:col>12</xdr:col>
      <xdr:colOff>400050</xdr:colOff>
      <xdr:row>483</xdr:row>
      <xdr:rowOff>762000</xdr:rowOff>
    </xdr:from>
    <xdr:ext cx="419100" cy="419100"/>
    <xdr:pic>
      <xdr:nvPicPr>
        <xdr:cNvPr id="40" name="Imagen 39">
          <a:hlinkClick xmlns:r="http://schemas.openxmlformats.org/officeDocument/2006/relationships" r:id="rId184"/>
          <a:extLst>
            <a:ext uri="{FF2B5EF4-FFF2-40B4-BE49-F238E27FC236}">
              <a16:creationId xmlns:a16="http://schemas.microsoft.com/office/drawing/2014/main" id="{8772BD6A-8D63-4857-A889-552D3EA9BD32}"/>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164050" y="414089850"/>
          <a:ext cx="419100" cy="419100"/>
        </a:xfrm>
        <a:prstGeom prst="rect">
          <a:avLst/>
        </a:prstGeom>
      </xdr:spPr>
    </xdr:pic>
    <xdr:clientData/>
  </xdr:oneCellAnchor>
  <xdr:oneCellAnchor>
    <xdr:from>
      <xdr:col>12</xdr:col>
      <xdr:colOff>1695450</xdr:colOff>
      <xdr:row>483</xdr:row>
      <xdr:rowOff>714375</xdr:rowOff>
    </xdr:from>
    <xdr:ext cx="452966" cy="448733"/>
    <xdr:pic>
      <xdr:nvPicPr>
        <xdr:cNvPr id="45" name="Gráfico 44" descr="Inalámbrico">
          <a:hlinkClick xmlns:r="http://schemas.openxmlformats.org/officeDocument/2006/relationships" r:id="rId185"/>
          <a:extLst>
            <a:ext uri="{FF2B5EF4-FFF2-40B4-BE49-F238E27FC236}">
              <a16:creationId xmlns:a16="http://schemas.microsoft.com/office/drawing/2014/main" id="{002E12AD-7345-4987-8092-CEF17A9DD43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459450" y="414042225"/>
          <a:ext cx="452966" cy="448733"/>
        </a:xfrm>
        <a:prstGeom prst="rect">
          <a:avLst/>
        </a:prstGeom>
      </xdr:spPr>
    </xdr:pic>
    <xdr:clientData/>
  </xdr:oneCellAnchor>
  <xdr:oneCellAnchor>
    <xdr:from>
      <xdr:col>12</xdr:col>
      <xdr:colOff>238125</xdr:colOff>
      <xdr:row>30</xdr:row>
      <xdr:rowOff>428625</xdr:rowOff>
    </xdr:from>
    <xdr:ext cx="361950" cy="361950"/>
    <xdr:pic>
      <xdr:nvPicPr>
        <xdr:cNvPr id="35" name="Imagen 34">
          <a:hlinkClick xmlns:r="http://schemas.openxmlformats.org/officeDocument/2006/relationships" r:id="rId186"/>
          <a:extLst>
            <a:ext uri="{FF2B5EF4-FFF2-40B4-BE49-F238E27FC236}">
              <a16:creationId xmlns:a16="http://schemas.microsoft.com/office/drawing/2014/main" id="{7DE8EEB5-8F7F-4999-ADF6-2433420ED429}"/>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02125" y="34737675"/>
          <a:ext cx="361950" cy="361950"/>
        </a:xfrm>
        <a:prstGeom prst="rect">
          <a:avLst/>
        </a:prstGeom>
      </xdr:spPr>
    </xdr:pic>
    <xdr:clientData/>
  </xdr:oneCellAnchor>
  <xdr:twoCellAnchor editAs="oneCell">
    <xdr:from>
      <xdr:col>12</xdr:col>
      <xdr:colOff>895350</xdr:colOff>
      <xdr:row>30</xdr:row>
      <xdr:rowOff>419100</xdr:rowOff>
    </xdr:from>
    <xdr:to>
      <xdr:col>12</xdr:col>
      <xdr:colOff>1267238</xdr:colOff>
      <xdr:row>30</xdr:row>
      <xdr:rowOff>790988</xdr:rowOff>
    </xdr:to>
    <xdr:pic>
      <xdr:nvPicPr>
        <xdr:cNvPr id="51" name="Imagen 50">
          <a:hlinkClick xmlns:r="http://schemas.openxmlformats.org/officeDocument/2006/relationships" r:id="rId187"/>
          <a:extLst>
            <a:ext uri="{FF2B5EF4-FFF2-40B4-BE49-F238E27FC236}">
              <a16:creationId xmlns:a16="http://schemas.microsoft.com/office/drawing/2014/main" id="{325639B9-6EA7-FE27-84AE-72BDBED64FF5}"/>
            </a:ext>
          </a:extLst>
        </xdr:cNvPr>
        <xdr:cNvPicPr>
          <a:picLocks noChangeAspect="1"/>
        </xdr:cNvPicPr>
      </xdr:nvPicPr>
      <xdr:blipFill>
        <a:blip xmlns:r="http://schemas.openxmlformats.org/officeDocument/2006/relationships" r:embed="rId188"/>
        <a:stretch>
          <a:fillRect/>
        </a:stretch>
      </xdr:blipFill>
      <xdr:spPr>
        <a:xfrm>
          <a:off x="17659350" y="34728150"/>
          <a:ext cx="371888" cy="371888"/>
        </a:xfrm>
        <a:prstGeom prst="rect">
          <a:avLst/>
        </a:prstGeom>
      </xdr:spPr>
    </xdr:pic>
    <xdr:clientData/>
  </xdr:twoCellAnchor>
  <xdr:oneCellAnchor>
    <xdr:from>
      <xdr:col>12</xdr:col>
      <xdr:colOff>333375</xdr:colOff>
      <xdr:row>33</xdr:row>
      <xdr:rowOff>285750</xdr:rowOff>
    </xdr:from>
    <xdr:ext cx="361950" cy="361950"/>
    <xdr:pic>
      <xdr:nvPicPr>
        <xdr:cNvPr id="52" name="Imagen 51">
          <a:hlinkClick xmlns:r="http://schemas.openxmlformats.org/officeDocument/2006/relationships" r:id="rId189"/>
          <a:extLst>
            <a:ext uri="{FF2B5EF4-FFF2-40B4-BE49-F238E27FC236}">
              <a16:creationId xmlns:a16="http://schemas.microsoft.com/office/drawing/2014/main" id="{BB4C46C7-3892-4D4D-A70B-8F14DD81D45D}"/>
            </a:ext>
          </a:extLst>
        </xdr:cNvPr>
        <xdr:cNvPicPr>
          <a:picLocks noChangeAspect="1"/>
        </xdr:cNvPicPr>
      </xdr:nvPicPr>
      <xdr:blipFill>
        <a:blip xmlns:r="http://schemas.openxmlformats.org/officeDocument/2006/relationships" r:embed="rId138">
          <a:duotone>
            <a:prstClr val="black"/>
            <a:schemeClr val="accent6">
              <a:tint val="45000"/>
              <a:satMod val="400000"/>
            </a:schemeClr>
          </a:duotone>
          <a:extLst>
            <a:ext uri="{BEBA8EAE-BF5A-486C-A8C5-ECC9F3942E4B}">
              <a14:imgProps xmlns:a14="http://schemas.microsoft.com/office/drawing/2010/main">
                <a14:imgLayer r:embed="rId139">
                  <a14:imgEffect>
                    <a14:saturation sat="0"/>
                  </a14:imgEffect>
                </a14:imgLayer>
              </a14:imgProps>
            </a:ext>
            <a:ext uri="{28A0092B-C50C-407E-A947-70E740481C1C}">
              <a14:useLocalDpi xmlns:a14="http://schemas.microsoft.com/office/drawing/2010/main" val="0"/>
            </a:ext>
          </a:extLst>
        </a:blip>
        <a:stretch>
          <a:fillRect/>
        </a:stretch>
      </xdr:blipFill>
      <xdr:spPr>
        <a:xfrm>
          <a:off x="17097375" y="39576375"/>
          <a:ext cx="361950" cy="361950"/>
        </a:xfrm>
        <a:prstGeom prst="rect">
          <a:avLst/>
        </a:prstGeom>
      </xdr:spPr>
    </xdr:pic>
    <xdr:clientData/>
  </xdr:oneCellAnchor>
  <xdr:twoCellAnchor editAs="oneCell">
    <xdr:from>
      <xdr:col>12</xdr:col>
      <xdr:colOff>866775</xdr:colOff>
      <xdr:row>33</xdr:row>
      <xdr:rowOff>257175</xdr:rowOff>
    </xdr:from>
    <xdr:to>
      <xdr:col>12</xdr:col>
      <xdr:colOff>1238663</xdr:colOff>
      <xdr:row>33</xdr:row>
      <xdr:rowOff>629063</xdr:rowOff>
    </xdr:to>
    <xdr:pic>
      <xdr:nvPicPr>
        <xdr:cNvPr id="53" name="Imagen 52">
          <a:hlinkClick xmlns:r="http://schemas.openxmlformats.org/officeDocument/2006/relationships" r:id="rId190"/>
          <a:extLst>
            <a:ext uri="{FF2B5EF4-FFF2-40B4-BE49-F238E27FC236}">
              <a16:creationId xmlns:a16="http://schemas.microsoft.com/office/drawing/2014/main" id="{FCB4084F-C5C2-82DD-8FC4-49452A4B7FA1}"/>
            </a:ext>
          </a:extLst>
        </xdr:cNvPr>
        <xdr:cNvPicPr>
          <a:picLocks noChangeAspect="1"/>
        </xdr:cNvPicPr>
      </xdr:nvPicPr>
      <xdr:blipFill>
        <a:blip xmlns:r="http://schemas.openxmlformats.org/officeDocument/2006/relationships" r:embed="rId188"/>
        <a:stretch>
          <a:fillRect/>
        </a:stretch>
      </xdr:blipFill>
      <xdr:spPr>
        <a:xfrm>
          <a:off x="17630775" y="39547800"/>
          <a:ext cx="371888" cy="371888"/>
        </a:xfrm>
        <a:prstGeom prst="rect">
          <a:avLst/>
        </a:prstGeom>
      </xdr:spPr>
    </xdr:pic>
    <xdr:clientData/>
  </xdr:twoCellAnchor>
  <xdr:twoCellAnchor editAs="oneCell">
    <xdr:from>
      <xdr:col>12</xdr:col>
      <xdr:colOff>438150</xdr:colOff>
      <xdr:row>333</xdr:row>
      <xdr:rowOff>95250</xdr:rowOff>
    </xdr:from>
    <xdr:to>
      <xdr:col>12</xdr:col>
      <xdr:colOff>797845</xdr:colOff>
      <xdr:row>333</xdr:row>
      <xdr:rowOff>461042</xdr:rowOff>
    </xdr:to>
    <xdr:pic>
      <xdr:nvPicPr>
        <xdr:cNvPr id="57" name="Imagen 56">
          <a:hlinkClick xmlns:r="http://schemas.openxmlformats.org/officeDocument/2006/relationships" r:id="rId191"/>
          <a:extLst>
            <a:ext uri="{FF2B5EF4-FFF2-40B4-BE49-F238E27FC236}">
              <a16:creationId xmlns:a16="http://schemas.microsoft.com/office/drawing/2014/main" id="{EF6D1D88-0EB3-50F4-AFB1-59ED79E35800}"/>
            </a:ext>
          </a:extLst>
        </xdr:cNvPr>
        <xdr:cNvPicPr>
          <a:picLocks noChangeAspect="1"/>
        </xdr:cNvPicPr>
      </xdr:nvPicPr>
      <xdr:blipFill>
        <a:blip xmlns:r="http://schemas.openxmlformats.org/officeDocument/2006/relationships" r:embed="rId192"/>
        <a:stretch>
          <a:fillRect/>
        </a:stretch>
      </xdr:blipFill>
      <xdr:spPr>
        <a:xfrm>
          <a:off x="17202150" y="273691350"/>
          <a:ext cx="359695" cy="365792"/>
        </a:xfrm>
        <a:prstGeom prst="rect">
          <a:avLst/>
        </a:prstGeom>
      </xdr:spPr>
    </xdr:pic>
    <xdr:clientData/>
  </xdr:twoCellAnchor>
  <xdr:twoCellAnchor editAs="oneCell">
    <xdr:from>
      <xdr:col>12</xdr:col>
      <xdr:colOff>1657350</xdr:colOff>
      <xdr:row>333</xdr:row>
      <xdr:rowOff>95250</xdr:rowOff>
    </xdr:from>
    <xdr:to>
      <xdr:col>12</xdr:col>
      <xdr:colOff>2108493</xdr:colOff>
      <xdr:row>333</xdr:row>
      <xdr:rowOff>540297</xdr:rowOff>
    </xdr:to>
    <xdr:pic>
      <xdr:nvPicPr>
        <xdr:cNvPr id="63" name="Imagen 62">
          <a:hlinkClick xmlns:r="http://schemas.openxmlformats.org/officeDocument/2006/relationships" r:id="rId193"/>
          <a:extLst>
            <a:ext uri="{FF2B5EF4-FFF2-40B4-BE49-F238E27FC236}">
              <a16:creationId xmlns:a16="http://schemas.microsoft.com/office/drawing/2014/main" id="{EB99EE66-A66C-523F-9B0F-ABEA432980AE}"/>
            </a:ext>
          </a:extLst>
        </xdr:cNvPr>
        <xdr:cNvPicPr>
          <a:picLocks noChangeAspect="1"/>
        </xdr:cNvPicPr>
      </xdr:nvPicPr>
      <xdr:blipFill>
        <a:blip xmlns:r="http://schemas.openxmlformats.org/officeDocument/2006/relationships" r:embed="rId194"/>
        <a:stretch>
          <a:fillRect/>
        </a:stretch>
      </xdr:blipFill>
      <xdr:spPr>
        <a:xfrm>
          <a:off x="18421350" y="273691350"/>
          <a:ext cx="451143" cy="445047"/>
        </a:xfrm>
        <a:prstGeom prst="rect">
          <a:avLst/>
        </a:prstGeom>
      </xdr:spPr>
    </xdr:pic>
    <xdr:clientData/>
  </xdr:twoCellAnchor>
  <xdr:oneCellAnchor>
    <xdr:from>
      <xdr:col>12</xdr:col>
      <xdr:colOff>1847850</xdr:colOff>
      <xdr:row>70</xdr:row>
      <xdr:rowOff>1206501</xdr:rowOff>
    </xdr:from>
    <xdr:ext cx="295276" cy="295276"/>
    <xdr:pic>
      <xdr:nvPicPr>
        <xdr:cNvPr id="50" name="Gráfico 49" descr="Inalámbrico">
          <a:hlinkClick xmlns:r="http://schemas.openxmlformats.org/officeDocument/2006/relationships" r:id="rId195"/>
          <a:extLst>
            <a:ext uri="{FF2B5EF4-FFF2-40B4-BE49-F238E27FC236}">
              <a16:creationId xmlns:a16="http://schemas.microsoft.com/office/drawing/2014/main" id="{F871DF75-DD8B-4477-B44E-79877C5C804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633017" y="84518501"/>
          <a:ext cx="295276" cy="295276"/>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744106</xdr:colOff>
      <xdr:row>1</xdr:row>
      <xdr:rowOff>261939</xdr:rowOff>
    </xdr:from>
    <xdr:to>
      <xdr:col>3</xdr:col>
      <xdr:colOff>1183269</xdr:colOff>
      <xdr:row>6</xdr:row>
      <xdr:rowOff>265906</xdr:rowOff>
    </xdr:to>
    <xdr:pic>
      <xdr:nvPicPr>
        <xdr:cNvPr id="2" name="Imagen 1">
          <a:extLst>
            <a:ext uri="{FF2B5EF4-FFF2-40B4-BE49-F238E27FC236}">
              <a16:creationId xmlns:a16="http://schemas.microsoft.com/office/drawing/2014/main" id="{106EC2C5-487F-492A-87EE-592D04EB91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77544" y="750095"/>
          <a:ext cx="1653600" cy="2004217"/>
        </a:xfrm>
        <a:prstGeom prst="rect">
          <a:avLst/>
        </a:prstGeom>
      </xdr:spPr>
    </xdr:pic>
    <xdr:clientData/>
  </xdr:twoCellAnchor>
  <xdr:twoCellAnchor editAs="oneCell">
    <xdr:from>
      <xdr:col>6</xdr:col>
      <xdr:colOff>531683</xdr:colOff>
      <xdr:row>38</xdr:row>
      <xdr:rowOff>203078</xdr:rowOff>
    </xdr:from>
    <xdr:to>
      <xdr:col>7</xdr:col>
      <xdr:colOff>161158</xdr:colOff>
      <xdr:row>40</xdr:row>
      <xdr:rowOff>47104</xdr:rowOff>
    </xdr:to>
    <xdr:pic>
      <xdr:nvPicPr>
        <xdr:cNvPr id="3" name="Imagen 2">
          <a:extLst>
            <a:ext uri="{FF2B5EF4-FFF2-40B4-BE49-F238E27FC236}">
              <a16:creationId xmlns:a16="http://schemas.microsoft.com/office/drawing/2014/main" id="{6660034A-1364-4121-9F03-0DB70C010A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18121" y="12466516"/>
          <a:ext cx="593881" cy="582213"/>
        </a:xfrm>
        <a:prstGeom prst="rect">
          <a:avLst/>
        </a:prstGeom>
      </xdr:spPr>
    </xdr:pic>
    <xdr:clientData/>
  </xdr:twoCellAnchor>
  <xdr:twoCellAnchor editAs="oneCell">
    <xdr:from>
      <xdr:col>6</xdr:col>
      <xdr:colOff>501730</xdr:colOff>
      <xdr:row>48</xdr:row>
      <xdr:rowOff>69424</xdr:rowOff>
    </xdr:from>
    <xdr:to>
      <xdr:col>7</xdr:col>
      <xdr:colOff>231365</xdr:colOff>
      <xdr:row>49</xdr:row>
      <xdr:rowOff>565225</xdr:rowOff>
    </xdr:to>
    <xdr:pic>
      <xdr:nvPicPr>
        <xdr:cNvPr id="4" name="Imagen 3">
          <a:extLst>
            <a:ext uri="{FF2B5EF4-FFF2-40B4-BE49-F238E27FC236}">
              <a16:creationId xmlns:a16="http://schemas.microsoft.com/office/drawing/2014/main" id="{E44A6084-5626-4FAA-BA92-54751D9EB6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288168" y="16023799"/>
          <a:ext cx="694041" cy="674395"/>
        </a:xfrm>
        <a:prstGeom prst="rect">
          <a:avLst/>
        </a:prstGeom>
      </xdr:spPr>
    </xdr:pic>
    <xdr:clientData/>
  </xdr:twoCellAnchor>
  <xdr:twoCellAnchor editAs="oneCell">
    <xdr:from>
      <xdr:col>6</xdr:col>
      <xdr:colOff>448083</xdr:colOff>
      <xdr:row>42</xdr:row>
      <xdr:rowOff>255042</xdr:rowOff>
    </xdr:from>
    <xdr:to>
      <xdr:col>7</xdr:col>
      <xdr:colOff>76837</xdr:colOff>
      <xdr:row>44</xdr:row>
      <xdr:rowOff>94175</xdr:rowOff>
    </xdr:to>
    <xdr:pic>
      <xdr:nvPicPr>
        <xdr:cNvPr id="5" name="Imagen 4">
          <a:extLst>
            <a:ext uri="{FF2B5EF4-FFF2-40B4-BE49-F238E27FC236}">
              <a16:creationId xmlns:a16="http://schemas.microsoft.com/office/drawing/2014/main" id="{D56BC355-B05E-455B-A3E6-6E8A1851F3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34521" y="13971042"/>
          <a:ext cx="593160" cy="577321"/>
        </a:xfrm>
        <a:prstGeom prst="rect">
          <a:avLst/>
        </a:prstGeom>
      </xdr:spPr>
    </xdr:pic>
    <xdr:clientData/>
  </xdr:twoCellAnchor>
  <xdr:twoCellAnchor editAs="oneCell">
    <xdr:from>
      <xdr:col>6</xdr:col>
      <xdr:colOff>284769</xdr:colOff>
      <xdr:row>40</xdr:row>
      <xdr:rowOff>187382</xdr:rowOff>
    </xdr:from>
    <xdr:to>
      <xdr:col>7</xdr:col>
      <xdr:colOff>28751</xdr:colOff>
      <xdr:row>42</xdr:row>
      <xdr:rowOff>102541</xdr:rowOff>
    </xdr:to>
    <xdr:pic>
      <xdr:nvPicPr>
        <xdr:cNvPr id="6" name="Imagen 5">
          <a:extLst>
            <a:ext uri="{FF2B5EF4-FFF2-40B4-BE49-F238E27FC236}">
              <a16:creationId xmlns:a16="http://schemas.microsoft.com/office/drawing/2014/main" id="{66EA3FF5-0C5C-4047-8A30-83D6970C15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71207" y="13165195"/>
          <a:ext cx="708388" cy="677159"/>
        </a:xfrm>
        <a:prstGeom prst="rect">
          <a:avLst/>
        </a:prstGeom>
      </xdr:spPr>
    </xdr:pic>
    <xdr:clientData/>
  </xdr:twoCellAnchor>
  <xdr:twoCellAnchor editAs="oneCell">
    <xdr:from>
      <xdr:col>3</xdr:col>
      <xdr:colOff>434004</xdr:colOff>
      <xdr:row>39</xdr:row>
      <xdr:rowOff>70829</xdr:rowOff>
    </xdr:from>
    <xdr:to>
      <xdr:col>3</xdr:col>
      <xdr:colOff>2000249</xdr:colOff>
      <xdr:row>43</xdr:row>
      <xdr:rowOff>81977</xdr:rowOff>
    </xdr:to>
    <xdr:pic>
      <xdr:nvPicPr>
        <xdr:cNvPr id="7" name="Imagen 6">
          <a:extLst>
            <a:ext uri="{FF2B5EF4-FFF2-40B4-BE49-F238E27FC236}">
              <a16:creationId xmlns:a16="http://schemas.microsoft.com/office/drawing/2014/main" id="{B9C40688-FCE0-4168-8552-A92482ACC76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81879" y="12691454"/>
          <a:ext cx="1566245" cy="1511336"/>
        </a:xfrm>
        <a:prstGeom prst="rect">
          <a:avLst/>
        </a:prstGeom>
      </xdr:spPr>
    </xdr:pic>
    <xdr:clientData/>
  </xdr:twoCellAnchor>
  <xdr:twoCellAnchor editAs="oneCell">
    <xdr:from>
      <xdr:col>6</xdr:col>
      <xdr:colOff>425732</xdr:colOff>
      <xdr:row>50</xdr:row>
      <xdr:rowOff>69914</xdr:rowOff>
    </xdr:from>
    <xdr:to>
      <xdr:col>7</xdr:col>
      <xdr:colOff>178631</xdr:colOff>
      <xdr:row>52</xdr:row>
      <xdr:rowOff>1276</xdr:rowOff>
    </xdr:to>
    <xdr:pic>
      <xdr:nvPicPr>
        <xdr:cNvPr id="8" name="Imagen 7">
          <a:extLst>
            <a:ext uri="{FF2B5EF4-FFF2-40B4-BE49-F238E27FC236}">
              <a16:creationId xmlns:a16="http://schemas.microsoft.com/office/drawing/2014/main" id="{5CDAC519-CA6E-4F36-817A-A376BE15C62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212170" y="16321945"/>
          <a:ext cx="717305" cy="657643"/>
        </a:xfrm>
        <a:prstGeom prst="rect">
          <a:avLst/>
        </a:prstGeom>
      </xdr:spPr>
    </xdr:pic>
    <xdr:clientData/>
  </xdr:twoCellAnchor>
  <xdr:twoCellAnchor editAs="oneCell">
    <xdr:from>
      <xdr:col>6</xdr:col>
      <xdr:colOff>554331</xdr:colOff>
      <xdr:row>37</xdr:row>
      <xdr:rowOff>416</xdr:rowOff>
    </xdr:from>
    <xdr:to>
      <xdr:col>7</xdr:col>
      <xdr:colOff>118477</xdr:colOff>
      <xdr:row>38</xdr:row>
      <xdr:rowOff>158482</xdr:rowOff>
    </xdr:to>
    <xdr:pic>
      <xdr:nvPicPr>
        <xdr:cNvPr id="9" name="Imagen 8">
          <a:extLst>
            <a:ext uri="{FF2B5EF4-FFF2-40B4-BE49-F238E27FC236}">
              <a16:creationId xmlns:a16="http://schemas.microsoft.com/office/drawing/2014/main" id="{43FEF5E3-AFA5-405D-8788-59CB373798D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340769" y="11978104"/>
          <a:ext cx="528552" cy="515254"/>
        </a:xfrm>
        <a:prstGeom prst="rect">
          <a:avLst/>
        </a:prstGeom>
      </xdr:spPr>
    </xdr:pic>
    <xdr:clientData/>
  </xdr:twoCellAnchor>
  <xdr:twoCellAnchor editAs="oneCell">
    <xdr:from>
      <xdr:col>6</xdr:col>
      <xdr:colOff>515171</xdr:colOff>
      <xdr:row>44</xdr:row>
      <xdr:rowOff>205877</xdr:rowOff>
    </xdr:from>
    <xdr:to>
      <xdr:col>7</xdr:col>
      <xdr:colOff>175612</xdr:colOff>
      <xdr:row>46</xdr:row>
      <xdr:rowOff>103697</xdr:rowOff>
    </xdr:to>
    <xdr:pic>
      <xdr:nvPicPr>
        <xdr:cNvPr id="10" name="Imagen 9">
          <a:extLst>
            <a:ext uri="{FF2B5EF4-FFF2-40B4-BE49-F238E27FC236}">
              <a16:creationId xmlns:a16="http://schemas.microsoft.com/office/drawing/2014/main" id="{535DB6B2-251D-4465-AC9F-30299FC0BA00}"/>
            </a:ext>
          </a:extLst>
        </xdr:cNvPr>
        <xdr:cNvPicPr>
          <a:picLocks noChangeAspect="1"/>
        </xdr:cNvPicPr>
      </xdr:nvPicPr>
      <xdr:blipFill>
        <a:blip xmlns:r="http://schemas.openxmlformats.org/officeDocument/2006/relationships" r:embed="rId9"/>
        <a:stretch>
          <a:fillRect/>
        </a:stretch>
      </xdr:blipFill>
      <xdr:spPr>
        <a:xfrm>
          <a:off x="6301609" y="14683877"/>
          <a:ext cx="624847" cy="636007"/>
        </a:xfrm>
        <a:prstGeom prst="rect">
          <a:avLst/>
        </a:prstGeom>
      </xdr:spPr>
    </xdr:pic>
    <xdr:clientData/>
  </xdr:twoCellAnchor>
  <xdr:twoCellAnchor editAs="oneCell">
    <xdr:from>
      <xdr:col>1</xdr:col>
      <xdr:colOff>2</xdr:colOff>
      <xdr:row>50</xdr:row>
      <xdr:rowOff>152400</xdr:rowOff>
    </xdr:from>
    <xdr:to>
      <xdr:col>4</xdr:col>
      <xdr:colOff>178595</xdr:colOff>
      <xdr:row>67</xdr:row>
      <xdr:rowOff>27893</xdr:rowOff>
    </xdr:to>
    <xdr:pic>
      <xdr:nvPicPr>
        <xdr:cNvPr id="11" name="5 Imagen">
          <a:extLst>
            <a:ext uri="{FF2B5EF4-FFF2-40B4-BE49-F238E27FC236}">
              <a16:creationId xmlns:a16="http://schemas.microsoft.com/office/drawing/2014/main" id="{F157EF53-6AE6-4910-81A3-0D3FEEF7CDE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33440" y="16511588"/>
          <a:ext cx="3452811" cy="4078399"/>
        </a:xfrm>
        <a:prstGeom prst="rect">
          <a:avLst/>
        </a:prstGeom>
      </xdr:spPr>
    </xdr:pic>
    <xdr:clientData/>
  </xdr:twoCellAnchor>
  <xdr:twoCellAnchor editAs="oneCell">
    <xdr:from>
      <xdr:col>9</xdr:col>
      <xdr:colOff>1116807</xdr:colOff>
      <xdr:row>51</xdr:row>
      <xdr:rowOff>38897</xdr:rowOff>
    </xdr:from>
    <xdr:to>
      <xdr:col>14</xdr:col>
      <xdr:colOff>418307</xdr:colOff>
      <xdr:row>65</xdr:row>
      <xdr:rowOff>86520</xdr:rowOff>
    </xdr:to>
    <xdr:pic>
      <xdr:nvPicPr>
        <xdr:cNvPr id="12" name="15 Imagen">
          <a:extLst>
            <a:ext uri="{FF2B5EF4-FFF2-40B4-BE49-F238E27FC236}">
              <a16:creationId xmlns:a16="http://schemas.microsoft.com/office/drawing/2014/main" id="{222768ED-7240-4783-85C2-50C441CE3D8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rot="16200000">
          <a:off x="10721183" y="16747334"/>
          <a:ext cx="3452811" cy="3468687"/>
        </a:xfrm>
        <a:prstGeom prst="rect">
          <a:avLst/>
        </a:prstGeom>
      </xdr:spPr>
    </xdr:pic>
    <xdr:clientData/>
  </xdr:twoCellAnchor>
  <xdr:twoCellAnchor>
    <xdr:from>
      <xdr:col>1</xdr:col>
      <xdr:colOff>23812</xdr:colOff>
      <xdr:row>65</xdr:row>
      <xdr:rowOff>23813</xdr:rowOff>
    </xdr:from>
    <xdr:to>
      <xdr:col>14</xdr:col>
      <xdr:colOff>0</xdr:colOff>
      <xdr:row>65</xdr:row>
      <xdr:rowOff>23813</xdr:rowOff>
    </xdr:to>
    <xdr:cxnSp macro="">
      <xdr:nvCxnSpPr>
        <xdr:cNvPr id="13" name="24 Conector recto">
          <a:extLst>
            <a:ext uri="{FF2B5EF4-FFF2-40B4-BE49-F238E27FC236}">
              <a16:creationId xmlns:a16="http://schemas.microsoft.com/office/drawing/2014/main" id="{6A228DBB-F90C-4183-BF68-A7AA4F7709DD}"/>
            </a:ext>
          </a:extLst>
        </xdr:cNvPr>
        <xdr:cNvCxnSpPr/>
      </xdr:nvCxnSpPr>
      <xdr:spPr>
        <a:xfrm>
          <a:off x="857250" y="20812126"/>
          <a:ext cx="12906375"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xdr:colOff>
      <xdr:row>1</xdr:row>
      <xdr:rowOff>19843</xdr:rowOff>
    </xdr:from>
    <xdr:to>
      <xdr:col>1</xdr:col>
      <xdr:colOff>31751</xdr:colOff>
      <xdr:row>65</xdr:row>
      <xdr:rowOff>0</xdr:rowOff>
    </xdr:to>
    <xdr:cxnSp macro="">
      <xdr:nvCxnSpPr>
        <xdr:cNvPr id="14" name="29 Conector recto">
          <a:extLst>
            <a:ext uri="{FF2B5EF4-FFF2-40B4-BE49-F238E27FC236}">
              <a16:creationId xmlns:a16="http://schemas.microsoft.com/office/drawing/2014/main" id="{EDD2CFC1-B234-4462-86D5-B4B27F6B8EC1}"/>
            </a:ext>
          </a:extLst>
        </xdr:cNvPr>
        <xdr:cNvCxnSpPr/>
      </xdr:nvCxnSpPr>
      <xdr:spPr>
        <a:xfrm flipH="1">
          <a:off x="860425" y="505618"/>
          <a:ext cx="1" cy="18782507"/>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xdr:row>
      <xdr:rowOff>79376</xdr:rowOff>
    </xdr:from>
    <xdr:to>
      <xdr:col>13</xdr:col>
      <xdr:colOff>746125</xdr:colOff>
      <xdr:row>1</xdr:row>
      <xdr:rowOff>95250</xdr:rowOff>
    </xdr:to>
    <xdr:cxnSp macro="">
      <xdr:nvCxnSpPr>
        <xdr:cNvPr id="15" name="31 Conector recto">
          <a:extLst>
            <a:ext uri="{FF2B5EF4-FFF2-40B4-BE49-F238E27FC236}">
              <a16:creationId xmlns:a16="http://schemas.microsoft.com/office/drawing/2014/main" id="{A649C41C-3FDA-4ECB-AE28-C736197CA9AF}"/>
            </a:ext>
          </a:extLst>
        </xdr:cNvPr>
        <xdr:cNvCxnSpPr/>
      </xdr:nvCxnSpPr>
      <xdr:spPr>
        <a:xfrm flipV="1">
          <a:off x="828675" y="565151"/>
          <a:ext cx="13071475" cy="15874"/>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1214439</xdr:colOff>
      <xdr:row>1</xdr:row>
      <xdr:rowOff>206376</xdr:rowOff>
    </xdr:from>
    <xdr:to>
      <xdr:col>13</xdr:col>
      <xdr:colOff>351967</xdr:colOff>
      <xdr:row>8</xdr:row>
      <xdr:rowOff>27782</xdr:rowOff>
    </xdr:to>
    <xdr:pic>
      <xdr:nvPicPr>
        <xdr:cNvPr id="16" name="Imagen 15">
          <a:extLst>
            <a:ext uri="{FF2B5EF4-FFF2-40B4-BE49-F238E27FC236}">
              <a16:creationId xmlns:a16="http://schemas.microsoft.com/office/drawing/2014/main" id="{F82292BB-90AF-4483-93C9-B64381D21F8D}"/>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11764" b="1"/>
        <a:stretch/>
      </xdr:blipFill>
      <xdr:spPr>
        <a:xfrm>
          <a:off x="10906127" y="694532"/>
          <a:ext cx="2780840" cy="2440781"/>
        </a:xfrm>
        <a:prstGeom prst="rect">
          <a:avLst/>
        </a:prstGeom>
      </xdr:spPr>
    </xdr:pic>
    <xdr:clientData/>
  </xdr:twoCellAnchor>
  <xdr:twoCellAnchor>
    <xdr:from>
      <xdr:col>13</xdr:col>
      <xdr:colOff>730250</xdr:colOff>
      <xdr:row>1</xdr:row>
      <xdr:rowOff>47625</xdr:rowOff>
    </xdr:from>
    <xdr:to>
      <xdr:col>14</xdr:col>
      <xdr:colOff>15875</xdr:colOff>
      <xdr:row>64</xdr:row>
      <xdr:rowOff>142875</xdr:rowOff>
    </xdr:to>
    <xdr:cxnSp macro="">
      <xdr:nvCxnSpPr>
        <xdr:cNvPr id="17" name="29 Conector recto">
          <a:extLst>
            <a:ext uri="{FF2B5EF4-FFF2-40B4-BE49-F238E27FC236}">
              <a16:creationId xmlns:a16="http://schemas.microsoft.com/office/drawing/2014/main" id="{784A02C4-5E9C-49A7-9DC5-B4979E5C9532}"/>
            </a:ext>
          </a:extLst>
        </xdr:cNvPr>
        <xdr:cNvCxnSpPr/>
      </xdr:nvCxnSpPr>
      <xdr:spPr>
        <a:xfrm>
          <a:off x="13884275" y="533400"/>
          <a:ext cx="47625" cy="18716625"/>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782290</xdr:colOff>
      <xdr:row>38</xdr:row>
      <xdr:rowOff>56696</xdr:rowOff>
    </xdr:from>
    <xdr:to>
      <xdr:col>7</xdr:col>
      <xdr:colOff>1253093</xdr:colOff>
      <xdr:row>43</xdr:row>
      <xdr:rowOff>90124</xdr:rowOff>
    </xdr:to>
    <xdr:pic>
      <xdr:nvPicPr>
        <xdr:cNvPr id="2" name="2 Imagen">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3433" y="15010946"/>
          <a:ext cx="3505196" cy="1870392"/>
        </a:xfrm>
        <a:prstGeom prst="rect">
          <a:avLst/>
        </a:prstGeom>
      </xdr:spPr>
    </xdr:pic>
    <xdr:clientData/>
  </xdr:twoCellAnchor>
  <xdr:twoCellAnchor editAs="oneCell">
    <xdr:from>
      <xdr:col>0</xdr:col>
      <xdr:colOff>696481</xdr:colOff>
      <xdr:row>3</xdr:row>
      <xdr:rowOff>0</xdr:rowOff>
    </xdr:from>
    <xdr:to>
      <xdr:col>3</xdr:col>
      <xdr:colOff>208401</xdr:colOff>
      <xdr:row>8</xdr:row>
      <xdr:rowOff>59531</xdr:rowOff>
    </xdr:to>
    <xdr:pic>
      <xdr:nvPicPr>
        <xdr:cNvPr id="3" name="Imagen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6481" y="657226"/>
          <a:ext cx="1836020" cy="2183606"/>
        </a:xfrm>
        <a:prstGeom prst="rect">
          <a:avLst/>
        </a:prstGeom>
      </xdr:spPr>
    </xdr:pic>
    <xdr:clientData/>
  </xdr:twoCellAnchor>
  <xdr:twoCellAnchor editAs="oneCell">
    <xdr:from>
      <xdr:col>6</xdr:col>
      <xdr:colOff>801558</xdr:colOff>
      <xdr:row>21</xdr:row>
      <xdr:rowOff>139578</xdr:rowOff>
    </xdr:from>
    <xdr:to>
      <xdr:col>7</xdr:col>
      <xdr:colOff>93689</xdr:colOff>
      <xdr:row>23</xdr:row>
      <xdr:rowOff>69329</xdr:rowOff>
    </xdr:to>
    <xdr:pic>
      <xdr:nvPicPr>
        <xdr:cNvPr id="4" name="Imagen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16508" y="8635878"/>
          <a:ext cx="597056" cy="577451"/>
        </a:xfrm>
        <a:prstGeom prst="rect">
          <a:avLst/>
        </a:prstGeom>
      </xdr:spPr>
    </xdr:pic>
    <xdr:clientData/>
  </xdr:twoCellAnchor>
  <xdr:twoCellAnchor editAs="oneCell">
    <xdr:from>
      <xdr:col>6</xdr:col>
      <xdr:colOff>657305</xdr:colOff>
      <xdr:row>27</xdr:row>
      <xdr:rowOff>231349</xdr:rowOff>
    </xdr:from>
    <xdr:to>
      <xdr:col>7</xdr:col>
      <xdr:colOff>33721</xdr:colOff>
      <xdr:row>29</xdr:row>
      <xdr:rowOff>266775</xdr:rowOff>
    </xdr:to>
    <xdr:pic>
      <xdr:nvPicPr>
        <xdr:cNvPr id="5" name="Imagen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72255" y="10765999"/>
          <a:ext cx="681341" cy="654551"/>
        </a:xfrm>
        <a:prstGeom prst="rect">
          <a:avLst/>
        </a:prstGeom>
      </xdr:spPr>
    </xdr:pic>
    <xdr:clientData/>
  </xdr:twoCellAnchor>
  <xdr:twoCellAnchor editAs="oneCell">
    <xdr:from>
      <xdr:col>6</xdr:col>
      <xdr:colOff>781458</xdr:colOff>
      <xdr:row>25</xdr:row>
      <xdr:rowOff>172492</xdr:rowOff>
    </xdr:from>
    <xdr:to>
      <xdr:col>7</xdr:col>
      <xdr:colOff>72868</xdr:colOff>
      <xdr:row>27</xdr:row>
      <xdr:rowOff>110050</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408" y="10021342"/>
          <a:ext cx="596335" cy="585258"/>
        </a:xfrm>
        <a:prstGeom prst="rect">
          <a:avLst/>
        </a:prstGeom>
      </xdr:spPr>
    </xdr:pic>
    <xdr:clientData/>
  </xdr:twoCellAnchor>
  <xdr:twoCellAnchor editAs="oneCell">
    <xdr:from>
      <xdr:col>6</xdr:col>
      <xdr:colOff>618144</xdr:colOff>
      <xdr:row>23</xdr:row>
      <xdr:rowOff>44507</xdr:rowOff>
    </xdr:from>
    <xdr:to>
      <xdr:col>7</xdr:col>
      <xdr:colOff>24782</xdr:colOff>
      <xdr:row>25</xdr:row>
      <xdr:rowOff>93016</xdr:rowOff>
    </xdr:to>
    <xdr:pic>
      <xdr:nvPicPr>
        <xdr:cNvPr id="7" name="Imagen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933094" y="9226607"/>
          <a:ext cx="711563" cy="677159"/>
        </a:xfrm>
        <a:prstGeom prst="rect">
          <a:avLst/>
        </a:prstGeom>
      </xdr:spPr>
    </xdr:pic>
    <xdr:clientData/>
  </xdr:twoCellAnchor>
  <xdr:twoCellAnchor editAs="oneCell">
    <xdr:from>
      <xdr:col>2</xdr:col>
      <xdr:colOff>530841</xdr:colOff>
      <xdr:row>20</xdr:row>
      <xdr:rowOff>151789</xdr:rowOff>
    </xdr:from>
    <xdr:to>
      <xdr:col>3</xdr:col>
      <xdr:colOff>684421</xdr:colOff>
      <xdr:row>24</xdr:row>
      <xdr:rowOff>85151</xdr:rowOff>
    </xdr:to>
    <xdr:pic>
      <xdr:nvPicPr>
        <xdr:cNvPr id="8" name="Imagen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59566" y="8314714"/>
          <a:ext cx="1248955" cy="1209712"/>
        </a:xfrm>
        <a:prstGeom prst="rect">
          <a:avLst/>
        </a:prstGeom>
      </xdr:spPr>
    </xdr:pic>
    <xdr:clientData/>
  </xdr:twoCellAnchor>
  <xdr:twoCellAnchor editAs="oneCell">
    <xdr:from>
      <xdr:col>0</xdr:col>
      <xdr:colOff>619407</xdr:colOff>
      <xdr:row>32</xdr:row>
      <xdr:rowOff>29547</xdr:rowOff>
    </xdr:from>
    <xdr:to>
      <xdr:col>2</xdr:col>
      <xdr:colOff>104812</xdr:colOff>
      <xdr:row>34</xdr:row>
      <xdr:rowOff>135535</xdr:rowOff>
    </xdr:to>
    <xdr:pic>
      <xdr:nvPicPr>
        <xdr:cNvPr id="9" name="Imagen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9407" y="12135822"/>
          <a:ext cx="714130" cy="658438"/>
        </a:xfrm>
        <a:prstGeom prst="rect">
          <a:avLst/>
        </a:prstGeom>
      </xdr:spPr>
    </xdr:pic>
    <xdr:clientData/>
  </xdr:twoCellAnchor>
  <xdr:twoCellAnchor editAs="oneCell">
    <xdr:from>
      <xdr:col>6</xdr:col>
      <xdr:colOff>887706</xdr:colOff>
      <xdr:row>19</xdr:row>
      <xdr:rowOff>99634</xdr:rowOff>
    </xdr:from>
    <xdr:to>
      <xdr:col>7</xdr:col>
      <xdr:colOff>114508</xdr:colOff>
      <xdr:row>21</xdr:row>
      <xdr:rowOff>41800</xdr:rowOff>
    </xdr:to>
    <xdr:pic>
      <xdr:nvPicPr>
        <xdr:cNvPr id="10" name="Imagen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02656" y="7976809"/>
          <a:ext cx="531727" cy="523191"/>
        </a:xfrm>
        <a:prstGeom prst="rect">
          <a:avLst/>
        </a:prstGeom>
      </xdr:spPr>
    </xdr:pic>
    <xdr:clientData/>
  </xdr:twoCellAnchor>
  <xdr:twoCellAnchor editAs="oneCell">
    <xdr:from>
      <xdr:col>6</xdr:col>
      <xdr:colOff>689796</xdr:colOff>
      <xdr:row>30</xdr:row>
      <xdr:rowOff>148274</xdr:rowOff>
    </xdr:from>
    <xdr:to>
      <xdr:col>7</xdr:col>
      <xdr:colOff>12893</xdr:colOff>
      <xdr:row>32</xdr:row>
      <xdr:rowOff>109594</xdr:rowOff>
    </xdr:to>
    <xdr:pic>
      <xdr:nvPicPr>
        <xdr:cNvPr id="11" name="Imagen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10"/>
        <a:stretch>
          <a:fillRect/>
        </a:stretch>
      </xdr:blipFill>
      <xdr:spPr>
        <a:xfrm>
          <a:off x="6004746" y="11587799"/>
          <a:ext cx="628022" cy="628070"/>
        </a:xfrm>
        <a:prstGeom prst="rect">
          <a:avLst/>
        </a:prstGeom>
      </xdr:spPr>
    </xdr:pic>
    <xdr:clientData/>
  </xdr:twoCellAnchor>
  <xdr:twoCellAnchor editAs="oneCell">
    <xdr:from>
      <xdr:col>0</xdr:col>
      <xdr:colOff>0</xdr:colOff>
      <xdr:row>38</xdr:row>
      <xdr:rowOff>166687</xdr:rowOff>
    </xdr:from>
    <xdr:to>
      <xdr:col>4</xdr:col>
      <xdr:colOff>297655</xdr:colOff>
      <xdr:row>52</xdr:row>
      <xdr:rowOff>123825</xdr:rowOff>
    </xdr:to>
    <xdr:pic>
      <xdr:nvPicPr>
        <xdr:cNvPr id="12" name="5 Imagen">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14377987"/>
          <a:ext cx="3479005" cy="3595688"/>
        </a:xfrm>
        <a:prstGeom prst="rect">
          <a:avLst/>
        </a:prstGeom>
      </xdr:spPr>
    </xdr:pic>
    <xdr:clientData/>
  </xdr:twoCellAnchor>
  <xdr:twoCellAnchor editAs="oneCell">
    <xdr:from>
      <xdr:col>10</xdr:col>
      <xdr:colOff>2384</xdr:colOff>
      <xdr:row>37</xdr:row>
      <xdr:rowOff>59532</xdr:rowOff>
    </xdr:from>
    <xdr:to>
      <xdr:col>13</xdr:col>
      <xdr:colOff>371478</xdr:colOff>
      <xdr:row>51</xdr:row>
      <xdr:rowOff>88107</xdr:rowOff>
    </xdr:to>
    <xdr:pic>
      <xdr:nvPicPr>
        <xdr:cNvPr id="13" name="15 Imagen">
          <a:extLst>
            <a:ext uri="{FF2B5EF4-FFF2-40B4-BE49-F238E27FC236}">
              <a16:creationId xmlns:a16="http://schemas.microsoft.com/office/drawing/2014/main" id="{00000000-0008-0000-0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rot="16200000">
          <a:off x="9621443" y="14138673"/>
          <a:ext cx="3590925" cy="3474244"/>
        </a:xfrm>
        <a:prstGeom prst="rect">
          <a:avLst/>
        </a:prstGeom>
      </xdr:spPr>
    </xdr:pic>
    <xdr:clientData/>
  </xdr:twoCellAnchor>
  <xdr:twoCellAnchor editAs="oneCell">
    <xdr:from>
      <xdr:col>9</xdr:col>
      <xdr:colOff>285751</xdr:colOff>
      <xdr:row>0</xdr:row>
      <xdr:rowOff>0</xdr:rowOff>
    </xdr:from>
    <xdr:to>
      <xdr:col>13</xdr:col>
      <xdr:colOff>11906</xdr:colOff>
      <xdr:row>10</xdr:row>
      <xdr:rowOff>126206</xdr:rowOff>
    </xdr:to>
    <xdr:pic>
      <xdr:nvPicPr>
        <xdr:cNvPr id="14" name="17 Imagen">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rot="10800000">
          <a:off x="8810626" y="0"/>
          <a:ext cx="3459955" cy="3459956"/>
        </a:xfrm>
        <a:prstGeom prst="rect">
          <a:avLst/>
        </a:prstGeom>
      </xdr:spPr>
    </xdr:pic>
    <xdr:clientData/>
  </xdr:twoCellAnchor>
  <xdr:twoCellAnchor>
    <xdr:from>
      <xdr:col>12</xdr:col>
      <xdr:colOff>1000125</xdr:colOff>
      <xdr:row>2</xdr:row>
      <xdr:rowOff>59531</xdr:rowOff>
    </xdr:from>
    <xdr:to>
      <xdr:col>13</xdr:col>
      <xdr:colOff>-1</xdr:colOff>
      <xdr:row>51</xdr:row>
      <xdr:rowOff>0</xdr:rowOff>
    </xdr:to>
    <xdr:cxnSp macro="">
      <xdr:nvCxnSpPr>
        <xdr:cNvPr id="15" name="9 Conector recto">
          <a:extLst>
            <a:ext uri="{FF2B5EF4-FFF2-40B4-BE49-F238E27FC236}">
              <a16:creationId xmlns:a16="http://schemas.microsoft.com/office/drawing/2014/main" id="{00000000-0008-0000-0C00-00000F000000}"/>
            </a:ext>
          </a:extLst>
        </xdr:cNvPr>
        <xdr:cNvCxnSpPr/>
      </xdr:nvCxnSpPr>
      <xdr:spPr>
        <a:xfrm>
          <a:off x="12230100" y="421481"/>
          <a:ext cx="28574" cy="19295269"/>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23812</xdr:colOff>
      <xdr:row>51</xdr:row>
      <xdr:rowOff>23813</xdr:rowOff>
    </xdr:from>
    <xdr:to>
      <xdr:col>13</xdr:col>
      <xdr:colOff>11906</xdr:colOff>
      <xdr:row>51</xdr:row>
      <xdr:rowOff>23813</xdr:rowOff>
    </xdr:to>
    <xdr:cxnSp macro="">
      <xdr:nvCxnSpPr>
        <xdr:cNvPr id="16" name="24 Conector recto">
          <a:extLst>
            <a:ext uri="{FF2B5EF4-FFF2-40B4-BE49-F238E27FC236}">
              <a16:creationId xmlns:a16="http://schemas.microsoft.com/office/drawing/2014/main" id="{00000000-0008-0000-0C00-000010000000}"/>
            </a:ext>
          </a:extLst>
        </xdr:cNvPr>
        <xdr:cNvCxnSpPr/>
      </xdr:nvCxnSpPr>
      <xdr:spPr>
        <a:xfrm>
          <a:off x="23812" y="19740563"/>
          <a:ext cx="12246769"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47625</xdr:colOff>
      <xdr:row>2</xdr:row>
      <xdr:rowOff>35718</xdr:rowOff>
    </xdr:from>
    <xdr:to>
      <xdr:col>0</xdr:col>
      <xdr:colOff>83343</xdr:colOff>
      <xdr:row>50</xdr:row>
      <xdr:rowOff>130968</xdr:rowOff>
    </xdr:to>
    <xdr:cxnSp macro="">
      <xdr:nvCxnSpPr>
        <xdr:cNvPr id="17" name="29 Conector recto">
          <a:extLst>
            <a:ext uri="{FF2B5EF4-FFF2-40B4-BE49-F238E27FC236}">
              <a16:creationId xmlns:a16="http://schemas.microsoft.com/office/drawing/2014/main" id="{00000000-0008-0000-0C00-000011000000}"/>
            </a:ext>
          </a:extLst>
        </xdr:cNvPr>
        <xdr:cNvCxnSpPr/>
      </xdr:nvCxnSpPr>
      <xdr:spPr>
        <a:xfrm>
          <a:off x="47625" y="397668"/>
          <a:ext cx="35718" cy="19269075"/>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xdr:row>
      <xdr:rowOff>47625</xdr:rowOff>
    </xdr:from>
    <xdr:to>
      <xdr:col>12</xdr:col>
      <xdr:colOff>631032</xdr:colOff>
      <xdr:row>2</xdr:row>
      <xdr:rowOff>47625</xdr:rowOff>
    </xdr:to>
    <xdr:cxnSp macro="">
      <xdr:nvCxnSpPr>
        <xdr:cNvPr id="18" name="31 Conector recto">
          <a:extLst>
            <a:ext uri="{FF2B5EF4-FFF2-40B4-BE49-F238E27FC236}">
              <a16:creationId xmlns:a16="http://schemas.microsoft.com/office/drawing/2014/main" id="{00000000-0008-0000-0C00-000012000000}"/>
            </a:ext>
          </a:extLst>
        </xdr:cNvPr>
        <xdr:cNvCxnSpPr/>
      </xdr:nvCxnSpPr>
      <xdr:spPr>
        <a:xfrm>
          <a:off x="0" y="409575"/>
          <a:ext cx="11861007"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696481</xdr:colOff>
      <xdr:row>3</xdr:row>
      <xdr:rowOff>0</xdr:rowOff>
    </xdr:from>
    <xdr:to>
      <xdr:col>3</xdr:col>
      <xdr:colOff>208401</xdr:colOff>
      <xdr:row>8</xdr:row>
      <xdr:rowOff>59531</xdr:rowOff>
    </xdr:to>
    <xdr:pic>
      <xdr:nvPicPr>
        <xdr:cNvPr id="3" name="Imagen 2">
          <a:extLst>
            <a:ext uri="{FF2B5EF4-FFF2-40B4-BE49-F238E27FC236}">
              <a16:creationId xmlns:a16="http://schemas.microsoft.com/office/drawing/2014/main" id="{DD5B67A5-0247-4DA1-9EA6-655ADE3375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6481" y="657225"/>
          <a:ext cx="1826495" cy="2174081"/>
        </a:xfrm>
        <a:prstGeom prst="rect">
          <a:avLst/>
        </a:prstGeom>
      </xdr:spPr>
    </xdr:pic>
    <xdr:clientData/>
  </xdr:twoCellAnchor>
  <xdr:twoCellAnchor editAs="oneCell">
    <xdr:from>
      <xdr:col>6</xdr:col>
      <xdr:colOff>801558</xdr:colOff>
      <xdr:row>19</xdr:row>
      <xdr:rowOff>139578</xdr:rowOff>
    </xdr:from>
    <xdr:to>
      <xdr:col>7</xdr:col>
      <xdr:colOff>93689</xdr:colOff>
      <xdr:row>21</xdr:row>
      <xdr:rowOff>69329</xdr:rowOff>
    </xdr:to>
    <xdr:pic>
      <xdr:nvPicPr>
        <xdr:cNvPr id="4" name="Imagen 3">
          <a:extLst>
            <a:ext uri="{FF2B5EF4-FFF2-40B4-BE49-F238E27FC236}">
              <a16:creationId xmlns:a16="http://schemas.microsoft.com/office/drawing/2014/main" id="{144F3B24-E72C-4228-91AB-B821F5E74D4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40333" y="7816728"/>
          <a:ext cx="587531" cy="577451"/>
        </a:xfrm>
        <a:prstGeom prst="rect">
          <a:avLst/>
        </a:prstGeom>
      </xdr:spPr>
    </xdr:pic>
    <xdr:clientData/>
  </xdr:twoCellAnchor>
  <xdr:twoCellAnchor editAs="oneCell">
    <xdr:from>
      <xdr:col>6</xdr:col>
      <xdr:colOff>736680</xdr:colOff>
      <xdr:row>28</xdr:row>
      <xdr:rowOff>24974</xdr:rowOff>
    </xdr:from>
    <xdr:to>
      <xdr:col>7</xdr:col>
      <xdr:colOff>113096</xdr:colOff>
      <xdr:row>29</xdr:row>
      <xdr:rowOff>219150</xdr:rowOff>
    </xdr:to>
    <xdr:pic>
      <xdr:nvPicPr>
        <xdr:cNvPr id="5" name="Imagen 4">
          <a:extLst>
            <a:ext uri="{FF2B5EF4-FFF2-40B4-BE49-F238E27FC236}">
              <a16:creationId xmlns:a16="http://schemas.microsoft.com/office/drawing/2014/main" id="{99B3D647-8F81-4655-AD3F-E77A0517D1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81805" y="10597724"/>
          <a:ext cx="678166" cy="654551"/>
        </a:xfrm>
        <a:prstGeom prst="rect">
          <a:avLst/>
        </a:prstGeom>
      </xdr:spPr>
    </xdr:pic>
    <xdr:clientData/>
  </xdr:twoCellAnchor>
  <xdr:twoCellAnchor editAs="oneCell">
    <xdr:from>
      <xdr:col>6</xdr:col>
      <xdr:colOff>781458</xdr:colOff>
      <xdr:row>25</xdr:row>
      <xdr:rowOff>172492</xdr:rowOff>
    </xdr:from>
    <xdr:to>
      <xdr:col>7</xdr:col>
      <xdr:colOff>72868</xdr:colOff>
      <xdr:row>27</xdr:row>
      <xdr:rowOff>110050</xdr:rowOff>
    </xdr:to>
    <xdr:pic>
      <xdr:nvPicPr>
        <xdr:cNvPr id="6" name="Imagen 5">
          <a:extLst>
            <a:ext uri="{FF2B5EF4-FFF2-40B4-BE49-F238E27FC236}">
              <a16:creationId xmlns:a16="http://schemas.microsoft.com/office/drawing/2014/main" id="{20C9CAF4-CF66-401C-80CD-DF32903BD5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20233" y="9125992"/>
          <a:ext cx="586810" cy="585258"/>
        </a:xfrm>
        <a:prstGeom prst="rect">
          <a:avLst/>
        </a:prstGeom>
      </xdr:spPr>
    </xdr:pic>
    <xdr:clientData/>
  </xdr:twoCellAnchor>
  <xdr:twoCellAnchor editAs="oneCell">
    <xdr:from>
      <xdr:col>6</xdr:col>
      <xdr:colOff>618144</xdr:colOff>
      <xdr:row>21</xdr:row>
      <xdr:rowOff>44507</xdr:rowOff>
    </xdr:from>
    <xdr:to>
      <xdr:col>7</xdr:col>
      <xdr:colOff>24782</xdr:colOff>
      <xdr:row>23</xdr:row>
      <xdr:rowOff>124766</xdr:rowOff>
    </xdr:to>
    <xdr:pic>
      <xdr:nvPicPr>
        <xdr:cNvPr id="7" name="Imagen 6">
          <a:extLst>
            <a:ext uri="{FF2B5EF4-FFF2-40B4-BE49-F238E27FC236}">
              <a16:creationId xmlns:a16="http://schemas.microsoft.com/office/drawing/2014/main" id="{F4650125-C9C5-469D-A39C-348DD0A4A91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56919" y="8369357"/>
          <a:ext cx="702038" cy="677159"/>
        </a:xfrm>
        <a:prstGeom prst="rect">
          <a:avLst/>
        </a:prstGeom>
      </xdr:spPr>
    </xdr:pic>
    <xdr:clientData/>
  </xdr:twoCellAnchor>
  <xdr:twoCellAnchor editAs="oneCell">
    <xdr:from>
      <xdr:col>2</xdr:col>
      <xdr:colOff>530841</xdr:colOff>
      <xdr:row>18</xdr:row>
      <xdr:rowOff>151789</xdr:rowOff>
    </xdr:from>
    <xdr:to>
      <xdr:col>3</xdr:col>
      <xdr:colOff>684421</xdr:colOff>
      <xdr:row>22</xdr:row>
      <xdr:rowOff>116901</xdr:rowOff>
    </xdr:to>
    <xdr:pic>
      <xdr:nvPicPr>
        <xdr:cNvPr id="8" name="Imagen 7">
          <a:extLst>
            <a:ext uri="{FF2B5EF4-FFF2-40B4-BE49-F238E27FC236}">
              <a16:creationId xmlns:a16="http://schemas.microsoft.com/office/drawing/2014/main" id="{1E7A393B-2ACC-4865-B81A-78E71363260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50041" y="7533664"/>
          <a:ext cx="1248955" cy="1209712"/>
        </a:xfrm>
        <a:prstGeom prst="rect">
          <a:avLst/>
        </a:prstGeom>
      </xdr:spPr>
    </xdr:pic>
    <xdr:clientData/>
  </xdr:twoCellAnchor>
  <xdr:twoCellAnchor editAs="oneCell">
    <xdr:from>
      <xdr:col>0</xdr:col>
      <xdr:colOff>413032</xdr:colOff>
      <xdr:row>43</xdr:row>
      <xdr:rowOff>13672</xdr:rowOff>
    </xdr:from>
    <xdr:to>
      <xdr:col>1</xdr:col>
      <xdr:colOff>358812</xdr:colOff>
      <xdr:row>44</xdr:row>
      <xdr:rowOff>8535</xdr:rowOff>
    </xdr:to>
    <xdr:pic>
      <xdr:nvPicPr>
        <xdr:cNvPr id="9" name="Imagen 8">
          <a:extLst>
            <a:ext uri="{FF2B5EF4-FFF2-40B4-BE49-F238E27FC236}">
              <a16:creationId xmlns:a16="http://schemas.microsoft.com/office/drawing/2014/main" id="{5450BD15-ECDE-4DC6-9194-18AD2BF8588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3032" y="15142547"/>
          <a:ext cx="707780" cy="661613"/>
        </a:xfrm>
        <a:prstGeom prst="rect">
          <a:avLst/>
        </a:prstGeom>
      </xdr:spPr>
    </xdr:pic>
    <xdr:clientData/>
  </xdr:twoCellAnchor>
  <xdr:twoCellAnchor editAs="oneCell">
    <xdr:from>
      <xdr:col>6</xdr:col>
      <xdr:colOff>887706</xdr:colOff>
      <xdr:row>17</xdr:row>
      <xdr:rowOff>99634</xdr:rowOff>
    </xdr:from>
    <xdr:to>
      <xdr:col>7</xdr:col>
      <xdr:colOff>114508</xdr:colOff>
      <xdr:row>19</xdr:row>
      <xdr:rowOff>41800</xdr:rowOff>
    </xdr:to>
    <xdr:pic>
      <xdr:nvPicPr>
        <xdr:cNvPr id="10" name="Imagen 9">
          <a:extLst>
            <a:ext uri="{FF2B5EF4-FFF2-40B4-BE49-F238E27FC236}">
              <a16:creationId xmlns:a16="http://schemas.microsoft.com/office/drawing/2014/main" id="{FA36898F-F8D7-4FAD-8A12-F8F83718525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326481" y="7195759"/>
          <a:ext cx="522202" cy="523191"/>
        </a:xfrm>
        <a:prstGeom prst="rect">
          <a:avLst/>
        </a:prstGeom>
      </xdr:spPr>
    </xdr:pic>
    <xdr:clientData/>
  </xdr:twoCellAnchor>
  <xdr:twoCellAnchor editAs="oneCell">
    <xdr:from>
      <xdr:col>6</xdr:col>
      <xdr:colOff>689796</xdr:colOff>
      <xdr:row>32</xdr:row>
      <xdr:rowOff>0</xdr:rowOff>
    </xdr:from>
    <xdr:to>
      <xdr:col>7</xdr:col>
      <xdr:colOff>12893</xdr:colOff>
      <xdr:row>34</xdr:row>
      <xdr:rowOff>56570</xdr:rowOff>
    </xdr:to>
    <xdr:pic>
      <xdr:nvPicPr>
        <xdr:cNvPr id="11" name="Imagen 10">
          <a:extLst>
            <a:ext uri="{FF2B5EF4-FFF2-40B4-BE49-F238E27FC236}">
              <a16:creationId xmlns:a16="http://schemas.microsoft.com/office/drawing/2014/main" id="{5E6B6437-55D5-4F61-8139-909EF6A94375}"/>
            </a:ext>
          </a:extLst>
        </xdr:cNvPr>
        <xdr:cNvPicPr>
          <a:picLocks noChangeAspect="1"/>
        </xdr:cNvPicPr>
      </xdr:nvPicPr>
      <xdr:blipFill>
        <a:blip xmlns:r="http://schemas.openxmlformats.org/officeDocument/2006/relationships" r:embed="rId9"/>
        <a:stretch>
          <a:fillRect/>
        </a:stretch>
      </xdr:blipFill>
      <xdr:spPr>
        <a:xfrm>
          <a:off x="6128571" y="10654349"/>
          <a:ext cx="618497" cy="628070"/>
        </a:xfrm>
        <a:prstGeom prst="rect">
          <a:avLst/>
        </a:prstGeom>
      </xdr:spPr>
    </xdr:pic>
    <xdr:clientData/>
  </xdr:twoCellAnchor>
  <xdr:twoCellAnchor editAs="oneCell">
    <xdr:from>
      <xdr:col>0</xdr:col>
      <xdr:colOff>0</xdr:colOff>
      <xdr:row>45</xdr:row>
      <xdr:rowOff>166687</xdr:rowOff>
    </xdr:from>
    <xdr:to>
      <xdr:col>4</xdr:col>
      <xdr:colOff>297655</xdr:colOff>
      <xdr:row>60</xdr:row>
      <xdr:rowOff>44450</xdr:rowOff>
    </xdr:to>
    <xdr:pic>
      <xdr:nvPicPr>
        <xdr:cNvPr id="12" name="5 Imagen">
          <a:extLst>
            <a:ext uri="{FF2B5EF4-FFF2-40B4-BE49-F238E27FC236}">
              <a16:creationId xmlns:a16="http://schemas.microsoft.com/office/drawing/2014/main" id="{5D6C6A52-48A8-4EE1-8FD0-9692A853820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13444537"/>
          <a:ext cx="3459955" cy="3481388"/>
        </a:xfrm>
        <a:prstGeom prst="rect">
          <a:avLst/>
        </a:prstGeom>
      </xdr:spPr>
    </xdr:pic>
    <xdr:clientData/>
  </xdr:twoCellAnchor>
  <xdr:twoCellAnchor editAs="oneCell">
    <xdr:from>
      <xdr:col>10</xdr:col>
      <xdr:colOff>2384</xdr:colOff>
      <xdr:row>44</xdr:row>
      <xdr:rowOff>59532</xdr:rowOff>
    </xdr:from>
    <xdr:to>
      <xdr:col>13</xdr:col>
      <xdr:colOff>371478</xdr:colOff>
      <xdr:row>58</xdr:row>
      <xdr:rowOff>8732</xdr:rowOff>
    </xdr:to>
    <xdr:pic>
      <xdr:nvPicPr>
        <xdr:cNvPr id="13" name="15 Imagen">
          <a:extLst>
            <a:ext uri="{FF2B5EF4-FFF2-40B4-BE49-F238E27FC236}">
              <a16:creationId xmlns:a16="http://schemas.microsoft.com/office/drawing/2014/main" id="{C8A16DDE-020E-4346-9A6E-208F79955BB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rot="16200000">
          <a:off x="9635731" y="13162360"/>
          <a:ext cx="3476625" cy="3464719"/>
        </a:xfrm>
        <a:prstGeom prst="rect">
          <a:avLst/>
        </a:prstGeom>
      </xdr:spPr>
    </xdr:pic>
    <xdr:clientData/>
  </xdr:twoCellAnchor>
  <xdr:twoCellAnchor editAs="oneCell">
    <xdr:from>
      <xdr:col>9</xdr:col>
      <xdr:colOff>285751</xdr:colOff>
      <xdr:row>0</xdr:row>
      <xdr:rowOff>0</xdr:rowOff>
    </xdr:from>
    <xdr:to>
      <xdr:col>13</xdr:col>
      <xdr:colOff>11906</xdr:colOff>
      <xdr:row>10</xdr:row>
      <xdr:rowOff>126206</xdr:rowOff>
    </xdr:to>
    <xdr:pic>
      <xdr:nvPicPr>
        <xdr:cNvPr id="14" name="17 Imagen">
          <a:extLst>
            <a:ext uri="{FF2B5EF4-FFF2-40B4-BE49-F238E27FC236}">
              <a16:creationId xmlns:a16="http://schemas.microsoft.com/office/drawing/2014/main" id="{0335A1DD-8929-4A37-8BB1-2D8BA88CD82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rot="10800000">
          <a:off x="9296401" y="0"/>
          <a:ext cx="3450430" cy="3469481"/>
        </a:xfrm>
        <a:prstGeom prst="rect">
          <a:avLst/>
        </a:prstGeom>
      </xdr:spPr>
    </xdr:pic>
    <xdr:clientData/>
  </xdr:twoCellAnchor>
  <xdr:twoCellAnchor>
    <xdr:from>
      <xdr:col>12</xdr:col>
      <xdr:colOff>1000125</xdr:colOff>
      <xdr:row>2</xdr:row>
      <xdr:rowOff>59531</xdr:rowOff>
    </xdr:from>
    <xdr:to>
      <xdr:col>13</xdr:col>
      <xdr:colOff>-1</xdr:colOff>
      <xdr:row>58</xdr:row>
      <xdr:rowOff>0</xdr:rowOff>
    </xdr:to>
    <xdr:cxnSp macro="">
      <xdr:nvCxnSpPr>
        <xdr:cNvPr id="15" name="9 Conector recto">
          <a:extLst>
            <a:ext uri="{FF2B5EF4-FFF2-40B4-BE49-F238E27FC236}">
              <a16:creationId xmlns:a16="http://schemas.microsoft.com/office/drawing/2014/main" id="{D4FB81EF-6E9A-4AC0-B64F-E793D8C91DB5}"/>
            </a:ext>
          </a:extLst>
        </xdr:cNvPr>
        <xdr:cNvCxnSpPr/>
      </xdr:nvCxnSpPr>
      <xdr:spPr>
        <a:xfrm>
          <a:off x="12706350" y="421481"/>
          <a:ext cx="28574" cy="16123444"/>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23812</xdr:colOff>
      <xdr:row>58</xdr:row>
      <xdr:rowOff>23813</xdr:rowOff>
    </xdr:from>
    <xdr:to>
      <xdr:col>13</xdr:col>
      <xdr:colOff>11906</xdr:colOff>
      <xdr:row>58</xdr:row>
      <xdr:rowOff>23813</xdr:rowOff>
    </xdr:to>
    <xdr:cxnSp macro="">
      <xdr:nvCxnSpPr>
        <xdr:cNvPr id="16" name="24 Conector recto">
          <a:extLst>
            <a:ext uri="{FF2B5EF4-FFF2-40B4-BE49-F238E27FC236}">
              <a16:creationId xmlns:a16="http://schemas.microsoft.com/office/drawing/2014/main" id="{BB602C29-3DB9-4C97-95B7-7F1CD4258BCB}"/>
            </a:ext>
          </a:extLst>
        </xdr:cNvPr>
        <xdr:cNvCxnSpPr/>
      </xdr:nvCxnSpPr>
      <xdr:spPr>
        <a:xfrm>
          <a:off x="23812" y="16568738"/>
          <a:ext cx="12723019"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47625</xdr:colOff>
      <xdr:row>2</xdr:row>
      <xdr:rowOff>35718</xdr:rowOff>
    </xdr:from>
    <xdr:to>
      <xdr:col>0</xdr:col>
      <xdr:colOff>83343</xdr:colOff>
      <xdr:row>57</xdr:row>
      <xdr:rowOff>130968</xdr:rowOff>
    </xdr:to>
    <xdr:cxnSp macro="">
      <xdr:nvCxnSpPr>
        <xdr:cNvPr id="17" name="29 Conector recto">
          <a:extLst>
            <a:ext uri="{FF2B5EF4-FFF2-40B4-BE49-F238E27FC236}">
              <a16:creationId xmlns:a16="http://schemas.microsoft.com/office/drawing/2014/main" id="{AF25DC16-335C-42F4-9385-488B858E193D}"/>
            </a:ext>
          </a:extLst>
        </xdr:cNvPr>
        <xdr:cNvCxnSpPr/>
      </xdr:nvCxnSpPr>
      <xdr:spPr>
        <a:xfrm>
          <a:off x="47625" y="397668"/>
          <a:ext cx="35718" cy="1609725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xdr:row>
      <xdr:rowOff>47625</xdr:rowOff>
    </xdr:from>
    <xdr:to>
      <xdr:col>12</xdr:col>
      <xdr:colOff>631032</xdr:colOff>
      <xdr:row>2</xdr:row>
      <xdr:rowOff>47625</xdr:rowOff>
    </xdr:to>
    <xdr:cxnSp macro="">
      <xdr:nvCxnSpPr>
        <xdr:cNvPr id="18" name="31 Conector recto">
          <a:extLst>
            <a:ext uri="{FF2B5EF4-FFF2-40B4-BE49-F238E27FC236}">
              <a16:creationId xmlns:a16="http://schemas.microsoft.com/office/drawing/2014/main" id="{6DC1EF5B-0D3F-4F65-8EFA-24F256ACF0EB}"/>
            </a:ext>
          </a:extLst>
        </xdr:cNvPr>
        <xdr:cNvCxnSpPr/>
      </xdr:nvCxnSpPr>
      <xdr:spPr>
        <a:xfrm>
          <a:off x="0" y="409575"/>
          <a:ext cx="12337257"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28575</xdr:colOff>
      <xdr:row>0</xdr:row>
      <xdr:rowOff>95250</xdr:rowOff>
    </xdr:from>
    <xdr:to>
      <xdr:col>1</xdr:col>
      <xdr:colOff>828675</xdr:colOff>
      <xdr:row>2</xdr:row>
      <xdr:rowOff>493183</xdr:rowOff>
    </xdr:to>
    <xdr:pic>
      <xdr:nvPicPr>
        <xdr:cNvPr id="3" name="Imagen 2">
          <a:extLst>
            <a:ext uri="{FF2B5EF4-FFF2-40B4-BE49-F238E27FC236}">
              <a16:creationId xmlns:a16="http://schemas.microsoft.com/office/drawing/2014/main" id="{4D199881-DA06-4087-8939-9B29731D809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95250"/>
          <a:ext cx="800100" cy="8001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5</xdr:col>
      <xdr:colOff>228600</xdr:colOff>
      <xdr:row>4</xdr:row>
      <xdr:rowOff>228600</xdr:rowOff>
    </xdr:to>
    <xdr:pic>
      <xdr:nvPicPr>
        <xdr:cNvPr id="3" name="Gráfico 2" descr="Hogar con relleno sólido">
          <a:hlinkClick xmlns:r="http://schemas.openxmlformats.org/officeDocument/2006/relationships" r:id="rId1"/>
          <a:extLst>
            <a:ext uri="{FF2B5EF4-FFF2-40B4-BE49-F238E27FC236}">
              <a16:creationId xmlns:a16="http://schemas.microsoft.com/office/drawing/2014/main" id="{992B34CB-1C65-4627-A75B-14FBB16E61F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601200" y="762000"/>
          <a:ext cx="228600" cy="228600"/>
        </a:xfrm>
        <a:prstGeom prst="rect">
          <a:avLst/>
        </a:prstGeom>
      </xdr:spPr>
    </xdr:pic>
    <xdr:clientData/>
  </xdr:twoCellAnchor>
  <xdr:twoCellAnchor editAs="oneCell">
    <xdr:from>
      <xdr:col>5</xdr:col>
      <xdr:colOff>590550</xdr:colOff>
      <xdr:row>4</xdr:row>
      <xdr:rowOff>19050</xdr:rowOff>
    </xdr:from>
    <xdr:to>
      <xdr:col>6</xdr:col>
      <xdr:colOff>0</xdr:colOff>
      <xdr:row>4</xdr:row>
      <xdr:rowOff>190500</xdr:rowOff>
    </xdr:to>
    <xdr:pic>
      <xdr:nvPicPr>
        <xdr:cNvPr id="5" name="Gráfico 4" descr="Inalámbrico con relleno sólido">
          <a:hlinkClick xmlns:r="http://schemas.openxmlformats.org/officeDocument/2006/relationships" r:id="rId4"/>
          <a:extLst>
            <a:ext uri="{FF2B5EF4-FFF2-40B4-BE49-F238E27FC236}">
              <a16:creationId xmlns:a16="http://schemas.microsoft.com/office/drawing/2014/main" id="{B62E9F08-BBC3-4337-B5E2-56081459CC1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191750" y="781050"/>
          <a:ext cx="171450" cy="171450"/>
        </a:xfrm>
        <a:prstGeom prst="rect">
          <a:avLst/>
        </a:prstGeom>
      </xdr:spPr>
    </xdr:pic>
    <xdr:clientData/>
  </xdr:twoCellAnchor>
  <xdr:oneCellAnchor>
    <xdr:from>
      <xdr:col>5</xdr:col>
      <xdr:colOff>0</xdr:colOff>
      <xdr:row>5</xdr:row>
      <xdr:rowOff>0</xdr:rowOff>
    </xdr:from>
    <xdr:ext cx="228600" cy="228600"/>
    <xdr:pic>
      <xdr:nvPicPr>
        <xdr:cNvPr id="4" name="Gráfico 3" descr="Hogar con relleno sólido">
          <a:hlinkClick xmlns:r="http://schemas.openxmlformats.org/officeDocument/2006/relationships" r:id="rId7"/>
          <a:extLst>
            <a:ext uri="{FF2B5EF4-FFF2-40B4-BE49-F238E27FC236}">
              <a16:creationId xmlns:a16="http://schemas.microsoft.com/office/drawing/2014/main" id="{5BA5855D-3EC8-400A-9021-BE65860300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39200" y="762000"/>
          <a:ext cx="228600" cy="228600"/>
        </a:xfrm>
        <a:prstGeom prst="rect">
          <a:avLst/>
        </a:prstGeom>
      </xdr:spPr>
    </xdr:pic>
    <xdr:clientData/>
  </xdr:oneCellAnchor>
  <xdr:oneCellAnchor>
    <xdr:from>
      <xdr:col>5</xdr:col>
      <xdr:colOff>590550</xdr:colOff>
      <xdr:row>5</xdr:row>
      <xdr:rowOff>19050</xdr:rowOff>
    </xdr:from>
    <xdr:ext cx="171450" cy="171450"/>
    <xdr:pic>
      <xdr:nvPicPr>
        <xdr:cNvPr id="6" name="Gráfico 5" descr="Inalámbrico con relleno sólido">
          <a:hlinkClick xmlns:r="http://schemas.openxmlformats.org/officeDocument/2006/relationships" r:id="rId8"/>
          <a:extLst>
            <a:ext uri="{FF2B5EF4-FFF2-40B4-BE49-F238E27FC236}">
              <a16:creationId xmlns:a16="http://schemas.microsoft.com/office/drawing/2014/main" id="{46D3C717-4887-43F1-99A4-E45080483D8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429750" y="781050"/>
          <a:ext cx="171450" cy="171450"/>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1</xdr:col>
      <xdr:colOff>744106</xdr:colOff>
      <xdr:row>2</xdr:row>
      <xdr:rowOff>238126</xdr:rowOff>
    </xdr:from>
    <xdr:to>
      <xdr:col>3</xdr:col>
      <xdr:colOff>1183269</xdr:colOff>
      <xdr:row>7</xdr:row>
      <xdr:rowOff>145143</xdr:rowOff>
    </xdr:to>
    <xdr:pic>
      <xdr:nvPicPr>
        <xdr:cNvPr id="2" name="Imagen 1">
          <a:extLst>
            <a:ext uri="{FF2B5EF4-FFF2-40B4-BE49-F238E27FC236}">
              <a16:creationId xmlns:a16="http://schemas.microsoft.com/office/drawing/2014/main" id="{91F0651C-D287-4805-88BB-91A990B4B4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72781" y="1019176"/>
          <a:ext cx="1658363" cy="1997074"/>
        </a:xfrm>
        <a:prstGeom prst="rect">
          <a:avLst/>
        </a:prstGeom>
      </xdr:spPr>
    </xdr:pic>
    <xdr:clientData/>
  </xdr:twoCellAnchor>
  <xdr:twoCellAnchor editAs="oneCell">
    <xdr:from>
      <xdr:col>6</xdr:col>
      <xdr:colOff>531683</xdr:colOff>
      <xdr:row>34</xdr:row>
      <xdr:rowOff>203078</xdr:rowOff>
    </xdr:from>
    <xdr:to>
      <xdr:col>6</xdr:col>
      <xdr:colOff>1125564</xdr:colOff>
      <xdr:row>36</xdr:row>
      <xdr:rowOff>47103</xdr:rowOff>
    </xdr:to>
    <xdr:pic>
      <xdr:nvPicPr>
        <xdr:cNvPr id="3" name="Imagen 2">
          <a:extLst>
            <a:ext uri="{FF2B5EF4-FFF2-40B4-BE49-F238E27FC236}">
              <a16:creationId xmlns:a16="http://schemas.microsoft.com/office/drawing/2014/main" id="{5B53956C-77FB-4369-98EB-7C400673E54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2383" y="11147303"/>
          <a:ext cx="593881" cy="577451"/>
        </a:xfrm>
        <a:prstGeom prst="rect">
          <a:avLst/>
        </a:prstGeom>
      </xdr:spPr>
    </xdr:pic>
    <xdr:clientData/>
  </xdr:twoCellAnchor>
  <xdr:twoCellAnchor editAs="oneCell">
    <xdr:from>
      <xdr:col>6</xdr:col>
      <xdr:colOff>501730</xdr:colOff>
      <xdr:row>44</xdr:row>
      <xdr:rowOff>69424</xdr:rowOff>
    </xdr:from>
    <xdr:to>
      <xdr:col>6</xdr:col>
      <xdr:colOff>1195771</xdr:colOff>
      <xdr:row>45</xdr:row>
      <xdr:rowOff>565225</xdr:rowOff>
    </xdr:to>
    <xdr:pic>
      <xdr:nvPicPr>
        <xdr:cNvPr id="4" name="Imagen 3">
          <a:extLst>
            <a:ext uri="{FF2B5EF4-FFF2-40B4-BE49-F238E27FC236}">
              <a16:creationId xmlns:a16="http://schemas.microsoft.com/office/drawing/2014/main" id="{4639EA9E-D9DB-4E06-9F46-8CB0C1E732B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02430" y="14452174"/>
          <a:ext cx="694041" cy="676776"/>
        </a:xfrm>
        <a:prstGeom prst="rect">
          <a:avLst/>
        </a:prstGeom>
      </xdr:spPr>
    </xdr:pic>
    <xdr:clientData/>
  </xdr:twoCellAnchor>
  <xdr:twoCellAnchor editAs="oneCell">
    <xdr:from>
      <xdr:col>6</xdr:col>
      <xdr:colOff>448083</xdr:colOff>
      <xdr:row>38</xdr:row>
      <xdr:rowOff>255042</xdr:rowOff>
    </xdr:from>
    <xdr:to>
      <xdr:col>6</xdr:col>
      <xdr:colOff>1041243</xdr:colOff>
      <xdr:row>40</xdr:row>
      <xdr:rowOff>94175</xdr:rowOff>
    </xdr:to>
    <xdr:pic>
      <xdr:nvPicPr>
        <xdr:cNvPr id="5" name="Imagen 4">
          <a:extLst>
            <a:ext uri="{FF2B5EF4-FFF2-40B4-BE49-F238E27FC236}">
              <a16:creationId xmlns:a16="http://schemas.microsoft.com/office/drawing/2014/main" id="{BBCFB398-FEAD-456F-8D33-AB5098670D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48783" y="12694692"/>
          <a:ext cx="593160" cy="572558"/>
        </a:xfrm>
        <a:prstGeom prst="rect">
          <a:avLst/>
        </a:prstGeom>
      </xdr:spPr>
    </xdr:pic>
    <xdr:clientData/>
  </xdr:twoCellAnchor>
  <xdr:twoCellAnchor editAs="oneCell">
    <xdr:from>
      <xdr:col>6</xdr:col>
      <xdr:colOff>284769</xdr:colOff>
      <xdr:row>36</xdr:row>
      <xdr:rowOff>187382</xdr:rowOff>
    </xdr:from>
    <xdr:to>
      <xdr:col>6</xdr:col>
      <xdr:colOff>993157</xdr:colOff>
      <xdr:row>38</xdr:row>
      <xdr:rowOff>102541</xdr:rowOff>
    </xdr:to>
    <xdr:pic>
      <xdr:nvPicPr>
        <xdr:cNvPr id="6" name="Imagen 5">
          <a:extLst>
            <a:ext uri="{FF2B5EF4-FFF2-40B4-BE49-F238E27FC236}">
              <a16:creationId xmlns:a16="http://schemas.microsoft.com/office/drawing/2014/main" id="{A73FCADE-8E38-45E3-BCA9-A0EE7D8D78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885469" y="11865032"/>
          <a:ext cx="708388" cy="677159"/>
        </a:xfrm>
        <a:prstGeom prst="rect">
          <a:avLst/>
        </a:prstGeom>
      </xdr:spPr>
    </xdr:pic>
    <xdr:clientData/>
  </xdr:twoCellAnchor>
  <xdr:twoCellAnchor editAs="oneCell">
    <xdr:from>
      <xdr:col>3</xdr:col>
      <xdr:colOff>434004</xdr:colOff>
      <xdr:row>35</xdr:row>
      <xdr:rowOff>70829</xdr:rowOff>
    </xdr:from>
    <xdr:to>
      <xdr:col>3</xdr:col>
      <xdr:colOff>2000249</xdr:colOff>
      <xdr:row>39</xdr:row>
      <xdr:rowOff>81977</xdr:rowOff>
    </xdr:to>
    <xdr:pic>
      <xdr:nvPicPr>
        <xdr:cNvPr id="7" name="Imagen 6">
          <a:extLst>
            <a:ext uri="{FF2B5EF4-FFF2-40B4-BE49-F238E27FC236}">
              <a16:creationId xmlns:a16="http://schemas.microsoft.com/office/drawing/2014/main" id="{1E14F2AD-5CF9-4531-A1F2-A934D0AFD05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81879" y="11367479"/>
          <a:ext cx="1566245" cy="1506573"/>
        </a:xfrm>
        <a:prstGeom prst="rect">
          <a:avLst/>
        </a:prstGeom>
      </xdr:spPr>
    </xdr:pic>
    <xdr:clientData/>
  </xdr:twoCellAnchor>
  <xdr:twoCellAnchor editAs="oneCell">
    <xdr:from>
      <xdr:col>6</xdr:col>
      <xdr:colOff>425732</xdr:colOff>
      <xdr:row>46</xdr:row>
      <xdr:rowOff>69914</xdr:rowOff>
    </xdr:from>
    <xdr:to>
      <xdr:col>6</xdr:col>
      <xdr:colOff>1143037</xdr:colOff>
      <xdr:row>48</xdr:row>
      <xdr:rowOff>1275</xdr:rowOff>
    </xdr:to>
    <xdr:pic>
      <xdr:nvPicPr>
        <xdr:cNvPr id="8" name="Imagen 7">
          <a:extLst>
            <a:ext uri="{FF2B5EF4-FFF2-40B4-BE49-F238E27FC236}">
              <a16:creationId xmlns:a16="http://schemas.microsoft.com/office/drawing/2014/main" id="{5DB9FE42-919B-4E6C-8922-A744AA89BF9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26432" y="15300389"/>
          <a:ext cx="717305" cy="664787"/>
        </a:xfrm>
        <a:prstGeom prst="rect">
          <a:avLst/>
        </a:prstGeom>
      </xdr:spPr>
    </xdr:pic>
    <xdr:clientData/>
  </xdr:twoCellAnchor>
  <xdr:twoCellAnchor editAs="oneCell">
    <xdr:from>
      <xdr:col>6</xdr:col>
      <xdr:colOff>554331</xdr:colOff>
      <xdr:row>32</xdr:row>
      <xdr:rowOff>179009</xdr:rowOff>
    </xdr:from>
    <xdr:to>
      <xdr:col>6</xdr:col>
      <xdr:colOff>1082883</xdr:colOff>
      <xdr:row>34</xdr:row>
      <xdr:rowOff>51325</xdr:rowOff>
    </xdr:to>
    <xdr:pic>
      <xdr:nvPicPr>
        <xdr:cNvPr id="9" name="Imagen 8">
          <a:extLst>
            <a:ext uri="{FF2B5EF4-FFF2-40B4-BE49-F238E27FC236}">
              <a16:creationId xmlns:a16="http://schemas.microsoft.com/office/drawing/2014/main" id="{5652CC91-E532-40E6-B2FF-1CE155DE0D8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55031" y="10475534"/>
          <a:ext cx="528552" cy="520016"/>
        </a:xfrm>
        <a:prstGeom prst="rect">
          <a:avLst/>
        </a:prstGeom>
      </xdr:spPr>
    </xdr:pic>
    <xdr:clientData/>
  </xdr:twoCellAnchor>
  <xdr:twoCellAnchor editAs="oneCell">
    <xdr:from>
      <xdr:col>6</xdr:col>
      <xdr:colOff>515171</xdr:colOff>
      <xdr:row>40</xdr:row>
      <xdr:rowOff>205877</xdr:rowOff>
    </xdr:from>
    <xdr:to>
      <xdr:col>6</xdr:col>
      <xdr:colOff>1140018</xdr:colOff>
      <xdr:row>42</xdr:row>
      <xdr:rowOff>103698</xdr:rowOff>
    </xdr:to>
    <xdr:pic>
      <xdr:nvPicPr>
        <xdr:cNvPr id="10" name="Imagen 9">
          <a:extLst>
            <a:ext uri="{FF2B5EF4-FFF2-40B4-BE49-F238E27FC236}">
              <a16:creationId xmlns:a16="http://schemas.microsoft.com/office/drawing/2014/main" id="{CD22521B-5864-452B-B65D-E9AFEFEAF775}"/>
            </a:ext>
          </a:extLst>
        </xdr:cNvPr>
        <xdr:cNvPicPr>
          <a:picLocks noChangeAspect="1"/>
        </xdr:cNvPicPr>
      </xdr:nvPicPr>
      <xdr:blipFill>
        <a:blip xmlns:r="http://schemas.openxmlformats.org/officeDocument/2006/relationships" r:embed="rId9"/>
        <a:stretch>
          <a:fillRect/>
        </a:stretch>
      </xdr:blipFill>
      <xdr:spPr>
        <a:xfrm>
          <a:off x="6115871" y="13378952"/>
          <a:ext cx="624847" cy="631245"/>
        </a:xfrm>
        <a:prstGeom prst="rect">
          <a:avLst/>
        </a:prstGeom>
      </xdr:spPr>
    </xdr:pic>
    <xdr:clientData/>
  </xdr:twoCellAnchor>
  <xdr:twoCellAnchor editAs="oneCell">
    <xdr:from>
      <xdr:col>0</xdr:col>
      <xdr:colOff>790575</xdr:colOff>
      <xdr:row>47</xdr:row>
      <xdr:rowOff>57151</xdr:rowOff>
    </xdr:from>
    <xdr:to>
      <xdr:col>4</xdr:col>
      <xdr:colOff>135730</xdr:colOff>
      <xdr:row>63</xdr:row>
      <xdr:rowOff>4082</xdr:rowOff>
    </xdr:to>
    <xdr:pic>
      <xdr:nvPicPr>
        <xdr:cNvPr id="11" name="5 Imagen">
          <a:extLst>
            <a:ext uri="{FF2B5EF4-FFF2-40B4-BE49-F238E27FC236}">
              <a16:creationId xmlns:a16="http://schemas.microsoft.com/office/drawing/2014/main" id="{4FFCD6ED-1ED0-42F3-A68E-7110E5A2B88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90575" y="15649576"/>
          <a:ext cx="3450430" cy="4080781"/>
        </a:xfrm>
        <a:prstGeom prst="rect">
          <a:avLst/>
        </a:prstGeom>
      </xdr:spPr>
    </xdr:pic>
    <xdr:clientData/>
  </xdr:twoCellAnchor>
  <xdr:twoCellAnchor editAs="oneCell">
    <xdr:from>
      <xdr:col>9</xdr:col>
      <xdr:colOff>1148558</xdr:colOff>
      <xdr:row>47</xdr:row>
      <xdr:rowOff>269082</xdr:rowOff>
    </xdr:from>
    <xdr:to>
      <xdr:col>14</xdr:col>
      <xdr:colOff>240848</xdr:colOff>
      <xdr:row>61</xdr:row>
      <xdr:rowOff>30956</xdr:rowOff>
    </xdr:to>
    <xdr:pic>
      <xdr:nvPicPr>
        <xdr:cNvPr id="12" name="15 Imagen">
          <a:extLst>
            <a:ext uri="{FF2B5EF4-FFF2-40B4-BE49-F238E27FC236}">
              <a16:creationId xmlns:a16="http://schemas.microsoft.com/office/drawing/2014/main" id="{193B1643-725A-42BE-9453-3D5817657DB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rot="16200000">
          <a:off x="10848354" y="15858161"/>
          <a:ext cx="3457574" cy="3464265"/>
        </a:xfrm>
        <a:prstGeom prst="rect">
          <a:avLst/>
        </a:prstGeom>
      </xdr:spPr>
    </xdr:pic>
    <xdr:clientData/>
  </xdr:twoCellAnchor>
  <xdr:twoCellAnchor>
    <xdr:from>
      <xdr:col>1</xdr:col>
      <xdr:colOff>23812</xdr:colOff>
      <xdr:row>61</xdr:row>
      <xdr:rowOff>23813</xdr:rowOff>
    </xdr:from>
    <xdr:to>
      <xdr:col>14</xdr:col>
      <xdr:colOff>0</xdr:colOff>
      <xdr:row>61</xdr:row>
      <xdr:rowOff>23813</xdr:rowOff>
    </xdr:to>
    <xdr:cxnSp macro="">
      <xdr:nvCxnSpPr>
        <xdr:cNvPr id="13" name="24 Conector recto">
          <a:extLst>
            <a:ext uri="{FF2B5EF4-FFF2-40B4-BE49-F238E27FC236}">
              <a16:creationId xmlns:a16="http://schemas.microsoft.com/office/drawing/2014/main" id="{692CC87F-6209-4495-A13C-0A4083098712}"/>
            </a:ext>
          </a:extLst>
        </xdr:cNvPr>
        <xdr:cNvCxnSpPr/>
      </xdr:nvCxnSpPr>
      <xdr:spPr>
        <a:xfrm>
          <a:off x="852487" y="19311938"/>
          <a:ext cx="13215938" cy="0"/>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xdr:colOff>
      <xdr:row>1</xdr:row>
      <xdr:rowOff>19843</xdr:rowOff>
    </xdr:from>
    <xdr:to>
      <xdr:col>1</xdr:col>
      <xdr:colOff>31751</xdr:colOff>
      <xdr:row>61</xdr:row>
      <xdr:rowOff>0</xdr:rowOff>
    </xdr:to>
    <xdr:cxnSp macro="">
      <xdr:nvCxnSpPr>
        <xdr:cNvPr id="14" name="29 Conector recto">
          <a:extLst>
            <a:ext uri="{FF2B5EF4-FFF2-40B4-BE49-F238E27FC236}">
              <a16:creationId xmlns:a16="http://schemas.microsoft.com/office/drawing/2014/main" id="{B90300D0-B722-4325-8FE3-36FCBEE1F50A}"/>
            </a:ext>
          </a:extLst>
        </xdr:cNvPr>
        <xdr:cNvCxnSpPr/>
      </xdr:nvCxnSpPr>
      <xdr:spPr>
        <a:xfrm flipH="1">
          <a:off x="860425" y="505618"/>
          <a:ext cx="1" cy="18782507"/>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xdr:row>
      <xdr:rowOff>79376</xdr:rowOff>
    </xdr:from>
    <xdr:to>
      <xdr:col>13</xdr:col>
      <xdr:colOff>746125</xdr:colOff>
      <xdr:row>1</xdr:row>
      <xdr:rowOff>95250</xdr:rowOff>
    </xdr:to>
    <xdr:cxnSp macro="">
      <xdr:nvCxnSpPr>
        <xdr:cNvPr id="15" name="31 Conector recto">
          <a:extLst>
            <a:ext uri="{FF2B5EF4-FFF2-40B4-BE49-F238E27FC236}">
              <a16:creationId xmlns:a16="http://schemas.microsoft.com/office/drawing/2014/main" id="{F651697F-FF1E-4589-8B19-9BBEB6D380D4}"/>
            </a:ext>
          </a:extLst>
        </xdr:cNvPr>
        <xdr:cNvCxnSpPr/>
      </xdr:nvCxnSpPr>
      <xdr:spPr>
        <a:xfrm flipV="1">
          <a:off x="828675" y="565151"/>
          <a:ext cx="13223875" cy="15874"/>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730250</xdr:colOff>
      <xdr:row>1</xdr:row>
      <xdr:rowOff>47625</xdr:rowOff>
    </xdr:from>
    <xdr:to>
      <xdr:col>14</xdr:col>
      <xdr:colOff>15875</xdr:colOff>
      <xdr:row>60</xdr:row>
      <xdr:rowOff>142875</xdr:rowOff>
    </xdr:to>
    <xdr:cxnSp macro="">
      <xdr:nvCxnSpPr>
        <xdr:cNvPr id="17" name="29 Conector recto">
          <a:extLst>
            <a:ext uri="{FF2B5EF4-FFF2-40B4-BE49-F238E27FC236}">
              <a16:creationId xmlns:a16="http://schemas.microsoft.com/office/drawing/2014/main" id="{DC39E9BC-A9FA-4821-BFC0-B91088DE2C11}"/>
            </a:ext>
          </a:extLst>
        </xdr:cNvPr>
        <xdr:cNvCxnSpPr/>
      </xdr:nvCxnSpPr>
      <xdr:spPr>
        <a:xfrm>
          <a:off x="14036675" y="533400"/>
          <a:ext cx="47625" cy="18716625"/>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60</xdr:row>
      <xdr:rowOff>158750</xdr:rowOff>
    </xdr:from>
    <xdr:to>
      <xdr:col>14</xdr:col>
      <xdr:colOff>15875</xdr:colOff>
      <xdr:row>61</xdr:row>
      <xdr:rowOff>0</xdr:rowOff>
    </xdr:to>
    <xdr:cxnSp macro="">
      <xdr:nvCxnSpPr>
        <xdr:cNvPr id="18" name="31 Conector recto">
          <a:extLst>
            <a:ext uri="{FF2B5EF4-FFF2-40B4-BE49-F238E27FC236}">
              <a16:creationId xmlns:a16="http://schemas.microsoft.com/office/drawing/2014/main" id="{2F429895-9961-499F-8AE5-454711DEA162}"/>
            </a:ext>
          </a:extLst>
        </xdr:cNvPr>
        <xdr:cNvCxnSpPr/>
      </xdr:nvCxnSpPr>
      <xdr:spPr>
        <a:xfrm>
          <a:off x="828675" y="19265900"/>
          <a:ext cx="13255625" cy="22225"/>
        </a:xfrm>
        <a:prstGeom prst="line">
          <a:avLst/>
        </a:prstGeom>
        <a:ln w="38100">
          <a:solidFill>
            <a:srgbClr val="009900">
              <a:alpha val="6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watercalculator.org/wfc2/complet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https://archive.epa.gov/epawaste/conserve/smm/wastewise/web/html/factoid.html" TargetMode="External"/><Relationship Id="rId2" Type="http://schemas.openxmlformats.org/officeDocument/2006/relationships/hyperlink" Target="https://docplayer.es/8551946-Asipla-analisis-del-impacto-de-los-gases-de-efecto-invernadero-en-el-ciclo-de-vida-de-los-embalajes-y-otros-productos-plasticos-en-chile-v1.html" TargetMode="External"/><Relationship Id="rId1" Type="http://schemas.openxmlformats.org/officeDocument/2006/relationships/hyperlink" Target="http://www.acoplasticos.org/boletines/2011/Noticias_Ambientales_2011_04Julio/ASIPLA_Huella_de_Carbono.pdf%20Pag.%2023" TargetMode="External"/><Relationship Id="rId5" Type="http://schemas.openxmlformats.org/officeDocument/2006/relationships/drawing" Target="../drawings/drawing5.xm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nationalgeographic.es/animales/18-datos-sobre-el-animal-terrestre-mas-grande-del-mundo-el-elefante" TargetMode="External"/><Relationship Id="rId3" Type="http://schemas.openxmlformats.org/officeDocument/2006/relationships/hyperlink" Target="https://www.carbonfootprint.com/videos.html" TargetMode="External"/><Relationship Id="rId7" Type="http://schemas.openxmlformats.org/officeDocument/2006/relationships/hyperlink" Target="https://torrelatinoamericana.com.mx/historia/" TargetMode="External"/><Relationship Id="rId2" Type="http://schemas.openxmlformats.org/officeDocument/2006/relationships/hyperlink" Target="https://www.carbonfootprint.com/videos.html" TargetMode="External"/><Relationship Id="rId1" Type="http://schemas.openxmlformats.org/officeDocument/2006/relationships/hyperlink" Target="https://www.facebook.com/Pemex/photos/a.366280850185662/1222718291208576/?type=1&amp;theater" TargetMode="External"/><Relationship Id="rId6" Type="http://schemas.openxmlformats.org/officeDocument/2006/relationships/hyperlink" Target="http://atpplleal.com/userfiles/files/densidad-y-peso-especifico.pdf" TargetMode="External"/><Relationship Id="rId5" Type="http://schemas.openxmlformats.org/officeDocument/2006/relationships/hyperlink" Target="https://www.excelsior.com.mx/opinion/alfredo-lamont/2014/12/19/998533" TargetMode="External"/><Relationship Id="rId10" Type="http://schemas.openxmlformats.org/officeDocument/2006/relationships/drawing" Target="../drawings/drawing6.xml"/><Relationship Id="rId4" Type="http://schemas.openxmlformats.org/officeDocument/2006/relationships/hyperlink" Target="https://www.pemex.com/negocio/gasolineras/nuestros-productos/Documents/HDS%20SAC%20Gasolinas%20(Premium%20y%20Magna).pdf" TargetMode="External"/><Relationship Id="rId9"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hyperlink" Target="https://www.bankinter.com/blog/mercados/equivalencia-tonelada-co2" TargetMode="External"/><Relationship Id="rId7" Type="http://schemas.openxmlformats.org/officeDocument/2006/relationships/hyperlink" Target="https://twitter.com/pilascolombia/status/1262074526223020032?lang=gu" TargetMode="External"/><Relationship Id="rId2" Type="http://schemas.openxmlformats.org/officeDocument/2006/relationships/hyperlink" Target="https://www.gob.mx/inecc/acciones-y-programas/inventario-nacional-de-emisiones-de-gases-y-compuestos-de-efecto-invernadero" TargetMode="External"/><Relationship Id="rId1" Type="http://schemas.openxmlformats.org/officeDocument/2006/relationships/hyperlink" Target="https://www.pt-mexico.com/noticias/post/paneles-de-expertos-sobre-reciclaje-de-plasticos-en-plastics-recycling-latam" TargetMode="External"/><Relationship Id="rId6" Type="http://schemas.openxmlformats.org/officeDocument/2006/relationships/hyperlink" Target="https://www.iberdrola.com/sostenibilidad/tratamiento-basura" TargetMode="External"/><Relationship Id="rId5" Type="http://schemas.openxmlformats.org/officeDocument/2006/relationships/hyperlink" Target="https://www.elindependiente.com/futuro/medio-ambiente/2021/07/05/las-emisiones-de-co2-bajan-un-137-en-2020-en-espana/" TargetMode="External"/><Relationship Id="rId4" Type="http://schemas.openxmlformats.org/officeDocument/2006/relationships/hyperlink" Target="https://www.miteco.gob.es/es/ceneam/recursos/mini-portales-tematicos/cuanto_es_1t_co2_tcm30-70715.pdf" TargetMode="External"/></Relationships>
</file>

<file path=xl/worksheets/_rels/sheet24.xml.rels><?xml version="1.0" encoding="UTF-8" standalone="yes"?>
<Relationships xmlns="http://schemas.openxmlformats.org/package/2006/relationships"><Relationship Id="rId8" Type="http://schemas.openxmlformats.org/officeDocument/2006/relationships/hyperlink" Target="https://www.ecoembes.com/es/ciudadanos/envases-y-proceso-reciclaje/como-reciclar-bien/equivalencias-y-datos" TargetMode="External"/><Relationship Id="rId13" Type="http://schemas.openxmlformats.org/officeDocument/2006/relationships/hyperlink" Target="https://www.ecoembes.com/es/ciudadanos/envases-y-proceso-reciclaje/como-reciclar-bien/equivalencias-y-datos" TargetMode="External"/><Relationship Id="rId18" Type="http://schemas.openxmlformats.org/officeDocument/2006/relationships/hyperlink" Target="https://maxplayfit.com/commercial-playground-equipment/recycled-plastic-playground-equipment/" TargetMode="External"/><Relationship Id="rId3" Type="http://schemas.openxmlformats.org/officeDocument/2006/relationships/hyperlink" Target="https://www.greentoys.com/pages/our-story?show=slide4" TargetMode="External"/><Relationship Id="rId21" Type="http://schemas.openxmlformats.org/officeDocument/2006/relationships/drawing" Target="../drawings/drawing21.xml"/><Relationship Id="rId7" Type="http://schemas.openxmlformats.org/officeDocument/2006/relationships/hyperlink" Target="https://www.ecoembes.com/es/ciudadanos/envases-y-proceso-reciclaje/como-reciclar-bien/equivalencias-y-datos" TargetMode="External"/><Relationship Id="rId12" Type="http://schemas.openxmlformats.org/officeDocument/2006/relationships/hyperlink" Target="https://www.ecoembes.com/es/ciudadanos/envases-y-proceso-reciclaje/como-reciclar-bien/equivalencias-y-datos" TargetMode="External"/><Relationship Id="rId17" Type="http://schemas.openxmlformats.org/officeDocument/2006/relationships/hyperlink" Target="https://www.reuseplastics.org/news/from-waste-to-wearables" TargetMode="External"/><Relationship Id="rId2" Type="http://schemas.openxmlformats.org/officeDocument/2006/relationships/hyperlink" Target="https://www.preserve.eco/collections/oral-care/products/kids-toothbrush-single" TargetMode="External"/><Relationship Id="rId16" Type="http://schemas.openxmlformats.org/officeDocument/2006/relationships/hyperlink" Target="https://www.recycleandrecoverplastics.org/consumers/kids-recycling/plastics-can-become/" TargetMode="External"/><Relationship Id="rId20" Type="http://schemas.openxmlformats.org/officeDocument/2006/relationships/printerSettings" Target="../printerSettings/printerSettings22.bin"/><Relationship Id="rId1" Type="http://schemas.openxmlformats.org/officeDocument/2006/relationships/hyperlink" Target="https://www.pilotpen.co.uk/en/collections/must-have/b2p.html" TargetMode="External"/><Relationship Id="rId6" Type="http://schemas.openxmlformats.org/officeDocument/2006/relationships/hyperlink" Target="http://www.ford.es/acerca-de-ford/ford-blog/ford-apuesta-por-una-economia-sostenible-recicla-millones-de-botellas-de-plastico" TargetMode="External"/><Relationship Id="rId11" Type="http://schemas.openxmlformats.org/officeDocument/2006/relationships/hyperlink" Target="https://www.ecoembes.com/es/ciudadanos/envases-y-proceso-reciclaje/como-reciclar-bien/equivalencias-y-datos" TargetMode="External"/><Relationship Id="rId5" Type="http://schemas.openxmlformats.org/officeDocument/2006/relationships/hyperlink" Target="https://www.eesc.europa.eu/en/news-media/news/27-recycled-bottles-make-t-shirt" TargetMode="External"/><Relationship Id="rId15" Type="http://schemas.openxmlformats.org/officeDocument/2006/relationships/hyperlink" Target="https://www.recycleandrecoverplastics.org/consumers/kids-recycling/plastics-can-become/" TargetMode="External"/><Relationship Id="rId10" Type="http://schemas.openxmlformats.org/officeDocument/2006/relationships/hyperlink" Target="https://www.ecoembes.com/es/ciudadanos/envases-y-proceso-reciclaje/como-reciclar-bien/equivalencias-y-datos" TargetMode="External"/><Relationship Id="rId19" Type="http://schemas.openxmlformats.org/officeDocument/2006/relationships/hyperlink" Target="https://www.reuseplastics.org/news/sliding-into-the-future" TargetMode="External"/><Relationship Id="rId4" Type="http://schemas.openxmlformats.org/officeDocument/2006/relationships/hyperlink" Target="https://www.greentoys.com/pages/our-story?show=slide4" TargetMode="External"/><Relationship Id="rId9" Type="http://schemas.openxmlformats.org/officeDocument/2006/relationships/hyperlink" Target="https://www.ecoembes.com/es/ciudadanos/envases-y-proceso-reciclaje/como-reciclar-bien/equivalencias-y-datos" TargetMode="External"/><Relationship Id="rId14" Type="http://schemas.openxmlformats.org/officeDocument/2006/relationships/hyperlink" Target="https://www.youtube.com/watch?v=IZHJ-oGOeaw" TargetMode="External"/></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23.bin"/><Relationship Id="rId3" Type="http://schemas.openxmlformats.org/officeDocument/2006/relationships/hyperlink" Target="mailto:info@planetalisto.com" TargetMode="External"/><Relationship Id="rId7" Type="http://schemas.openxmlformats.org/officeDocument/2006/relationships/hyperlink" Target="https://www.qfmex.mx/index.php" TargetMode="External"/><Relationship Id="rId2" Type="http://schemas.openxmlformats.org/officeDocument/2006/relationships/hyperlink" Target="https://www.ecolam.mx/es/inicio" TargetMode="External"/><Relationship Id="rId1" Type="http://schemas.openxmlformats.org/officeDocument/2006/relationships/hyperlink" Target="mailto:ecolam@laminasecologicas.com" TargetMode="External"/><Relationship Id="rId6" Type="http://schemas.openxmlformats.org/officeDocument/2006/relationships/hyperlink" Target="mailto:maderplastmx@gmail.com" TargetMode="External"/><Relationship Id="rId5" Type="http://schemas.openxmlformats.org/officeDocument/2006/relationships/hyperlink" Target="https://imagenia.com.mx/" TargetMode="External"/><Relationship Id="rId4" Type="http://schemas.openxmlformats.org/officeDocument/2006/relationships/hyperlink" Target="https://www.planetalisto.com/"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s://www.eesc.europa.eu/en/news-media/news/27-recycled-bottles-make-t-shirt" TargetMode="External"/><Relationship Id="rId7" Type="http://schemas.openxmlformats.org/officeDocument/2006/relationships/printerSettings" Target="../printerSettings/printerSettings24.bin"/><Relationship Id="rId2" Type="http://schemas.openxmlformats.org/officeDocument/2006/relationships/hyperlink" Target="https://vtb-league.com/en/news/special-for-the-league-sibur-and-wilson-create-ecoball-from-recycled-plastic/" TargetMode="External"/><Relationship Id="rId1" Type="http://schemas.openxmlformats.org/officeDocument/2006/relationships/hyperlink" Target="https://www.amtmarketing.com/eco/eco-bags/bottlebag-beach" TargetMode="External"/><Relationship Id="rId6" Type="http://schemas.openxmlformats.org/officeDocument/2006/relationships/hyperlink" Target="https://www.recyclecartons.com/learn/" TargetMode="External"/><Relationship Id="rId5" Type="http://schemas.openxmlformats.org/officeDocument/2006/relationships/hyperlink" Target="https://www.steelforpackaging.org/steel-for-packaging-recycling-and-resource-saving/steel-for-packaging-saving-resources/" TargetMode="External"/><Relationship Id="rId4" Type="http://schemas.openxmlformats.org/officeDocument/2006/relationships/hyperlink" Target="https://oa.upm.es/50290/1/TFG_GABRIEL_LOPEZ_GARZON_HERNANDEZ.pdf" TargetMode="Externa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8" Type="http://schemas.openxmlformats.org/officeDocument/2006/relationships/hyperlink" Target="https://www.centroacv.mx/servicios.php" TargetMode="External"/><Relationship Id="rId3" Type="http://schemas.openxmlformats.org/officeDocument/2006/relationships/hyperlink" Target="http://centromariomolina.org/educacion-y-difusion/prueba-piloto-del-diplomado-para-la-ensenanza-del-cambio-climatico/" TargetMode="External"/><Relationship Id="rId7" Type="http://schemas.openxmlformats.org/officeDocument/2006/relationships/hyperlink" Target="mailto:atencion.ciudadana@semarnat.gob.mx" TargetMode="External"/><Relationship Id="rId2" Type="http://schemas.openxmlformats.org/officeDocument/2006/relationships/hyperlink" Target="http://mediosconvalor.com/" TargetMode="External"/><Relationship Id="rId1" Type="http://schemas.openxmlformats.org/officeDocument/2006/relationships/hyperlink" Target="http://www.cespedes.org.mx/publicaciones-cce/" TargetMode="External"/><Relationship Id="rId6" Type="http://schemas.openxmlformats.org/officeDocument/2006/relationships/hyperlink" Target="http://www.ecored.com.mx/portalesp/pagina/z_45_Quienes_Somos_Presentacion.php" TargetMode="External"/><Relationship Id="rId5" Type="http://schemas.openxmlformats.org/officeDocument/2006/relationships/hyperlink" Target="mailto:se-ambiental@se-ambiental.mx" TargetMode="External"/><Relationship Id="rId4" Type="http://schemas.openxmlformats.org/officeDocument/2006/relationships/hyperlink" Target="https://www.gob.mx/cre" TargetMode="Externa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7B3C2-44FE-4DF2-A228-2AA9364A02E1}">
  <dimension ref="A1"/>
  <sheetViews>
    <sheetView topLeftCell="A4" zoomScale="66" workbookViewId="0"/>
  </sheetViews>
  <sheetFormatPr baseColWidth="10" defaultRowHeight="15"/>
  <sheetData/>
  <pageMargins left="0.19685039370078741" right="0.19685039370078741" top="0.74803149606299213" bottom="0.74803149606299213" header="0.31496062992125984" footer="0.31496062992125984"/>
  <pageSetup paperSize="9" scale="65"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DG219"/>
  <sheetViews>
    <sheetView tabSelected="1" topLeftCell="A5" zoomScaleNormal="100" workbookViewId="0">
      <pane xSplit="4" ySplit="5" topLeftCell="BB10" activePane="bottomRight" state="frozen"/>
      <selection activeCell="A5" sqref="A5"/>
      <selection pane="topRight" activeCell="E5" sqref="E5"/>
      <selection pane="bottomLeft" activeCell="A10" sqref="A10"/>
      <selection pane="bottomRight" activeCell="D5" sqref="A5:XFD5"/>
    </sheetView>
  </sheetViews>
  <sheetFormatPr baseColWidth="10" defaultColWidth="10.85546875" defaultRowHeight="15.75"/>
  <cols>
    <col min="1" max="1" width="17.42578125" style="398" bestFit="1" customWidth="1"/>
    <col min="2" max="2" width="29.140625" style="398" bestFit="1" customWidth="1"/>
    <col min="3" max="3" width="21.85546875" style="398" customWidth="1"/>
    <col min="4" max="4" width="1.7109375" style="567" customWidth="1"/>
    <col min="5" max="5" width="17.7109375" style="398" customWidth="1"/>
    <col min="6" max="6" width="22.85546875" style="398" customWidth="1"/>
    <col min="7" max="7" width="20.140625" style="398" customWidth="1"/>
    <col min="8" max="8" width="19.42578125" style="398" customWidth="1"/>
    <col min="9" max="9" width="14.7109375" style="398" hidden="1" customWidth="1"/>
    <col min="10" max="10" width="23.7109375" style="402" customWidth="1"/>
    <col min="11" max="11" width="14.7109375" style="402" customWidth="1"/>
    <col min="12" max="12" width="14.7109375" style="409" customWidth="1"/>
    <col min="13" max="13" width="1.7109375" style="567" customWidth="1"/>
    <col min="14" max="14" width="21.7109375" style="398" customWidth="1"/>
    <col min="15" max="16" width="14.7109375" style="398" customWidth="1"/>
    <col min="17" max="17" width="17.5703125" style="398" customWidth="1"/>
    <col min="18" max="23" width="14.7109375" style="398" customWidth="1"/>
    <col min="24" max="24" width="17.28515625" style="398" customWidth="1"/>
    <col min="25" max="25" width="1.7109375" style="567" customWidth="1"/>
    <col min="26" max="27" width="17.7109375" style="402" customWidth="1"/>
    <col min="28" max="30" width="14.7109375" style="398" customWidth="1"/>
    <col min="31" max="31" width="1.7109375" style="567" customWidth="1"/>
    <col min="32" max="32" width="22.7109375" style="398" customWidth="1"/>
    <col min="33" max="34" width="14.7109375" style="398" customWidth="1"/>
    <col min="35" max="35" width="1.7109375" style="567" customWidth="1"/>
    <col min="36" max="36" width="17.140625" style="398" customWidth="1"/>
    <col min="37" max="37" width="19.42578125" style="398" customWidth="1"/>
    <col min="38" max="38" width="21.140625" style="398" customWidth="1"/>
    <col min="39" max="39" width="34.42578125" style="398" customWidth="1"/>
    <col min="40" max="40" width="16.42578125" style="398" customWidth="1"/>
    <col min="41" max="41" width="13.7109375" style="398" customWidth="1"/>
    <col min="42" max="42" width="21" style="398" customWidth="1"/>
    <col min="43" max="43" width="19" style="398" customWidth="1"/>
    <col min="44" max="45" width="13.7109375" style="398" customWidth="1"/>
    <col min="46" max="46" width="1.7109375" style="567" customWidth="1"/>
    <col min="47" max="47" width="19" style="398" customWidth="1"/>
    <col min="48" max="54" width="14.7109375" style="398" customWidth="1"/>
    <col min="55" max="55" width="1.7109375" style="571" customWidth="1"/>
    <col min="56" max="56" width="19" style="398" customWidth="1"/>
    <col min="57" max="60" width="14.7109375" style="398" customWidth="1"/>
    <col min="61" max="65" width="14.7109375" style="403" customWidth="1"/>
    <col min="66" max="66" width="1.7109375" style="571" customWidth="1"/>
    <col min="67" max="67" width="19.28515625" style="403" customWidth="1"/>
    <col min="68" max="68" width="22" style="403" customWidth="1"/>
    <col min="69" max="69" width="18.140625" style="403" customWidth="1"/>
    <col min="70" max="71" width="13.7109375" style="403" customWidth="1"/>
    <col min="72" max="72" width="20.5703125" style="567" customWidth="1"/>
    <col min="73" max="111" width="10.85546875" style="567"/>
    <col min="112" max="16384" width="10.85546875" style="398"/>
  </cols>
  <sheetData>
    <row r="1" spans="1:111" s="566" customFormat="1" ht="74.25" customHeight="1">
      <c r="A1" s="1165" t="s">
        <v>1072</v>
      </c>
      <c r="B1" s="1165"/>
      <c r="C1" s="1165"/>
      <c r="D1" s="1165"/>
      <c r="E1" s="1165"/>
      <c r="F1" s="1165"/>
      <c r="G1" s="1165"/>
      <c r="H1" s="1165"/>
      <c r="I1" s="1165"/>
      <c r="J1" s="1165"/>
      <c r="K1" s="1165"/>
      <c r="L1" s="1165"/>
      <c r="M1" s="1165"/>
      <c r="N1" s="1165"/>
      <c r="O1" s="1165"/>
      <c r="P1" s="1165"/>
      <c r="Q1" s="1165"/>
      <c r="R1" s="1165"/>
      <c r="S1" s="1165"/>
      <c r="T1" s="1165"/>
      <c r="U1" s="1165"/>
      <c r="V1" s="1165"/>
      <c r="W1" s="1165"/>
      <c r="X1" s="1165"/>
      <c r="Y1" s="1165"/>
      <c r="Z1" s="1165"/>
      <c r="AA1" s="1165"/>
      <c r="AB1" s="1165"/>
      <c r="AC1" s="1165"/>
      <c r="AD1" s="1165"/>
      <c r="AE1" s="1165"/>
      <c r="AF1" s="1165"/>
      <c r="AG1" s="1165"/>
      <c r="AH1" s="1165"/>
      <c r="AI1" s="1165"/>
      <c r="AJ1" s="1165"/>
      <c r="AK1" s="1165"/>
      <c r="AL1" s="1165"/>
      <c r="AM1" s="1165"/>
      <c r="AN1" s="1165"/>
      <c r="AO1" s="1165"/>
      <c r="AP1" s="1165"/>
      <c r="AQ1" s="1165"/>
      <c r="AR1" s="1165"/>
      <c r="AS1" s="1165"/>
      <c r="AT1" s="1165"/>
      <c r="AU1" s="1165"/>
      <c r="AV1" s="1165"/>
      <c r="AW1" s="1165"/>
      <c r="AX1" s="1165"/>
      <c r="AY1" s="1165"/>
      <c r="AZ1" s="1165"/>
      <c r="BA1" s="1165"/>
      <c r="BB1" s="1165"/>
      <c r="BC1" s="1165"/>
      <c r="BD1" s="1165"/>
      <c r="BE1" s="1165"/>
      <c r="BF1" s="1165"/>
      <c r="BG1" s="1165"/>
      <c r="BH1" s="1165"/>
      <c r="BI1" s="1165"/>
      <c r="BJ1" s="1165"/>
      <c r="BK1" s="1165"/>
      <c r="BL1" s="1165"/>
      <c r="BM1" s="1165"/>
    </row>
    <row r="2" spans="1:111" s="406" customFormat="1" ht="19.5" customHeight="1">
      <c r="A2" s="1166" t="s">
        <v>657</v>
      </c>
      <c r="B2" s="1167"/>
      <c r="C2" s="1168"/>
      <c r="D2" s="577"/>
      <c r="E2" s="1196" t="s">
        <v>353</v>
      </c>
      <c r="F2" s="1197"/>
      <c r="G2" s="1197"/>
      <c r="H2" s="1197"/>
      <c r="I2" s="1197"/>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749"/>
      <c r="AZ2" s="749"/>
      <c r="BA2" s="749"/>
      <c r="BB2" s="749"/>
      <c r="BC2" s="750"/>
      <c r="BD2" s="749"/>
      <c r="BE2" s="749"/>
      <c r="BF2" s="749"/>
      <c r="BG2" s="749"/>
      <c r="BH2" s="749"/>
      <c r="BI2" s="1166"/>
      <c r="BJ2" s="1167"/>
      <c r="BK2" s="1168"/>
      <c r="BL2" s="1166"/>
      <c r="BM2" s="1167"/>
      <c r="BN2" s="584"/>
      <c r="BT2" s="584"/>
      <c r="BU2" s="584"/>
      <c r="BV2" s="584"/>
      <c r="BW2" s="584"/>
      <c r="BX2" s="584"/>
      <c r="BY2" s="584"/>
      <c r="BZ2" s="584"/>
      <c r="CA2" s="584"/>
      <c r="CB2" s="584"/>
      <c r="CC2" s="584"/>
      <c r="CD2" s="584"/>
      <c r="CE2" s="584"/>
      <c r="CF2" s="584"/>
      <c r="CG2" s="584"/>
      <c r="CH2" s="584"/>
      <c r="CI2" s="584"/>
      <c r="CJ2" s="584"/>
      <c r="CK2" s="584"/>
      <c r="CL2" s="584"/>
      <c r="CM2" s="584"/>
      <c r="CN2" s="584"/>
      <c r="CO2" s="584"/>
      <c r="CP2" s="584"/>
      <c r="CQ2" s="584"/>
      <c r="CR2" s="584"/>
      <c r="CS2" s="584"/>
      <c r="CT2" s="584"/>
      <c r="CU2" s="584"/>
      <c r="CV2" s="584"/>
      <c r="CW2" s="584"/>
      <c r="CX2" s="584"/>
      <c r="CY2" s="584"/>
      <c r="CZ2" s="584"/>
      <c r="DA2" s="584"/>
      <c r="DB2" s="584"/>
      <c r="DC2" s="584"/>
      <c r="DD2" s="584"/>
      <c r="DE2" s="584"/>
      <c r="DF2" s="584"/>
      <c r="DG2" s="584"/>
    </row>
    <row r="3" spans="1:111" s="406" customFormat="1" ht="3.75" customHeight="1">
      <c r="A3" s="1169"/>
      <c r="B3" s="1170"/>
      <c r="C3" s="1171"/>
      <c r="D3" s="577"/>
      <c r="E3" s="581"/>
      <c r="F3" s="581"/>
      <c r="G3" s="581"/>
      <c r="H3" s="581"/>
      <c r="I3" s="581"/>
      <c r="J3" s="581"/>
      <c r="K3" s="581"/>
      <c r="L3" s="582"/>
      <c r="M3" s="581"/>
      <c r="N3" s="581"/>
      <c r="O3" s="581"/>
      <c r="P3" s="581"/>
      <c r="Q3" s="581"/>
      <c r="R3" s="581"/>
      <c r="S3" s="581"/>
      <c r="T3" s="581"/>
      <c r="U3" s="581"/>
      <c r="V3" s="581"/>
      <c r="W3" s="581"/>
      <c r="X3" s="581"/>
      <c r="Y3" s="581"/>
      <c r="Z3" s="674"/>
      <c r="AA3" s="674"/>
      <c r="AB3" s="581"/>
      <c r="AC3" s="581"/>
      <c r="AD3" s="581"/>
      <c r="AE3" s="581"/>
      <c r="AF3" s="583"/>
      <c r="AG3" s="581"/>
      <c r="AH3" s="581"/>
      <c r="AI3" s="581"/>
      <c r="AJ3" s="581"/>
      <c r="AK3" s="581"/>
      <c r="AL3" s="581"/>
      <c r="AM3" s="581"/>
      <c r="AN3" s="581"/>
      <c r="AO3" s="581"/>
      <c r="AP3" s="581"/>
      <c r="AQ3" s="581"/>
      <c r="AR3" s="581"/>
      <c r="AS3" s="581"/>
      <c r="AT3" s="581"/>
      <c r="AU3" s="583"/>
      <c r="AV3" s="583"/>
      <c r="AW3" s="583"/>
      <c r="AX3" s="583"/>
      <c r="AY3" s="583"/>
      <c r="AZ3" s="583"/>
      <c r="BA3" s="584"/>
      <c r="BB3" s="584"/>
      <c r="BC3" s="584"/>
      <c r="BD3" s="583"/>
      <c r="BE3" s="583"/>
      <c r="BF3" s="583"/>
      <c r="BG3" s="583"/>
      <c r="BH3" s="584"/>
      <c r="BI3" s="585"/>
      <c r="BJ3" s="585"/>
      <c r="BK3" s="585"/>
      <c r="BL3" s="585"/>
      <c r="BM3" s="585"/>
      <c r="BN3" s="584"/>
      <c r="BO3" s="585"/>
      <c r="BP3" s="585"/>
      <c r="BQ3" s="585"/>
      <c r="BR3" s="585"/>
      <c r="BS3" s="585"/>
      <c r="BT3" s="584"/>
      <c r="BU3" s="584"/>
      <c r="BV3" s="584"/>
      <c r="BW3" s="584"/>
      <c r="BX3" s="584"/>
      <c r="BY3" s="584"/>
      <c r="BZ3" s="584"/>
      <c r="CA3" s="584"/>
      <c r="CB3" s="584"/>
      <c r="CC3" s="584"/>
      <c r="CD3" s="584"/>
      <c r="CE3" s="584"/>
      <c r="CF3" s="584"/>
      <c r="CG3" s="584"/>
      <c r="CH3" s="584"/>
      <c r="CI3" s="584"/>
      <c r="CJ3" s="584"/>
      <c r="CK3" s="584"/>
      <c r="CL3" s="584"/>
      <c r="CM3" s="584"/>
      <c r="CN3" s="584"/>
      <c r="CO3" s="584"/>
      <c r="CP3" s="584"/>
      <c r="CQ3" s="584"/>
      <c r="CR3" s="584"/>
      <c r="CS3" s="584"/>
      <c r="CT3" s="584"/>
      <c r="CU3" s="584"/>
      <c r="CV3" s="584"/>
      <c r="CW3" s="584"/>
      <c r="CX3" s="584"/>
      <c r="CY3" s="584"/>
      <c r="CZ3" s="584"/>
      <c r="DA3" s="584"/>
      <c r="DB3" s="584"/>
      <c r="DC3" s="584"/>
      <c r="DD3" s="584"/>
      <c r="DE3" s="584"/>
      <c r="DF3" s="584"/>
      <c r="DG3" s="584"/>
    </row>
    <row r="4" spans="1:111" s="407" customFormat="1" ht="34.5" customHeight="1">
      <c r="A4" s="1169"/>
      <c r="B4" s="1170"/>
      <c r="C4" s="1171"/>
      <c r="D4" s="578"/>
      <c r="E4" s="1175"/>
      <c r="F4" s="1175"/>
      <c r="G4" s="1175"/>
      <c r="H4" s="1175"/>
      <c r="I4" s="1175"/>
      <c r="J4" s="1175"/>
      <c r="K4" s="1175"/>
      <c r="L4" s="1176"/>
      <c r="M4" s="586"/>
      <c r="N4" s="1179"/>
      <c r="O4" s="1179"/>
      <c r="P4" s="1179"/>
      <c r="Q4" s="1179"/>
      <c r="R4" s="1179"/>
      <c r="S4" s="1179"/>
      <c r="T4" s="1179"/>
      <c r="U4" s="1179"/>
      <c r="V4" s="1179"/>
      <c r="W4" s="1179"/>
      <c r="X4" s="1180"/>
      <c r="Y4" s="586"/>
      <c r="Z4" s="1184" t="s">
        <v>68</v>
      </c>
      <c r="AA4" s="1185"/>
      <c r="AB4" s="1185"/>
      <c r="AC4" s="1185"/>
      <c r="AD4" s="1185"/>
      <c r="AE4" s="589"/>
      <c r="AF4" s="1188" t="s">
        <v>74</v>
      </c>
      <c r="AG4" s="1189"/>
      <c r="AH4" s="1189"/>
      <c r="AI4" s="590"/>
      <c r="AJ4" s="1190" t="s">
        <v>99</v>
      </c>
      <c r="AK4" s="1191"/>
      <c r="AL4" s="1191"/>
      <c r="AM4" s="1191"/>
      <c r="AN4" s="1191"/>
      <c r="AO4" s="1191"/>
      <c r="AP4" s="1191"/>
      <c r="AQ4" s="1191"/>
      <c r="AR4" s="1191"/>
      <c r="AS4" s="1192"/>
      <c r="AT4" s="578"/>
      <c r="AU4" s="1161" t="s">
        <v>356</v>
      </c>
      <c r="AV4" s="1161"/>
      <c r="AW4" s="1161"/>
      <c r="AX4" s="1161"/>
      <c r="AY4" s="1161"/>
      <c r="AZ4" s="1161"/>
      <c r="BA4" s="1161"/>
      <c r="BB4" s="1162"/>
      <c r="BC4" s="589"/>
      <c r="BD4" s="1198" t="s">
        <v>1074</v>
      </c>
      <c r="BE4" s="1198"/>
      <c r="BF4" s="1198"/>
      <c r="BG4" s="1198"/>
      <c r="BH4" s="1199"/>
      <c r="BI4" s="1183" t="s">
        <v>1024</v>
      </c>
      <c r="BJ4" s="1183"/>
      <c r="BK4" s="1183"/>
      <c r="BL4" s="1183"/>
      <c r="BM4" s="1183"/>
      <c r="BN4" s="589"/>
      <c r="BO4" s="916"/>
      <c r="BP4" s="916"/>
      <c r="BQ4" s="916"/>
      <c r="BR4" s="916"/>
      <c r="BS4" s="916"/>
      <c r="BT4" s="578"/>
      <c r="BU4" s="578"/>
      <c r="BV4" s="578"/>
      <c r="BW4" s="578"/>
      <c r="BX4" s="578"/>
      <c r="BY4" s="578"/>
      <c r="BZ4" s="578"/>
      <c r="CA4" s="578"/>
      <c r="CB4" s="578"/>
      <c r="CC4" s="578"/>
      <c r="CD4" s="578"/>
      <c r="CE4" s="578"/>
      <c r="CF4" s="578"/>
      <c r="CG4" s="578"/>
      <c r="CH4" s="578"/>
      <c r="CI4" s="578"/>
      <c r="CJ4" s="578"/>
      <c r="CK4" s="578"/>
      <c r="CL4" s="578"/>
      <c r="CM4" s="578"/>
      <c r="CN4" s="578"/>
      <c r="CO4" s="578"/>
      <c r="CP4" s="578"/>
      <c r="CQ4" s="578"/>
      <c r="CR4" s="578"/>
      <c r="CS4" s="578"/>
      <c r="CT4" s="578"/>
      <c r="CU4" s="578"/>
      <c r="CV4" s="578"/>
      <c r="CW4" s="578"/>
      <c r="CX4" s="578"/>
      <c r="CY4" s="578"/>
      <c r="CZ4" s="578"/>
      <c r="DA4" s="578"/>
      <c r="DB4" s="578"/>
      <c r="DC4" s="578"/>
      <c r="DD4" s="578"/>
      <c r="DE4" s="578"/>
      <c r="DF4" s="578"/>
      <c r="DG4" s="578"/>
    </row>
    <row r="5" spans="1:111" s="407" customFormat="1" ht="65.45" customHeight="1">
      <c r="A5" s="1172"/>
      <c r="B5" s="1173"/>
      <c r="C5" s="1174"/>
      <c r="D5" s="578"/>
      <c r="E5" s="1177"/>
      <c r="F5" s="1177"/>
      <c r="G5" s="1177"/>
      <c r="H5" s="1177"/>
      <c r="I5" s="1177"/>
      <c r="J5" s="1177"/>
      <c r="K5" s="1177"/>
      <c r="L5" s="1178"/>
      <c r="M5" s="587"/>
      <c r="N5" s="1181"/>
      <c r="O5" s="1181"/>
      <c r="P5" s="1181"/>
      <c r="Q5" s="1181"/>
      <c r="R5" s="1181"/>
      <c r="S5" s="1181"/>
      <c r="T5" s="1181"/>
      <c r="U5" s="1181"/>
      <c r="V5" s="1181"/>
      <c r="W5" s="1181"/>
      <c r="X5" s="1182"/>
      <c r="Y5" s="587"/>
      <c r="Z5" s="1186"/>
      <c r="AA5" s="1187"/>
      <c r="AB5" s="1187"/>
      <c r="AC5" s="1187"/>
      <c r="AD5" s="1187"/>
      <c r="AE5" s="578"/>
      <c r="AF5" s="1188"/>
      <c r="AG5" s="1189"/>
      <c r="AH5" s="1189"/>
      <c r="AI5" s="591"/>
      <c r="AJ5" s="1193"/>
      <c r="AK5" s="1194"/>
      <c r="AL5" s="1194"/>
      <c r="AM5" s="1194"/>
      <c r="AN5" s="1194"/>
      <c r="AO5" s="1194"/>
      <c r="AP5" s="1194"/>
      <c r="AQ5" s="1194"/>
      <c r="AR5" s="1194"/>
      <c r="AS5" s="1195"/>
      <c r="AT5" s="578"/>
      <c r="AU5" s="1163"/>
      <c r="AV5" s="1163"/>
      <c r="AW5" s="1163"/>
      <c r="AX5" s="1163"/>
      <c r="AY5" s="1163"/>
      <c r="AZ5" s="1163"/>
      <c r="BA5" s="1163"/>
      <c r="BB5" s="1164"/>
      <c r="BC5" s="577"/>
      <c r="BD5" s="1200"/>
      <c r="BE5" s="1200"/>
      <c r="BF5" s="1200"/>
      <c r="BG5" s="1200"/>
      <c r="BH5" s="1201"/>
      <c r="BI5" s="1183"/>
      <c r="BJ5" s="1183"/>
      <c r="BK5" s="1183"/>
      <c r="BL5" s="1183"/>
      <c r="BM5" s="1183"/>
      <c r="BN5" s="577"/>
      <c r="BO5" s="916"/>
      <c r="BP5" s="916"/>
      <c r="BQ5" s="916"/>
      <c r="BR5" s="916"/>
      <c r="BS5" s="916"/>
      <c r="BT5" s="578"/>
      <c r="BU5" s="578"/>
      <c r="BV5" s="578"/>
      <c r="BW5" s="578"/>
      <c r="BX5" s="578"/>
      <c r="BY5" s="578"/>
      <c r="BZ5" s="578"/>
      <c r="CA5" s="578"/>
      <c r="CB5" s="578"/>
      <c r="CC5" s="578"/>
      <c r="CD5" s="578"/>
      <c r="CE5" s="578"/>
      <c r="CF5" s="578"/>
      <c r="CG5" s="578"/>
      <c r="CH5" s="578"/>
      <c r="CI5" s="578"/>
      <c r="CJ5" s="578"/>
      <c r="CK5" s="578"/>
      <c r="CL5" s="578"/>
      <c r="CM5" s="578"/>
      <c r="CN5" s="578"/>
      <c r="CO5" s="578"/>
      <c r="CP5" s="578"/>
      <c r="CQ5" s="578"/>
      <c r="CR5" s="578"/>
      <c r="CS5" s="578"/>
      <c r="CT5" s="578"/>
      <c r="CU5" s="578"/>
      <c r="CV5" s="578"/>
      <c r="CW5" s="578"/>
      <c r="CX5" s="578"/>
      <c r="CY5" s="578"/>
      <c r="CZ5" s="578"/>
      <c r="DA5" s="578"/>
      <c r="DB5" s="578"/>
      <c r="DC5" s="578"/>
      <c r="DD5" s="578"/>
      <c r="DE5" s="578"/>
      <c r="DF5" s="578"/>
      <c r="DG5" s="578"/>
    </row>
    <row r="6" spans="1:111" s="574" customFormat="1" ht="3.75" customHeight="1">
      <c r="E6" s="575"/>
      <c r="F6" s="575"/>
      <c r="G6" s="575"/>
      <c r="H6" s="575"/>
      <c r="I6" s="575"/>
      <c r="J6" s="575"/>
      <c r="K6" s="575"/>
      <c r="L6" s="576"/>
      <c r="M6" s="575"/>
      <c r="N6" s="575"/>
      <c r="O6" s="575"/>
      <c r="P6" s="575"/>
      <c r="Q6" s="575"/>
      <c r="V6" s="575"/>
      <c r="W6" s="575"/>
      <c r="X6" s="575"/>
      <c r="Y6" s="575"/>
      <c r="Z6" s="675"/>
      <c r="AA6" s="675"/>
      <c r="AF6" s="575"/>
      <c r="AG6" s="575"/>
      <c r="AJ6" s="575"/>
      <c r="AK6" s="575"/>
      <c r="AL6" s="575"/>
      <c r="AN6" s="575"/>
      <c r="AP6" s="575"/>
      <c r="AQ6" s="575"/>
      <c r="AR6" s="575"/>
      <c r="BA6" s="575"/>
      <c r="BB6" s="575"/>
      <c r="BC6" s="575"/>
      <c r="BH6" s="575"/>
      <c r="BI6" s="575"/>
      <c r="BN6" s="575"/>
      <c r="BO6" s="575"/>
    </row>
    <row r="7" spans="1:111" s="405" customFormat="1" ht="50.25" customHeight="1">
      <c r="A7" s="868" t="s">
        <v>358</v>
      </c>
      <c r="B7" s="868" t="s">
        <v>245</v>
      </c>
      <c r="C7" s="868" t="s">
        <v>859</v>
      </c>
      <c r="D7" s="579"/>
      <c r="E7" s="599"/>
      <c r="F7" s="599"/>
      <c r="G7" s="599"/>
      <c r="H7" s="600"/>
      <c r="I7" s="600"/>
      <c r="J7" s="601"/>
      <c r="K7" s="601"/>
      <c r="L7" s="600"/>
      <c r="M7" s="579"/>
      <c r="N7" s="599"/>
      <c r="O7" s="599"/>
      <c r="P7" s="612"/>
      <c r="Q7" s="612"/>
      <c r="R7" s="612"/>
      <c r="S7" s="612"/>
      <c r="T7" s="612"/>
      <c r="U7" s="612"/>
      <c r="V7" s="612"/>
      <c r="W7" s="612"/>
      <c r="X7" s="612"/>
      <c r="Y7" s="588"/>
      <c r="Z7" s="601"/>
      <c r="AA7" s="601"/>
      <c r="AB7" s="600"/>
      <c r="AC7" s="600"/>
      <c r="AD7" s="600"/>
      <c r="AE7" s="579"/>
      <c r="AF7" s="613"/>
      <c r="AG7" s="599"/>
      <c r="AH7" s="599"/>
      <c r="AI7" s="588"/>
      <c r="AJ7" s="600"/>
      <c r="AK7" s="600"/>
      <c r="AL7" s="600"/>
      <c r="AM7" s="600"/>
      <c r="AN7" s="600"/>
      <c r="AO7" s="600"/>
      <c r="AP7" s="599"/>
      <c r="AQ7" s="600"/>
      <c r="AR7" s="600"/>
      <c r="AS7" s="600"/>
      <c r="AT7" s="579"/>
      <c r="AU7" s="600"/>
      <c r="AV7" s="600"/>
      <c r="AW7" s="600"/>
      <c r="AX7" s="599"/>
      <c r="AY7" s="600"/>
      <c r="AZ7" s="600" t="s">
        <v>1486</v>
      </c>
      <c r="BA7" s="614"/>
      <c r="BB7" s="600"/>
      <c r="BC7" s="592"/>
      <c r="BD7" s="600"/>
      <c r="BE7" s="600"/>
      <c r="BF7" s="599"/>
      <c r="BG7" s="600"/>
      <c r="BH7" s="600"/>
      <c r="BI7" s="404"/>
      <c r="BJ7" s="404"/>
      <c r="BK7" s="404"/>
      <c r="BL7" s="404"/>
      <c r="BM7" s="404"/>
      <c r="BN7" s="592"/>
      <c r="BO7" s="404"/>
      <c r="BP7" s="404"/>
      <c r="BQ7" s="404"/>
      <c r="BR7" s="404"/>
      <c r="BS7" s="404"/>
      <c r="BT7" s="593"/>
      <c r="BU7" s="593"/>
      <c r="BV7" s="593"/>
      <c r="BW7" s="593"/>
      <c r="BX7" s="593"/>
      <c r="BY7" s="593"/>
      <c r="BZ7" s="593"/>
      <c r="CA7" s="593"/>
      <c r="CB7" s="593"/>
      <c r="CC7" s="593"/>
      <c r="CD7" s="593"/>
      <c r="CE7" s="593"/>
      <c r="CF7" s="593"/>
      <c r="CG7" s="593"/>
      <c r="CH7" s="593"/>
      <c r="CI7" s="593"/>
      <c r="CJ7" s="593"/>
      <c r="CK7" s="593"/>
      <c r="CL7" s="593"/>
      <c r="CM7" s="593"/>
      <c r="CN7" s="593"/>
      <c r="CO7" s="593"/>
      <c r="CP7" s="593"/>
      <c r="CQ7" s="593"/>
      <c r="CR7" s="593"/>
      <c r="CS7" s="593"/>
      <c r="CT7" s="593"/>
      <c r="CU7" s="593"/>
      <c r="CV7" s="593"/>
      <c r="CW7" s="593"/>
      <c r="CX7" s="593"/>
      <c r="CY7" s="593"/>
      <c r="CZ7" s="593"/>
      <c r="DA7" s="593"/>
      <c r="DB7" s="593"/>
      <c r="DC7" s="593"/>
      <c r="DD7" s="593"/>
      <c r="DE7" s="593"/>
      <c r="DF7" s="593"/>
      <c r="DG7" s="593"/>
    </row>
    <row r="8" spans="1:111" s="405" customFormat="1" ht="18.75">
      <c r="A8" s="868"/>
      <c r="B8" s="868"/>
      <c r="C8" s="868"/>
      <c r="D8" s="579"/>
      <c r="E8" s="599"/>
      <c r="F8" s="599"/>
      <c r="G8" s="599"/>
      <c r="H8" s="600"/>
      <c r="I8" s="600"/>
      <c r="J8" s="601"/>
      <c r="K8" s="601"/>
      <c r="L8" s="600"/>
      <c r="M8" s="579"/>
      <c r="N8" s="599"/>
      <c r="O8" s="599"/>
      <c r="P8" s="612"/>
      <c r="Q8" s="612"/>
      <c r="R8" s="612"/>
      <c r="S8" s="612"/>
      <c r="T8" s="612"/>
      <c r="U8" s="612"/>
      <c r="V8" s="612"/>
      <c r="W8" s="612"/>
      <c r="X8" s="612"/>
      <c r="Y8" s="588"/>
      <c r="Z8" s="601"/>
      <c r="AA8" s="601"/>
      <c r="AB8" s="600"/>
      <c r="AC8" s="600"/>
      <c r="AD8" s="600"/>
      <c r="AE8" s="579"/>
      <c r="AF8" s="613"/>
      <c r="AG8" s="599"/>
      <c r="AH8" s="599"/>
      <c r="AI8" s="588"/>
      <c r="AJ8" s="600"/>
      <c r="AK8" s="600"/>
      <c r="AL8" s="600"/>
      <c r="AM8" s="600"/>
      <c r="AN8" s="600"/>
      <c r="AO8" s="600"/>
      <c r="AP8" s="599"/>
      <c r="AQ8" s="600"/>
      <c r="AR8" s="600"/>
      <c r="AS8" s="600"/>
      <c r="AT8" s="579"/>
      <c r="AU8" s="600"/>
      <c r="AV8" s="600"/>
      <c r="AW8" s="600"/>
      <c r="AX8" s="599"/>
      <c r="AY8" s="600"/>
      <c r="AZ8" s="600"/>
      <c r="BA8" s="614"/>
      <c r="BB8" s="600"/>
      <c r="BC8" s="592"/>
      <c r="BD8" s="600"/>
      <c r="BE8" s="600"/>
      <c r="BF8" s="599"/>
      <c r="BG8" s="600"/>
      <c r="BH8" s="600"/>
      <c r="BI8" s="404"/>
      <c r="BJ8" s="404"/>
      <c r="BK8" s="404"/>
      <c r="BL8" s="404"/>
      <c r="BM8" s="404"/>
      <c r="BN8" s="592"/>
      <c r="BO8" s="404"/>
      <c r="BP8" s="404"/>
      <c r="BQ8" s="404"/>
      <c r="BR8" s="404"/>
      <c r="BS8" s="404"/>
      <c r="BT8" s="593"/>
      <c r="BU8" s="593"/>
      <c r="BV8" s="593"/>
      <c r="BW8" s="593"/>
      <c r="BX8" s="593"/>
      <c r="BY8" s="593"/>
      <c r="BZ8" s="593"/>
      <c r="CA8" s="593"/>
      <c r="CB8" s="593"/>
      <c r="CC8" s="593"/>
      <c r="CD8" s="593"/>
      <c r="CE8" s="593"/>
      <c r="CF8" s="593"/>
      <c r="CG8" s="593"/>
      <c r="CH8" s="593"/>
      <c r="CI8" s="593"/>
      <c r="CJ8" s="593"/>
      <c r="CK8" s="593"/>
      <c r="CL8" s="593"/>
      <c r="CM8" s="593"/>
      <c r="CN8" s="593"/>
      <c r="CO8" s="593"/>
      <c r="CP8" s="593"/>
      <c r="CQ8" s="593"/>
      <c r="CR8" s="593"/>
      <c r="CS8" s="593"/>
      <c r="CT8" s="593"/>
      <c r="CU8" s="593"/>
      <c r="CV8" s="593"/>
      <c r="CW8" s="593"/>
      <c r="CX8" s="593"/>
      <c r="CY8" s="593"/>
      <c r="CZ8" s="593"/>
      <c r="DA8" s="593"/>
      <c r="DB8" s="593"/>
      <c r="DC8" s="593"/>
      <c r="DD8" s="593"/>
      <c r="DE8" s="593"/>
      <c r="DF8" s="593"/>
      <c r="DG8" s="593"/>
    </row>
    <row r="9" spans="1:111" s="610" customFormat="1" ht="46.5" customHeight="1">
      <c r="A9" s="868" t="s">
        <v>358</v>
      </c>
      <c r="B9" s="868" t="s">
        <v>245</v>
      </c>
      <c r="C9" s="868" t="s">
        <v>859</v>
      </c>
      <c r="D9" s="602"/>
      <c r="E9" s="603" t="s">
        <v>894</v>
      </c>
      <c r="F9" s="603" t="s">
        <v>655</v>
      </c>
      <c r="G9" s="603" t="s">
        <v>654</v>
      </c>
      <c r="H9" s="671" t="s">
        <v>1481</v>
      </c>
      <c r="I9" s="672" t="s">
        <v>678</v>
      </c>
      <c r="J9" s="605" t="s">
        <v>653</v>
      </c>
      <c r="K9" s="605" t="s">
        <v>656</v>
      </c>
      <c r="L9" s="604" t="s">
        <v>345</v>
      </c>
      <c r="M9" s="602"/>
      <c r="N9" s="603" t="s">
        <v>171</v>
      </c>
      <c r="O9" s="604" t="s">
        <v>345</v>
      </c>
      <c r="P9" s="604" t="s">
        <v>346</v>
      </c>
      <c r="Q9" s="604" t="s">
        <v>347</v>
      </c>
      <c r="R9" s="604" t="s">
        <v>348</v>
      </c>
      <c r="S9" s="604" t="s">
        <v>434</v>
      </c>
      <c r="T9" s="604" t="s">
        <v>433</v>
      </c>
      <c r="U9" s="604" t="s">
        <v>461</v>
      </c>
      <c r="V9" s="603" t="s">
        <v>349</v>
      </c>
      <c r="W9" s="603" t="s">
        <v>1463</v>
      </c>
      <c r="X9" s="603" t="s">
        <v>350</v>
      </c>
      <c r="Y9" s="606"/>
      <c r="Z9" s="1145" t="s">
        <v>351</v>
      </c>
      <c r="AA9" s="605" t="s">
        <v>1474</v>
      </c>
      <c r="AB9" s="1149" t="s">
        <v>267</v>
      </c>
      <c r="AC9" s="604" t="s">
        <v>267</v>
      </c>
      <c r="AD9" s="604" t="s">
        <v>352</v>
      </c>
      <c r="AE9" s="602"/>
      <c r="AF9" s="604" t="s">
        <v>354</v>
      </c>
      <c r="AG9" s="603" t="s">
        <v>355</v>
      </c>
      <c r="AH9" s="603" t="s">
        <v>709</v>
      </c>
      <c r="AI9" s="606"/>
      <c r="AJ9" s="604" t="s">
        <v>170</v>
      </c>
      <c r="AK9" s="604" t="s">
        <v>440</v>
      </c>
      <c r="AL9" s="604" t="s">
        <v>343</v>
      </c>
      <c r="AM9" s="604" t="s">
        <v>342</v>
      </c>
      <c r="AN9" s="604" t="s">
        <v>311</v>
      </c>
      <c r="AO9" s="604" t="s">
        <v>710</v>
      </c>
      <c r="AP9" s="603" t="s">
        <v>357</v>
      </c>
      <c r="AQ9" s="604" t="s">
        <v>83</v>
      </c>
      <c r="AR9" s="604" t="s">
        <v>84</v>
      </c>
      <c r="AS9" s="604" t="s">
        <v>359</v>
      </c>
      <c r="AT9" s="602"/>
      <c r="AU9" s="604" t="s">
        <v>344</v>
      </c>
      <c r="AV9" s="604" t="s">
        <v>345</v>
      </c>
      <c r="AW9" s="920" t="s">
        <v>1152</v>
      </c>
      <c r="AX9" s="603" t="s">
        <v>311</v>
      </c>
      <c r="AY9" s="604" t="s">
        <v>369</v>
      </c>
      <c r="AZ9" s="604" t="s">
        <v>1487</v>
      </c>
      <c r="BA9" s="611" t="s">
        <v>83</v>
      </c>
      <c r="BB9" s="604" t="s">
        <v>84</v>
      </c>
      <c r="BC9" s="608"/>
      <c r="BD9" s="604" t="s">
        <v>1075</v>
      </c>
      <c r="BE9" s="604" t="s">
        <v>1076</v>
      </c>
      <c r="BF9" s="603" t="s">
        <v>1077</v>
      </c>
      <c r="BG9" s="604" t="s">
        <v>1113</v>
      </c>
      <c r="BH9" s="604" t="s">
        <v>1114</v>
      </c>
      <c r="BI9" s="607" t="s">
        <v>1026</v>
      </c>
      <c r="BJ9" s="607" t="s">
        <v>1027</v>
      </c>
      <c r="BK9" s="607"/>
      <c r="BL9" s="607"/>
      <c r="BM9" s="607"/>
      <c r="BN9" s="608"/>
      <c r="BO9" s="607" t="s">
        <v>360</v>
      </c>
      <c r="BP9" s="607" t="s">
        <v>1139</v>
      </c>
      <c r="BQ9" s="607" t="s">
        <v>1142</v>
      </c>
      <c r="BR9" s="607" t="s">
        <v>1143</v>
      </c>
      <c r="BS9" s="607" t="s">
        <v>1146</v>
      </c>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09"/>
      <c r="DB9" s="609"/>
      <c r="DC9" s="609"/>
      <c r="DD9" s="609"/>
      <c r="DE9" s="609"/>
      <c r="DF9" s="609"/>
      <c r="DG9" s="609"/>
    </row>
    <row r="10" spans="1:111" s="777" customFormat="1" ht="12.75">
      <c r="A10" s="751" t="s">
        <v>321</v>
      </c>
      <c r="B10" s="803" t="s">
        <v>651</v>
      </c>
      <c r="C10" s="914">
        <v>237.5</v>
      </c>
      <c r="D10" s="752"/>
      <c r="E10" s="753">
        <f>15277.8*(C10/1000)</f>
        <v>3628.4774999999995</v>
      </c>
      <c r="F10" s="754">
        <f>E10*1000/60</f>
        <v>60474.624999999993</v>
      </c>
      <c r="G10" s="755">
        <f>E10*1000/9</f>
        <v>403164.16666666663</v>
      </c>
      <c r="H10" s="753">
        <f>E10*1000/1242</f>
        <v>2921.4794685990332</v>
      </c>
      <c r="I10" s="753">
        <f>E10*1000/60/7/2.957</f>
        <v>2921.6206096912892</v>
      </c>
      <c r="J10" s="753">
        <f>E10/0.964</f>
        <v>3763.9808091286304</v>
      </c>
      <c r="K10" s="963">
        <f>E10/18.615</f>
        <v>194.92224012892828</v>
      </c>
      <c r="L10" s="756">
        <v>79</v>
      </c>
      <c r="M10" s="757"/>
      <c r="N10" s="753"/>
      <c r="O10" s="758"/>
      <c r="P10" s="754">
        <f>N10/200</f>
        <v>0</v>
      </c>
      <c r="Q10" s="754">
        <f>N10/2.5</f>
        <v>0</v>
      </c>
      <c r="R10" s="754">
        <f t="shared" ref="R10:R22" si="0">N10/70</f>
        <v>0</v>
      </c>
      <c r="S10" s="754">
        <f t="shared" ref="S10:S22" si="1">N10/50</f>
        <v>0</v>
      </c>
      <c r="T10" s="754">
        <f t="shared" ref="T10:T22" si="2">N10/13</f>
        <v>0</v>
      </c>
      <c r="U10" s="754">
        <f t="shared" ref="U10:U22" si="3">N10/25</f>
        <v>0</v>
      </c>
      <c r="V10" s="754">
        <f>N10/3750000</f>
        <v>0</v>
      </c>
      <c r="W10" s="754">
        <f>N10/1100</f>
        <v>0</v>
      </c>
      <c r="X10" s="754">
        <f t="shared" ref="X10:X22" si="4">N10/6</f>
        <v>0</v>
      </c>
      <c r="Y10" s="759"/>
      <c r="Z10" s="1146">
        <f>C10*86/1000</f>
        <v>20.425000000000001</v>
      </c>
      <c r="AA10" s="755">
        <f>AU10/12</f>
        <v>37.010416666666664</v>
      </c>
      <c r="AB10" s="1150">
        <f>Z10/377410</f>
        <v>5.4118862775231181E-5</v>
      </c>
      <c r="AC10" s="758">
        <f>AA10/315550</f>
        <v>1.1728859663022235E-4</v>
      </c>
      <c r="AD10" s="760" t="s">
        <v>282</v>
      </c>
      <c r="AE10" s="761"/>
      <c r="AF10" s="900">
        <f>43.9*C10/1000</f>
        <v>10.42625</v>
      </c>
      <c r="AG10" s="753">
        <f>AF10/10</f>
        <v>1.0426249999999999</v>
      </c>
      <c r="AH10" s="783">
        <f>AF10/1000000</f>
        <v>1.042625E-5</v>
      </c>
      <c r="AI10" s="757"/>
      <c r="AJ10" s="754">
        <f t="shared" ref="AJ10:AJ15" si="5">(C10/1000)*4.44</f>
        <v>1.0545</v>
      </c>
      <c r="AK10" s="764">
        <f>AJ10*159</f>
        <v>167.66550000000001</v>
      </c>
      <c r="AL10" s="765">
        <f>(755*C10)/1000</f>
        <v>179.3125</v>
      </c>
      <c r="AM10" s="595" t="s">
        <v>104</v>
      </c>
      <c r="AN10" s="754">
        <f>AJ10*66</f>
        <v>69.596999999999994</v>
      </c>
      <c r="AO10" s="766">
        <f>AK10/20000</f>
        <v>8.3832750000000008E-3</v>
      </c>
      <c r="AP10" s="767">
        <f>20.09*AN10</f>
        <v>1398.20373</v>
      </c>
      <c r="AQ10" s="762">
        <f>60*AP10/110</f>
        <v>762.65657999999996</v>
      </c>
      <c r="AR10" s="768">
        <f>AQ10/60</f>
        <v>12.710942999999999</v>
      </c>
      <c r="AS10" s="769">
        <f>AN10/37</f>
        <v>1.8809999999999998</v>
      </c>
      <c r="AT10" s="770"/>
      <c r="AU10" s="755">
        <f>(1870*C10/1000)</f>
        <v>444.125</v>
      </c>
      <c r="AV10" s="758">
        <v>67</v>
      </c>
      <c r="AW10" s="758"/>
      <c r="AX10" s="755">
        <f t="shared" ref="AX10:AX22" si="6">AU10/2.4</f>
        <v>185.05208333333334</v>
      </c>
      <c r="AY10" s="758">
        <f>AX10*20.09</f>
        <v>3717.6963541666669</v>
      </c>
      <c r="AZ10" s="758">
        <f>AY10/15000</f>
        <v>0.24784642361111112</v>
      </c>
      <c r="BA10" s="771">
        <f>60*AY10/110</f>
        <v>2027.8343749999999</v>
      </c>
      <c r="BB10" s="768">
        <f>BA10/60</f>
        <v>33.797239583333329</v>
      </c>
      <c r="BC10" s="772"/>
      <c r="BD10" s="755"/>
      <c r="BE10" s="758"/>
      <c r="BF10" s="755"/>
      <c r="BG10" s="758"/>
      <c r="BH10" s="768"/>
      <c r="BI10" s="773"/>
      <c r="BJ10" s="773"/>
      <c r="BK10" s="773"/>
      <c r="BL10" s="774"/>
      <c r="BM10" s="775"/>
      <c r="BN10" s="772"/>
      <c r="BO10" s="901">
        <f>C10*41.667/1</f>
        <v>9895.9125000000004</v>
      </c>
      <c r="BP10" s="902">
        <f t="shared" ref="BP10:BP22" si="7">C10/4275</f>
        <v>5.5555555555555552E-2</v>
      </c>
      <c r="BQ10" s="902">
        <f t="shared" ref="BQ10:BQ22" si="8">C10/25000000</f>
        <v>9.5000000000000005E-6</v>
      </c>
      <c r="BR10" s="902">
        <f t="shared" ref="BR10:BR22" si="9">C10/65500</f>
        <v>3.6259541984732823E-3</v>
      </c>
      <c r="BS10" s="902">
        <f t="shared" ref="BS10:BS22" si="10">N10/20000</f>
        <v>0</v>
      </c>
      <c r="BT10" s="776"/>
      <c r="BU10" s="776"/>
      <c r="BV10" s="776"/>
      <c r="BW10" s="776"/>
      <c r="BX10" s="776"/>
      <c r="BY10" s="776"/>
      <c r="BZ10" s="776"/>
      <c r="CA10" s="776"/>
      <c r="CB10" s="776"/>
      <c r="CC10" s="776"/>
      <c r="CD10" s="776"/>
      <c r="CE10" s="776"/>
      <c r="CF10" s="776"/>
      <c r="CG10" s="776"/>
      <c r="CH10" s="776"/>
      <c r="CI10" s="776"/>
      <c r="CJ10" s="776"/>
      <c r="CK10" s="776"/>
      <c r="CL10" s="776"/>
      <c r="CM10" s="776"/>
      <c r="CN10" s="776"/>
      <c r="CO10" s="776"/>
      <c r="CP10" s="776"/>
      <c r="CQ10" s="776"/>
      <c r="CR10" s="776"/>
      <c r="CS10" s="776"/>
      <c r="CT10" s="776"/>
      <c r="CU10" s="776"/>
      <c r="CV10" s="776"/>
      <c r="CW10" s="776"/>
      <c r="CX10" s="776"/>
      <c r="CY10" s="776"/>
      <c r="CZ10" s="776"/>
      <c r="DA10" s="776"/>
      <c r="DB10" s="776"/>
      <c r="DC10" s="776"/>
      <c r="DD10" s="776"/>
      <c r="DE10" s="776"/>
      <c r="DF10" s="776"/>
      <c r="DG10" s="776"/>
    </row>
    <row r="11" spans="1:111" s="777" customFormat="1" ht="12.75">
      <c r="A11" s="778" t="s">
        <v>321</v>
      </c>
      <c r="B11" s="804" t="s">
        <v>336</v>
      </c>
      <c r="C11" s="914">
        <v>79</v>
      </c>
      <c r="D11" s="752"/>
      <c r="E11" s="753">
        <f>18502.78*(C11/1000)</f>
        <v>1461.7196199999998</v>
      </c>
      <c r="F11" s="754">
        <f t="shared" ref="F11:F22" si="11">E11*1000/60</f>
        <v>24361.993666666665</v>
      </c>
      <c r="G11" s="755">
        <f t="shared" ref="G11:G17" si="12">E11*1000/9</f>
        <v>162413.29111111109</v>
      </c>
      <c r="H11" s="753">
        <f t="shared" ref="H11:H22" si="13">E11*1000/1242</f>
        <v>1176.9079066022543</v>
      </c>
      <c r="I11" s="753">
        <f t="shared" ref="I11:I17" si="14">E11*1000/60/7/2.957</f>
        <v>1176.9647648034527</v>
      </c>
      <c r="J11" s="753">
        <f t="shared" ref="J11:J17" si="15">E11/0.964</f>
        <v>1516.3066597510372</v>
      </c>
      <c r="K11" s="963">
        <f t="shared" ref="K11:K18" si="16">E11/18.615</f>
        <v>78.523750738651628</v>
      </c>
      <c r="L11" s="779">
        <v>88.4</v>
      </c>
      <c r="M11" s="757"/>
      <c r="N11" s="753">
        <f>4900*(C11/1000)</f>
        <v>387.1</v>
      </c>
      <c r="O11" s="767">
        <v>59</v>
      </c>
      <c r="P11" s="753">
        <f>N11/200</f>
        <v>1.9355000000000002</v>
      </c>
      <c r="Q11" s="753">
        <f>N11/2.5</f>
        <v>154.84</v>
      </c>
      <c r="R11" s="753">
        <f t="shared" si="0"/>
        <v>5.53</v>
      </c>
      <c r="S11" s="753">
        <f t="shared" si="1"/>
        <v>7.7420000000000009</v>
      </c>
      <c r="T11" s="753">
        <f t="shared" si="2"/>
        <v>29.776923076923079</v>
      </c>
      <c r="U11" s="753">
        <f t="shared" si="3"/>
        <v>15.484000000000002</v>
      </c>
      <c r="V11" s="753">
        <f t="shared" ref="V11:V22" si="17">N11/3750000</f>
        <v>1.0322666666666667E-4</v>
      </c>
      <c r="W11" s="754">
        <f t="shared" ref="W11:W22" si="18">N11/1100</f>
        <v>0.35190909090909095</v>
      </c>
      <c r="X11" s="754">
        <f t="shared" si="4"/>
        <v>64.516666666666666</v>
      </c>
      <c r="Y11" s="759"/>
      <c r="Z11" s="1147">
        <f t="shared" ref="Z11:Z22" si="19">26*AU11/1000</f>
        <v>2.7318199999999999</v>
      </c>
      <c r="AA11" s="755">
        <f t="shared" ref="AA11:AA22" si="20">AU11/12</f>
        <v>8.7558333333333334</v>
      </c>
      <c r="AB11" s="1151">
        <f>Z11/377410</f>
        <v>7.2383349672769663E-6</v>
      </c>
      <c r="AC11" s="758">
        <f t="shared" ref="AC11:AC22" si="21">AA11/315550</f>
        <v>2.7747847673374531E-5</v>
      </c>
      <c r="AD11" s="780" t="s">
        <v>282</v>
      </c>
      <c r="AE11" s="761"/>
      <c r="AF11" s="781">
        <f>30.487*C11/1000</f>
        <v>2.4084729999999999</v>
      </c>
      <c r="AG11" s="753">
        <f t="shared" ref="AG11:AG22" si="22">AF11/10</f>
        <v>0.24084729999999999</v>
      </c>
      <c r="AH11" s="763">
        <f t="shared" ref="AH11:AH21" si="23">AF11/1000000</f>
        <v>2.4084729999999998E-6</v>
      </c>
      <c r="AI11" s="757"/>
      <c r="AJ11" s="754">
        <f t="shared" si="5"/>
        <v>0.35076000000000002</v>
      </c>
      <c r="AK11" s="763">
        <f t="shared" ref="AK11:AK22" si="24">AJ11*159</f>
        <v>55.77084</v>
      </c>
      <c r="AL11" s="765">
        <f>(C11/1000)*837.6</f>
        <v>66.170400000000001</v>
      </c>
      <c r="AM11" s="596" t="s">
        <v>101</v>
      </c>
      <c r="AN11" s="753">
        <f t="shared" ref="AN11:AN22" si="25">AJ11*66</f>
        <v>23.15016</v>
      </c>
      <c r="AO11" s="766">
        <f t="shared" ref="AO11:AO22" si="26">AK11/20000</f>
        <v>2.7885420000000002E-3</v>
      </c>
      <c r="AP11" s="767">
        <f t="shared" ref="AP11:AP22" si="27">20.09*AN11</f>
        <v>465.08671440000001</v>
      </c>
      <c r="AQ11" s="781">
        <f t="shared" ref="AQ11:AQ22" si="28">60*AP11/110</f>
        <v>253.6836624</v>
      </c>
      <c r="AR11" s="782">
        <f t="shared" ref="AR11:AR22" si="29">AQ11/60</f>
        <v>4.22806104</v>
      </c>
      <c r="AS11" s="766">
        <f t="shared" ref="AS11:AS22" si="30">AN11/37</f>
        <v>0.62568000000000001</v>
      </c>
      <c r="AT11" s="770"/>
      <c r="AU11" s="755">
        <f>(1330*C11/1000)</f>
        <v>105.07</v>
      </c>
      <c r="AV11" s="758">
        <v>71</v>
      </c>
      <c r="AW11" s="758"/>
      <c r="AX11" s="755">
        <f t="shared" si="6"/>
        <v>43.779166666666669</v>
      </c>
      <c r="AY11" s="758">
        <f t="shared" ref="AY11:AY22" si="31">AX11*20.09</f>
        <v>879.52345833333334</v>
      </c>
      <c r="AZ11" s="758">
        <f t="shared" ref="AZ11:AZ22" si="32">AY11/15000</f>
        <v>5.8634897222222225E-2</v>
      </c>
      <c r="BA11" s="783">
        <f>60*AY11/110</f>
        <v>479.74006818181817</v>
      </c>
      <c r="BB11" s="782">
        <f>BA11/60</f>
        <v>7.9956678030303028</v>
      </c>
      <c r="BC11" s="772"/>
      <c r="BD11" s="755"/>
      <c r="BE11" s="758"/>
      <c r="BF11" s="763"/>
      <c r="BG11" s="767"/>
      <c r="BH11" s="782"/>
      <c r="BI11" s="775"/>
      <c r="BJ11" s="784"/>
      <c r="BK11" s="775"/>
      <c r="BL11" s="775"/>
      <c r="BM11" s="775"/>
      <c r="BN11" s="772"/>
      <c r="BO11" s="903">
        <f>C11*16.949/1</f>
        <v>1338.9710000000002</v>
      </c>
      <c r="BP11" s="902">
        <f t="shared" si="7"/>
        <v>1.8479532163742689E-2</v>
      </c>
      <c r="BQ11" s="902">
        <f t="shared" si="8"/>
        <v>3.1599999999999998E-6</v>
      </c>
      <c r="BR11" s="902">
        <f t="shared" si="9"/>
        <v>1.2061068702290075E-3</v>
      </c>
      <c r="BS11" s="902">
        <f t="shared" si="10"/>
        <v>1.9355000000000001E-2</v>
      </c>
      <c r="BT11" s="776"/>
      <c r="BU11" s="776"/>
      <c r="BV11" s="776"/>
      <c r="BW11" s="776"/>
      <c r="BX11" s="776"/>
      <c r="BY11" s="776"/>
      <c r="BZ11" s="776"/>
      <c r="CA11" s="776"/>
      <c r="CB11" s="776"/>
      <c r="CC11" s="776"/>
      <c r="CD11" s="776"/>
      <c r="CE11" s="776"/>
      <c r="CF11" s="776"/>
      <c r="CG11" s="776"/>
      <c r="CH11" s="776"/>
      <c r="CI11" s="776"/>
      <c r="CJ11" s="776"/>
      <c r="CK11" s="776"/>
      <c r="CL11" s="776"/>
      <c r="CM11" s="776"/>
      <c r="CN11" s="776"/>
      <c r="CO11" s="776"/>
      <c r="CP11" s="776"/>
      <c r="CQ11" s="776"/>
      <c r="CR11" s="776"/>
      <c r="CS11" s="776"/>
      <c r="CT11" s="776"/>
      <c r="CU11" s="776"/>
      <c r="CV11" s="776"/>
      <c r="CW11" s="776"/>
      <c r="CX11" s="776"/>
      <c r="CY11" s="776"/>
      <c r="CZ11" s="776"/>
      <c r="DA11" s="776"/>
      <c r="DB11" s="776"/>
      <c r="DC11" s="776"/>
      <c r="DD11" s="776"/>
      <c r="DE11" s="776"/>
      <c r="DF11" s="776"/>
      <c r="DG11" s="776"/>
    </row>
    <row r="12" spans="1:111" s="777" customFormat="1" ht="12.75">
      <c r="A12" s="778" t="s">
        <v>332</v>
      </c>
      <c r="B12" s="778" t="s">
        <v>337</v>
      </c>
      <c r="C12" s="914"/>
      <c r="D12" s="752"/>
      <c r="E12" s="753">
        <f>18502.78*(C12/1000)</f>
        <v>0</v>
      </c>
      <c r="F12" s="754">
        <f t="shared" si="11"/>
        <v>0</v>
      </c>
      <c r="G12" s="755">
        <f t="shared" si="12"/>
        <v>0</v>
      </c>
      <c r="H12" s="753">
        <f t="shared" si="13"/>
        <v>0</v>
      </c>
      <c r="I12" s="753">
        <f t="shared" si="14"/>
        <v>0</v>
      </c>
      <c r="J12" s="753">
        <f t="shared" si="15"/>
        <v>0</v>
      </c>
      <c r="K12" s="756">
        <f t="shared" si="16"/>
        <v>0</v>
      </c>
      <c r="L12" s="779">
        <v>88.4</v>
      </c>
      <c r="M12" s="757"/>
      <c r="N12" s="753">
        <f>4900*(C12/1000)</f>
        <v>0</v>
      </c>
      <c r="O12" s="767">
        <v>59</v>
      </c>
      <c r="P12" s="753">
        <f t="shared" ref="P12:P22" si="33">N12/200</f>
        <v>0</v>
      </c>
      <c r="Q12" s="753">
        <f t="shared" ref="Q12:Q22" si="34">N12/2.5</f>
        <v>0</v>
      </c>
      <c r="R12" s="753">
        <f t="shared" si="0"/>
        <v>0</v>
      </c>
      <c r="S12" s="753">
        <f t="shared" si="1"/>
        <v>0</v>
      </c>
      <c r="T12" s="753">
        <f t="shared" si="2"/>
        <v>0</v>
      </c>
      <c r="U12" s="753">
        <f t="shared" si="3"/>
        <v>0</v>
      </c>
      <c r="V12" s="753">
        <f t="shared" si="17"/>
        <v>0</v>
      </c>
      <c r="W12" s="754">
        <f t="shared" si="18"/>
        <v>0</v>
      </c>
      <c r="X12" s="754">
        <f t="shared" si="4"/>
        <v>0</v>
      </c>
      <c r="Y12" s="759"/>
      <c r="Z12" s="1147">
        <f t="shared" si="19"/>
        <v>0</v>
      </c>
      <c r="AA12" s="755">
        <f t="shared" si="20"/>
        <v>0</v>
      </c>
      <c r="AB12" s="1151">
        <f t="shared" ref="AB12:AB22" si="35">Z12/377410</f>
        <v>0</v>
      </c>
      <c r="AC12" s="758">
        <f t="shared" si="21"/>
        <v>0</v>
      </c>
      <c r="AD12" s="780" t="s">
        <v>282</v>
      </c>
      <c r="AE12" s="761"/>
      <c r="AF12" s="781">
        <f>30.487*C12/1000</f>
        <v>0</v>
      </c>
      <c r="AG12" s="753">
        <f t="shared" si="22"/>
        <v>0</v>
      </c>
      <c r="AH12" s="763">
        <f t="shared" si="23"/>
        <v>0</v>
      </c>
      <c r="AI12" s="757"/>
      <c r="AJ12" s="754">
        <f t="shared" si="5"/>
        <v>0</v>
      </c>
      <c r="AK12" s="763">
        <f t="shared" si="24"/>
        <v>0</v>
      </c>
      <c r="AL12" s="765">
        <f>(C12/1000)*837.6</f>
        <v>0</v>
      </c>
      <c r="AM12" s="596" t="s">
        <v>101</v>
      </c>
      <c r="AN12" s="753">
        <f t="shared" si="25"/>
        <v>0</v>
      </c>
      <c r="AO12" s="766">
        <f t="shared" si="26"/>
        <v>0</v>
      </c>
      <c r="AP12" s="767">
        <f t="shared" si="27"/>
        <v>0</v>
      </c>
      <c r="AQ12" s="781">
        <f t="shared" si="28"/>
        <v>0</v>
      </c>
      <c r="AR12" s="782">
        <f t="shared" si="29"/>
        <v>0</v>
      </c>
      <c r="AS12" s="766">
        <f t="shared" si="30"/>
        <v>0</v>
      </c>
      <c r="AT12" s="770"/>
      <c r="AU12" s="755">
        <f>(1330*C12/1000)</f>
        <v>0</v>
      </c>
      <c r="AV12" s="758">
        <v>70</v>
      </c>
      <c r="AW12" s="758"/>
      <c r="AX12" s="755">
        <f t="shared" si="6"/>
        <v>0</v>
      </c>
      <c r="AY12" s="758">
        <f t="shared" si="31"/>
        <v>0</v>
      </c>
      <c r="AZ12" s="758">
        <f t="shared" si="32"/>
        <v>0</v>
      </c>
      <c r="BA12" s="783">
        <f t="shared" ref="BA12:BA21" si="36">60*AY12/110</f>
        <v>0</v>
      </c>
      <c r="BB12" s="782">
        <f t="shared" ref="BB12:BB22" si="37">BA12/60</f>
        <v>0</v>
      </c>
      <c r="BC12" s="772"/>
      <c r="BD12" s="755"/>
      <c r="BE12" s="758"/>
      <c r="BF12" s="763"/>
      <c r="BG12" s="767"/>
      <c r="BH12" s="782"/>
      <c r="BI12" s="775"/>
      <c r="BJ12" s="784"/>
      <c r="BK12" s="775"/>
      <c r="BL12" s="775"/>
      <c r="BM12" s="775"/>
      <c r="BN12" s="772"/>
      <c r="BO12" s="903">
        <f>C12*500/1</f>
        <v>0</v>
      </c>
      <c r="BP12" s="902">
        <f t="shared" si="7"/>
        <v>0</v>
      </c>
      <c r="BQ12" s="902">
        <f t="shared" si="8"/>
        <v>0</v>
      </c>
      <c r="BR12" s="902">
        <f t="shared" si="9"/>
        <v>0</v>
      </c>
      <c r="BS12" s="902">
        <f t="shared" si="10"/>
        <v>0</v>
      </c>
      <c r="BT12" s="776"/>
      <c r="BU12" s="776"/>
      <c r="BV12" s="776"/>
      <c r="BW12" s="776"/>
      <c r="BX12" s="776"/>
      <c r="BY12" s="776"/>
      <c r="BZ12" s="776"/>
      <c r="CA12" s="776"/>
      <c r="CB12" s="776"/>
      <c r="CC12" s="776"/>
      <c r="CD12" s="776"/>
      <c r="CE12" s="776"/>
      <c r="CF12" s="776"/>
      <c r="CG12" s="776"/>
      <c r="CH12" s="776"/>
      <c r="CI12" s="776"/>
      <c r="CJ12" s="776"/>
      <c r="CK12" s="776"/>
      <c r="CL12" s="776"/>
      <c r="CM12" s="776"/>
      <c r="CN12" s="776"/>
      <c r="CO12" s="776"/>
      <c r="CP12" s="776"/>
      <c r="CQ12" s="776"/>
      <c r="CR12" s="776"/>
      <c r="CS12" s="776"/>
      <c r="CT12" s="776"/>
      <c r="CU12" s="776"/>
      <c r="CV12" s="776"/>
      <c r="CW12" s="776"/>
      <c r="CX12" s="776"/>
      <c r="CY12" s="776"/>
      <c r="CZ12" s="776"/>
      <c r="DA12" s="776"/>
      <c r="DB12" s="776"/>
      <c r="DC12" s="776"/>
      <c r="DD12" s="776"/>
      <c r="DE12" s="776"/>
      <c r="DF12" s="776"/>
      <c r="DG12" s="776"/>
    </row>
    <row r="13" spans="1:111" s="777" customFormat="1" ht="12.75">
      <c r="A13" s="778" t="s">
        <v>332</v>
      </c>
      <c r="B13" s="804" t="s">
        <v>338</v>
      </c>
      <c r="C13" s="914">
        <v>18.5</v>
      </c>
      <c r="D13" s="752"/>
      <c r="E13" s="753"/>
      <c r="F13" s="754">
        <f t="shared" si="11"/>
        <v>0</v>
      </c>
      <c r="G13" s="755">
        <f t="shared" si="12"/>
        <v>0</v>
      </c>
      <c r="H13" s="753">
        <f t="shared" si="13"/>
        <v>0</v>
      </c>
      <c r="I13" s="753">
        <f t="shared" si="14"/>
        <v>0</v>
      </c>
      <c r="J13" s="753">
        <f t="shared" si="15"/>
        <v>0</v>
      </c>
      <c r="K13" s="756">
        <f t="shared" si="16"/>
        <v>0</v>
      </c>
      <c r="L13" s="779"/>
      <c r="M13" s="757"/>
      <c r="N13" s="753"/>
      <c r="O13" s="767"/>
      <c r="P13" s="753">
        <f t="shared" si="33"/>
        <v>0</v>
      </c>
      <c r="Q13" s="753">
        <f t="shared" si="34"/>
        <v>0</v>
      </c>
      <c r="R13" s="753">
        <f t="shared" si="0"/>
        <v>0</v>
      </c>
      <c r="S13" s="753">
        <f t="shared" si="1"/>
        <v>0</v>
      </c>
      <c r="T13" s="753">
        <f t="shared" si="2"/>
        <v>0</v>
      </c>
      <c r="U13" s="753">
        <f t="shared" si="3"/>
        <v>0</v>
      </c>
      <c r="V13" s="753">
        <f t="shared" si="17"/>
        <v>0</v>
      </c>
      <c r="W13" s="754">
        <f t="shared" si="18"/>
        <v>0</v>
      </c>
      <c r="X13" s="754">
        <f t="shared" si="4"/>
        <v>0</v>
      </c>
      <c r="Y13" s="759"/>
      <c r="Z13" s="1147">
        <f t="shared" si="19"/>
        <v>0.62241400000000002</v>
      </c>
      <c r="AA13" s="755">
        <f t="shared" si="20"/>
        <v>1.9949166666666667</v>
      </c>
      <c r="AB13" s="1151">
        <f t="shared" si="35"/>
        <v>1.6491719880236348E-6</v>
      </c>
      <c r="AC13" s="758">
        <f t="shared" si="21"/>
        <v>6.3220303174351661E-6</v>
      </c>
      <c r="AD13" s="780" t="s">
        <v>282</v>
      </c>
      <c r="AE13" s="761"/>
      <c r="AF13" s="781">
        <f>23.75*C13/1000</f>
        <v>0.43937500000000002</v>
      </c>
      <c r="AG13" s="753">
        <f t="shared" si="22"/>
        <v>4.3937500000000004E-2</v>
      </c>
      <c r="AH13" s="763">
        <f t="shared" si="23"/>
        <v>4.3937500000000003E-7</v>
      </c>
      <c r="AI13" s="757"/>
      <c r="AJ13" s="754">
        <f t="shared" si="5"/>
        <v>8.2140000000000005E-2</v>
      </c>
      <c r="AK13" s="763">
        <f t="shared" si="24"/>
        <v>13.060260000000001</v>
      </c>
      <c r="AL13" s="765">
        <f>(C13/1000)*832</f>
        <v>15.391999999999999</v>
      </c>
      <c r="AM13" s="596" t="s">
        <v>105</v>
      </c>
      <c r="AN13" s="753">
        <f t="shared" si="25"/>
        <v>5.4212400000000001</v>
      </c>
      <c r="AO13" s="781">
        <f>AK13/20000</f>
        <v>6.5301300000000003E-4</v>
      </c>
      <c r="AP13" s="753">
        <f t="shared" si="27"/>
        <v>108.91271159999999</v>
      </c>
      <c r="AQ13" s="781">
        <f t="shared" si="28"/>
        <v>59.406933599999995</v>
      </c>
      <c r="AR13" s="781">
        <f t="shared" si="29"/>
        <v>0.99011555999999989</v>
      </c>
      <c r="AS13" s="781">
        <f>AN13/37</f>
        <v>0.14652000000000001</v>
      </c>
      <c r="AT13" s="770"/>
      <c r="AU13" s="763">
        <f>(C13/1000)*1294</f>
        <v>23.939</v>
      </c>
      <c r="AV13" s="767">
        <v>87</v>
      </c>
      <c r="AW13" s="767"/>
      <c r="AX13" s="755">
        <f t="shared" si="6"/>
        <v>9.9745833333333334</v>
      </c>
      <c r="AY13" s="758">
        <f t="shared" si="31"/>
        <v>200.38937916666666</v>
      </c>
      <c r="AZ13" s="758">
        <f t="shared" si="32"/>
        <v>1.3359291944444443E-2</v>
      </c>
      <c r="BA13" s="783">
        <f t="shared" si="36"/>
        <v>109.30329772727274</v>
      </c>
      <c r="BB13" s="782">
        <f t="shared" si="37"/>
        <v>1.821721628787879</v>
      </c>
      <c r="BC13" s="772"/>
      <c r="BD13" s="763"/>
      <c r="BE13" s="767"/>
      <c r="BF13" s="763"/>
      <c r="BG13" s="767"/>
      <c r="BH13" s="782"/>
      <c r="BI13" s="775"/>
      <c r="BJ13" s="784"/>
      <c r="BK13" s="775"/>
      <c r="BL13" s="775"/>
      <c r="BM13" s="775"/>
      <c r="BN13" s="772"/>
      <c r="BO13" s="903">
        <f>C13*142.857/1</f>
        <v>2642.8544999999999</v>
      </c>
      <c r="BP13" s="902">
        <f t="shared" si="7"/>
        <v>4.3274853801169594E-3</v>
      </c>
      <c r="BQ13" s="902">
        <f t="shared" si="8"/>
        <v>7.4000000000000001E-7</v>
      </c>
      <c r="BR13" s="902">
        <f t="shared" si="9"/>
        <v>2.8244274809160303E-4</v>
      </c>
      <c r="BS13" s="902">
        <f t="shared" si="10"/>
        <v>0</v>
      </c>
      <c r="BT13" s="776"/>
      <c r="BU13" s="776"/>
      <c r="BV13" s="776"/>
      <c r="BW13" s="776"/>
      <c r="BX13" s="776"/>
      <c r="BY13" s="776"/>
      <c r="BZ13" s="776"/>
      <c r="CA13" s="776"/>
      <c r="CB13" s="776"/>
      <c r="CC13" s="776"/>
      <c r="CD13" s="776"/>
      <c r="CE13" s="776"/>
      <c r="CF13" s="776"/>
      <c r="CG13" s="776"/>
      <c r="CH13" s="776"/>
      <c r="CI13" s="776"/>
      <c r="CJ13" s="776"/>
      <c r="CK13" s="776"/>
      <c r="CL13" s="776"/>
      <c r="CM13" s="776"/>
      <c r="CN13" s="776"/>
      <c r="CO13" s="776"/>
      <c r="CP13" s="776"/>
      <c r="CQ13" s="776"/>
      <c r="CR13" s="776"/>
      <c r="CS13" s="776"/>
      <c r="CT13" s="776"/>
      <c r="CU13" s="776"/>
      <c r="CV13" s="776"/>
      <c r="CW13" s="776"/>
      <c r="CX13" s="776"/>
      <c r="CY13" s="776"/>
      <c r="CZ13" s="776"/>
      <c r="DA13" s="776"/>
      <c r="DB13" s="776"/>
      <c r="DC13" s="776"/>
      <c r="DD13" s="776"/>
      <c r="DE13" s="776"/>
      <c r="DF13" s="776"/>
      <c r="DG13" s="776"/>
    </row>
    <row r="14" spans="1:111" s="777" customFormat="1" ht="12.75">
      <c r="A14" s="778" t="s">
        <v>332</v>
      </c>
      <c r="B14" s="804" t="s">
        <v>339</v>
      </c>
      <c r="C14" s="914">
        <v>8</v>
      </c>
      <c r="D14" s="752"/>
      <c r="E14" s="753">
        <f>18197*(C14/1000)</f>
        <v>145.57599999999999</v>
      </c>
      <c r="F14" s="754">
        <f t="shared" si="11"/>
        <v>2426.2666666666669</v>
      </c>
      <c r="G14" s="755">
        <f t="shared" si="12"/>
        <v>16175.111111111111</v>
      </c>
      <c r="H14" s="753">
        <f t="shared" si="13"/>
        <v>117.2109500805153</v>
      </c>
      <c r="I14" s="753">
        <f t="shared" si="14"/>
        <v>117.21661271881092</v>
      </c>
      <c r="J14" s="753">
        <f t="shared" si="15"/>
        <v>151.01244813278009</v>
      </c>
      <c r="K14" s="756">
        <f t="shared" si="16"/>
        <v>7.8203599247918349</v>
      </c>
      <c r="L14" s="779">
        <v>88</v>
      </c>
      <c r="M14" s="770"/>
      <c r="N14" s="1155">
        <f>3930*(C14/1000)</f>
        <v>31.44</v>
      </c>
      <c r="O14" s="767">
        <v>46</v>
      </c>
      <c r="P14" s="753">
        <f t="shared" si="33"/>
        <v>0.15720000000000001</v>
      </c>
      <c r="Q14" s="753">
        <f t="shared" si="34"/>
        <v>12.576000000000001</v>
      </c>
      <c r="R14" s="753">
        <f t="shared" si="0"/>
        <v>0.44914285714285718</v>
      </c>
      <c r="S14" s="753">
        <f t="shared" si="1"/>
        <v>0.62880000000000003</v>
      </c>
      <c r="T14" s="753">
        <f t="shared" si="2"/>
        <v>2.4184615384615387</v>
      </c>
      <c r="U14" s="753">
        <f t="shared" si="3"/>
        <v>1.2576000000000001</v>
      </c>
      <c r="V14" s="753">
        <f t="shared" si="17"/>
        <v>8.3839999999999997E-6</v>
      </c>
      <c r="W14" s="754">
        <f t="shared" si="18"/>
        <v>2.8581818181818184E-2</v>
      </c>
      <c r="X14" s="754">
        <f t="shared" si="4"/>
        <v>5.24</v>
      </c>
      <c r="Y14" s="759"/>
      <c r="Z14" s="1147">
        <f t="shared" si="19"/>
        <v>0.27248</v>
      </c>
      <c r="AA14" s="755">
        <f t="shared" si="20"/>
        <v>0.87333333333333341</v>
      </c>
      <c r="AB14" s="1151">
        <f>Z14/377410</f>
        <v>7.2197345062398987E-7</v>
      </c>
      <c r="AC14" s="758">
        <f t="shared" si="21"/>
        <v>2.7676543601119742E-6</v>
      </c>
      <c r="AD14" s="780" t="s">
        <v>282</v>
      </c>
      <c r="AE14" s="761"/>
      <c r="AF14" s="781">
        <f>36.63*C14/1000</f>
        <v>0.29304000000000002</v>
      </c>
      <c r="AG14" s="753">
        <f>AF14/10</f>
        <v>2.9304000000000004E-2</v>
      </c>
      <c r="AH14" s="763">
        <f t="shared" si="23"/>
        <v>2.9304000000000004E-7</v>
      </c>
      <c r="AI14" s="757"/>
      <c r="AJ14" s="754">
        <f t="shared" si="5"/>
        <v>3.5520000000000003E-2</v>
      </c>
      <c r="AK14" s="763">
        <f t="shared" si="24"/>
        <v>5.6476800000000003</v>
      </c>
      <c r="AL14" s="765"/>
      <c r="AM14" s="597" t="s">
        <v>104</v>
      </c>
      <c r="AN14" s="753">
        <f t="shared" si="25"/>
        <v>2.3443200000000002</v>
      </c>
      <c r="AO14" s="781">
        <f t="shared" si="26"/>
        <v>2.82384E-4</v>
      </c>
      <c r="AP14" s="753">
        <f>20.09*AN14</f>
        <v>47.097388800000004</v>
      </c>
      <c r="AQ14" s="781">
        <f>60*AP14/110</f>
        <v>25.689484800000002</v>
      </c>
      <c r="AR14" s="781">
        <f>AQ14/60</f>
        <v>0.42815808000000005</v>
      </c>
      <c r="AS14" s="781">
        <f>AN14/37</f>
        <v>6.336E-2</v>
      </c>
      <c r="AT14" s="770"/>
      <c r="AU14" s="755">
        <f>(1310*C14/1000)</f>
        <v>10.48</v>
      </c>
      <c r="AV14" s="758">
        <v>71</v>
      </c>
      <c r="AW14" s="758"/>
      <c r="AX14" s="755">
        <f t="shared" si="6"/>
        <v>4.3666666666666671</v>
      </c>
      <c r="AY14" s="758">
        <f t="shared" si="31"/>
        <v>87.726333333333343</v>
      </c>
      <c r="AZ14" s="758">
        <f t="shared" si="32"/>
        <v>5.8484222222222231E-3</v>
      </c>
      <c r="BA14" s="783">
        <f>60*AY14/110</f>
        <v>47.850727272727283</v>
      </c>
      <c r="BB14" s="782">
        <f>BA14/60</f>
        <v>0.79751212121212134</v>
      </c>
      <c r="BC14" s="772"/>
      <c r="BD14" s="755"/>
      <c r="BE14" s="758"/>
      <c r="BF14" s="763"/>
      <c r="BG14" s="767"/>
      <c r="BH14" s="782"/>
      <c r="BI14" s="775"/>
      <c r="BJ14" s="784"/>
      <c r="BK14" s="775"/>
      <c r="BL14" s="775"/>
      <c r="BM14" s="775"/>
      <c r="BN14" s="772"/>
      <c r="BO14" s="903">
        <f>C14*333.333/1</f>
        <v>2666.6640000000002</v>
      </c>
      <c r="BP14" s="902">
        <f t="shared" si="7"/>
        <v>1.8713450292397662E-3</v>
      </c>
      <c r="BQ14" s="902">
        <f t="shared" si="8"/>
        <v>3.2000000000000001E-7</v>
      </c>
      <c r="BR14" s="902">
        <f t="shared" si="9"/>
        <v>1.2213740458015266E-4</v>
      </c>
      <c r="BS14" s="902">
        <f t="shared" si="10"/>
        <v>1.572E-3</v>
      </c>
      <c r="BT14" s="776"/>
      <c r="BU14" s="776"/>
      <c r="BV14" s="776"/>
      <c r="BW14" s="776"/>
      <c r="BX14" s="776"/>
      <c r="BY14" s="776"/>
      <c r="BZ14" s="776"/>
      <c r="CA14" s="776"/>
      <c r="CB14" s="776"/>
      <c r="CC14" s="776"/>
      <c r="CD14" s="776"/>
      <c r="CE14" s="776"/>
      <c r="CF14" s="776"/>
      <c r="CG14" s="776"/>
      <c r="CH14" s="776"/>
      <c r="CI14" s="776"/>
      <c r="CJ14" s="776"/>
      <c r="CK14" s="776"/>
      <c r="CL14" s="776"/>
      <c r="CM14" s="776"/>
      <c r="CN14" s="776"/>
      <c r="CO14" s="776"/>
      <c r="CP14" s="776"/>
      <c r="CQ14" s="776"/>
      <c r="CR14" s="776"/>
      <c r="CS14" s="776"/>
      <c r="CT14" s="776"/>
      <c r="CU14" s="776"/>
      <c r="CV14" s="776"/>
      <c r="CW14" s="776"/>
      <c r="CX14" s="776"/>
      <c r="CY14" s="776"/>
      <c r="CZ14" s="776"/>
      <c r="DA14" s="776"/>
      <c r="DB14" s="776"/>
      <c r="DC14" s="776"/>
      <c r="DD14" s="776"/>
      <c r="DE14" s="776"/>
      <c r="DF14" s="776"/>
      <c r="DG14" s="776"/>
    </row>
    <row r="15" spans="1:111" s="777" customFormat="1" ht="12.75">
      <c r="A15" s="778" t="s">
        <v>652</v>
      </c>
      <c r="B15" s="778" t="s">
        <v>1121</v>
      </c>
      <c r="C15" s="914"/>
      <c r="D15" s="752"/>
      <c r="E15" s="753">
        <f>18197*(C15/1000)</f>
        <v>0</v>
      </c>
      <c r="F15" s="754">
        <f t="shared" si="11"/>
        <v>0</v>
      </c>
      <c r="G15" s="755">
        <f>E15*1000/9</f>
        <v>0</v>
      </c>
      <c r="H15" s="753">
        <f t="shared" si="13"/>
        <v>0</v>
      </c>
      <c r="I15" s="753">
        <f>E15*1000/60/7/2.957</f>
        <v>0</v>
      </c>
      <c r="J15" s="753">
        <f>E15/0.964</f>
        <v>0</v>
      </c>
      <c r="K15" s="756">
        <f>E15/18.615</f>
        <v>0</v>
      </c>
      <c r="L15" s="779">
        <v>88</v>
      </c>
      <c r="M15" s="770"/>
      <c r="N15" s="753">
        <f>3930*(C15/1000)</f>
        <v>0</v>
      </c>
      <c r="O15" s="767">
        <v>46</v>
      </c>
      <c r="P15" s="753">
        <f t="shared" si="33"/>
        <v>0</v>
      </c>
      <c r="Q15" s="753">
        <f t="shared" si="34"/>
        <v>0</v>
      </c>
      <c r="R15" s="753">
        <f t="shared" si="0"/>
        <v>0</v>
      </c>
      <c r="S15" s="753">
        <f t="shared" si="1"/>
        <v>0</v>
      </c>
      <c r="T15" s="753">
        <f t="shared" si="2"/>
        <v>0</v>
      </c>
      <c r="U15" s="753">
        <f t="shared" si="3"/>
        <v>0</v>
      </c>
      <c r="V15" s="753">
        <f t="shared" si="17"/>
        <v>0</v>
      </c>
      <c r="W15" s="754">
        <f t="shared" si="18"/>
        <v>0</v>
      </c>
      <c r="X15" s="754">
        <f t="shared" si="4"/>
        <v>0</v>
      </c>
      <c r="Y15" s="759"/>
      <c r="Z15" s="1147">
        <f t="shared" si="19"/>
        <v>0</v>
      </c>
      <c r="AA15" s="755">
        <f t="shared" si="20"/>
        <v>0</v>
      </c>
      <c r="AB15" s="1151">
        <f t="shared" si="35"/>
        <v>0</v>
      </c>
      <c r="AC15" s="758">
        <f t="shared" si="21"/>
        <v>0</v>
      </c>
      <c r="AD15" s="780" t="s">
        <v>282</v>
      </c>
      <c r="AE15" s="761"/>
      <c r="AF15" s="781">
        <f>33.33*C15/1000</f>
        <v>0</v>
      </c>
      <c r="AG15" s="753">
        <f t="shared" si="22"/>
        <v>0</v>
      </c>
      <c r="AH15" s="763">
        <f t="shared" si="23"/>
        <v>0</v>
      </c>
      <c r="AI15" s="757"/>
      <c r="AJ15" s="754">
        <f t="shared" si="5"/>
        <v>0</v>
      </c>
      <c r="AK15" s="763">
        <f t="shared" si="24"/>
        <v>0</v>
      </c>
      <c r="AL15" s="765"/>
      <c r="AM15" s="597" t="s">
        <v>104</v>
      </c>
      <c r="AN15" s="753">
        <f t="shared" si="25"/>
        <v>0</v>
      </c>
      <c r="AO15" s="781">
        <f t="shared" si="26"/>
        <v>0</v>
      </c>
      <c r="AP15" s="753">
        <f t="shared" si="27"/>
        <v>0</v>
      </c>
      <c r="AQ15" s="781">
        <f t="shared" si="28"/>
        <v>0</v>
      </c>
      <c r="AR15" s="781">
        <f t="shared" si="29"/>
        <v>0</v>
      </c>
      <c r="AS15" s="781">
        <f t="shared" si="30"/>
        <v>0</v>
      </c>
      <c r="AT15" s="770"/>
      <c r="AU15" s="755">
        <f>(1310*C15/1000)</f>
        <v>0</v>
      </c>
      <c r="AV15" s="758">
        <v>71</v>
      </c>
      <c r="AW15" s="758"/>
      <c r="AX15" s="755">
        <f t="shared" si="6"/>
        <v>0</v>
      </c>
      <c r="AY15" s="758">
        <f t="shared" si="31"/>
        <v>0</v>
      </c>
      <c r="AZ15" s="758">
        <f t="shared" si="32"/>
        <v>0</v>
      </c>
      <c r="BA15" s="783">
        <f t="shared" si="36"/>
        <v>0</v>
      </c>
      <c r="BB15" s="782">
        <f t="shared" si="37"/>
        <v>0</v>
      </c>
      <c r="BC15" s="772"/>
      <c r="BD15" s="755"/>
      <c r="BE15" s="758"/>
      <c r="BF15" s="763"/>
      <c r="BG15" s="767"/>
      <c r="BH15" s="782"/>
      <c r="BI15" s="775"/>
      <c r="BJ15" s="784"/>
      <c r="BK15" s="775"/>
      <c r="BL15" s="775"/>
      <c r="BM15" s="775"/>
      <c r="BN15" s="772"/>
      <c r="BO15" s="903">
        <f>C15*333/1</f>
        <v>0</v>
      </c>
      <c r="BP15" s="902">
        <f t="shared" si="7"/>
        <v>0</v>
      </c>
      <c r="BQ15" s="902">
        <f t="shared" si="8"/>
        <v>0</v>
      </c>
      <c r="BR15" s="902">
        <f t="shared" si="9"/>
        <v>0</v>
      </c>
      <c r="BS15" s="902">
        <f t="shared" si="10"/>
        <v>0</v>
      </c>
      <c r="BT15" s="776"/>
      <c r="BU15" s="776"/>
      <c r="BV15" s="776"/>
      <c r="BW15" s="776"/>
      <c r="BX15" s="776"/>
      <c r="BY15" s="776"/>
      <c r="BZ15" s="776"/>
      <c r="CA15" s="776"/>
      <c r="CB15" s="776"/>
      <c r="CC15" s="776"/>
      <c r="CD15" s="776"/>
      <c r="CE15" s="776"/>
      <c r="CF15" s="776"/>
      <c r="CG15" s="776"/>
      <c r="CH15" s="776"/>
      <c r="CI15" s="776"/>
      <c r="CJ15" s="776"/>
      <c r="CK15" s="776"/>
      <c r="CL15" s="776"/>
      <c r="CM15" s="776"/>
      <c r="CN15" s="776"/>
      <c r="CO15" s="776"/>
      <c r="CP15" s="776"/>
      <c r="CQ15" s="776"/>
      <c r="CR15" s="776"/>
      <c r="CS15" s="776"/>
      <c r="CT15" s="776"/>
      <c r="CU15" s="776"/>
      <c r="CV15" s="776"/>
      <c r="CW15" s="776"/>
      <c r="CX15" s="776"/>
      <c r="CY15" s="776"/>
      <c r="CZ15" s="776"/>
      <c r="DA15" s="776"/>
      <c r="DB15" s="776"/>
      <c r="DC15" s="776"/>
      <c r="DD15" s="776"/>
      <c r="DE15" s="776"/>
      <c r="DF15" s="776"/>
      <c r="DG15" s="776"/>
    </row>
    <row r="16" spans="1:111" s="777" customFormat="1" ht="12.75">
      <c r="A16" s="778" t="s">
        <v>50</v>
      </c>
      <c r="B16" s="804" t="s">
        <v>249</v>
      </c>
      <c r="C16" s="914">
        <v>28.5</v>
      </c>
      <c r="D16" s="752"/>
      <c r="E16" s="767">
        <f>(C16/1000)*35000</f>
        <v>997.5</v>
      </c>
      <c r="F16" s="754">
        <f>E16*1000/60</f>
        <v>16625</v>
      </c>
      <c r="G16" s="755">
        <f>E16*1000/9</f>
        <v>110833.33333333333</v>
      </c>
      <c r="H16" s="753">
        <f t="shared" si="13"/>
        <v>803.14009661835746</v>
      </c>
      <c r="I16" s="753">
        <f>E16*1000/60/7/2.957</f>
        <v>803.17889753128179</v>
      </c>
      <c r="J16" s="753">
        <f>E16/0.964</f>
        <v>1034.7510373443984</v>
      </c>
      <c r="K16" s="756">
        <f>E16/18.615</f>
        <v>53.585817888799362</v>
      </c>
      <c r="L16" s="779">
        <v>93</v>
      </c>
      <c r="M16" s="785"/>
      <c r="N16" s="753">
        <f>90000*(C16/1000)</f>
        <v>2565</v>
      </c>
      <c r="O16" s="767"/>
      <c r="P16" s="753">
        <f t="shared" si="33"/>
        <v>12.824999999999999</v>
      </c>
      <c r="Q16" s="753">
        <f t="shared" si="34"/>
        <v>1026</v>
      </c>
      <c r="R16" s="753">
        <f t="shared" si="0"/>
        <v>36.642857142857146</v>
      </c>
      <c r="S16" s="753">
        <f t="shared" si="1"/>
        <v>51.3</v>
      </c>
      <c r="T16" s="753">
        <f t="shared" si="2"/>
        <v>197.30769230769232</v>
      </c>
      <c r="U16" s="753">
        <f t="shared" si="3"/>
        <v>102.6</v>
      </c>
      <c r="V16" s="753">
        <f>N16/3750000</f>
        <v>6.8400000000000004E-4</v>
      </c>
      <c r="W16" s="754">
        <f t="shared" si="18"/>
        <v>2.331818181818182</v>
      </c>
      <c r="X16" s="754">
        <f t="shared" si="4"/>
        <v>427.5</v>
      </c>
      <c r="Y16" s="759"/>
      <c r="Z16" s="1147">
        <f t="shared" si="19"/>
        <v>5.8746480000000005</v>
      </c>
      <c r="AA16" s="755">
        <f t="shared" si="20"/>
        <v>18.829000000000001</v>
      </c>
      <c r="AB16" s="1151">
        <f t="shared" si="35"/>
        <v>1.5565692482976076E-5</v>
      </c>
      <c r="AC16" s="758">
        <f t="shared" si="21"/>
        <v>5.9670416732688955E-5</v>
      </c>
      <c r="AD16" s="780" t="s">
        <v>282</v>
      </c>
      <c r="AE16" s="761"/>
      <c r="AF16" s="781">
        <f>33.3*C16/1000</f>
        <v>0.94904999999999995</v>
      </c>
      <c r="AG16" s="753">
        <f>AF16/10</f>
        <v>9.4904999999999989E-2</v>
      </c>
      <c r="AH16" s="763">
        <f t="shared" si="23"/>
        <v>9.4904999999999994E-7</v>
      </c>
      <c r="AI16" s="757"/>
      <c r="AJ16" s="887"/>
      <c r="AK16" s="763">
        <f t="shared" si="24"/>
        <v>0</v>
      </c>
      <c r="AL16" s="765">
        <f>(C16/1000)*4642</f>
        <v>132.297</v>
      </c>
      <c r="AM16" s="597" t="s">
        <v>650</v>
      </c>
      <c r="AN16" s="767">
        <f t="shared" si="25"/>
        <v>0</v>
      </c>
      <c r="AO16" s="766">
        <f>AK16/20000</f>
        <v>0</v>
      </c>
      <c r="AP16" s="767">
        <f t="shared" si="27"/>
        <v>0</v>
      </c>
      <c r="AQ16" s="781">
        <f t="shared" si="28"/>
        <v>0</v>
      </c>
      <c r="AR16" s="782">
        <f t="shared" si="29"/>
        <v>0</v>
      </c>
      <c r="AS16" s="766">
        <f t="shared" si="30"/>
        <v>0</v>
      </c>
      <c r="AT16" s="770"/>
      <c r="AU16" s="763">
        <f>7928*C16/1000</f>
        <v>225.94800000000001</v>
      </c>
      <c r="AV16" s="767">
        <v>94</v>
      </c>
      <c r="AW16" s="767"/>
      <c r="AX16" s="755">
        <f t="shared" si="6"/>
        <v>94.14500000000001</v>
      </c>
      <c r="AY16" s="758">
        <f t="shared" si="31"/>
        <v>1891.3730500000001</v>
      </c>
      <c r="AZ16" s="758">
        <f t="shared" si="32"/>
        <v>0.12609153666666667</v>
      </c>
      <c r="BA16" s="783">
        <f t="shared" si="36"/>
        <v>1031.6580272727274</v>
      </c>
      <c r="BB16" s="782">
        <f t="shared" si="37"/>
        <v>17.194300454545456</v>
      </c>
      <c r="BC16" s="772"/>
      <c r="BD16" s="763"/>
      <c r="BE16" s="767"/>
      <c r="BF16" s="763"/>
      <c r="BG16" s="767"/>
      <c r="BH16" s="782"/>
      <c r="BI16" s="775"/>
      <c r="BJ16" s="784"/>
      <c r="BK16" s="775"/>
      <c r="BL16" s="775"/>
      <c r="BM16" s="775"/>
      <c r="BN16" s="772"/>
      <c r="BO16" s="903">
        <f>C16*76.923/1</f>
        <v>2192.3054999999999</v>
      </c>
      <c r="BP16" s="902">
        <f t="shared" si="7"/>
        <v>6.6666666666666671E-3</v>
      </c>
      <c r="BQ16" s="902">
        <f t="shared" si="8"/>
        <v>1.1400000000000001E-6</v>
      </c>
      <c r="BR16" s="902">
        <f t="shared" si="9"/>
        <v>4.351145038167939E-4</v>
      </c>
      <c r="BS16" s="902">
        <f t="shared" si="10"/>
        <v>0.12825</v>
      </c>
      <c r="BT16" s="776"/>
      <c r="BU16" s="776"/>
      <c r="BV16" s="776"/>
      <c r="BW16" s="776"/>
      <c r="BX16" s="776"/>
      <c r="BY16" s="776"/>
      <c r="BZ16" s="776"/>
      <c r="CA16" s="776"/>
      <c r="CB16" s="776"/>
      <c r="CC16" s="776"/>
      <c r="CD16" s="776"/>
      <c r="CE16" s="776"/>
      <c r="CF16" s="776"/>
      <c r="CG16" s="776"/>
      <c r="CH16" s="776"/>
      <c r="CI16" s="776"/>
      <c r="CJ16" s="776"/>
      <c r="CK16" s="776"/>
      <c r="CL16" s="776"/>
      <c r="CM16" s="776"/>
      <c r="CN16" s="776"/>
      <c r="CO16" s="776"/>
      <c r="CP16" s="776"/>
      <c r="CQ16" s="776"/>
      <c r="CR16" s="776"/>
      <c r="CS16" s="776"/>
      <c r="CT16" s="776"/>
      <c r="CU16" s="776"/>
      <c r="CV16" s="776"/>
      <c r="CW16" s="776"/>
      <c r="CX16" s="776"/>
      <c r="CY16" s="776"/>
      <c r="CZ16" s="776"/>
      <c r="DA16" s="776"/>
      <c r="DB16" s="776"/>
      <c r="DC16" s="776"/>
      <c r="DD16" s="776"/>
      <c r="DE16" s="776"/>
      <c r="DF16" s="776"/>
      <c r="DG16" s="776"/>
    </row>
    <row r="17" spans="1:111" s="777" customFormat="1" ht="12.75">
      <c r="A17" s="778" t="s">
        <v>50</v>
      </c>
      <c r="B17" s="804" t="s">
        <v>250</v>
      </c>
      <c r="C17" s="914">
        <v>75</v>
      </c>
      <c r="D17" s="752"/>
      <c r="E17" s="753"/>
      <c r="F17" s="754">
        <f t="shared" si="11"/>
        <v>0</v>
      </c>
      <c r="G17" s="755">
        <f t="shared" si="12"/>
        <v>0</v>
      </c>
      <c r="H17" s="753">
        <f t="shared" si="13"/>
        <v>0</v>
      </c>
      <c r="I17" s="753">
        <f t="shared" si="14"/>
        <v>0</v>
      </c>
      <c r="J17" s="753">
        <f t="shared" si="15"/>
        <v>0</v>
      </c>
      <c r="K17" s="756">
        <f t="shared" si="16"/>
        <v>0</v>
      </c>
      <c r="L17" s="779">
        <v>70</v>
      </c>
      <c r="M17" s="785"/>
      <c r="N17" s="753">
        <v>0</v>
      </c>
      <c r="O17" s="767"/>
      <c r="P17" s="753">
        <f t="shared" si="33"/>
        <v>0</v>
      </c>
      <c r="Q17" s="753">
        <f t="shared" si="34"/>
        <v>0</v>
      </c>
      <c r="R17" s="753">
        <f t="shared" si="0"/>
        <v>0</v>
      </c>
      <c r="S17" s="753">
        <f t="shared" si="1"/>
        <v>0</v>
      </c>
      <c r="T17" s="753">
        <f t="shared" si="2"/>
        <v>0</v>
      </c>
      <c r="U17" s="753">
        <f t="shared" si="3"/>
        <v>0</v>
      </c>
      <c r="V17" s="753">
        <f t="shared" si="17"/>
        <v>0</v>
      </c>
      <c r="W17" s="754">
        <f t="shared" si="18"/>
        <v>0</v>
      </c>
      <c r="X17" s="754">
        <f t="shared" si="4"/>
        <v>0</v>
      </c>
      <c r="Y17" s="759"/>
      <c r="Z17" s="1147">
        <f t="shared" si="19"/>
        <v>2.9249999999999998</v>
      </c>
      <c r="AA17" s="755">
        <f t="shared" si="20"/>
        <v>9.375</v>
      </c>
      <c r="AB17" s="1151">
        <f t="shared" si="35"/>
        <v>7.7501920987785163E-6</v>
      </c>
      <c r="AC17" s="758">
        <f t="shared" si="21"/>
        <v>2.9710030106163841E-5</v>
      </c>
      <c r="AD17" s="780" t="s">
        <v>282</v>
      </c>
      <c r="AE17" s="761"/>
      <c r="AF17" s="781">
        <f>37.45*C17/1000</f>
        <v>2.8087499999999999</v>
      </c>
      <c r="AG17" s="753">
        <f t="shared" si="22"/>
        <v>0.28087499999999999</v>
      </c>
      <c r="AH17" s="763">
        <f t="shared" si="23"/>
        <v>2.80875E-6</v>
      </c>
      <c r="AI17" s="757"/>
      <c r="AJ17" s="887"/>
      <c r="AK17" s="786">
        <f>AJ17*159</f>
        <v>0</v>
      </c>
      <c r="AL17" s="867">
        <f>(C17/1000)*2450</f>
        <v>183.75</v>
      </c>
      <c r="AM17" s="597" t="s">
        <v>685</v>
      </c>
      <c r="AN17" s="753">
        <f t="shared" si="25"/>
        <v>0</v>
      </c>
      <c r="AO17" s="766">
        <f t="shared" si="26"/>
        <v>0</v>
      </c>
      <c r="AP17" s="767">
        <f t="shared" si="27"/>
        <v>0</v>
      </c>
      <c r="AQ17" s="781">
        <f t="shared" si="28"/>
        <v>0</v>
      </c>
      <c r="AR17" s="782">
        <f t="shared" si="29"/>
        <v>0</v>
      </c>
      <c r="AS17" s="766">
        <f t="shared" si="30"/>
        <v>0</v>
      </c>
      <c r="AT17" s="770"/>
      <c r="AU17" s="763">
        <f>C17*1.5</f>
        <v>112.5</v>
      </c>
      <c r="AV17" s="767"/>
      <c r="AW17" s="767"/>
      <c r="AX17" s="755">
        <f t="shared" si="6"/>
        <v>46.875</v>
      </c>
      <c r="AY17" s="758">
        <f t="shared" si="31"/>
        <v>941.71875</v>
      </c>
      <c r="AZ17" s="758">
        <f t="shared" si="32"/>
        <v>6.2781249999999997E-2</v>
      </c>
      <c r="BA17" s="783">
        <f>60*AY17/110</f>
        <v>513.66477272727275</v>
      </c>
      <c r="BB17" s="782">
        <f>BA17/60</f>
        <v>8.561079545454545</v>
      </c>
      <c r="BC17" s="772"/>
      <c r="BD17" s="753"/>
      <c r="BE17" s="767"/>
      <c r="BF17" s="763"/>
      <c r="BG17" s="763"/>
      <c r="BH17" s="782"/>
      <c r="BI17" s="775"/>
      <c r="BJ17" s="784"/>
      <c r="BK17" s="775"/>
      <c r="BL17" s="775"/>
      <c r="BM17" s="775"/>
      <c r="BN17" s="772"/>
      <c r="BO17" s="903">
        <f>C17*25.641/1</f>
        <v>1923.0749999999998</v>
      </c>
      <c r="BP17" s="902">
        <f t="shared" si="7"/>
        <v>1.7543859649122806E-2</v>
      </c>
      <c r="BQ17" s="902">
        <f t="shared" si="8"/>
        <v>3.0000000000000001E-6</v>
      </c>
      <c r="BR17" s="902">
        <f t="shared" si="9"/>
        <v>1.1450381679389313E-3</v>
      </c>
      <c r="BS17" s="902">
        <f t="shared" si="10"/>
        <v>0</v>
      </c>
      <c r="BT17" s="776"/>
      <c r="BU17" s="776"/>
      <c r="BV17" s="776"/>
      <c r="BW17" s="776"/>
      <c r="BX17" s="776"/>
      <c r="BY17" s="776"/>
      <c r="BZ17" s="776"/>
      <c r="CA17" s="776"/>
      <c r="CB17" s="776"/>
      <c r="CC17" s="776"/>
      <c r="CD17" s="776"/>
      <c r="CE17" s="776"/>
      <c r="CF17" s="776"/>
      <c r="CG17" s="776"/>
      <c r="CH17" s="776"/>
      <c r="CI17" s="776"/>
      <c r="CJ17" s="776"/>
      <c r="CK17" s="776"/>
      <c r="CL17" s="776"/>
      <c r="CM17" s="776"/>
      <c r="CN17" s="776"/>
      <c r="CO17" s="776"/>
      <c r="CP17" s="776"/>
      <c r="CQ17" s="776"/>
      <c r="CR17" s="776"/>
      <c r="CS17" s="776"/>
      <c r="CT17" s="776"/>
      <c r="CU17" s="776"/>
      <c r="CV17" s="776"/>
      <c r="CW17" s="776"/>
      <c r="CX17" s="776"/>
      <c r="CY17" s="776"/>
      <c r="CZ17" s="776"/>
      <c r="DA17" s="776"/>
      <c r="DB17" s="776"/>
      <c r="DC17" s="776"/>
      <c r="DD17" s="776"/>
      <c r="DE17" s="776"/>
      <c r="DF17" s="776"/>
      <c r="DG17" s="776"/>
    </row>
    <row r="18" spans="1:111" s="777" customFormat="1" ht="12.75">
      <c r="A18" s="778" t="s">
        <v>321</v>
      </c>
      <c r="B18" s="804" t="s">
        <v>240</v>
      </c>
      <c r="C18" s="914">
        <f>323+270</f>
        <v>593</v>
      </c>
      <c r="D18" s="752"/>
      <c r="E18" s="753">
        <f>C18*1600/1000</f>
        <v>948.8</v>
      </c>
      <c r="F18" s="754">
        <f>E18*1000/60</f>
        <v>15813.333333333334</v>
      </c>
      <c r="G18" s="755">
        <f>E18*1000/9</f>
        <v>105422.22222222222</v>
      </c>
      <c r="H18" s="753">
        <f t="shared" si="13"/>
        <v>763.92914653784214</v>
      </c>
      <c r="I18" s="753">
        <f>E18*1000/60/7/2.957</f>
        <v>763.9660531104563</v>
      </c>
      <c r="J18" s="753">
        <f>E18/0.964</f>
        <v>984.23236514522819</v>
      </c>
      <c r="K18" s="756">
        <f t="shared" si="16"/>
        <v>50.969648133225895</v>
      </c>
      <c r="L18" s="779">
        <v>30</v>
      </c>
      <c r="M18" s="787"/>
      <c r="N18" s="753">
        <v>0</v>
      </c>
      <c r="O18" s="767"/>
      <c r="P18" s="753">
        <f t="shared" si="33"/>
        <v>0</v>
      </c>
      <c r="Q18" s="753">
        <f t="shared" si="34"/>
        <v>0</v>
      </c>
      <c r="R18" s="753">
        <f t="shared" si="0"/>
        <v>0</v>
      </c>
      <c r="S18" s="753">
        <f t="shared" si="1"/>
        <v>0</v>
      </c>
      <c r="T18" s="753">
        <f t="shared" si="2"/>
        <v>0</v>
      </c>
      <c r="U18" s="753">
        <f t="shared" si="3"/>
        <v>0</v>
      </c>
      <c r="V18" s="753">
        <f t="shared" si="17"/>
        <v>0</v>
      </c>
      <c r="W18" s="754">
        <f t="shared" si="18"/>
        <v>0</v>
      </c>
      <c r="X18" s="754">
        <f t="shared" si="4"/>
        <v>0</v>
      </c>
      <c r="Y18" s="759"/>
      <c r="Z18" s="1147">
        <f t="shared" si="19"/>
        <v>10.33006</v>
      </c>
      <c r="AA18" s="755">
        <f t="shared" si="20"/>
        <v>33.109166666666667</v>
      </c>
      <c r="AB18" s="1151">
        <f t="shared" si="35"/>
        <v>2.7370922869028376E-5</v>
      </c>
      <c r="AC18" s="758">
        <f t="shared" si="21"/>
        <v>1.0492526276871072E-4</v>
      </c>
      <c r="AD18" s="767" t="s">
        <v>282</v>
      </c>
      <c r="AE18" s="757"/>
      <c r="AF18" s="781">
        <f>3.844*C18/1000</f>
        <v>2.2794919999999999</v>
      </c>
      <c r="AG18" s="753">
        <f>AF18/10</f>
        <v>0.22794919999999999</v>
      </c>
      <c r="AH18" s="763">
        <f t="shared" si="23"/>
        <v>2.2794919999999997E-6</v>
      </c>
      <c r="AI18" s="757"/>
      <c r="AJ18" s="753"/>
      <c r="AK18" s="809">
        <f>AJ18*159</f>
        <v>0</v>
      </c>
      <c r="AL18" s="765">
        <f>(C18/1000)*1200</f>
        <v>711.59999999999991</v>
      </c>
      <c r="AM18" s="597" t="s">
        <v>330</v>
      </c>
      <c r="AN18" s="767">
        <f t="shared" si="25"/>
        <v>0</v>
      </c>
      <c r="AO18" s="766">
        <f t="shared" si="26"/>
        <v>0</v>
      </c>
      <c r="AP18" s="767">
        <f t="shared" si="27"/>
        <v>0</v>
      </c>
      <c r="AQ18" s="781">
        <f t="shared" si="28"/>
        <v>0</v>
      </c>
      <c r="AR18" s="782">
        <f t="shared" si="29"/>
        <v>0</v>
      </c>
      <c r="AS18" s="766">
        <f t="shared" si="30"/>
        <v>0</v>
      </c>
      <c r="AT18" s="770"/>
      <c r="AU18" s="1026">
        <f>(C18/1000)*670</f>
        <v>397.31</v>
      </c>
      <c r="AV18" s="767"/>
      <c r="AW18" s="767"/>
      <c r="AX18" s="755">
        <f t="shared" si="6"/>
        <v>165.54583333333335</v>
      </c>
      <c r="AY18" s="758">
        <f t="shared" si="31"/>
        <v>3325.8157916666669</v>
      </c>
      <c r="AZ18" s="758">
        <f t="shared" si="32"/>
        <v>0.22172105277777779</v>
      </c>
      <c r="BA18" s="783">
        <f>60*AY18/110</f>
        <v>1814.0813409090911</v>
      </c>
      <c r="BB18" s="782">
        <f t="shared" si="37"/>
        <v>30.234689015151517</v>
      </c>
      <c r="BC18" s="772"/>
      <c r="BD18" s="888"/>
      <c r="BE18" s="767"/>
      <c r="BF18" s="763"/>
      <c r="BG18" s="767"/>
      <c r="BH18" s="782"/>
      <c r="BI18" s="775"/>
      <c r="BJ18" s="784"/>
      <c r="BK18" s="775"/>
      <c r="BL18" s="775"/>
      <c r="BM18" s="775"/>
      <c r="BN18" s="772"/>
      <c r="BO18" s="903">
        <f>C18*3.077/1</f>
        <v>1824.6610000000001</v>
      </c>
      <c r="BP18" s="902">
        <f t="shared" si="7"/>
        <v>0.13871345029239765</v>
      </c>
      <c r="BQ18" s="902">
        <f t="shared" si="8"/>
        <v>2.372E-5</v>
      </c>
      <c r="BR18" s="902">
        <f t="shared" si="9"/>
        <v>9.0534351145038165E-3</v>
      </c>
      <c r="BS18" s="902">
        <f t="shared" si="10"/>
        <v>0</v>
      </c>
      <c r="BT18" s="776"/>
      <c r="BU18" s="776"/>
      <c r="BV18" s="776"/>
      <c r="BW18" s="776"/>
      <c r="BX18" s="776"/>
      <c r="BY18" s="776"/>
      <c r="BZ18" s="776"/>
      <c r="CA18" s="776"/>
      <c r="CB18" s="776"/>
      <c r="CC18" s="776"/>
      <c r="CD18" s="776"/>
      <c r="CE18" s="776"/>
      <c r="CF18" s="776"/>
      <c r="CG18" s="776"/>
      <c r="CH18" s="776"/>
      <c r="CI18" s="776"/>
      <c r="CJ18" s="776"/>
      <c r="CK18" s="776"/>
      <c r="CL18" s="776"/>
      <c r="CM18" s="776"/>
      <c r="CN18" s="776"/>
      <c r="CO18" s="776"/>
      <c r="CP18" s="776"/>
      <c r="CQ18" s="776"/>
      <c r="CR18" s="776"/>
      <c r="CS18" s="776"/>
      <c r="CT18" s="776"/>
      <c r="CU18" s="776"/>
      <c r="CV18" s="776"/>
      <c r="CW18" s="776"/>
      <c r="CX18" s="776"/>
      <c r="CY18" s="776"/>
      <c r="CZ18" s="776"/>
      <c r="DA18" s="776"/>
      <c r="DB18" s="776"/>
      <c r="DC18" s="776"/>
      <c r="DD18" s="776"/>
      <c r="DE18" s="776"/>
      <c r="DF18" s="776"/>
      <c r="DG18" s="776"/>
    </row>
    <row r="19" spans="1:111" s="777" customFormat="1" ht="12.75">
      <c r="A19" s="778" t="s">
        <v>82</v>
      </c>
      <c r="B19" s="804" t="s">
        <v>858</v>
      </c>
      <c r="C19" s="914">
        <v>304</v>
      </c>
      <c r="D19" s="752"/>
      <c r="E19" s="753">
        <f>4000*(C19/1000)</f>
        <v>1216</v>
      </c>
      <c r="F19" s="754">
        <f t="shared" si="11"/>
        <v>20266.666666666668</v>
      </c>
      <c r="G19" s="755">
        <f>E19*1000/9</f>
        <v>135111.11111111112</v>
      </c>
      <c r="H19" s="753">
        <f t="shared" si="13"/>
        <v>979.06602254428344</v>
      </c>
      <c r="I19" s="753">
        <f>E19*1000/60/7/2.957</f>
        <v>979.11332270480068</v>
      </c>
      <c r="J19" s="753">
        <f>E19/0.964</f>
        <v>1261.4107883817428</v>
      </c>
      <c r="K19" s="756">
        <f>E19/18.615</f>
        <v>65.323663712060167</v>
      </c>
      <c r="L19" s="779">
        <v>40</v>
      </c>
      <c r="M19" s="757"/>
      <c r="N19" s="767">
        <f>26498*(C19/1000)</f>
        <v>8055.3919999999998</v>
      </c>
      <c r="O19" s="767"/>
      <c r="P19" s="753">
        <f t="shared" si="33"/>
        <v>40.276960000000003</v>
      </c>
      <c r="Q19" s="753">
        <f t="shared" si="34"/>
        <v>3222.1567999999997</v>
      </c>
      <c r="R19" s="753">
        <f t="shared" si="0"/>
        <v>115.07702857142857</v>
      </c>
      <c r="S19" s="753">
        <f t="shared" si="1"/>
        <v>161.10784000000001</v>
      </c>
      <c r="T19" s="753">
        <f t="shared" si="2"/>
        <v>619.64553846153842</v>
      </c>
      <c r="U19" s="753">
        <f t="shared" si="3"/>
        <v>322.21568000000002</v>
      </c>
      <c r="V19" s="753">
        <f t="shared" si="17"/>
        <v>2.1481045333333333E-3</v>
      </c>
      <c r="W19" s="754">
        <f t="shared" si="18"/>
        <v>7.323083636363636</v>
      </c>
      <c r="X19" s="754">
        <f t="shared" si="4"/>
        <v>1342.5653333333332</v>
      </c>
      <c r="Y19" s="759"/>
      <c r="Z19" s="1147">
        <f t="shared" si="19"/>
        <v>6.2915839999999994</v>
      </c>
      <c r="AA19" s="755">
        <f t="shared" si="20"/>
        <v>20.165333333333333</v>
      </c>
      <c r="AB19" s="1151">
        <f t="shared" si="35"/>
        <v>1.6670422087385071E-5</v>
      </c>
      <c r="AC19" s="758">
        <f t="shared" si="21"/>
        <v>6.3905350446310675E-5</v>
      </c>
      <c r="AD19" s="782">
        <f>18*C19/1000</f>
        <v>5.4720000000000004</v>
      </c>
      <c r="AE19" s="770"/>
      <c r="AF19" s="781">
        <f>21*C19/1000</f>
        <v>6.3840000000000003</v>
      </c>
      <c r="AG19" s="753">
        <f>AF19/10</f>
        <v>0.63840000000000008</v>
      </c>
      <c r="AH19" s="763">
        <f t="shared" si="23"/>
        <v>6.3840000000000002E-6</v>
      </c>
      <c r="AI19" s="757"/>
      <c r="AJ19" s="753">
        <f>12.578*C19/1000</f>
        <v>3.823712</v>
      </c>
      <c r="AK19" s="767">
        <f t="shared" si="24"/>
        <v>607.97020799999996</v>
      </c>
      <c r="AL19" s="765"/>
      <c r="AM19" s="597"/>
      <c r="AN19" s="767">
        <f>AJ19*66</f>
        <v>252.364992</v>
      </c>
      <c r="AO19" s="766">
        <f t="shared" si="26"/>
        <v>3.0398510399999999E-2</v>
      </c>
      <c r="AP19" s="767">
        <f t="shared" si="27"/>
        <v>5070.0126892799999</v>
      </c>
      <c r="AQ19" s="781">
        <f t="shared" si="28"/>
        <v>2765.46146688</v>
      </c>
      <c r="AR19" s="782">
        <f t="shared" si="29"/>
        <v>46.091024447999999</v>
      </c>
      <c r="AS19" s="766">
        <f t="shared" si="30"/>
        <v>6.8206754594594594</v>
      </c>
      <c r="AT19" s="770"/>
      <c r="AU19" s="763">
        <f>(C19/1000)*796</f>
        <v>241.98399999999998</v>
      </c>
      <c r="AV19" s="767">
        <v>50.5</v>
      </c>
      <c r="AW19" s="767"/>
      <c r="AX19" s="755">
        <f t="shared" si="6"/>
        <v>100.82666666666667</v>
      </c>
      <c r="AY19" s="758">
        <f t="shared" si="31"/>
        <v>2025.6077333333333</v>
      </c>
      <c r="AZ19" s="758">
        <f t="shared" si="32"/>
        <v>0.13504051555555555</v>
      </c>
      <c r="BA19" s="783">
        <f t="shared" si="36"/>
        <v>1104.8769454545454</v>
      </c>
      <c r="BB19" s="782">
        <f t="shared" si="37"/>
        <v>18.414615757575756</v>
      </c>
      <c r="BC19" s="772"/>
      <c r="BD19" s="767"/>
      <c r="BE19" s="767"/>
      <c r="BF19" s="763"/>
      <c r="BG19" s="767"/>
      <c r="BH19" s="782"/>
      <c r="BI19" s="775"/>
      <c r="BJ19" s="784"/>
      <c r="BK19" s="775"/>
      <c r="BL19" s="775"/>
      <c r="BM19" s="775"/>
      <c r="BN19" s="772"/>
      <c r="BO19" s="905">
        <f>C19*22.222/1</f>
        <v>6755.4880000000003</v>
      </c>
      <c r="BP19" s="902">
        <f t="shared" si="7"/>
        <v>7.1111111111111111E-2</v>
      </c>
      <c r="BQ19" s="902">
        <f t="shared" si="8"/>
        <v>1.216E-5</v>
      </c>
      <c r="BR19" s="902">
        <f t="shared" si="9"/>
        <v>4.6412213740458013E-3</v>
      </c>
      <c r="BS19" s="902">
        <f t="shared" si="10"/>
        <v>0.40276960000000001</v>
      </c>
      <c r="BT19" s="776"/>
      <c r="BU19" s="776"/>
      <c r="BV19" s="776"/>
      <c r="BW19" s="776"/>
      <c r="BX19" s="776"/>
      <c r="BY19" s="776"/>
      <c r="BZ19" s="776"/>
      <c r="CA19" s="776"/>
      <c r="CB19" s="776"/>
      <c r="CC19" s="776"/>
      <c r="CD19" s="776"/>
      <c r="CE19" s="776"/>
      <c r="CF19" s="776"/>
      <c r="CG19" s="776"/>
      <c r="CH19" s="776"/>
      <c r="CI19" s="776"/>
      <c r="CJ19" s="776"/>
      <c r="CK19" s="776"/>
      <c r="CL19" s="776"/>
      <c r="CM19" s="776"/>
      <c r="CN19" s="776"/>
      <c r="CO19" s="776"/>
      <c r="CP19" s="776"/>
      <c r="CQ19" s="776"/>
      <c r="CR19" s="776"/>
      <c r="CS19" s="776"/>
      <c r="CT19" s="776"/>
      <c r="CU19" s="776"/>
      <c r="CV19" s="776"/>
      <c r="CW19" s="776"/>
      <c r="CX19" s="776"/>
      <c r="CY19" s="776"/>
      <c r="CZ19" s="776"/>
      <c r="DA19" s="776"/>
      <c r="DB19" s="776"/>
      <c r="DC19" s="776"/>
      <c r="DD19" s="776"/>
      <c r="DE19" s="776"/>
      <c r="DF19" s="776"/>
      <c r="DG19" s="776"/>
    </row>
    <row r="20" spans="1:111" s="777" customFormat="1" ht="12.75">
      <c r="A20" s="778" t="s">
        <v>333</v>
      </c>
      <c r="B20" s="778" t="s">
        <v>252</v>
      </c>
      <c r="C20" s="914">
        <v>463</v>
      </c>
      <c r="D20" s="752"/>
      <c r="E20" s="753">
        <f>4000*(C20/1000)</f>
        <v>1852</v>
      </c>
      <c r="F20" s="754">
        <f t="shared" si="11"/>
        <v>30866.666666666668</v>
      </c>
      <c r="G20" s="755">
        <f>E20*1000/9</f>
        <v>205777.77777777778</v>
      </c>
      <c r="H20" s="753">
        <f t="shared" si="13"/>
        <v>1491.1433172302739</v>
      </c>
      <c r="I20" s="753">
        <f>E20*1000/60/7/2.957</f>
        <v>1491.2153566194827</v>
      </c>
      <c r="J20" s="753">
        <f>E20/0.964</f>
        <v>1921.1618257261412</v>
      </c>
      <c r="K20" s="756">
        <f>E20/18.615</f>
        <v>99.489658877249539</v>
      </c>
      <c r="L20" s="779">
        <v>40</v>
      </c>
      <c r="M20" s="757"/>
      <c r="N20" s="753">
        <f>26498*(C20/1000)</f>
        <v>12268.574000000001</v>
      </c>
      <c r="O20" s="767"/>
      <c r="P20" s="753">
        <f t="shared" si="33"/>
        <v>61.342870000000005</v>
      </c>
      <c r="Q20" s="753">
        <f t="shared" si="34"/>
        <v>4907.4296000000004</v>
      </c>
      <c r="R20" s="753">
        <f t="shared" si="0"/>
        <v>175.26534285714285</v>
      </c>
      <c r="S20" s="753">
        <f t="shared" si="1"/>
        <v>245.37148000000002</v>
      </c>
      <c r="T20" s="753">
        <f t="shared" si="2"/>
        <v>943.73646153846153</v>
      </c>
      <c r="U20" s="753">
        <f t="shared" si="3"/>
        <v>490.74296000000004</v>
      </c>
      <c r="V20" s="753">
        <f t="shared" si="17"/>
        <v>3.2716197333333336E-3</v>
      </c>
      <c r="W20" s="754">
        <f t="shared" si="18"/>
        <v>11.153249090909091</v>
      </c>
      <c r="X20" s="754">
        <f t="shared" si="4"/>
        <v>2044.7623333333333</v>
      </c>
      <c r="Y20" s="759"/>
      <c r="Z20" s="1147">
        <f t="shared" si="19"/>
        <v>9.5822479999999999</v>
      </c>
      <c r="AA20" s="755">
        <f>AU20/12</f>
        <v>30.712333333333333</v>
      </c>
      <c r="AB20" s="1151">
        <f t="shared" si="35"/>
        <v>2.5389491534405555E-5</v>
      </c>
      <c r="AC20" s="758">
        <f t="shared" si="21"/>
        <v>9.732953044947974E-5</v>
      </c>
      <c r="AD20" s="782">
        <f>18*C20/1000</f>
        <v>8.3339999999999996</v>
      </c>
      <c r="AE20" s="770"/>
      <c r="AF20" s="781">
        <f>2.3*C20/1000</f>
        <v>1.0649</v>
      </c>
      <c r="AG20" s="753">
        <f t="shared" si="22"/>
        <v>0.10649</v>
      </c>
      <c r="AH20" s="763">
        <f t="shared" si="23"/>
        <v>1.0649E-6</v>
      </c>
      <c r="AI20" s="757"/>
      <c r="AJ20" s="753">
        <f>12.578*C20/1000</f>
        <v>5.8236139999999992</v>
      </c>
      <c r="AK20" s="786">
        <f t="shared" si="24"/>
        <v>925.95462599999985</v>
      </c>
      <c r="AL20" s="765"/>
      <c r="AM20" s="597"/>
      <c r="AN20" s="767">
        <f t="shared" si="25"/>
        <v>384.35852399999993</v>
      </c>
      <c r="AO20" s="766">
        <f>AK20/20000</f>
        <v>4.6297731299999992E-2</v>
      </c>
      <c r="AP20" s="767">
        <f t="shared" si="27"/>
        <v>7721.762747159999</v>
      </c>
      <c r="AQ20" s="781">
        <f t="shared" si="28"/>
        <v>4211.870589359999</v>
      </c>
      <c r="AR20" s="782">
        <f t="shared" si="29"/>
        <v>70.19784315599999</v>
      </c>
      <c r="AS20" s="766">
        <f t="shared" si="30"/>
        <v>10.388068216216215</v>
      </c>
      <c r="AT20" s="770"/>
      <c r="AU20" s="767">
        <f>(C20/1000)*796</f>
        <v>368.548</v>
      </c>
      <c r="AV20" s="767"/>
      <c r="AW20" s="767"/>
      <c r="AX20" s="755">
        <f t="shared" si="6"/>
        <v>153.56166666666667</v>
      </c>
      <c r="AY20" s="758">
        <f t="shared" si="31"/>
        <v>3085.0538833333335</v>
      </c>
      <c r="AZ20" s="758">
        <f t="shared" si="32"/>
        <v>0.2056702588888889</v>
      </c>
      <c r="BA20" s="783">
        <f t="shared" si="36"/>
        <v>1682.7566636363638</v>
      </c>
      <c r="BB20" s="782">
        <f t="shared" si="37"/>
        <v>28.045944393939397</v>
      </c>
      <c r="BC20" s="772"/>
      <c r="BD20" s="767"/>
      <c r="BE20" s="767"/>
      <c r="BF20" s="763"/>
      <c r="BG20" s="767"/>
      <c r="BH20" s="782"/>
      <c r="BI20" s="775"/>
      <c r="BJ20" s="784"/>
      <c r="BK20" s="775"/>
      <c r="BL20" s="775"/>
      <c r="BM20" s="775"/>
      <c r="BN20" s="772"/>
      <c r="BO20" s="903">
        <f>C20*4.167/1</f>
        <v>1929.3209999999999</v>
      </c>
      <c r="BP20" s="902">
        <f t="shared" si="7"/>
        <v>0.10830409356725146</v>
      </c>
      <c r="BQ20" s="902">
        <f t="shared" si="8"/>
        <v>1.8519999999999999E-5</v>
      </c>
      <c r="BR20" s="902">
        <f t="shared" si="9"/>
        <v>7.0687022900763358E-3</v>
      </c>
      <c r="BS20" s="902">
        <f t="shared" si="10"/>
        <v>0.61342870000000005</v>
      </c>
      <c r="BT20" s="776"/>
      <c r="BU20" s="776"/>
      <c r="BV20" s="776"/>
      <c r="BW20" s="776"/>
      <c r="BX20" s="776"/>
      <c r="BY20" s="776"/>
      <c r="BZ20" s="776"/>
      <c r="CA20" s="776"/>
      <c r="CB20" s="776"/>
      <c r="CC20" s="776"/>
      <c r="CD20" s="776"/>
      <c r="CE20" s="776"/>
      <c r="CF20" s="776"/>
      <c r="CG20" s="776"/>
      <c r="CH20" s="776"/>
      <c r="CI20" s="776"/>
      <c r="CJ20" s="776"/>
      <c r="CK20" s="776"/>
      <c r="CL20" s="776"/>
      <c r="CM20" s="776"/>
      <c r="CN20" s="776"/>
      <c r="CO20" s="776"/>
      <c r="CP20" s="776"/>
      <c r="CQ20" s="776"/>
      <c r="CR20" s="776"/>
      <c r="CS20" s="776"/>
      <c r="CT20" s="776"/>
      <c r="CU20" s="776"/>
      <c r="CV20" s="776"/>
      <c r="CW20" s="776"/>
      <c r="CX20" s="776"/>
      <c r="CY20" s="776"/>
      <c r="CZ20" s="776"/>
      <c r="DA20" s="776"/>
      <c r="DB20" s="776"/>
      <c r="DC20" s="776"/>
      <c r="DD20" s="776"/>
      <c r="DE20" s="776"/>
      <c r="DF20" s="776"/>
      <c r="DG20" s="776"/>
    </row>
    <row r="21" spans="1:111" s="777" customFormat="1" ht="12.75">
      <c r="A21" s="778" t="s">
        <v>334</v>
      </c>
      <c r="B21" s="778" t="s">
        <v>90</v>
      </c>
      <c r="C21" s="914">
        <v>179</v>
      </c>
      <c r="D21" s="752"/>
      <c r="E21" s="753">
        <f>4000*(C21/1000)</f>
        <v>716</v>
      </c>
      <c r="F21" s="754">
        <f t="shared" si="11"/>
        <v>11933.333333333334</v>
      </c>
      <c r="G21" s="755">
        <f>E21*1000/9</f>
        <v>79555.555555555562</v>
      </c>
      <c r="H21" s="753">
        <f t="shared" si="13"/>
        <v>576.4895330112721</v>
      </c>
      <c r="I21" s="753">
        <f>E21*1000/60/7/2.957</f>
        <v>576.5173840926293</v>
      </c>
      <c r="J21" s="753">
        <f>E21/0.964</f>
        <v>742.73858921161832</v>
      </c>
      <c r="K21" s="756">
        <f>E21/18.615</f>
        <v>38.463604619930166</v>
      </c>
      <c r="L21" s="779">
        <v>40</v>
      </c>
      <c r="M21" s="757"/>
      <c r="N21" s="753">
        <f>26498*(C21/1000)</f>
        <v>4743.1419999999998</v>
      </c>
      <c r="O21" s="767"/>
      <c r="P21" s="753">
        <f t="shared" si="33"/>
        <v>23.715709999999998</v>
      </c>
      <c r="Q21" s="753">
        <f t="shared" si="34"/>
        <v>1897.2567999999999</v>
      </c>
      <c r="R21" s="753">
        <f t="shared" si="0"/>
        <v>67.75917142857142</v>
      </c>
      <c r="S21" s="753">
        <f t="shared" si="1"/>
        <v>94.862839999999991</v>
      </c>
      <c r="T21" s="753">
        <f t="shared" si="2"/>
        <v>364.85707692307693</v>
      </c>
      <c r="U21" s="753">
        <f t="shared" si="3"/>
        <v>189.72567999999998</v>
      </c>
      <c r="V21" s="753">
        <f t="shared" si="17"/>
        <v>1.2648378666666666E-3</v>
      </c>
      <c r="W21" s="754">
        <f t="shared" si="18"/>
        <v>4.3119472727272727</v>
      </c>
      <c r="X21" s="754">
        <f t="shared" si="4"/>
        <v>790.5236666666666</v>
      </c>
      <c r="Y21" s="759"/>
      <c r="Z21" s="1147">
        <f t="shared" si="19"/>
        <v>3.7045839999999992</v>
      </c>
      <c r="AA21" s="755">
        <f t="shared" si="20"/>
        <v>11.873666666666665</v>
      </c>
      <c r="AB21" s="1151">
        <f t="shared" si="35"/>
        <v>9.8158077422431819E-6</v>
      </c>
      <c r="AC21" s="758">
        <f t="shared" si="21"/>
        <v>3.7628479374636875E-5</v>
      </c>
      <c r="AD21" s="782">
        <f>18*C21/1000</f>
        <v>3.222</v>
      </c>
      <c r="AE21" s="770"/>
      <c r="AF21" s="781">
        <f>2.3*C21/1000</f>
        <v>0.41170000000000001</v>
      </c>
      <c r="AG21" s="753">
        <f t="shared" si="22"/>
        <v>4.1169999999999998E-2</v>
      </c>
      <c r="AH21" s="763">
        <f t="shared" si="23"/>
        <v>4.1170000000000001E-7</v>
      </c>
      <c r="AI21" s="757"/>
      <c r="AJ21" s="753">
        <f>12.578*C21/1000</f>
        <v>2.2514620000000001</v>
      </c>
      <c r="AK21" s="786">
        <f t="shared" si="24"/>
        <v>357.98245800000001</v>
      </c>
      <c r="AL21" s="765"/>
      <c r="AM21" s="597"/>
      <c r="AN21" s="767">
        <f t="shared" si="25"/>
        <v>148.59649200000001</v>
      </c>
      <c r="AO21" s="766">
        <f t="shared" si="26"/>
        <v>1.7899122900000002E-2</v>
      </c>
      <c r="AP21" s="767">
        <f t="shared" si="27"/>
        <v>2985.3035242800001</v>
      </c>
      <c r="AQ21" s="781">
        <f t="shared" si="28"/>
        <v>1628.34737688</v>
      </c>
      <c r="AR21" s="782">
        <f t="shared" si="29"/>
        <v>27.139122948000001</v>
      </c>
      <c r="AS21" s="766">
        <f t="shared" si="30"/>
        <v>4.0161214054054053</v>
      </c>
      <c r="AT21" s="770"/>
      <c r="AU21" s="767">
        <f>(C21/1000)*796</f>
        <v>142.48399999999998</v>
      </c>
      <c r="AV21" s="767"/>
      <c r="AW21" s="767"/>
      <c r="AX21" s="755">
        <f t="shared" si="6"/>
        <v>59.368333333333325</v>
      </c>
      <c r="AY21" s="758">
        <f t="shared" si="31"/>
        <v>1192.7098166666665</v>
      </c>
      <c r="AZ21" s="758">
        <f t="shared" si="32"/>
        <v>7.9513987777777767E-2</v>
      </c>
      <c r="BA21" s="783">
        <f t="shared" si="36"/>
        <v>650.56899090909087</v>
      </c>
      <c r="BB21" s="782">
        <f t="shared" si="37"/>
        <v>10.842816515151515</v>
      </c>
      <c r="BC21" s="772"/>
      <c r="BD21" s="767"/>
      <c r="BE21" s="767"/>
      <c r="BF21" s="763"/>
      <c r="BG21" s="767"/>
      <c r="BH21" s="782"/>
      <c r="BI21" s="775"/>
      <c r="BJ21" s="784"/>
      <c r="BK21" s="775"/>
      <c r="BL21" s="775"/>
      <c r="BM21" s="775"/>
      <c r="BN21" s="772"/>
      <c r="BO21" s="903">
        <f>C21*250/1</f>
        <v>44750</v>
      </c>
      <c r="BP21" s="902">
        <f t="shared" si="7"/>
        <v>4.1871345029239768E-2</v>
      </c>
      <c r="BQ21" s="902">
        <f t="shared" si="8"/>
        <v>7.1600000000000001E-6</v>
      </c>
      <c r="BR21" s="902">
        <f t="shared" si="9"/>
        <v>2.7328244274809161E-3</v>
      </c>
      <c r="BS21" s="902">
        <f t="shared" si="10"/>
        <v>0.23715709999999998</v>
      </c>
      <c r="BT21" s="776"/>
      <c r="BU21" s="776"/>
      <c r="BV21" s="776"/>
      <c r="BW21" s="776"/>
      <c r="BX21" s="776"/>
      <c r="BY21" s="776"/>
      <c r="BZ21" s="776"/>
      <c r="CA21" s="776"/>
      <c r="CB21" s="776"/>
      <c r="CC21" s="776"/>
      <c r="CD21" s="776"/>
      <c r="CE21" s="776"/>
      <c r="CF21" s="776"/>
      <c r="CG21" s="776"/>
      <c r="CH21" s="776"/>
      <c r="CI21" s="776"/>
      <c r="CJ21" s="776"/>
      <c r="CK21" s="776"/>
      <c r="CL21" s="776"/>
      <c r="CM21" s="776"/>
      <c r="CN21" s="776"/>
      <c r="CO21" s="776"/>
      <c r="CP21" s="776"/>
      <c r="CQ21" s="776"/>
      <c r="CR21" s="776"/>
      <c r="CS21" s="776"/>
      <c r="CT21" s="776"/>
      <c r="CU21" s="776"/>
      <c r="CV21" s="776"/>
      <c r="CW21" s="776"/>
      <c r="CX21" s="776"/>
      <c r="CY21" s="776"/>
      <c r="CZ21" s="776"/>
      <c r="DA21" s="776"/>
      <c r="DB21" s="776"/>
      <c r="DC21" s="776"/>
      <c r="DD21" s="776"/>
      <c r="DE21" s="776"/>
      <c r="DF21" s="776"/>
      <c r="DG21" s="776"/>
    </row>
    <row r="22" spans="1:111" s="777" customFormat="1" ht="12.75">
      <c r="A22" s="788" t="s">
        <v>335</v>
      </c>
      <c r="B22" s="788" t="s">
        <v>340</v>
      </c>
      <c r="C22" s="914"/>
      <c r="D22" s="752"/>
      <c r="E22" s="753">
        <f>4000*(C22/1000)</f>
        <v>0</v>
      </c>
      <c r="F22" s="754">
        <f t="shared" si="11"/>
        <v>0</v>
      </c>
      <c r="G22" s="755">
        <f>E22*1000/9</f>
        <v>0</v>
      </c>
      <c r="H22" s="753">
        <f t="shared" si="13"/>
        <v>0</v>
      </c>
      <c r="I22" s="753">
        <f>E22*1000/60/7/2.957</f>
        <v>0</v>
      </c>
      <c r="J22" s="753">
        <f>E22/0.964</f>
        <v>0</v>
      </c>
      <c r="K22" s="756">
        <f>E22/18.615</f>
        <v>0</v>
      </c>
      <c r="L22" s="789">
        <v>40</v>
      </c>
      <c r="M22" s="757"/>
      <c r="N22" s="790">
        <f>26498*(C22/1000)</f>
        <v>0</v>
      </c>
      <c r="O22" s="791"/>
      <c r="P22" s="753">
        <f t="shared" si="33"/>
        <v>0</v>
      </c>
      <c r="Q22" s="753">
        <f t="shared" si="34"/>
        <v>0</v>
      </c>
      <c r="R22" s="753">
        <f t="shared" si="0"/>
        <v>0</v>
      </c>
      <c r="S22" s="753">
        <f t="shared" si="1"/>
        <v>0</v>
      </c>
      <c r="T22" s="753">
        <f t="shared" si="2"/>
        <v>0</v>
      </c>
      <c r="U22" s="753">
        <f t="shared" si="3"/>
        <v>0</v>
      </c>
      <c r="V22" s="753">
        <f t="shared" si="17"/>
        <v>0</v>
      </c>
      <c r="W22" s="754">
        <f t="shared" si="18"/>
        <v>0</v>
      </c>
      <c r="X22" s="754">
        <f t="shared" si="4"/>
        <v>0</v>
      </c>
      <c r="Y22" s="759"/>
      <c r="Z22" s="1147">
        <f t="shared" si="19"/>
        <v>0</v>
      </c>
      <c r="AA22" s="755">
        <f t="shared" si="20"/>
        <v>0</v>
      </c>
      <c r="AB22" s="1152">
        <f t="shared" si="35"/>
        <v>0</v>
      </c>
      <c r="AC22" s="758">
        <f t="shared" si="21"/>
        <v>0</v>
      </c>
      <c r="AD22" s="782">
        <f>18*C22/1000</f>
        <v>0</v>
      </c>
      <c r="AE22" s="770"/>
      <c r="AF22" s="792">
        <f>2.3*C22/1000</f>
        <v>0</v>
      </c>
      <c r="AG22" s="790">
        <f t="shared" si="22"/>
        <v>0</v>
      </c>
      <c r="AH22" s="763">
        <f>AF22/1000000</f>
        <v>0</v>
      </c>
      <c r="AI22" s="757"/>
      <c r="AJ22" s="790">
        <f>12.578*C22/1000</f>
        <v>0</v>
      </c>
      <c r="AK22" s="793">
        <f t="shared" si="24"/>
        <v>0</v>
      </c>
      <c r="AL22" s="794"/>
      <c r="AM22" s="598"/>
      <c r="AN22" s="791">
        <f t="shared" si="25"/>
        <v>0</v>
      </c>
      <c r="AO22" s="795">
        <f t="shared" si="26"/>
        <v>0</v>
      </c>
      <c r="AP22" s="791">
        <f t="shared" si="27"/>
        <v>0</v>
      </c>
      <c r="AQ22" s="792">
        <f t="shared" si="28"/>
        <v>0</v>
      </c>
      <c r="AR22" s="796">
        <f t="shared" si="29"/>
        <v>0</v>
      </c>
      <c r="AS22" s="795">
        <f t="shared" si="30"/>
        <v>0</v>
      </c>
      <c r="AT22" s="770"/>
      <c r="AU22" s="791">
        <f>(C22/1000)*796</f>
        <v>0</v>
      </c>
      <c r="AV22" s="791"/>
      <c r="AW22" s="791"/>
      <c r="AX22" s="755">
        <f t="shared" si="6"/>
        <v>0</v>
      </c>
      <c r="AY22" s="758">
        <f t="shared" si="31"/>
        <v>0</v>
      </c>
      <c r="AZ22" s="758">
        <f t="shared" si="32"/>
        <v>0</v>
      </c>
      <c r="BA22" s="798">
        <f>60*AY22/110</f>
        <v>0</v>
      </c>
      <c r="BB22" s="796">
        <f t="shared" si="37"/>
        <v>0</v>
      </c>
      <c r="BC22" s="772"/>
      <c r="BD22" s="791"/>
      <c r="BE22" s="791"/>
      <c r="BF22" s="797"/>
      <c r="BG22" s="791"/>
      <c r="BH22" s="796"/>
      <c r="BI22" s="775"/>
      <c r="BJ22" s="784"/>
      <c r="BK22" s="775"/>
      <c r="BL22" s="775"/>
      <c r="BM22" s="775"/>
      <c r="BN22" s="772"/>
      <c r="BO22" s="904">
        <f>C22*125/1</f>
        <v>0</v>
      </c>
      <c r="BP22" s="902">
        <f t="shared" si="7"/>
        <v>0</v>
      </c>
      <c r="BQ22" s="902">
        <f t="shared" si="8"/>
        <v>0</v>
      </c>
      <c r="BR22" s="902">
        <f t="shared" si="9"/>
        <v>0</v>
      </c>
      <c r="BS22" s="902">
        <f t="shared" si="10"/>
        <v>0</v>
      </c>
      <c r="BT22" s="776"/>
      <c r="BU22" s="776"/>
      <c r="BV22" s="776"/>
      <c r="BW22" s="776"/>
      <c r="BX22" s="776"/>
      <c r="BY22" s="776"/>
      <c r="BZ22" s="776"/>
      <c r="CA22" s="776"/>
      <c r="CB22" s="776"/>
      <c r="CC22" s="776"/>
      <c r="CD22" s="776"/>
      <c r="CE22" s="776"/>
      <c r="CF22" s="776"/>
      <c r="CG22" s="776"/>
      <c r="CH22" s="776"/>
      <c r="CI22" s="776"/>
      <c r="CJ22" s="776"/>
      <c r="CK22" s="776"/>
      <c r="CL22" s="776"/>
      <c r="CM22" s="776"/>
      <c r="CN22" s="776"/>
      <c r="CO22" s="776"/>
      <c r="CP22" s="776"/>
      <c r="CQ22" s="776"/>
      <c r="CR22" s="776"/>
      <c r="CS22" s="776"/>
      <c r="CT22" s="776"/>
      <c r="CU22" s="776"/>
      <c r="CV22" s="776"/>
      <c r="CW22" s="776"/>
      <c r="CX22" s="776"/>
      <c r="CY22" s="776"/>
      <c r="CZ22" s="776"/>
      <c r="DA22" s="776"/>
      <c r="DB22" s="776"/>
      <c r="DC22" s="776"/>
      <c r="DD22" s="776"/>
      <c r="DE22" s="776"/>
      <c r="DF22" s="776"/>
      <c r="DG22" s="776"/>
    </row>
    <row r="23" spans="1:111" s="399" customFormat="1">
      <c r="A23" s="1121" t="s">
        <v>78</v>
      </c>
      <c r="B23" s="1121"/>
      <c r="C23" s="522">
        <f>SUM(C10:C22)</f>
        <v>1985.5</v>
      </c>
      <c r="D23" s="580"/>
      <c r="E23" s="410">
        <f t="shared" ref="E23:K23" si="38">SUM(E10:E22)</f>
        <v>10966.073119999999</v>
      </c>
      <c r="F23" s="410">
        <f t="shared" si="38"/>
        <v>182767.88533333331</v>
      </c>
      <c r="G23" s="410">
        <f t="shared" si="38"/>
        <v>1218452.5688888889</v>
      </c>
      <c r="H23" s="799">
        <f t="shared" si="38"/>
        <v>8829.3664412238322</v>
      </c>
      <c r="I23" s="410">
        <f t="shared" si="38"/>
        <v>8829.7930012722027</v>
      </c>
      <c r="J23" s="799">
        <f t="shared" si="38"/>
        <v>11375.594522821577</v>
      </c>
      <c r="K23" s="410">
        <f t="shared" si="38"/>
        <v>589.09874402363687</v>
      </c>
      <c r="L23" s="411">
        <f>(L10+L13+L16)/3</f>
        <v>57.333333333333336</v>
      </c>
      <c r="M23" s="580"/>
      <c r="N23" s="522">
        <f>SUM(N10:N22)</f>
        <v>28050.648000000001</v>
      </c>
      <c r="O23" s="410"/>
      <c r="P23" s="522">
        <f t="shared" ref="P23:X23" si="39">SUM(P10:P22)</f>
        <v>140.25324000000001</v>
      </c>
      <c r="Q23" s="800">
        <f t="shared" si="39"/>
        <v>11220.2592</v>
      </c>
      <c r="R23" s="522">
        <f t="shared" si="39"/>
        <v>400.72354285714289</v>
      </c>
      <c r="S23" s="522">
        <f t="shared" si="39"/>
        <v>561.01296000000002</v>
      </c>
      <c r="T23" s="522">
        <f t="shared" si="39"/>
        <v>2157.742153846154</v>
      </c>
      <c r="U23" s="522">
        <f t="shared" si="39"/>
        <v>1122.02592</v>
      </c>
      <c r="V23" s="1158">
        <f t="shared" si="39"/>
        <v>7.4801728000000005E-3</v>
      </c>
      <c r="W23" s="1159">
        <f t="shared" si="39"/>
        <v>25.500589090909092</v>
      </c>
      <c r="X23" s="522">
        <f t="shared" si="39"/>
        <v>4675.1080000000002</v>
      </c>
      <c r="Y23" s="580"/>
      <c r="Z23" s="1148">
        <f>SUM(Z10:Z22)</f>
        <v>62.759837999999995</v>
      </c>
      <c r="AA23" s="1157">
        <f>SUM(AA10:AA22)</f>
        <v>172.69900000000001</v>
      </c>
      <c r="AB23" s="521">
        <f>SUM(AB10:AB22)</f>
        <v>1.6629087199597254E-4</v>
      </c>
      <c r="AC23" s="521">
        <f>SUM(AC10:AC22)</f>
        <v>5.4729519885913483E-4</v>
      </c>
      <c r="AD23" s="800">
        <f>SUM(AD10:AD22)</f>
        <v>17.028000000000002</v>
      </c>
      <c r="AE23" s="580"/>
      <c r="AF23" s="521">
        <f>SUM(AF10:AF22)</f>
        <v>27.465030000000002</v>
      </c>
      <c r="AG23" s="799">
        <f>SUM(AG10:AG22)</f>
        <v>2.7465030000000001</v>
      </c>
      <c r="AH23" s="521">
        <f>SUM(AH10:AH22)</f>
        <v>2.7465030000000001E-5</v>
      </c>
      <c r="AI23" s="580"/>
      <c r="AJ23" s="522">
        <f t="shared" ref="AJ23:AS23" si="40">SUM(AJ10:AJ22)</f>
        <v>13.421707999999999</v>
      </c>
      <c r="AK23" s="522">
        <f t="shared" si="40"/>
        <v>2134.0515719999999</v>
      </c>
      <c r="AL23" s="522">
        <f t="shared" si="40"/>
        <v>1288.5219</v>
      </c>
      <c r="AM23" s="410">
        <f t="shared" si="40"/>
        <v>0</v>
      </c>
      <c r="AN23" s="410">
        <f t="shared" si="40"/>
        <v>885.83272799999997</v>
      </c>
      <c r="AO23" s="410">
        <f t="shared" si="40"/>
        <v>0.10670257859999999</v>
      </c>
      <c r="AP23" s="799">
        <f t="shared" si="40"/>
        <v>17796.379505519999</v>
      </c>
      <c r="AQ23" s="410">
        <f t="shared" si="40"/>
        <v>9707.1160939199981</v>
      </c>
      <c r="AR23" s="410">
        <f t="shared" si="40"/>
        <v>161.78526823199999</v>
      </c>
      <c r="AS23" s="410">
        <f t="shared" si="40"/>
        <v>23.941425081081078</v>
      </c>
      <c r="AT23" s="580"/>
      <c r="AU23" s="1157">
        <f>SUM(AU10:AU22)</f>
        <v>2072.3879999999999</v>
      </c>
      <c r="AV23" s="410"/>
      <c r="AW23" s="410"/>
      <c r="AX23" s="410">
        <f>SUM(AX10:AX22)</f>
        <v>863.49500000000012</v>
      </c>
      <c r="AY23" s="410">
        <f>SUM(AY10:AY22)</f>
        <v>17347.614550000002</v>
      </c>
      <c r="AZ23" s="410">
        <f>SUM(AZ10:AZ22)</f>
        <v>1.1565076366666664</v>
      </c>
      <c r="BA23" s="410">
        <f>SUM(BA10:BA22)</f>
        <v>9462.3352090909102</v>
      </c>
      <c r="BB23" s="410">
        <f>SUM(BB10:BB22)</f>
        <v>157.70558681818184</v>
      </c>
      <c r="BC23" s="580"/>
      <c r="BD23" s="802">
        <f>SUM(BD10:BD22)</f>
        <v>0</v>
      </c>
      <c r="BE23" s="410"/>
      <c r="BF23" s="410">
        <f t="shared" ref="BF23:BH23" si="41">SUM(BF10:BF22)</f>
        <v>0</v>
      </c>
      <c r="BG23" s="410">
        <f t="shared" si="41"/>
        <v>0</v>
      </c>
      <c r="BH23" s="410">
        <f t="shared" si="41"/>
        <v>0</v>
      </c>
      <c r="BI23" s="410">
        <f>SUM(BI10:BI22)</f>
        <v>0</v>
      </c>
      <c r="BJ23" s="410">
        <f>SUM(BJ10:BJ22)</f>
        <v>0</v>
      </c>
      <c r="BK23" s="410">
        <f>SUM(BK10:BK22)</f>
        <v>0</v>
      </c>
      <c r="BL23" s="410">
        <f>SUM(BL10:BL22)</f>
        <v>0</v>
      </c>
      <c r="BM23" s="410">
        <f>SUM(BM10:BM22)</f>
        <v>0</v>
      </c>
      <c r="BN23" s="580"/>
      <c r="BO23" s="410">
        <f>SUM(BO10:BO22)</f>
        <v>75919.252500000002</v>
      </c>
      <c r="BP23" s="1156">
        <f>SUM(BP10:BP22)</f>
        <v>0.46444444444444444</v>
      </c>
      <c r="BQ23" s="918">
        <f>SUM(BQ10:BQ22)</f>
        <v>7.9420000000000009E-5</v>
      </c>
      <c r="BR23" s="410">
        <f>SUM(BR10:BR22)</f>
        <v>3.0312977099236641E-2</v>
      </c>
      <c r="BS23" s="410">
        <f>SUM(BS10:BS22)</f>
        <v>1.4025323999999999</v>
      </c>
      <c r="BT23" s="801">
        <f>E23+N23+AD23+AF23+AJ23+AL23+AU23</f>
        <v>42435.545758</v>
      </c>
      <c r="BU23" s="594"/>
      <c r="BV23" s="594"/>
      <c r="BW23" s="594"/>
      <c r="BX23" s="594"/>
      <c r="BY23" s="594"/>
      <c r="BZ23" s="594"/>
      <c r="CA23" s="594"/>
      <c r="CB23" s="594"/>
      <c r="CC23" s="594"/>
      <c r="CD23" s="594"/>
      <c r="CE23" s="594"/>
      <c r="CF23" s="594"/>
      <c r="CG23" s="594"/>
      <c r="CH23" s="594"/>
      <c r="CI23" s="594"/>
      <c r="CJ23" s="594"/>
      <c r="CK23" s="594"/>
      <c r="CL23" s="594"/>
      <c r="CM23" s="594"/>
      <c r="CN23" s="594"/>
      <c r="CO23" s="594"/>
      <c r="CP23" s="594"/>
      <c r="CQ23" s="594"/>
      <c r="CR23" s="594"/>
      <c r="CS23" s="594"/>
      <c r="CT23" s="594"/>
      <c r="CU23" s="594"/>
      <c r="CV23" s="594"/>
      <c r="CW23" s="594"/>
      <c r="CX23" s="594"/>
      <c r="CY23" s="594"/>
      <c r="CZ23" s="594"/>
      <c r="DA23" s="594"/>
      <c r="DB23" s="594"/>
      <c r="DC23" s="594"/>
      <c r="DD23" s="594"/>
      <c r="DE23" s="594"/>
      <c r="DF23" s="594"/>
      <c r="DG23" s="594"/>
    </row>
    <row r="24" spans="1:111" s="805" customFormat="1">
      <c r="B24" s="1037">
        <f>C23*10577474000</f>
        <v>21001574627000</v>
      </c>
      <c r="C24" s="1142">
        <v>3600000000</v>
      </c>
      <c r="E24" s="805">
        <v>4</v>
      </c>
      <c r="G24" s="806"/>
      <c r="J24" s="807"/>
      <c r="K24" s="807"/>
      <c r="N24" s="805">
        <v>3</v>
      </c>
      <c r="Z24" s="807"/>
      <c r="AA24" s="807"/>
      <c r="AD24" s="805">
        <v>6</v>
      </c>
      <c r="AF24" s="805">
        <v>7</v>
      </c>
      <c r="AJ24" s="805">
        <v>2</v>
      </c>
      <c r="AL24" s="805">
        <v>1</v>
      </c>
      <c r="AU24" s="806">
        <v>5</v>
      </c>
      <c r="AV24" s="806"/>
      <c r="AW24" s="806"/>
      <c r="AX24" s="806"/>
      <c r="AY24" s="806"/>
      <c r="AZ24" s="806"/>
      <c r="BC24" s="808"/>
      <c r="BD24" s="806">
        <v>5</v>
      </c>
      <c r="BE24" s="806"/>
      <c r="BF24" s="806"/>
      <c r="BG24" s="806"/>
      <c r="BI24" s="808"/>
      <c r="BJ24" s="808"/>
      <c r="BK24" s="808"/>
      <c r="BL24" s="808"/>
      <c r="BM24" s="808"/>
      <c r="BN24" s="808"/>
      <c r="BO24" s="808"/>
      <c r="BP24" s="808"/>
      <c r="BQ24" s="808"/>
      <c r="BR24" s="808"/>
      <c r="BS24" s="808"/>
      <c r="BT24" s="810">
        <f>E23+N23+AF23+AJ23+AU23</f>
        <v>41129.995858000002</v>
      </c>
    </row>
    <row r="25" spans="1:111" s="594" customFormat="1">
      <c r="B25" s="801">
        <f>B24/3188000000</f>
        <v>6587.6959306775407</v>
      </c>
      <c r="C25" s="580"/>
      <c r="D25" s="580"/>
      <c r="E25" s="594">
        <v>1</v>
      </c>
      <c r="G25" s="801"/>
      <c r="J25" s="811">
        <v>1.095</v>
      </c>
      <c r="K25" s="811"/>
      <c r="L25" s="812"/>
      <c r="N25" s="594">
        <v>2</v>
      </c>
      <c r="P25" s="594">
        <v>200</v>
      </c>
      <c r="Q25" s="594">
        <v>10</v>
      </c>
      <c r="Z25" s="811"/>
      <c r="AA25" s="811"/>
      <c r="AF25" s="801">
        <f>E23+N23+AD23+AF23+AJ23+AL23+AU23</f>
        <v>42435.545758</v>
      </c>
      <c r="AJ25" s="801">
        <v>4</v>
      </c>
      <c r="AK25" s="801"/>
      <c r="AU25" s="594">
        <v>5</v>
      </c>
      <c r="BC25" s="813"/>
      <c r="BD25" s="594">
        <v>5</v>
      </c>
      <c r="BI25" s="813"/>
      <c r="BJ25" s="813"/>
      <c r="BK25" s="813"/>
      <c r="BL25" s="813"/>
      <c r="BM25" s="813"/>
      <c r="BN25" s="813"/>
      <c r="BO25" s="813"/>
      <c r="BP25" s="813"/>
      <c r="BQ25" s="813"/>
      <c r="BR25" s="813"/>
      <c r="BS25" s="813"/>
    </row>
    <row r="26" spans="1:111" s="567" customFormat="1">
      <c r="C26" s="573"/>
      <c r="D26" s="572"/>
      <c r="G26" s="570"/>
      <c r="J26" s="568">
        <v>8.0000000000000004E-4</v>
      </c>
      <c r="K26" s="568"/>
      <c r="L26" s="569"/>
      <c r="P26" s="567">
        <v>4.2</v>
      </c>
      <c r="Q26" s="567">
        <f>Q25*P26/P25</f>
        <v>0.21</v>
      </c>
      <c r="Z26" s="568"/>
      <c r="AA26" s="568"/>
      <c r="BC26" s="571"/>
      <c r="BI26" s="571"/>
      <c r="BJ26" s="571"/>
      <c r="BK26" s="571"/>
      <c r="BL26" s="571"/>
      <c r="BM26" s="571"/>
      <c r="BN26" s="571"/>
      <c r="BO26" s="571"/>
      <c r="BP26" s="571"/>
      <c r="BQ26" s="571"/>
      <c r="BR26" s="571"/>
      <c r="BS26" s="571"/>
    </row>
    <row r="27" spans="1:111" s="567" customFormat="1">
      <c r="C27" s="572"/>
      <c r="D27" s="572"/>
      <c r="G27" s="570"/>
      <c r="J27" s="568"/>
      <c r="K27" s="568"/>
      <c r="L27" s="569"/>
      <c r="Q27" s="567">
        <v>1</v>
      </c>
      <c r="R27" s="567">
        <v>365</v>
      </c>
      <c r="Z27" s="568"/>
      <c r="AA27" s="568"/>
      <c r="BC27" s="571"/>
      <c r="BI27" s="571"/>
      <c r="BJ27" s="571"/>
      <c r="BK27" s="571"/>
      <c r="BL27" s="571"/>
      <c r="BM27" s="571"/>
      <c r="BN27" s="571"/>
      <c r="BO27" s="571"/>
      <c r="BP27" s="571"/>
      <c r="BQ27" s="571"/>
      <c r="BR27" s="571"/>
      <c r="BS27" s="571"/>
    </row>
    <row r="28" spans="1:111" s="567" customFormat="1">
      <c r="C28" s="572"/>
      <c r="D28" s="572"/>
      <c r="G28" s="570"/>
      <c r="J28" s="568"/>
      <c r="K28" s="568"/>
      <c r="L28" s="569"/>
      <c r="Q28" s="567">
        <f>R28/R27</f>
        <v>1.7064657534246577</v>
      </c>
      <c r="R28" s="567">
        <v>622.86</v>
      </c>
      <c r="Z28" s="568"/>
      <c r="AA28" s="568"/>
      <c r="BC28" s="571"/>
      <c r="BI28" s="571"/>
      <c r="BJ28" s="571"/>
      <c r="BK28" s="571"/>
      <c r="BL28" s="571"/>
      <c r="BM28" s="571"/>
      <c r="BN28" s="571"/>
      <c r="BO28" s="571"/>
      <c r="BP28" s="571"/>
      <c r="BQ28" s="571"/>
      <c r="BR28" s="571"/>
      <c r="BS28" s="571"/>
    </row>
    <row r="29" spans="1:111" s="567" customFormat="1">
      <c r="A29" s="1122" t="s">
        <v>1405</v>
      </c>
      <c r="B29" s="1122" t="s">
        <v>651</v>
      </c>
      <c r="C29" s="580">
        <v>956264.6</v>
      </c>
      <c r="D29" s="572"/>
      <c r="G29" s="570"/>
      <c r="J29" s="568"/>
      <c r="K29" s="568"/>
      <c r="L29" s="569"/>
      <c r="Z29" s="568"/>
      <c r="AA29" s="568"/>
      <c r="BC29" s="571"/>
      <c r="BI29" s="571"/>
      <c r="BJ29" s="571"/>
      <c r="BK29" s="571"/>
      <c r="BL29" s="571"/>
      <c r="BM29" s="571"/>
      <c r="BN29" s="571"/>
      <c r="BO29" s="571"/>
      <c r="BP29" s="571"/>
      <c r="BQ29" s="571"/>
      <c r="BR29" s="571"/>
      <c r="BS29" s="571"/>
    </row>
    <row r="30" spans="1:111" s="567" customFormat="1">
      <c r="A30" s="1122"/>
      <c r="B30" s="1122" t="s">
        <v>336</v>
      </c>
      <c r="C30" s="580">
        <v>61931</v>
      </c>
      <c r="D30" s="572"/>
      <c r="G30" s="570"/>
      <c r="J30" s="568"/>
      <c r="K30" s="568"/>
      <c r="L30" s="569"/>
      <c r="Z30" s="568"/>
      <c r="AA30" s="568"/>
      <c r="BC30" s="571"/>
      <c r="BI30" s="571"/>
      <c r="BJ30" s="571"/>
      <c r="BK30" s="571"/>
      <c r="BL30" s="571"/>
      <c r="BM30" s="571"/>
      <c r="BN30" s="571"/>
      <c r="BO30" s="571"/>
      <c r="BP30" s="571"/>
      <c r="BQ30" s="571"/>
      <c r="BR30" s="571"/>
      <c r="BS30" s="571"/>
    </row>
    <row r="31" spans="1:111" s="567" customFormat="1">
      <c r="A31" s="1122"/>
      <c r="B31" s="1122" t="s">
        <v>337</v>
      </c>
      <c r="C31" s="580"/>
      <c r="D31" s="572"/>
      <c r="G31" s="570"/>
      <c r="J31" s="568"/>
      <c r="K31" s="568"/>
      <c r="L31" s="569"/>
      <c r="Z31" s="568"/>
      <c r="AA31" s="568"/>
      <c r="BC31" s="571"/>
      <c r="BI31" s="571"/>
      <c r="BJ31" s="571"/>
      <c r="BK31" s="571"/>
      <c r="BL31" s="571"/>
      <c r="BM31" s="571"/>
      <c r="BN31" s="571"/>
      <c r="BO31" s="571"/>
      <c r="BP31" s="571"/>
      <c r="BQ31" s="571"/>
      <c r="BR31" s="571"/>
      <c r="BS31" s="571"/>
    </row>
    <row r="32" spans="1:111" s="567" customFormat="1">
      <c r="A32" s="1122"/>
      <c r="B32" s="1122" t="s">
        <v>338</v>
      </c>
      <c r="C32" s="580">
        <v>31898.6</v>
      </c>
      <c r="D32" s="572"/>
      <c r="G32" s="570"/>
      <c r="J32" s="568"/>
      <c r="K32" s="568"/>
      <c r="L32" s="569"/>
      <c r="Z32" s="568"/>
      <c r="AA32" s="568"/>
      <c r="BC32" s="571"/>
      <c r="BI32" s="571"/>
      <c r="BJ32" s="571"/>
      <c r="BK32" s="571"/>
      <c r="BL32" s="571"/>
      <c r="BM32" s="571"/>
      <c r="BN32" s="571"/>
      <c r="BO32" s="571"/>
      <c r="BP32" s="571"/>
      <c r="BQ32" s="571"/>
      <c r="BR32" s="571"/>
      <c r="BS32" s="571"/>
    </row>
    <row r="33" spans="1:71" s="567" customFormat="1">
      <c r="A33" s="1122"/>
      <c r="B33" s="1122" t="s">
        <v>339</v>
      </c>
      <c r="C33" s="580">
        <v>41189.100000000006</v>
      </c>
      <c r="D33" s="572"/>
      <c r="G33" s="570"/>
      <c r="J33" s="568"/>
      <c r="K33" s="568"/>
      <c r="L33" s="569"/>
      <c r="Z33" s="568"/>
      <c r="AA33" s="568"/>
      <c r="BC33" s="571"/>
      <c r="BI33" s="571"/>
      <c r="BJ33" s="571"/>
      <c r="BK33" s="571"/>
      <c r="BL33" s="571"/>
      <c r="BM33" s="571"/>
      <c r="BN33" s="571"/>
      <c r="BO33" s="571"/>
      <c r="BP33" s="571"/>
      <c r="BQ33" s="571"/>
      <c r="BR33" s="571"/>
      <c r="BS33" s="571"/>
    </row>
    <row r="34" spans="1:71" s="567" customFormat="1">
      <c r="A34" s="1122"/>
      <c r="B34" s="1122" t="s">
        <v>1121</v>
      </c>
      <c r="C34" s="580">
        <v>10106.700000000001</v>
      </c>
      <c r="D34" s="572"/>
      <c r="G34" s="570"/>
      <c r="J34" s="568"/>
      <c r="K34" s="568"/>
      <c r="L34" s="569"/>
      <c r="Z34" s="568"/>
      <c r="AA34" s="568"/>
      <c r="BC34" s="571"/>
      <c r="BI34" s="571"/>
      <c r="BJ34" s="571"/>
      <c r="BK34" s="571"/>
      <c r="BL34" s="571"/>
      <c r="BM34" s="571"/>
      <c r="BN34" s="571"/>
      <c r="BO34" s="571"/>
      <c r="BP34" s="571"/>
      <c r="BQ34" s="571"/>
      <c r="BR34" s="571"/>
      <c r="BS34" s="571"/>
    </row>
    <row r="35" spans="1:71" s="567" customFormat="1">
      <c r="A35" s="1122"/>
      <c r="B35" s="1122" t="s">
        <v>249</v>
      </c>
      <c r="C35" s="580">
        <v>27230.66</v>
      </c>
      <c r="D35" s="572"/>
      <c r="G35" s="570"/>
      <c r="J35" s="568"/>
      <c r="K35" s="568"/>
      <c r="L35" s="569"/>
      <c r="Z35" s="568"/>
      <c r="AA35" s="568"/>
      <c r="BC35" s="571"/>
      <c r="BI35" s="571"/>
      <c r="BJ35" s="571"/>
      <c r="BK35" s="571"/>
      <c r="BL35" s="571"/>
      <c r="BM35" s="571"/>
      <c r="BN35" s="571"/>
      <c r="BO35" s="571"/>
      <c r="BP35" s="571"/>
      <c r="BQ35" s="571"/>
      <c r="BR35" s="571"/>
      <c r="BS35" s="571"/>
    </row>
    <row r="36" spans="1:71" s="567" customFormat="1">
      <c r="A36" s="1122"/>
      <c r="B36" s="1122" t="s">
        <v>250</v>
      </c>
      <c r="C36" s="580">
        <v>9318.2999999999993</v>
      </c>
      <c r="D36" s="572"/>
      <c r="G36" s="570"/>
      <c r="J36" s="568"/>
      <c r="K36" s="568"/>
      <c r="L36" s="569"/>
      <c r="Z36" s="568"/>
      <c r="AA36" s="568"/>
      <c r="BC36" s="571"/>
      <c r="BI36" s="571"/>
      <c r="BJ36" s="571"/>
      <c r="BK36" s="571"/>
      <c r="BL36" s="571"/>
      <c r="BM36" s="571"/>
      <c r="BN36" s="571"/>
      <c r="BO36" s="571"/>
      <c r="BP36" s="571"/>
      <c r="BQ36" s="571"/>
      <c r="BR36" s="571"/>
      <c r="BS36" s="571"/>
    </row>
    <row r="37" spans="1:71" s="567" customFormat="1">
      <c r="A37" s="1122"/>
      <c r="B37" s="1122" t="s">
        <v>240</v>
      </c>
      <c r="C37" s="580">
        <v>17764.7</v>
      </c>
      <c r="D37" s="572"/>
      <c r="G37" s="570"/>
      <c r="J37" s="568"/>
      <c r="K37" s="568"/>
      <c r="L37" s="569"/>
      <c r="Z37" s="568"/>
      <c r="AA37" s="568"/>
      <c r="BC37" s="571"/>
      <c r="BI37" s="571"/>
      <c r="BJ37" s="571"/>
      <c r="BK37" s="571"/>
      <c r="BL37" s="571"/>
      <c r="BM37" s="571"/>
      <c r="BN37" s="571"/>
      <c r="BO37" s="571"/>
      <c r="BP37" s="571"/>
      <c r="BQ37" s="571"/>
      <c r="BR37" s="571"/>
      <c r="BS37" s="571"/>
    </row>
    <row r="38" spans="1:71" s="567" customFormat="1">
      <c r="A38" s="1122"/>
      <c r="B38" s="1122" t="s">
        <v>858</v>
      </c>
      <c r="C38" s="1122">
        <v>3095.2000000000003</v>
      </c>
      <c r="G38" s="570"/>
      <c r="J38" s="568"/>
      <c r="K38" s="568"/>
      <c r="L38" s="569"/>
      <c r="Z38" s="568"/>
      <c r="AA38" s="568"/>
      <c r="BC38" s="571"/>
      <c r="BI38" s="571"/>
      <c r="BJ38" s="571"/>
      <c r="BK38" s="571"/>
      <c r="BL38" s="571"/>
      <c r="BM38" s="571"/>
      <c r="BN38" s="571"/>
      <c r="BO38" s="571"/>
      <c r="BP38" s="571"/>
      <c r="BQ38" s="571"/>
      <c r="BR38" s="571"/>
      <c r="BS38" s="571"/>
    </row>
    <row r="39" spans="1:71" s="567" customFormat="1">
      <c r="A39" s="1122"/>
      <c r="B39" s="1122" t="s">
        <v>252</v>
      </c>
      <c r="C39" s="1122">
        <v>246.8</v>
      </c>
      <c r="G39" s="570"/>
      <c r="J39" s="568"/>
      <c r="K39" s="568"/>
      <c r="L39" s="569"/>
      <c r="Z39" s="568"/>
      <c r="AA39" s="568"/>
      <c r="BC39" s="571"/>
      <c r="BI39" s="571"/>
      <c r="BJ39" s="571"/>
      <c r="BK39" s="571"/>
      <c r="BL39" s="571"/>
      <c r="BM39" s="571"/>
      <c r="BN39" s="571"/>
      <c r="BO39" s="571"/>
      <c r="BP39" s="571"/>
      <c r="BQ39" s="571"/>
      <c r="BR39" s="571"/>
      <c r="BS39" s="571"/>
    </row>
    <row r="40" spans="1:71" s="567" customFormat="1">
      <c r="A40" s="1122"/>
      <c r="B40" s="1122" t="s">
        <v>90</v>
      </c>
      <c r="C40" s="1122"/>
      <c r="J40" s="568"/>
      <c r="K40" s="568"/>
      <c r="L40" s="569"/>
      <c r="Z40" s="568"/>
      <c r="AA40" s="568"/>
      <c r="BC40" s="571"/>
      <c r="BI40" s="571"/>
      <c r="BJ40" s="571"/>
      <c r="BK40" s="571"/>
      <c r="BL40" s="571"/>
      <c r="BM40" s="571"/>
      <c r="BN40" s="571"/>
      <c r="BO40" s="571"/>
      <c r="BP40" s="571"/>
      <c r="BQ40" s="571"/>
      <c r="BR40" s="571"/>
      <c r="BS40" s="571"/>
    </row>
    <row r="41" spans="1:71" s="567" customFormat="1">
      <c r="A41" s="1122"/>
      <c r="B41" s="1122" t="s">
        <v>340</v>
      </c>
      <c r="C41" s="1122">
        <v>5364</v>
      </c>
      <c r="J41" s="568"/>
      <c r="K41" s="568"/>
      <c r="L41" s="569"/>
      <c r="Z41" s="568"/>
      <c r="AA41" s="568"/>
      <c r="BC41" s="571"/>
      <c r="BI41" s="571"/>
      <c r="BJ41" s="571"/>
      <c r="BK41" s="571"/>
      <c r="BL41" s="571"/>
      <c r="BM41" s="571"/>
      <c r="BN41" s="571"/>
      <c r="BO41" s="571"/>
      <c r="BP41" s="571"/>
      <c r="BQ41" s="571"/>
      <c r="BR41" s="571"/>
      <c r="BS41" s="571"/>
    </row>
    <row r="42" spans="1:71" s="567" customFormat="1">
      <c r="A42" s="1122" t="s">
        <v>78</v>
      </c>
      <c r="B42" s="1122"/>
      <c r="C42" s="1122">
        <v>1164409.6599999999</v>
      </c>
      <c r="J42" s="568"/>
      <c r="K42" s="568"/>
      <c r="L42" s="569"/>
      <c r="Z42" s="568"/>
      <c r="AA42" s="568"/>
      <c r="BC42" s="571"/>
      <c r="BI42" s="571"/>
      <c r="BJ42" s="571"/>
      <c r="BK42" s="571"/>
      <c r="BL42" s="571"/>
      <c r="BM42" s="571"/>
      <c r="BN42" s="571"/>
      <c r="BO42" s="571"/>
      <c r="BP42" s="571"/>
      <c r="BQ42" s="571"/>
      <c r="BR42" s="571"/>
      <c r="BS42" s="571"/>
    </row>
    <row r="43" spans="1:71" s="567" customFormat="1">
      <c r="A43" s="594" t="s">
        <v>1406</v>
      </c>
      <c r="B43" s="1122" t="s">
        <v>651</v>
      </c>
      <c r="C43" s="1122">
        <v>54387849.559999995</v>
      </c>
      <c r="J43" s="568"/>
      <c r="K43" s="568"/>
      <c r="L43" s="569"/>
      <c r="Z43" s="568"/>
      <c r="AA43" s="568"/>
      <c r="BC43" s="571"/>
      <c r="BI43" s="571"/>
      <c r="BJ43" s="571"/>
      <c r="BK43" s="571"/>
      <c r="BL43" s="571"/>
      <c r="BM43" s="571"/>
      <c r="BN43" s="571"/>
      <c r="BO43" s="571"/>
      <c r="BP43" s="571"/>
      <c r="BQ43" s="571"/>
      <c r="BR43" s="571"/>
      <c r="BS43" s="571"/>
    </row>
    <row r="44" spans="1:71" s="567" customFormat="1">
      <c r="A44" s="594"/>
      <c r="B44" s="1122" t="s">
        <v>336</v>
      </c>
      <c r="C44" s="1122">
        <v>1999807.8399999999</v>
      </c>
      <c r="J44" s="568"/>
      <c r="K44" s="568"/>
      <c r="L44" s="569"/>
      <c r="Z44" s="568"/>
      <c r="AA44" s="568"/>
      <c r="BC44" s="571"/>
      <c r="BI44" s="571"/>
      <c r="BJ44" s="571"/>
      <c r="BK44" s="571"/>
      <c r="BL44" s="571"/>
      <c r="BM44" s="571"/>
      <c r="BN44" s="571"/>
      <c r="BO44" s="571"/>
      <c r="BP44" s="571"/>
      <c r="BQ44" s="571"/>
      <c r="BR44" s="571"/>
      <c r="BS44" s="571"/>
    </row>
    <row r="45" spans="1:71" s="567" customFormat="1">
      <c r="A45" s="594"/>
      <c r="B45" s="1122" t="s">
        <v>337</v>
      </c>
      <c r="C45" s="1122"/>
      <c r="J45" s="568"/>
      <c r="K45" s="568"/>
      <c r="L45" s="569"/>
      <c r="Z45" s="568"/>
      <c r="AA45" s="568"/>
      <c r="BC45" s="571"/>
      <c r="BI45" s="571"/>
      <c r="BJ45" s="571"/>
      <c r="BK45" s="571"/>
      <c r="BL45" s="571"/>
      <c r="BM45" s="571"/>
      <c r="BN45" s="571"/>
      <c r="BO45" s="571"/>
      <c r="BP45" s="571"/>
      <c r="BQ45" s="571"/>
      <c r="BR45" s="571"/>
      <c r="BS45" s="571"/>
    </row>
    <row r="46" spans="1:71" s="567" customFormat="1">
      <c r="A46" s="594"/>
      <c r="B46" s="1122" t="s">
        <v>338</v>
      </c>
      <c r="C46" s="1122">
        <v>49798.799999999988</v>
      </c>
      <c r="J46" s="568"/>
      <c r="K46" s="568"/>
      <c r="L46" s="569"/>
      <c r="Z46" s="568"/>
      <c r="AA46" s="568"/>
      <c r="BC46" s="571"/>
      <c r="BI46" s="571"/>
      <c r="BJ46" s="571"/>
      <c r="BK46" s="571"/>
      <c r="BL46" s="571"/>
      <c r="BM46" s="571"/>
      <c r="BN46" s="571"/>
      <c r="BO46" s="571"/>
      <c r="BP46" s="571"/>
      <c r="BQ46" s="571"/>
      <c r="BR46" s="571"/>
      <c r="BS46" s="571"/>
    </row>
    <row r="47" spans="1:71" s="567" customFormat="1">
      <c r="A47" s="594"/>
      <c r="B47" s="1122" t="s">
        <v>339</v>
      </c>
      <c r="C47" s="1122">
        <v>9032.85</v>
      </c>
      <c r="J47" s="568"/>
      <c r="K47" s="568"/>
      <c r="L47" s="569"/>
      <c r="Z47" s="568"/>
      <c r="AA47" s="568"/>
      <c r="BC47" s="571"/>
      <c r="BI47" s="571"/>
      <c r="BJ47" s="571"/>
      <c r="BK47" s="571"/>
      <c r="BL47" s="571"/>
      <c r="BM47" s="571"/>
      <c r="BN47" s="571"/>
      <c r="BO47" s="571"/>
      <c r="BP47" s="571"/>
      <c r="BQ47" s="571"/>
      <c r="BR47" s="571"/>
      <c r="BS47" s="571"/>
    </row>
    <row r="48" spans="1:71" s="567" customFormat="1">
      <c r="A48" s="594"/>
      <c r="B48" s="1122" t="s">
        <v>1121</v>
      </c>
      <c r="C48" s="1122"/>
      <c r="J48" s="568"/>
      <c r="K48" s="568"/>
      <c r="L48" s="569"/>
      <c r="Z48" s="568"/>
      <c r="AA48" s="568"/>
      <c r="BC48" s="571"/>
      <c r="BI48" s="571"/>
      <c r="BJ48" s="571"/>
      <c r="BK48" s="571"/>
      <c r="BL48" s="571"/>
      <c r="BM48" s="571"/>
      <c r="BN48" s="571"/>
      <c r="BO48" s="571"/>
      <c r="BP48" s="571"/>
      <c r="BQ48" s="571"/>
      <c r="BR48" s="571"/>
      <c r="BS48" s="571"/>
    </row>
    <row r="49" spans="1:71" s="567" customFormat="1">
      <c r="A49" s="594"/>
      <c r="B49" s="1122" t="s">
        <v>249</v>
      </c>
      <c r="C49" s="1122">
        <v>191894.31000000003</v>
      </c>
      <c r="J49" s="568"/>
      <c r="K49" s="568"/>
      <c r="L49" s="569"/>
      <c r="Z49" s="568"/>
      <c r="AA49" s="568"/>
      <c r="BC49" s="571"/>
      <c r="BI49" s="571"/>
      <c r="BJ49" s="571"/>
      <c r="BK49" s="571"/>
      <c r="BL49" s="571"/>
      <c r="BM49" s="571"/>
      <c r="BN49" s="571"/>
      <c r="BO49" s="571"/>
      <c r="BP49" s="571"/>
      <c r="BQ49" s="571"/>
      <c r="BR49" s="571"/>
      <c r="BS49" s="571"/>
    </row>
    <row r="50" spans="1:71" s="567" customFormat="1">
      <c r="A50" s="594"/>
      <c r="B50" s="1122" t="s">
        <v>250</v>
      </c>
      <c r="C50" s="1122">
        <v>72565.460000000006</v>
      </c>
      <c r="J50" s="568"/>
      <c r="K50" s="568"/>
      <c r="L50" s="569"/>
      <c r="Z50" s="568"/>
      <c r="AA50" s="568"/>
      <c r="BC50" s="571"/>
      <c r="BI50" s="571"/>
      <c r="BJ50" s="571"/>
      <c r="BK50" s="571"/>
      <c r="BL50" s="571"/>
      <c r="BM50" s="571"/>
      <c r="BN50" s="571"/>
      <c r="BO50" s="571"/>
      <c r="BP50" s="571"/>
      <c r="BQ50" s="571"/>
      <c r="BR50" s="571"/>
      <c r="BS50" s="571"/>
    </row>
    <row r="51" spans="1:71" s="567" customFormat="1">
      <c r="A51" s="594"/>
      <c r="B51" s="1122" t="s">
        <v>240</v>
      </c>
      <c r="C51" s="1122">
        <v>2407</v>
      </c>
      <c r="J51" s="568"/>
      <c r="K51" s="568"/>
      <c r="L51" s="569"/>
      <c r="Z51" s="568"/>
      <c r="AA51" s="568"/>
      <c r="BC51" s="571"/>
      <c r="BI51" s="571"/>
      <c r="BJ51" s="571"/>
      <c r="BK51" s="571"/>
      <c r="BL51" s="571"/>
      <c r="BM51" s="571"/>
      <c r="BN51" s="571"/>
      <c r="BO51" s="571"/>
      <c r="BP51" s="571"/>
      <c r="BQ51" s="571"/>
      <c r="BR51" s="571"/>
      <c r="BS51" s="571"/>
    </row>
    <row r="52" spans="1:71" s="567" customFormat="1">
      <c r="A52" s="594"/>
      <c r="B52" s="1122" t="s">
        <v>858</v>
      </c>
      <c r="C52" s="1122">
        <v>30431.7</v>
      </c>
      <c r="J52" s="568"/>
      <c r="K52" s="568"/>
      <c r="L52" s="569"/>
      <c r="Z52" s="568"/>
      <c r="AA52" s="568"/>
      <c r="BC52" s="571"/>
      <c r="BI52" s="571"/>
      <c r="BJ52" s="571"/>
      <c r="BK52" s="571"/>
      <c r="BL52" s="571"/>
      <c r="BM52" s="571"/>
      <c r="BN52" s="571"/>
      <c r="BO52" s="571"/>
      <c r="BP52" s="571"/>
      <c r="BQ52" s="571"/>
      <c r="BR52" s="571"/>
      <c r="BS52" s="571"/>
    </row>
    <row r="53" spans="1:71" s="567" customFormat="1">
      <c r="A53" s="594"/>
      <c r="B53" s="1122" t="s">
        <v>252</v>
      </c>
      <c r="C53" s="1122"/>
      <c r="J53" s="568"/>
      <c r="K53" s="568"/>
      <c r="L53" s="569"/>
      <c r="Z53" s="568"/>
      <c r="AA53" s="568"/>
      <c r="BC53" s="571"/>
      <c r="BI53" s="571"/>
      <c r="BJ53" s="571"/>
      <c r="BK53" s="571"/>
      <c r="BL53" s="571"/>
      <c r="BM53" s="571"/>
      <c r="BN53" s="571"/>
      <c r="BO53" s="571"/>
      <c r="BP53" s="571"/>
      <c r="BQ53" s="571"/>
      <c r="BR53" s="571"/>
      <c r="BS53" s="571"/>
    </row>
    <row r="54" spans="1:71" s="567" customFormat="1">
      <c r="A54" s="594"/>
      <c r="B54" s="1122" t="s">
        <v>90</v>
      </c>
      <c r="C54" s="1122"/>
      <c r="J54" s="568"/>
      <c r="K54" s="568"/>
      <c r="L54" s="569"/>
      <c r="Z54" s="568"/>
      <c r="AA54" s="568"/>
      <c r="BC54" s="571"/>
      <c r="BI54" s="571"/>
      <c r="BJ54" s="571"/>
      <c r="BK54" s="571"/>
      <c r="BL54" s="571"/>
      <c r="BM54" s="571"/>
      <c r="BN54" s="571"/>
      <c r="BO54" s="571"/>
      <c r="BP54" s="571"/>
      <c r="BQ54" s="571"/>
      <c r="BR54" s="571"/>
      <c r="BS54" s="571"/>
    </row>
    <row r="55" spans="1:71" s="567" customFormat="1">
      <c r="A55" s="594"/>
      <c r="B55" s="1122" t="s">
        <v>340</v>
      </c>
      <c r="C55" s="1122"/>
      <c r="J55" s="568"/>
      <c r="K55" s="568"/>
      <c r="L55" s="569"/>
      <c r="Z55" s="568"/>
      <c r="AA55" s="568"/>
      <c r="BC55" s="571"/>
      <c r="BI55" s="571"/>
      <c r="BJ55" s="571"/>
      <c r="BK55" s="571"/>
      <c r="BL55" s="571"/>
      <c r="BM55" s="571"/>
      <c r="BN55" s="571"/>
      <c r="BO55" s="571"/>
      <c r="BP55" s="571"/>
      <c r="BQ55" s="571"/>
      <c r="BR55" s="571"/>
      <c r="BS55" s="571"/>
    </row>
    <row r="56" spans="1:71" s="567" customFormat="1">
      <c r="A56" s="594"/>
      <c r="B56" s="1122"/>
      <c r="C56" s="1122">
        <v>56743787.519999996</v>
      </c>
      <c r="J56" s="568"/>
      <c r="K56" s="568"/>
      <c r="L56" s="569"/>
      <c r="Z56" s="568"/>
      <c r="AA56" s="568"/>
      <c r="BC56" s="571"/>
      <c r="BI56" s="571"/>
      <c r="BJ56" s="571"/>
      <c r="BK56" s="571"/>
      <c r="BL56" s="571"/>
      <c r="BM56" s="571"/>
      <c r="BN56" s="571"/>
      <c r="BO56" s="571"/>
      <c r="BP56" s="571"/>
      <c r="BQ56" s="571"/>
      <c r="BR56" s="571"/>
      <c r="BS56" s="571"/>
    </row>
    <row r="57" spans="1:71" s="567" customFormat="1">
      <c r="A57" s="594"/>
      <c r="B57" s="594"/>
      <c r="C57" s="594"/>
      <c r="J57" s="568"/>
      <c r="K57" s="568"/>
      <c r="L57" s="569"/>
      <c r="Z57" s="568"/>
      <c r="AA57" s="568"/>
      <c r="BC57" s="571"/>
      <c r="BI57" s="571"/>
      <c r="BJ57" s="571"/>
      <c r="BK57" s="571"/>
      <c r="BL57" s="571"/>
      <c r="BM57" s="571"/>
      <c r="BN57" s="571"/>
      <c r="BO57" s="571"/>
      <c r="BP57" s="571"/>
      <c r="BQ57" s="571"/>
      <c r="BR57" s="571"/>
      <c r="BS57" s="571"/>
    </row>
    <row r="58" spans="1:71" s="567" customFormat="1">
      <c r="A58" s="594"/>
      <c r="B58" s="594"/>
      <c r="C58" s="594"/>
      <c r="J58" s="568"/>
      <c r="K58" s="568"/>
      <c r="L58" s="569"/>
      <c r="Z58" s="568"/>
      <c r="AA58" s="568"/>
      <c r="BC58" s="571"/>
      <c r="BI58" s="571"/>
      <c r="BJ58" s="571"/>
      <c r="BK58" s="571"/>
      <c r="BL58" s="571"/>
      <c r="BM58" s="571"/>
      <c r="BN58" s="571"/>
      <c r="BO58" s="571"/>
      <c r="BP58" s="571"/>
      <c r="BQ58" s="571"/>
      <c r="BR58" s="571"/>
      <c r="BS58" s="571"/>
    </row>
    <row r="59" spans="1:71" s="567" customFormat="1">
      <c r="A59" s="594"/>
      <c r="B59" s="594"/>
      <c r="C59" s="594"/>
      <c r="J59" s="568"/>
      <c r="K59" s="568"/>
      <c r="L59" s="569"/>
      <c r="Z59" s="568"/>
      <c r="AA59" s="568"/>
      <c r="BC59" s="571"/>
      <c r="BI59" s="571"/>
      <c r="BJ59" s="571"/>
      <c r="BK59" s="571"/>
      <c r="BL59" s="571"/>
      <c r="BM59" s="571"/>
      <c r="BN59" s="571"/>
      <c r="BO59" s="571"/>
      <c r="BP59" s="571"/>
      <c r="BQ59" s="571"/>
      <c r="BR59" s="571"/>
      <c r="BS59" s="571"/>
    </row>
    <row r="60" spans="1:71" s="567" customFormat="1">
      <c r="A60" s="594"/>
      <c r="B60" s="594"/>
      <c r="C60" s="594"/>
      <c r="J60" s="568"/>
      <c r="K60" s="568"/>
      <c r="L60" s="569"/>
      <c r="Z60" s="568"/>
      <c r="AA60" s="568"/>
      <c r="BC60" s="571"/>
      <c r="BI60" s="571"/>
      <c r="BJ60" s="571"/>
      <c r="BK60" s="571"/>
      <c r="BL60" s="571"/>
      <c r="BM60" s="571"/>
      <c r="BN60" s="571"/>
      <c r="BO60" s="571"/>
      <c r="BP60" s="571"/>
      <c r="BQ60" s="571"/>
      <c r="BR60" s="571"/>
      <c r="BS60" s="571"/>
    </row>
    <row r="61" spans="1:71" s="567" customFormat="1">
      <c r="A61" s="594"/>
      <c r="B61" s="594"/>
      <c r="C61" s="594"/>
      <c r="J61" s="568"/>
      <c r="K61" s="568"/>
      <c r="L61" s="569"/>
      <c r="Z61" s="568"/>
      <c r="AA61" s="568"/>
      <c r="BC61" s="571"/>
      <c r="BI61" s="571"/>
      <c r="BJ61" s="571"/>
      <c r="BK61" s="571"/>
      <c r="BL61" s="571"/>
      <c r="BM61" s="571"/>
      <c r="BN61" s="571"/>
      <c r="BO61" s="571"/>
      <c r="BP61" s="571"/>
      <c r="BQ61" s="571"/>
      <c r="BR61" s="571"/>
      <c r="BS61" s="571"/>
    </row>
    <row r="62" spans="1:71" s="567" customFormat="1">
      <c r="A62" s="594"/>
      <c r="B62" s="594"/>
      <c r="C62" s="594"/>
      <c r="J62" s="568"/>
      <c r="K62" s="568"/>
      <c r="L62" s="569"/>
      <c r="Z62" s="568"/>
      <c r="AA62" s="568"/>
      <c r="BC62" s="571"/>
      <c r="BI62" s="571"/>
      <c r="BJ62" s="571"/>
      <c r="BK62" s="571"/>
      <c r="BL62" s="571"/>
      <c r="BM62" s="571"/>
      <c r="BN62" s="571"/>
      <c r="BO62" s="571"/>
      <c r="BP62" s="571"/>
      <c r="BQ62" s="571"/>
      <c r="BR62" s="571"/>
      <c r="BS62" s="571"/>
    </row>
    <row r="63" spans="1:71" s="567" customFormat="1">
      <c r="A63" s="594"/>
      <c r="B63" s="594"/>
      <c r="C63" s="594"/>
      <c r="J63" s="568"/>
      <c r="K63" s="568"/>
      <c r="L63" s="569"/>
      <c r="Z63" s="568"/>
      <c r="AA63" s="568"/>
      <c r="BC63" s="571"/>
      <c r="BI63" s="571"/>
      <c r="BJ63" s="571"/>
      <c r="BK63" s="571"/>
      <c r="BL63" s="571"/>
      <c r="BM63" s="571"/>
      <c r="BN63" s="571"/>
      <c r="BO63" s="571"/>
      <c r="BP63" s="571"/>
      <c r="BQ63" s="571"/>
      <c r="BR63" s="571"/>
      <c r="BS63" s="571"/>
    </row>
    <row r="64" spans="1:71" s="567" customFormat="1">
      <c r="A64" s="594"/>
      <c r="B64" s="594"/>
      <c r="C64" s="594"/>
      <c r="J64" s="568"/>
      <c r="K64" s="568"/>
      <c r="L64" s="569"/>
      <c r="Z64" s="568"/>
      <c r="AA64" s="568"/>
      <c r="BC64" s="571"/>
      <c r="BI64" s="571"/>
      <c r="BJ64" s="571"/>
      <c r="BK64" s="571"/>
      <c r="BL64" s="571"/>
      <c r="BM64" s="571"/>
      <c r="BN64" s="571"/>
      <c r="BO64" s="571"/>
      <c r="BP64" s="571"/>
      <c r="BQ64" s="571"/>
      <c r="BR64" s="571"/>
      <c r="BS64" s="571"/>
    </row>
    <row r="65" spans="1:71" s="567" customFormat="1">
      <c r="A65" s="594"/>
      <c r="B65" s="594"/>
      <c r="C65" s="594"/>
      <c r="J65" s="568"/>
      <c r="K65" s="568"/>
      <c r="L65" s="569"/>
      <c r="Z65" s="568"/>
      <c r="AA65" s="568"/>
      <c r="BC65" s="571"/>
      <c r="BI65" s="571"/>
      <c r="BJ65" s="571"/>
      <c r="BK65" s="571"/>
      <c r="BL65" s="571"/>
      <c r="BM65" s="571"/>
      <c r="BN65" s="571"/>
      <c r="BO65" s="571"/>
      <c r="BP65" s="571"/>
      <c r="BQ65" s="571"/>
      <c r="BR65" s="571"/>
      <c r="BS65" s="571"/>
    </row>
    <row r="66" spans="1:71" s="567" customFormat="1">
      <c r="A66" s="594"/>
      <c r="B66" s="594"/>
      <c r="C66" s="594"/>
      <c r="J66" s="568"/>
      <c r="K66" s="568"/>
      <c r="L66" s="569"/>
      <c r="Z66" s="568"/>
      <c r="AA66" s="568"/>
      <c r="BC66" s="571"/>
      <c r="BI66" s="571"/>
      <c r="BJ66" s="571"/>
      <c r="BK66" s="571"/>
      <c r="BL66" s="571"/>
      <c r="BM66" s="571"/>
      <c r="BN66" s="571"/>
      <c r="BO66" s="571"/>
      <c r="BP66" s="571"/>
      <c r="BQ66" s="571"/>
      <c r="BR66" s="571"/>
      <c r="BS66" s="571"/>
    </row>
    <row r="67" spans="1:71" s="567" customFormat="1">
      <c r="A67" s="594"/>
      <c r="B67" s="594"/>
      <c r="C67" s="594"/>
      <c r="J67" s="568"/>
      <c r="K67" s="568"/>
      <c r="L67" s="569"/>
      <c r="Z67" s="568"/>
      <c r="AA67" s="568"/>
      <c r="BC67" s="571"/>
      <c r="BI67" s="571"/>
      <c r="BJ67" s="571"/>
      <c r="BK67" s="571"/>
      <c r="BL67" s="571"/>
      <c r="BM67" s="571"/>
      <c r="BN67" s="571"/>
      <c r="BO67" s="571"/>
      <c r="BP67" s="571"/>
      <c r="BQ67" s="571"/>
      <c r="BR67" s="571"/>
      <c r="BS67" s="571"/>
    </row>
    <row r="68" spans="1:71" s="567" customFormat="1">
      <c r="A68" s="594"/>
      <c r="B68" s="594"/>
      <c r="C68" s="594"/>
      <c r="J68" s="568"/>
      <c r="K68" s="568"/>
      <c r="L68" s="569"/>
      <c r="Z68" s="568"/>
      <c r="AA68" s="568"/>
      <c r="BC68" s="571"/>
      <c r="BI68" s="571"/>
      <c r="BJ68" s="571"/>
      <c r="BK68" s="571"/>
      <c r="BL68" s="571"/>
      <c r="BM68" s="571"/>
      <c r="BN68" s="571"/>
      <c r="BO68" s="571"/>
      <c r="BP68" s="571"/>
      <c r="BQ68" s="571"/>
      <c r="BR68" s="571"/>
      <c r="BS68" s="571"/>
    </row>
    <row r="69" spans="1:71" s="567" customFormat="1">
      <c r="A69" s="594"/>
      <c r="B69" s="594"/>
      <c r="C69" s="594"/>
      <c r="J69" s="568"/>
      <c r="K69" s="568"/>
      <c r="L69" s="569"/>
      <c r="Z69" s="568"/>
      <c r="AA69" s="568"/>
      <c r="BC69" s="571"/>
      <c r="BI69" s="571"/>
      <c r="BJ69" s="571"/>
      <c r="BK69" s="571"/>
      <c r="BL69" s="571"/>
      <c r="BM69" s="571"/>
      <c r="BN69" s="571"/>
      <c r="BO69" s="571"/>
      <c r="BP69" s="571"/>
      <c r="BQ69" s="571"/>
      <c r="BR69" s="571"/>
      <c r="BS69" s="571"/>
    </row>
    <row r="70" spans="1:71" s="567" customFormat="1">
      <c r="A70" s="594"/>
      <c r="B70" s="594"/>
      <c r="C70" s="594"/>
      <c r="J70" s="568"/>
      <c r="K70" s="568"/>
      <c r="L70" s="569"/>
      <c r="Z70" s="568"/>
      <c r="AA70" s="568"/>
      <c r="BC70" s="571"/>
      <c r="BI70" s="571"/>
      <c r="BJ70" s="571"/>
      <c r="BK70" s="571"/>
      <c r="BL70" s="571"/>
      <c r="BM70" s="571"/>
      <c r="BN70" s="571"/>
      <c r="BO70" s="571"/>
      <c r="BP70" s="571"/>
      <c r="BQ70" s="571"/>
      <c r="BR70" s="571"/>
      <c r="BS70" s="571"/>
    </row>
    <row r="71" spans="1:71" s="567" customFormat="1">
      <c r="A71" s="594"/>
      <c r="B71" s="594"/>
      <c r="C71" s="594"/>
      <c r="J71" s="568"/>
      <c r="K71" s="568"/>
      <c r="L71" s="569"/>
      <c r="Z71" s="568"/>
      <c r="AA71" s="568"/>
      <c r="BC71" s="571"/>
      <c r="BI71" s="571"/>
      <c r="BJ71" s="571"/>
      <c r="BK71" s="571"/>
      <c r="BL71" s="571"/>
      <c r="BM71" s="571"/>
      <c r="BN71" s="571"/>
      <c r="BO71" s="571"/>
      <c r="BP71" s="571"/>
      <c r="BQ71" s="571"/>
      <c r="BR71" s="571"/>
      <c r="BS71" s="571"/>
    </row>
    <row r="72" spans="1:71" s="567" customFormat="1">
      <c r="A72" s="594"/>
      <c r="B72" s="594"/>
      <c r="C72" s="594"/>
      <c r="J72" s="568"/>
      <c r="K72" s="568"/>
      <c r="L72" s="569"/>
      <c r="Z72" s="568"/>
      <c r="AA72" s="568"/>
      <c r="BC72" s="571"/>
      <c r="BI72" s="571"/>
      <c r="BJ72" s="571"/>
      <c r="BK72" s="571"/>
      <c r="BL72" s="571"/>
      <c r="BM72" s="571"/>
      <c r="BN72" s="571"/>
      <c r="BO72" s="571"/>
      <c r="BP72" s="571"/>
      <c r="BQ72" s="571"/>
      <c r="BR72" s="571"/>
      <c r="BS72" s="571"/>
    </row>
    <row r="73" spans="1:71" s="567" customFormat="1">
      <c r="A73" s="594"/>
      <c r="B73" s="594"/>
      <c r="C73" s="594"/>
      <c r="J73" s="568"/>
      <c r="K73" s="568"/>
      <c r="L73" s="569"/>
      <c r="Z73" s="568"/>
      <c r="AA73" s="568"/>
      <c r="BC73" s="571"/>
      <c r="BI73" s="571"/>
      <c r="BJ73" s="571"/>
      <c r="BK73" s="571"/>
      <c r="BL73" s="571"/>
      <c r="BM73" s="571"/>
      <c r="BN73" s="571"/>
      <c r="BO73" s="571"/>
      <c r="BP73" s="571"/>
      <c r="BQ73" s="571"/>
      <c r="BR73" s="571"/>
      <c r="BS73" s="571"/>
    </row>
    <row r="74" spans="1:71" s="567" customFormat="1">
      <c r="A74" s="594"/>
      <c r="B74" s="594"/>
      <c r="C74" s="594"/>
      <c r="J74" s="568"/>
      <c r="K74" s="568"/>
      <c r="L74" s="569"/>
      <c r="Z74" s="568"/>
      <c r="AA74" s="568"/>
      <c r="BC74" s="571"/>
      <c r="BI74" s="571"/>
      <c r="BJ74" s="571"/>
      <c r="BK74" s="571"/>
      <c r="BL74" s="571"/>
      <c r="BM74" s="571"/>
      <c r="BN74" s="571"/>
      <c r="BO74" s="571"/>
      <c r="BP74" s="571"/>
      <c r="BQ74" s="571"/>
      <c r="BR74" s="571"/>
      <c r="BS74" s="571"/>
    </row>
    <row r="75" spans="1:71" s="567" customFormat="1">
      <c r="A75" s="594"/>
      <c r="B75" s="594"/>
      <c r="C75" s="594"/>
      <c r="J75" s="568"/>
      <c r="K75" s="568"/>
      <c r="L75" s="569"/>
      <c r="Z75" s="568"/>
      <c r="AA75" s="568"/>
      <c r="BC75" s="571"/>
      <c r="BI75" s="571"/>
      <c r="BJ75" s="571"/>
      <c r="BK75" s="571"/>
      <c r="BL75" s="571"/>
      <c r="BM75" s="571"/>
      <c r="BN75" s="571"/>
      <c r="BO75" s="571"/>
      <c r="BP75" s="571"/>
      <c r="BQ75" s="571"/>
      <c r="BR75" s="571"/>
      <c r="BS75" s="571"/>
    </row>
    <row r="76" spans="1:71" s="567" customFormat="1">
      <c r="A76" s="594"/>
      <c r="B76" s="594"/>
      <c r="C76" s="594"/>
      <c r="J76" s="568"/>
      <c r="K76" s="568"/>
      <c r="L76" s="569"/>
      <c r="Z76" s="568"/>
      <c r="AA76" s="568"/>
      <c r="BC76" s="571"/>
      <c r="BI76" s="571"/>
      <c r="BJ76" s="571"/>
      <c r="BK76" s="571"/>
      <c r="BL76" s="571"/>
      <c r="BM76" s="571"/>
      <c r="BN76" s="571"/>
      <c r="BO76" s="571"/>
      <c r="BP76" s="571"/>
      <c r="BQ76" s="571"/>
      <c r="BR76" s="571"/>
      <c r="BS76" s="571"/>
    </row>
    <row r="77" spans="1:71" s="567" customFormat="1">
      <c r="A77" s="594"/>
      <c r="B77" s="594"/>
      <c r="C77" s="594"/>
      <c r="J77" s="568"/>
      <c r="K77" s="568"/>
      <c r="L77" s="569"/>
      <c r="Z77" s="568"/>
      <c r="AA77" s="568"/>
      <c r="BC77" s="571"/>
      <c r="BI77" s="571"/>
      <c r="BJ77" s="571"/>
      <c r="BK77" s="571"/>
      <c r="BL77" s="571"/>
      <c r="BM77" s="571"/>
      <c r="BN77" s="571"/>
      <c r="BO77" s="571"/>
      <c r="BP77" s="571"/>
      <c r="BQ77" s="571"/>
      <c r="BR77" s="571"/>
      <c r="BS77" s="571"/>
    </row>
    <row r="78" spans="1:71" s="567" customFormat="1">
      <c r="A78" s="594"/>
      <c r="B78" s="594"/>
      <c r="C78" s="594"/>
      <c r="J78" s="568"/>
      <c r="K78" s="568"/>
      <c r="L78" s="569"/>
      <c r="Z78" s="568"/>
      <c r="AA78" s="568"/>
      <c r="BC78" s="571"/>
      <c r="BI78" s="571"/>
      <c r="BJ78" s="571"/>
      <c r="BK78" s="571"/>
      <c r="BL78" s="571"/>
      <c r="BM78" s="571"/>
      <c r="BN78" s="571"/>
      <c r="BO78" s="571"/>
      <c r="BP78" s="571"/>
      <c r="BQ78" s="571"/>
      <c r="BR78" s="571"/>
      <c r="BS78" s="571"/>
    </row>
    <row r="79" spans="1:71" s="567" customFormat="1">
      <c r="A79" s="594"/>
      <c r="B79" s="594"/>
      <c r="C79" s="594"/>
      <c r="J79" s="568"/>
      <c r="K79" s="568"/>
      <c r="L79" s="569"/>
      <c r="Z79" s="568"/>
      <c r="AA79" s="568"/>
      <c r="BC79" s="571"/>
      <c r="BI79" s="571"/>
      <c r="BJ79" s="571"/>
      <c r="BK79" s="571"/>
      <c r="BL79" s="571"/>
      <c r="BM79" s="571"/>
      <c r="BN79" s="571"/>
      <c r="BO79" s="571"/>
      <c r="BP79" s="571"/>
      <c r="BQ79" s="571"/>
      <c r="BR79" s="571"/>
      <c r="BS79" s="571"/>
    </row>
    <row r="80" spans="1:71" s="567" customFormat="1">
      <c r="A80" s="594"/>
      <c r="B80" s="594"/>
      <c r="C80" s="594"/>
      <c r="J80" s="568"/>
      <c r="K80" s="568"/>
      <c r="L80" s="569"/>
      <c r="Z80" s="568"/>
      <c r="AA80" s="568"/>
      <c r="BC80" s="571"/>
      <c r="BI80" s="571"/>
      <c r="BJ80" s="571"/>
      <c r="BK80" s="571"/>
      <c r="BL80" s="571"/>
      <c r="BM80" s="571"/>
      <c r="BN80" s="571"/>
      <c r="BO80" s="571"/>
      <c r="BP80" s="571"/>
      <c r="BQ80" s="571"/>
      <c r="BR80" s="571"/>
      <c r="BS80" s="571"/>
    </row>
    <row r="81" spans="1:71" s="567" customFormat="1">
      <c r="A81" s="594"/>
      <c r="B81" s="594"/>
      <c r="C81" s="594"/>
      <c r="J81" s="568"/>
      <c r="K81" s="568"/>
      <c r="L81" s="569"/>
      <c r="Z81" s="568"/>
      <c r="AA81" s="568"/>
      <c r="BC81" s="571"/>
      <c r="BI81" s="571"/>
      <c r="BJ81" s="571"/>
      <c r="BK81" s="571"/>
      <c r="BL81" s="571"/>
      <c r="BM81" s="571"/>
      <c r="BN81" s="571"/>
      <c r="BO81" s="571"/>
      <c r="BP81" s="571"/>
      <c r="BQ81" s="571"/>
      <c r="BR81" s="571"/>
      <c r="BS81" s="571"/>
    </row>
    <row r="82" spans="1:71" s="567" customFormat="1">
      <c r="A82" s="594"/>
      <c r="B82" s="594"/>
      <c r="C82" s="594"/>
      <c r="J82" s="568"/>
      <c r="K82" s="568"/>
      <c r="L82" s="569"/>
      <c r="Z82" s="568"/>
      <c r="AA82" s="568"/>
      <c r="BC82" s="571"/>
      <c r="BI82" s="571"/>
      <c r="BJ82" s="571"/>
      <c r="BK82" s="571"/>
      <c r="BL82" s="571"/>
      <c r="BM82" s="571"/>
      <c r="BN82" s="571"/>
      <c r="BO82" s="571"/>
      <c r="BP82" s="571"/>
      <c r="BQ82" s="571"/>
      <c r="BR82" s="571"/>
      <c r="BS82" s="571"/>
    </row>
    <row r="83" spans="1:71" s="567" customFormat="1">
      <c r="A83" s="594"/>
      <c r="B83" s="594"/>
      <c r="C83" s="594"/>
      <c r="J83" s="568"/>
      <c r="K83" s="568"/>
      <c r="L83" s="569"/>
      <c r="Z83" s="568"/>
      <c r="AA83" s="568"/>
      <c r="BC83" s="571"/>
      <c r="BI83" s="571"/>
      <c r="BJ83" s="571"/>
      <c r="BK83" s="571"/>
      <c r="BL83" s="571"/>
      <c r="BM83" s="571"/>
      <c r="BN83" s="571"/>
      <c r="BO83" s="571"/>
      <c r="BP83" s="571"/>
      <c r="BQ83" s="571"/>
      <c r="BR83" s="571"/>
      <c r="BS83" s="571"/>
    </row>
    <row r="84" spans="1:71" s="567" customFormat="1">
      <c r="A84" s="594"/>
      <c r="B84" s="594"/>
      <c r="C84" s="594"/>
      <c r="J84" s="568"/>
      <c r="K84" s="568"/>
      <c r="L84" s="569"/>
      <c r="Z84" s="568"/>
      <c r="AA84" s="568"/>
      <c r="BC84" s="571"/>
      <c r="BI84" s="571"/>
      <c r="BJ84" s="571"/>
      <c r="BK84" s="571"/>
      <c r="BL84" s="571"/>
      <c r="BM84" s="571"/>
      <c r="BN84" s="571"/>
      <c r="BO84" s="571"/>
      <c r="BP84" s="571"/>
      <c r="BQ84" s="571"/>
      <c r="BR84" s="571"/>
      <c r="BS84" s="571"/>
    </row>
    <row r="85" spans="1:71" s="567" customFormat="1">
      <c r="A85" s="594"/>
      <c r="B85" s="594"/>
      <c r="C85" s="594"/>
      <c r="J85" s="568"/>
      <c r="K85" s="568"/>
      <c r="L85" s="569"/>
      <c r="Z85" s="568"/>
      <c r="AA85" s="568"/>
      <c r="BC85" s="571"/>
      <c r="BI85" s="571"/>
      <c r="BJ85" s="571"/>
      <c r="BK85" s="571"/>
      <c r="BL85" s="571"/>
      <c r="BM85" s="571"/>
      <c r="BN85" s="571"/>
      <c r="BO85" s="571"/>
      <c r="BP85" s="571"/>
      <c r="BQ85" s="571"/>
      <c r="BR85" s="571"/>
      <c r="BS85" s="571"/>
    </row>
    <row r="86" spans="1:71" s="567" customFormat="1">
      <c r="A86" s="594"/>
      <c r="B86" s="594"/>
      <c r="C86" s="594"/>
      <c r="J86" s="568"/>
      <c r="K86" s="568"/>
      <c r="L86" s="569"/>
      <c r="Z86" s="568"/>
      <c r="AA86" s="568"/>
      <c r="BC86" s="571"/>
      <c r="BI86" s="571"/>
      <c r="BJ86" s="571"/>
      <c r="BK86" s="571"/>
      <c r="BL86" s="571"/>
      <c r="BM86" s="571"/>
      <c r="BN86" s="571"/>
      <c r="BO86" s="571"/>
      <c r="BP86" s="571"/>
      <c r="BQ86" s="571"/>
      <c r="BR86" s="571"/>
      <c r="BS86" s="571"/>
    </row>
    <row r="87" spans="1:71" s="567" customFormat="1">
      <c r="A87" s="594"/>
      <c r="B87" s="594"/>
      <c r="C87" s="594"/>
      <c r="J87" s="568"/>
      <c r="K87" s="568"/>
      <c r="L87" s="569"/>
      <c r="Z87" s="568"/>
      <c r="AA87" s="568"/>
      <c r="BC87" s="571"/>
      <c r="BI87" s="571"/>
      <c r="BJ87" s="571"/>
      <c r="BK87" s="571"/>
      <c r="BL87" s="571"/>
      <c r="BM87" s="571"/>
      <c r="BN87" s="571"/>
      <c r="BO87" s="571"/>
      <c r="BP87" s="571"/>
      <c r="BQ87" s="571"/>
      <c r="BR87" s="571"/>
      <c r="BS87" s="571"/>
    </row>
    <row r="88" spans="1:71" s="567" customFormat="1">
      <c r="A88" s="594"/>
      <c r="B88" s="594"/>
      <c r="C88" s="594"/>
      <c r="J88" s="568"/>
      <c r="K88" s="568"/>
      <c r="L88" s="569"/>
      <c r="Z88" s="568"/>
      <c r="AA88" s="568"/>
      <c r="BC88" s="571"/>
      <c r="BI88" s="571"/>
      <c r="BJ88" s="571"/>
      <c r="BK88" s="571"/>
      <c r="BL88" s="571"/>
      <c r="BM88" s="571"/>
      <c r="BN88" s="571"/>
      <c r="BO88" s="571"/>
      <c r="BP88" s="571"/>
      <c r="BQ88" s="571"/>
      <c r="BR88" s="571"/>
      <c r="BS88" s="571"/>
    </row>
    <row r="89" spans="1:71" s="567" customFormat="1">
      <c r="A89" s="594"/>
      <c r="B89" s="594"/>
      <c r="C89" s="594"/>
      <c r="J89" s="568"/>
      <c r="K89" s="568"/>
      <c r="L89" s="569"/>
      <c r="Z89" s="568"/>
      <c r="AA89" s="568"/>
      <c r="BC89" s="571"/>
      <c r="BI89" s="571"/>
      <c r="BJ89" s="571"/>
      <c r="BK89" s="571"/>
      <c r="BL89" s="571"/>
      <c r="BM89" s="571"/>
      <c r="BN89" s="571"/>
      <c r="BO89" s="571"/>
      <c r="BP89" s="571"/>
      <c r="BQ89" s="571"/>
      <c r="BR89" s="571"/>
      <c r="BS89" s="571"/>
    </row>
    <row r="90" spans="1:71" s="567" customFormat="1">
      <c r="A90" s="594"/>
      <c r="B90" s="594"/>
      <c r="C90" s="594"/>
      <c r="J90" s="568"/>
      <c r="K90" s="568"/>
      <c r="L90" s="569"/>
      <c r="Z90" s="568"/>
      <c r="AA90" s="568"/>
      <c r="BC90" s="571"/>
      <c r="BI90" s="571"/>
      <c r="BJ90" s="571"/>
      <c r="BK90" s="571"/>
      <c r="BL90" s="571"/>
      <c r="BM90" s="571"/>
      <c r="BN90" s="571"/>
      <c r="BO90" s="571"/>
      <c r="BP90" s="571"/>
      <c r="BQ90" s="571"/>
      <c r="BR90" s="571"/>
      <c r="BS90" s="571"/>
    </row>
    <row r="91" spans="1:71" s="567" customFormat="1">
      <c r="A91" s="594"/>
      <c r="B91" s="594"/>
      <c r="C91" s="594"/>
      <c r="J91" s="568"/>
      <c r="K91" s="568"/>
      <c r="L91" s="569"/>
      <c r="Z91" s="568"/>
      <c r="AA91" s="568"/>
      <c r="BC91" s="571"/>
      <c r="BI91" s="571"/>
      <c r="BJ91" s="571"/>
      <c r="BK91" s="571"/>
      <c r="BL91" s="571"/>
      <c r="BM91" s="571"/>
      <c r="BN91" s="571"/>
      <c r="BO91" s="571"/>
      <c r="BP91" s="571"/>
      <c r="BQ91" s="571"/>
      <c r="BR91" s="571"/>
      <c r="BS91" s="571"/>
    </row>
    <row r="92" spans="1:71" s="567" customFormat="1">
      <c r="A92" s="594"/>
      <c r="B92" s="594"/>
      <c r="C92" s="594"/>
      <c r="J92" s="568"/>
      <c r="K92" s="568"/>
      <c r="L92" s="569"/>
      <c r="Z92" s="568"/>
      <c r="AA92" s="568"/>
      <c r="BC92" s="571"/>
      <c r="BI92" s="571"/>
      <c r="BJ92" s="571"/>
      <c r="BK92" s="571"/>
      <c r="BL92" s="571"/>
      <c r="BM92" s="571"/>
      <c r="BN92" s="571"/>
      <c r="BO92" s="571"/>
      <c r="BP92" s="571"/>
      <c r="BQ92" s="571"/>
      <c r="BR92" s="571"/>
      <c r="BS92" s="571"/>
    </row>
    <row r="93" spans="1:71" s="567" customFormat="1">
      <c r="A93" s="594"/>
      <c r="B93" s="594"/>
      <c r="C93" s="594"/>
      <c r="J93" s="568"/>
      <c r="K93" s="568"/>
      <c r="L93" s="569"/>
      <c r="Z93" s="568"/>
      <c r="AA93" s="568"/>
      <c r="BC93" s="571"/>
      <c r="BI93" s="571"/>
      <c r="BJ93" s="571"/>
      <c r="BK93" s="571"/>
      <c r="BL93" s="571"/>
      <c r="BM93" s="571"/>
      <c r="BN93" s="571"/>
      <c r="BO93" s="571"/>
      <c r="BP93" s="571"/>
      <c r="BQ93" s="571"/>
      <c r="BR93" s="571"/>
      <c r="BS93" s="571"/>
    </row>
    <row r="94" spans="1:71" s="567" customFormat="1">
      <c r="A94" s="594"/>
      <c r="B94" s="594"/>
      <c r="C94" s="594"/>
      <c r="J94" s="568"/>
      <c r="K94" s="568"/>
      <c r="L94" s="569"/>
      <c r="Z94" s="568"/>
      <c r="AA94" s="568"/>
      <c r="BC94" s="571"/>
      <c r="BI94" s="571"/>
      <c r="BJ94" s="571"/>
      <c r="BK94" s="571"/>
      <c r="BL94" s="571"/>
      <c r="BM94" s="571"/>
      <c r="BN94" s="571"/>
      <c r="BO94" s="571"/>
      <c r="BP94" s="571"/>
      <c r="BQ94" s="571"/>
      <c r="BR94" s="571"/>
      <c r="BS94" s="571"/>
    </row>
    <row r="95" spans="1:71" s="567" customFormat="1">
      <c r="A95" s="594"/>
      <c r="B95" s="594"/>
      <c r="C95" s="594"/>
      <c r="J95" s="568"/>
      <c r="K95" s="568"/>
      <c r="L95" s="569"/>
      <c r="Z95" s="568"/>
      <c r="AA95" s="568"/>
      <c r="BC95" s="571"/>
      <c r="BI95" s="571"/>
      <c r="BJ95" s="571"/>
      <c r="BK95" s="571"/>
      <c r="BL95" s="571"/>
      <c r="BM95" s="571"/>
      <c r="BN95" s="571"/>
      <c r="BO95" s="571"/>
      <c r="BP95" s="571"/>
      <c r="BQ95" s="571"/>
      <c r="BR95" s="571"/>
      <c r="BS95" s="571"/>
    </row>
    <row r="96" spans="1:71" s="567" customFormat="1">
      <c r="A96" s="594"/>
      <c r="B96" s="594"/>
      <c r="C96" s="594"/>
      <c r="J96" s="568"/>
      <c r="K96" s="568"/>
      <c r="L96" s="569"/>
      <c r="Z96" s="568"/>
      <c r="AA96" s="568"/>
      <c r="BC96" s="571"/>
      <c r="BI96" s="571"/>
      <c r="BJ96" s="571"/>
      <c r="BK96" s="571"/>
      <c r="BL96" s="571"/>
      <c r="BM96" s="571"/>
      <c r="BN96" s="571"/>
      <c r="BO96" s="571"/>
      <c r="BP96" s="571"/>
      <c r="BQ96" s="571"/>
      <c r="BR96" s="571"/>
      <c r="BS96" s="571"/>
    </row>
    <row r="97" spans="1:71" s="567" customFormat="1">
      <c r="A97" s="594"/>
      <c r="B97" s="594"/>
      <c r="C97" s="594"/>
      <c r="J97" s="568"/>
      <c r="K97" s="568"/>
      <c r="L97" s="569"/>
      <c r="Z97" s="568"/>
      <c r="AA97" s="568"/>
      <c r="BC97" s="571"/>
      <c r="BI97" s="571"/>
      <c r="BJ97" s="571"/>
      <c r="BK97" s="571"/>
      <c r="BL97" s="571"/>
      <c r="BM97" s="571"/>
      <c r="BN97" s="571"/>
      <c r="BO97" s="571"/>
      <c r="BP97" s="571"/>
      <c r="BQ97" s="571"/>
      <c r="BR97" s="571"/>
      <c r="BS97" s="571"/>
    </row>
    <row r="98" spans="1:71" s="567" customFormat="1">
      <c r="A98" s="594"/>
      <c r="B98" s="594"/>
      <c r="C98" s="594"/>
      <c r="J98" s="568"/>
      <c r="K98" s="568"/>
      <c r="L98" s="569"/>
      <c r="Z98" s="568"/>
      <c r="AA98" s="568"/>
      <c r="BC98" s="571"/>
      <c r="BI98" s="571"/>
      <c r="BJ98" s="571"/>
      <c r="BK98" s="571"/>
      <c r="BL98" s="571"/>
      <c r="BM98" s="571"/>
      <c r="BN98" s="571"/>
      <c r="BO98" s="571"/>
      <c r="BP98" s="571"/>
      <c r="BQ98" s="571"/>
      <c r="BR98" s="571"/>
      <c r="BS98" s="571"/>
    </row>
    <row r="99" spans="1:71" s="567" customFormat="1">
      <c r="A99" s="594"/>
      <c r="B99" s="594"/>
      <c r="C99" s="594"/>
      <c r="J99" s="568"/>
      <c r="K99" s="568"/>
      <c r="L99" s="569"/>
      <c r="Z99" s="568"/>
      <c r="AA99" s="568"/>
      <c r="BC99" s="571"/>
      <c r="BI99" s="571"/>
      <c r="BJ99" s="571"/>
      <c r="BK99" s="571"/>
      <c r="BL99" s="571"/>
      <c r="BM99" s="571"/>
      <c r="BN99" s="571"/>
      <c r="BO99" s="571"/>
      <c r="BP99" s="571"/>
      <c r="BQ99" s="571"/>
      <c r="BR99" s="571"/>
      <c r="BS99" s="571"/>
    </row>
    <row r="100" spans="1:71" s="567" customFormat="1">
      <c r="A100" s="594"/>
      <c r="B100" s="594"/>
      <c r="C100" s="594"/>
      <c r="J100" s="568"/>
      <c r="K100" s="568"/>
      <c r="L100" s="569"/>
      <c r="Z100" s="568"/>
      <c r="AA100" s="568"/>
      <c r="BC100" s="571"/>
      <c r="BI100" s="571"/>
      <c r="BJ100" s="571"/>
      <c r="BK100" s="571"/>
      <c r="BL100" s="571"/>
      <c r="BM100" s="571"/>
      <c r="BN100" s="571"/>
      <c r="BO100" s="571"/>
      <c r="BP100" s="571"/>
      <c r="BQ100" s="571"/>
      <c r="BR100" s="571"/>
      <c r="BS100" s="571"/>
    </row>
    <row r="101" spans="1:71" s="567" customFormat="1">
      <c r="A101" s="594"/>
      <c r="B101" s="594"/>
      <c r="C101" s="594"/>
      <c r="J101" s="568"/>
      <c r="K101" s="568"/>
      <c r="L101" s="569"/>
      <c r="Z101" s="568"/>
      <c r="AA101" s="568"/>
      <c r="BC101" s="571"/>
      <c r="BI101" s="571"/>
      <c r="BJ101" s="571"/>
      <c r="BK101" s="571"/>
      <c r="BL101" s="571"/>
      <c r="BM101" s="571"/>
      <c r="BN101" s="571"/>
      <c r="BO101" s="571"/>
      <c r="BP101" s="571"/>
      <c r="BQ101" s="571"/>
      <c r="BR101" s="571"/>
      <c r="BS101" s="571"/>
    </row>
    <row r="102" spans="1:71" s="567" customFormat="1">
      <c r="A102" s="594"/>
      <c r="B102" s="594"/>
      <c r="C102" s="594"/>
      <c r="J102" s="568"/>
      <c r="K102" s="568"/>
      <c r="L102" s="569"/>
      <c r="Z102" s="568"/>
      <c r="AA102" s="568"/>
      <c r="BC102" s="571"/>
      <c r="BI102" s="571"/>
      <c r="BJ102" s="571"/>
      <c r="BK102" s="571"/>
      <c r="BL102" s="571"/>
      <c r="BM102" s="571"/>
      <c r="BN102" s="571"/>
      <c r="BO102" s="571"/>
      <c r="BP102" s="571"/>
      <c r="BQ102" s="571"/>
      <c r="BR102" s="571"/>
      <c r="BS102" s="571"/>
    </row>
    <row r="103" spans="1:71" s="567" customFormat="1">
      <c r="A103" s="594"/>
      <c r="B103" s="594"/>
      <c r="C103" s="594"/>
      <c r="J103" s="568"/>
      <c r="K103" s="568"/>
      <c r="L103" s="569"/>
      <c r="Z103" s="568"/>
      <c r="AA103" s="568"/>
      <c r="BC103" s="571"/>
      <c r="BI103" s="571"/>
      <c r="BJ103" s="571"/>
      <c r="BK103" s="571"/>
      <c r="BL103" s="571"/>
      <c r="BM103" s="571"/>
      <c r="BN103" s="571"/>
      <c r="BO103" s="571"/>
      <c r="BP103" s="571"/>
      <c r="BQ103" s="571"/>
      <c r="BR103" s="571"/>
      <c r="BS103" s="571"/>
    </row>
    <row r="104" spans="1:71" s="567" customFormat="1">
      <c r="A104" s="594"/>
      <c r="B104" s="594"/>
      <c r="C104" s="594"/>
      <c r="J104" s="568"/>
      <c r="K104" s="568"/>
      <c r="L104" s="569"/>
      <c r="Z104" s="568"/>
      <c r="AA104" s="568"/>
      <c r="BC104" s="571"/>
      <c r="BI104" s="571"/>
      <c r="BJ104" s="571"/>
      <c r="BK104" s="571"/>
      <c r="BL104" s="571"/>
      <c r="BM104" s="571"/>
      <c r="BN104" s="571"/>
      <c r="BO104" s="571"/>
      <c r="BP104" s="571"/>
      <c r="BQ104" s="571"/>
      <c r="BR104" s="571"/>
      <c r="BS104" s="571"/>
    </row>
    <row r="105" spans="1:71" s="567" customFormat="1">
      <c r="A105" s="594"/>
      <c r="B105" s="594"/>
      <c r="C105" s="594"/>
      <c r="J105" s="568"/>
      <c r="K105" s="568"/>
      <c r="L105" s="569"/>
      <c r="Z105" s="568"/>
      <c r="AA105" s="568"/>
      <c r="BC105" s="571"/>
      <c r="BI105" s="571"/>
      <c r="BJ105" s="571"/>
      <c r="BK105" s="571"/>
      <c r="BL105" s="571"/>
      <c r="BM105" s="571"/>
      <c r="BN105" s="571"/>
      <c r="BO105" s="571"/>
      <c r="BP105" s="571"/>
      <c r="BQ105" s="571"/>
      <c r="BR105" s="571"/>
      <c r="BS105" s="571"/>
    </row>
    <row r="106" spans="1:71" s="567" customFormat="1">
      <c r="A106" s="594"/>
      <c r="B106" s="594"/>
      <c r="C106" s="594"/>
      <c r="J106" s="568"/>
      <c r="K106" s="568"/>
      <c r="L106" s="569"/>
      <c r="Z106" s="568"/>
      <c r="AA106" s="568"/>
      <c r="BC106" s="571"/>
      <c r="BI106" s="571"/>
      <c r="BJ106" s="571"/>
      <c r="BK106" s="571"/>
      <c r="BL106" s="571"/>
      <c r="BM106" s="571"/>
      <c r="BN106" s="571"/>
      <c r="BO106" s="571"/>
      <c r="BP106" s="571"/>
      <c r="BQ106" s="571"/>
      <c r="BR106" s="571"/>
      <c r="BS106" s="571"/>
    </row>
    <row r="107" spans="1:71" s="567" customFormat="1">
      <c r="A107" s="594"/>
      <c r="B107" s="594"/>
      <c r="C107" s="594"/>
      <c r="J107" s="568"/>
      <c r="K107" s="568"/>
      <c r="L107" s="569"/>
      <c r="Z107" s="568"/>
      <c r="AA107" s="568"/>
      <c r="BC107" s="571"/>
      <c r="BI107" s="571"/>
      <c r="BJ107" s="571"/>
      <c r="BK107" s="571"/>
      <c r="BL107" s="571"/>
      <c r="BM107" s="571"/>
      <c r="BN107" s="571"/>
      <c r="BO107" s="571"/>
      <c r="BP107" s="571"/>
      <c r="BQ107" s="571"/>
      <c r="BR107" s="571"/>
      <c r="BS107" s="571"/>
    </row>
    <row r="108" spans="1:71" s="567" customFormat="1">
      <c r="A108" s="594"/>
      <c r="B108" s="594"/>
      <c r="C108" s="594"/>
      <c r="J108" s="568"/>
      <c r="K108" s="568"/>
      <c r="L108" s="569"/>
      <c r="Z108" s="568"/>
      <c r="AA108" s="568"/>
      <c r="BC108" s="571"/>
      <c r="BI108" s="571"/>
      <c r="BJ108" s="571"/>
      <c r="BK108" s="571"/>
      <c r="BL108" s="571"/>
      <c r="BM108" s="571"/>
      <c r="BN108" s="571"/>
      <c r="BO108" s="571"/>
      <c r="BP108" s="571"/>
      <c r="BQ108" s="571"/>
      <c r="BR108" s="571"/>
      <c r="BS108" s="571"/>
    </row>
    <row r="109" spans="1:71" s="567" customFormat="1">
      <c r="A109" s="594"/>
      <c r="B109" s="594"/>
      <c r="C109" s="594"/>
      <c r="J109" s="568"/>
      <c r="K109" s="568"/>
      <c r="L109" s="569"/>
      <c r="Z109" s="568"/>
      <c r="AA109" s="568"/>
      <c r="BC109" s="571"/>
      <c r="BI109" s="571"/>
      <c r="BJ109" s="571"/>
      <c r="BK109" s="571"/>
      <c r="BL109" s="571"/>
      <c r="BM109" s="571"/>
      <c r="BN109" s="571"/>
      <c r="BO109" s="571"/>
      <c r="BP109" s="571"/>
      <c r="BQ109" s="571"/>
      <c r="BR109" s="571"/>
      <c r="BS109" s="571"/>
    </row>
    <row r="110" spans="1:71" s="567" customFormat="1">
      <c r="A110" s="594"/>
      <c r="B110" s="594"/>
      <c r="C110" s="594"/>
      <c r="J110" s="568"/>
      <c r="K110" s="568"/>
      <c r="L110" s="569"/>
      <c r="Z110" s="568"/>
      <c r="AA110" s="568"/>
      <c r="BC110" s="571"/>
      <c r="BI110" s="571"/>
      <c r="BJ110" s="571"/>
      <c r="BK110" s="571"/>
      <c r="BL110" s="571"/>
      <c r="BM110" s="571"/>
      <c r="BN110" s="571"/>
      <c r="BO110" s="571"/>
      <c r="BP110" s="571"/>
      <c r="BQ110" s="571"/>
      <c r="BR110" s="571"/>
      <c r="BS110" s="571"/>
    </row>
    <row r="111" spans="1:71" s="567" customFormat="1">
      <c r="A111" s="594"/>
      <c r="B111" s="594"/>
      <c r="C111" s="594"/>
      <c r="J111" s="568"/>
      <c r="K111" s="568"/>
      <c r="L111" s="569"/>
      <c r="Z111" s="568"/>
      <c r="AA111" s="568"/>
      <c r="BC111" s="571"/>
      <c r="BI111" s="571"/>
      <c r="BJ111" s="571"/>
      <c r="BK111" s="571"/>
      <c r="BL111" s="571"/>
      <c r="BM111" s="571"/>
      <c r="BN111" s="571"/>
      <c r="BO111" s="571"/>
      <c r="BP111" s="571"/>
      <c r="BQ111" s="571"/>
      <c r="BR111" s="571"/>
      <c r="BS111" s="571"/>
    </row>
    <row r="112" spans="1:71" s="567" customFormat="1">
      <c r="A112" s="594"/>
      <c r="B112" s="594"/>
      <c r="C112" s="594"/>
      <c r="J112" s="568"/>
      <c r="K112" s="568"/>
      <c r="L112" s="569"/>
      <c r="Z112" s="568"/>
      <c r="AA112" s="568"/>
      <c r="BC112" s="571"/>
      <c r="BI112" s="571"/>
      <c r="BJ112" s="571"/>
      <c r="BK112" s="571"/>
      <c r="BL112" s="571"/>
      <c r="BM112" s="571"/>
      <c r="BN112" s="571"/>
      <c r="BO112" s="571"/>
      <c r="BP112" s="571"/>
      <c r="BQ112" s="571"/>
      <c r="BR112" s="571"/>
      <c r="BS112" s="571"/>
    </row>
    <row r="113" spans="1:71" s="567" customFormat="1">
      <c r="A113" s="594"/>
      <c r="B113" s="594"/>
      <c r="C113" s="594"/>
      <c r="J113" s="568"/>
      <c r="K113" s="568"/>
      <c r="L113" s="569"/>
      <c r="Z113" s="568"/>
      <c r="AA113" s="568"/>
      <c r="BC113" s="571"/>
      <c r="BI113" s="571"/>
      <c r="BJ113" s="571"/>
      <c r="BK113" s="571"/>
      <c r="BL113" s="571"/>
      <c r="BM113" s="571"/>
      <c r="BN113" s="571"/>
      <c r="BO113" s="571"/>
      <c r="BP113" s="571"/>
      <c r="BQ113" s="571"/>
      <c r="BR113" s="571"/>
      <c r="BS113" s="571"/>
    </row>
    <row r="114" spans="1:71" s="567" customFormat="1">
      <c r="A114" s="594"/>
      <c r="B114" s="594"/>
      <c r="C114" s="594"/>
      <c r="J114" s="568"/>
      <c r="K114" s="568"/>
      <c r="L114" s="569"/>
      <c r="Z114" s="568"/>
      <c r="AA114" s="568"/>
      <c r="BC114" s="571"/>
      <c r="BI114" s="571"/>
      <c r="BJ114" s="571"/>
      <c r="BK114" s="571"/>
      <c r="BL114" s="571"/>
      <c r="BM114" s="571"/>
      <c r="BN114" s="571"/>
      <c r="BO114" s="571"/>
      <c r="BP114" s="571"/>
      <c r="BQ114" s="571"/>
      <c r="BR114" s="571"/>
      <c r="BS114" s="571"/>
    </row>
    <row r="115" spans="1:71" s="567" customFormat="1">
      <c r="A115" s="594"/>
      <c r="B115" s="594"/>
      <c r="C115" s="594"/>
      <c r="J115" s="568"/>
      <c r="K115" s="568"/>
      <c r="L115" s="569"/>
      <c r="Z115" s="568"/>
      <c r="AA115" s="568"/>
      <c r="BC115" s="571"/>
      <c r="BI115" s="571"/>
      <c r="BJ115" s="571"/>
      <c r="BK115" s="571"/>
      <c r="BL115" s="571"/>
      <c r="BM115" s="571"/>
      <c r="BN115" s="571"/>
      <c r="BO115" s="571"/>
      <c r="BP115" s="571"/>
      <c r="BQ115" s="571"/>
      <c r="BR115" s="571"/>
      <c r="BS115" s="571"/>
    </row>
    <row r="116" spans="1:71" s="567" customFormat="1">
      <c r="A116" s="594"/>
      <c r="B116" s="594"/>
      <c r="C116" s="594"/>
      <c r="J116" s="568"/>
      <c r="K116" s="568"/>
      <c r="L116" s="569"/>
      <c r="Z116" s="568"/>
      <c r="AA116" s="568"/>
      <c r="BC116" s="571"/>
      <c r="BI116" s="571"/>
      <c r="BJ116" s="571"/>
      <c r="BK116" s="571"/>
      <c r="BL116" s="571"/>
      <c r="BM116" s="571"/>
      <c r="BN116" s="571"/>
      <c r="BO116" s="571"/>
      <c r="BP116" s="571"/>
      <c r="BQ116" s="571"/>
      <c r="BR116" s="571"/>
      <c r="BS116" s="571"/>
    </row>
    <row r="117" spans="1:71" s="567" customFormat="1">
      <c r="A117" s="594"/>
      <c r="B117" s="594"/>
      <c r="C117" s="594"/>
      <c r="J117" s="568"/>
      <c r="K117" s="568"/>
      <c r="L117" s="569"/>
      <c r="Z117" s="568"/>
      <c r="AA117" s="568"/>
      <c r="BC117" s="571"/>
      <c r="BI117" s="571"/>
      <c r="BJ117" s="571"/>
      <c r="BK117" s="571"/>
      <c r="BL117" s="571"/>
      <c r="BM117" s="571"/>
      <c r="BN117" s="571"/>
      <c r="BO117" s="571"/>
      <c r="BP117" s="571"/>
      <c r="BQ117" s="571"/>
      <c r="BR117" s="571"/>
      <c r="BS117" s="571"/>
    </row>
    <row r="118" spans="1:71" s="567" customFormat="1">
      <c r="A118" s="594"/>
      <c r="B118" s="594"/>
      <c r="C118" s="594"/>
      <c r="J118" s="568"/>
      <c r="K118" s="568"/>
      <c r="L118" s="569"/>
      <c r="Z118" s="568"/>
      <c r="AA118" s="568"/>
      <c r="BC118" s="571"/>
      <c r="BI118" s="571"/>
      <c r="BJ118" s="571"/>
      <c r="BK118" s="571"/>
      <c r="BL118" s="571"/>
      <c r="BM118" s="571"/>
      <c r="BN118" s="571"/>
      <c r="BO118" s="571"/>
      <c r="BP118" s="571"/>
      <c r="BQ118" s="571"/>
      <c r="BR118" s="571"/>
      <c r="BS118" s="571"/>
    </row>
    <row r="119" spans="1:71" s="567" customFormat="1">
      <c r="A119" s="594"/>
      <c r="B119" s="594"/>
      <c r="C119" s="594"/>
      <c r="J119" s="568"/>
      <c r="K119" s="568"/>
      <c r="L119" s="569"/>
      <c r="Z119" s="568"/>
      <c r="AA119" s="568"/>
      <c r="BC119" s="571"/>
      <c r="BI119" s="571"/>
      <c r="BJ119" s="571"/>
      <c r="BK119" s="571"/>
      <c r="BL119" s="571"/>
      <c r="BM119" s="571"/>
      <c r="BN119" s="571"/>
      <c r="BO119" s="571"/>
      <c r="BP119" s="571"/>
      <c r="BQ119" s="571"/>
      <c r="BR119" s="571"/>
      <c r="BS119" s="571"/>
    </row>
    <row r="120" spans="1:71" s="567" customFormat="1">
      <c r="A120" s="594"/>
      <c r="B120" s="594"/>
      <c r="C120" s="594"/>
      <c r="J120" s="568"/>
      <c r="K120" s="568"/>
      <c r="L120" s="569"/>
      <c r="Z120" s="568"/>
      <c r="AA120" s="568"/>
      <c r="BC120" s="571"/>
      <c r="BI120" s="571"/>
      <c r="BJ120" s="571"/>
      <c r="BK120" s="571"/>
      <c r="BL120" s="571"/>
      <c r="BM120" s="571"/>
      <c r="BN120" s="571"/>
      <c r="BO120" s="571"/>
      <c r="BP120" s="571"/>
      <c r="BQ120" s="571"/>
      <c r="BR120" s="571"/>
      <c r="BS120" s="571"/>
    </row>
    <row r="121" spans="1:71" s="567" customFormat="1">
      <c r="A121" s="594"/>
      <c r="B121" s="594"/>
      <c r="C121" s="594"/>
      <c r="J121" s="568"/>
      <c r="K121" s="568"/>
      <c r="L121" s="569"/>
      <c r="Z121" s="568"/>
      <c r="AA121" s="568"/>
      <c r="BC121" s="571"/>
      <c r="BI121" s="571"/>
      <c r="BJ121" s="571"/>
      <c r="BK121" s="571"/>
      <c r="BL121" s="571"/>
      <c r="BM121" s="571"/>
      <c r="BN121" s="571"/>
      <c r="BO121" s="571"/>
      <c r="BP121" s="571"/>
      <c r="BQ121" s="571"/>
      <c r="BR121" s="571"/>
      <c r="BS121" s="571"/>
    </row>
    <row r="122" spans="1:71" s="567" customFormat="1">
      <c r="A122" s="594"/>
      <c r="B122" s="594"/>
      <c r="C122" s="594"/>
      <c r="J122" s="568"/>
      <c r="K122" s="568"/>
      <c r="L122" s="569"/>
      <c r="Z122" s="568"/>
      <c r="AA122" s="568"/>
      <c r="BC122" s="571"/>
      <c r="BI122" s="571"/>
      <c r="BJ122" s="571"/>
      <c r="BK122" s="571"/>
      <c r="BL122" s="571"/>
      <c r="BM122" s="571"/>
      <c r="BN122" s="571"/>
      <c r="BO122" s="571"/>
      <c r="BP122" s="571"/>
      <c r="BQ122" s="571"/>
      <c r="BR122" s="571"/>
      <c r="BS122" s="571"/>
    </row>
    <row r="123" spans="1:71" s="567" customFormat="1">
      <c r="A123" s="594"/>
      <c r="B123" s="594"/>
      <c r="C123" s="594"/>
      <c r="J123" s="568"/>
      <c r="K123" s="568"/>
      <c r="L123" s="569"/>
      <c r="Z123" s="568"/>
      <c r="AA123" s="568"/>
      <c r="BC123" s="571"/>
      <c r="BI123" s="571"/>
      <c r="BJ123" s="571"/>
      <c r="BK123" s="571"/>
      <c r="BL123" s="571"/>
      <c r="BM123" s="571"/>
      <c r="BN123" s="571"/>
      <c r="BO123" s="571"/>
      <c r="BP123" s="571"/>
      <c r="BQ123" s="571"/>
      <c r="BR123" s="571"/>
      <c r="BS123" s="571"/>
    </row>
    <row r="124" spans="1:71" s="567" customFormat="1">
      <c r="A124" s="594"/>
      <c r="B124" s="594"/>
      <c r="C124" s="594"/>
      <c r="J124" s="568"/>
      <c r="K124" s="568"/>
      <c r="L124" s="569"/>
      <c r="Z124" s="568"/>
      <c r="AA124" s="568"/>
      <c r="BC124" s="571"/>
      <c r="BI124" s="571"/>
      <c r="BJ124" s="571"/>
      <c r="BK124" s="571"/>
      <c r="BL124" s="571"/>
      <c r="BM124" s="571"/>
      <c r="BN124" s="571"/>
      <c r="BO124" s="571"/>
      <c r="BP124" s="571"/>
      <c r="BQ124" s="571"/>
      <c r="BR124" s="571"/>
      <c r="BS124" s="571"/>
    </row>
    <row r="125" spans="1:71" s="567" customFormat="1">
      <c r="A125" s="594"/>
      <c r="B125" s="594"/>
      <c r="C125" s="594"/>
      <c r="J125" s="568"/>
      <c r="K125" s="568"/>
      <c r="L125" s="569"/>
      <c r="Z125" s="568"/>
      <c r="AA125" s="568"/>
      <c r="BC125" s="571"/>
      <c r="BI125" s="571"/>
      <c r="BJ125" s="571"/>
      <c r="BK125" s="571"/>
      <c r="BL125" s="571"/>
      <c r="BM125" s="571"/>
      <c r="BN125" s="571"/>
      <c r="BO125" s="571"/>
      <c r="BP125" s="571"/>
      <c r="BQ125" s="571"/>
      <c r="BR125" s="571"/>
      <c r="BS125" s="571"/>
    </row>
    <row r="126" spans="1:71" s="567" customFormat="1">
      <c r="A126" s="594"/>
      <c r="B126" s="594"/>
      <c r="C126" s="594"/>
      <c r="J126" s="568"/>
      <c r="K126" s="568"/>
      <c r="L126" s="569"/>
      <c r="Z126" s="568"/>
      <c r="AA126" s="568"/>
      <c r="BC126" s="571"/>
      <c r="BI126" s="571"/>
      <c r="BJ126" s="571"/>
      <c r="BK126" s="571"/>
      <c r="BL126" s="571"/>
      <c r="BM126" s="571"/>
      <c r="BN126" s="571"/>
      <c r="BO126" s="571"/>
      <c r="BP126" s="571"/>
      <c r="BQ126" s="571"/>
      <c r="BR126" s="571"/>
      <c r="BS126" s="571"/>
    </row>
    <row r="127" spans="1:71" s="567" customFormat="1">
      <c r="A127" s="594"/>
      <c r="B127" s="594"/>
      <c r="C127" s="594"/>
      <c r="J127" s="568"/>
      <c r="K127" s="568"/>
      <c r="L127" s="569"/>
      <c r="Z127" s="568"/>
      <c r="AA127" s="568"/>
      <c r="BC127" s="571"/>
      <c r="BI127" s="571"/>
      <c r="BJ127" s="571"/>
      <c r="BK127" s="571"/>
      <c r="BL127" s="571"/>
      <c r="BM127" s="571"/>
      <c r="BN127" s="571"/>
      <c r="BO127" s="571"/>
      <c r="BP127" s="571"/>
      <c r="BQ127" s="571"/>
      <c r="BR127" s="571"/>
      <c r="BS127" s="571"/>
    </row>
    <row r="128" spans="1:71" s="567" customFormat="1">
      <c r="A128" s="594"/>
      <c r="B128" s="594"/>
      <c r="C128" s="594"/>
      <c r="J128" s="568"/>
      <c r="K128" s="568"/>
      <c r="L128" s="569"/>
      <c r="Z128" s="568"/>
      <c r="AA128" s="568"/>
      <c r="BC128" s="571"/>
      <c r="BI128" s="571"/>
      <c r="BJ128" s="571"/>
      <c r="BK128" s="571"/>
      <c r="BL128" s="571"/>
      <c r="BM128" s="571"/>
      <c r="BN128" s="571"/>
      <c r="BO128" s="571"/>
      <c r="BP128" s="571"/>
      <c r="BQ128" s="571"/>
      <c r="BR128" s="571"/>
      <c r="BS128" s="571"/>
    </row>
    <row r="129" spans="1:71" s="567" customFormat="1">
      <c r="A129" s="594"/>
      <c r="B129" s="594"/>
      <c r="C129" s="594"/>
      <c r="J129" s="568"/>
      <c r="K129" s="568"/>
      <c r="L129" s="569"/>
      <c r="Z129" s="568"/>
      <c r="AA129" s="568"/>
      <c r="BC129" s="571"/>
      <c r="BI129" s="571"/>
      <c r="BJ129" s="571"/>
      <c r="BK129" s="571"/>
      <c r="BL129" s="571"/>
      <c r="BM129" s="571"/>
      <c r="BN129" s="571"/>
      <c r="BO129" s="571"/>
      <c r="BP129" s="571"/>
      <c r="BQ129" s="571"/>
      <c r="BR129" s="571"/>
      <c r="BS129" s="571"/>
    </row>
    <row r="130" spans="1:71" s="567" customFormat="1">
      <c r="A130" s="594"/>
      <c r="B130" s="594"/>
      <c r="C130" s="594"/>
      <c r="J130" s="568"/>
      <c r="K130" s="568"/>
      <c r="L130" s="569"/>
      <c r="Z130" s="568"/>
      <c r="AA130" s="568"/>
      <c r="BC130" s="571"/>
      <c r="BI130" s="571"/>
      <c r="BJ130" s="571"/>
      <c r="BK130" s="571"/>
      <c r="BL130" s="571"/>
      <c r="BM130" s="571"/>
      <c r="BN130" s="571"/>
      <c r="BO130" s="571"/>
      <c r="BP130" s="571"/>
      <c r="BQ130" s="571"/>
      <c r="BR130" s="571"/>
      <c r="BS130" s="571"/>
    </row>
    <row r="131" spans="1:71" s="567" customFormat="1">
      <c r="A131" s="594"/>
      <c r="B131" s="594"/>
      <c r="C131" s="594"/>
      <c r="J131" s="568"/>
      <c r="K131" s="568"/>
      <c r="L131" s="569"/>
      <c r="Z131" s="568"/>
      <c r="AA131" s="568"/>
      <c r="BC131" s="571"/>
      <c r="BI131" s="571"/>
      <c r="BJ131" s="571"/>
      <c r="BK131" s="571"/>
      <c r="BL131" s="571"/>
      <c r="BM131" s="571"/>
      <c r="BN131" s="571"/>
      <c r="BO131" s="571"/>
      <c r="BP131" s="571"/>
      <c r="BQ131" s="571"/>
      <c r="BR131" s="571"/>
      <c r="BS131" s="571"/>
    </row>
    <row r="132" spans="1:71" s="567" customFormat="1">
      <c r="A132" s="594"/>
      <c r="B132" s="594"/>
      <c r="C132" s="594"/>
      <c r="J132" s="568"/>
      <c r="K132" s="568"/>
      <c r="L132" s="569"/>
      <c r="Z132" s="568"/>
      <c r="AA132" s="568"/>
      <c r="BC132" s="571"/>
      <c r="BI132" s="571"/>
      <c r="BJ132" s="571"/>
      <c r="BK132" s="571"/>
      <c r="BL132" s="571"/>
      <c r="BM132" s="571"/>
      <c r="BN132" s="571"/>
      <c r="BO132" s="571"/>
      <c r="BP132" s="571"/>
      <c r="BQ132" s="571"/>
      <c r="BR132" s="571"/>
      <c r="BS132" s="571"/>
    </row>
    <row r="133" spans="1:71" s="567" customFormat="1">
      <c r="A133" s="594"/>
      <c r="B133" s="594"/>
      <c r="C133" s="594"/>
      <c r="J133" s="568"/>
      <c r="K133" s="568"/>
      <c r="L133" s="569"/>
      <c r="Z133" s="568"/>
      <c r="AA133" s="568"/>
      <c r="BC133" s="571"/>
      <c r="BI133" s="571"/>
      <c r="BJ133" s="571"/>
      <c r="BK133" s="571"/>
      <c r="BL133" s="571"/>
      <c r="BM133" s="571"/>
      <c r="BN133" s="571"/>
      <c r="BO133" s="571"/>
      <c r="BP133" s="571"/>
      <c r="BQ133" s="571"/>
      <c r="BR133" s="571"/>
      <c r="BS133" s="571"/>
    </row>
    <row r="134" spans="1:71" s="567" customFormat="1">
      <c r="A134" s="594"/>
      <c r="B134" s="594"/>
      <c r="C134" s="594"/>
      <c r="J134" s="568"/>
      <c r="K134" s="568"/>
      <c r="L134" s="569"/>
      <c r="Z134" s="568"/>
      <c r="AA134" s="568"/>
      <c r="BC134" s="571"/>
      <c r="BI134" s="571"/>
      <c r="BJ134" s="571"/>
      <c r="BK134" s="571"/>
      <c r="BL134" s="571"/>
      <c r="BM134" s="571"/>
      <c r="BN134" s="571"/>
      <c r="BO134" s="571"/>
      <c r="BP134" s="571"/>
      <c r="BQ134" s="571"/>
      <c r="BR134" s="571"/>
      <c r="BS134" s="571"/>
    </row>
    <row r="135" spans="1:71" s="567" customFormat="1">
      <c r="A135" s="594"/>
      <c r="B135" s="594"/>
      <c r="C135" s="594"/>
      <c r="J135" s="568"/>
      <c r="K135" s="568"/>
      <c r="L135" s="569"/>
      <c r="Z135" s="568"/>
      <c r="AA135" s="568"/>
      <c r="BC135" s="571"/>
      <c r="BI135" s="571"/>
      <c r="BJ135" s="571"/>
      <c r="BK135" s="571"/>
      <c r="BL135" s="571"/>
      <c r="BM135" s="571"/>
      <c r="BN135" s="571"/>
      <c r="BO135" s="571"/>
      <c r="BP135" s="571"/>
      <c r="BQ135" s="571"/>
      <c r="BR135" s="571"/>
      <c r="BS135" s="571"/>
    </row>
    <row r="136" spans="1:71" s="567" customFormat="1">
      <c r="A136" s="594"/>
      <c r="B136" s="594"/>
      <c r="C136" s="594"/>
      <c r="J136" s="568"/>
      <c r="K136" s="568"/>
      <c r="L136" s="569"/>
      <c r="Z136" s="568"/>
      <c r="AA136" s="568"/>
      <c r="BC136" s="571"/>
      <c r="BI136" s="571"/>
      <c r="BJ136" s="571"/>
      <c r="BK136" s="571"/>
      <c r="BL136" s="571"/>
      <c r="BM136" s="571"/>
      <c r="BN136" s="571"/>
      <c r="BO136" s="571"/>
      <c r="BP136" s="571"/>
      <c r="BQ136" s="571"/>
      <c r="BR136" s="571"/>
      <c r="BS136" s="571"/>
    </row>
    <row r="137" spans="1:71" s="567" customFormat="1">
      <c r="A137" s="594"/>
      <c r="B137" s="594"/>
      <c r="C137" s="594"/>
      <c r="J137" s="568"/>
      <c r="K137" s="568"/>
      <c r="L137" s="569"/>
      <c r="Z137" s="568"/>
      <c r="AA137" s="568"/>
      <c r="BC137" s="571"/>
      <c r="BI137" s="571"/>
      <c r="BJ137" s="571"/>
      <c r="BK137" s="571"/>
      <c r="BL137" s="571"/>
      <c r="BM137" s="571"/>
      <c r="BN137" s="571"/>
      <c r="BO137" s="571"/>
      <c r="BP137" s="571"/>
      <c r="BQ137" s="571"/>
      <c r="BR137" s="571"/>
      <c r="BS137" s="571"/>
    </row>
    <row r="138" spans="1:71" s="567" customFormat="1">
      <c r="A138" s="594"/>
      <c r="B138" s="594"/>
      <c r="C138" s="594"/>
      <c r="J138" s="568"/>
      <c r="K138" s="568"/>
      <c r="L138" s="569"/>
      <c r="Z138" s="568"/>
      <c r="AA138" s="568"/>
      <c r="BC138" s="571"/>
      <c r="BI138" s="571"/>
      <c r="BJ138" s="571"/>
      <c r="BK138" s="571"/>
      <c r="BL138" s="571"/>
      <c r="BM138" s="571"/>
      <c r="BN138" s="571"/>
      <c r="BO138" s="571"/>
      <c r="BP138" s="571"/>
      <c r="BQ138" s="571"/>
      <c r="BR138" s="571"/>
      <c r="BS138" s="571"/>
    </row>
    <row r="139" spans="1:71" s="567" customFormat="1">
      <c r="A139" s="594"/>
      <c r="B139" s="594"/>
      <c r="C139" s="594"/>
      <c r="J139" s="568"/>
      <c r="K139" s="568"/>
      <c r="L139" s="569"/>
      <c r="Z139" s="568"/>
      <c r="AA139" s="568"/>
      <c r="BC139" s="571"/>
      <c r="BI139" s="571"/>
      <c r="BJ139" s="571"/>
      <c r="BK139" s="571"/>
      <c r="BL139" s="571"/>
      <c r="BM139" s="571"/>
      <c r="BN139" s="571"/>
      <c r="BO139" s="571"/>
      <c r="BP139" s="571"/>
      <c r="BQ139" s="571"/>
      <c r="BR139" s="571"/>
      <c r="BS139" s="571"/>
    </row>
    <row r="140" spans="1:71" s="567" customFormat="1">
      <c r="A140" s="594"/>
      <c r="B140" s="594"/>
      <c r="C140" s="594"/>
      <c r="J140" s="568"/>
      <c r="K140" s="568"/>
      <c r="L140" s="569"/>
      <c r="Z140" s="568"/>
      <c r="AA140" s="568"/>
      <c r="BC140" s="571"/>
      <c r="BI140" s="571"/>
      <c r="BJ140" s="571"/>
      <c r="BK140" s="571"/>
      <c r="BL140" s="571"/>
      <c r="BM140" s="571"/>
      <c r="BN140" s="571"/>
      <c r="BO140" s="571"/>
      <c r="BP140" s="571"/>
      <c r="BQ140" s="571"/>
      <c r="BR140" s="571"/>
      <c r="BS140" s="571"/>
    </row>
    <row r="141" spans="1:71" s="567" customFormat="1">
      <c r="A141" s="594"/>
      <c r="B141" s="594"/>
      <c r="C141" s="594"/>
      <c r="J141" s="568"/>
      <c r="K141" s="568"/>
      <c r="L141" s="569"/>
      <c r="Z141" s="568"/>
      <c r="AA141" s="568"/>
      <c r="BC141" s="571"/>
      <c r="BI141" s="571"/>
      <c r="BJ141" s="571"/>
      <c r="BK141" s="571"/>
      <c r="BL141" s="571"/>
      <c r="BM141" s="571"/>
      <c r="BN141" s="571"/>
      <c r="BO141" s="571"/>
      <c r="BP141" s="571"/>
      <c r="BQ141" s="571"/>
      <c r="BR141" s="571"/>
      <c r="BS141" s="571"/>
    </row>
    <row r="142" spans="1:71" s="567" customFormat="1">
      <c r="A142" s="594"/>
      <c r="B142" s="594"/>
      <c r="C142" s="594"/>
      <c r="J142" s="568"/>
      <c r="K142" s="568"/>
      <c r="L142" s="569"/>
      <c r="Z142" s="568"/>
      <c r="AA142" s="568"/>
      <c r="BC142" s="571"/>
      <c r="BI142" s="571"/>
      <c r="BJ142" s="571"/>
      <c r="BK142" s="571"/>
      <c r="BL142" s="571"/>
      <c r="BM142" s="571"/>
      <c r="BN142" s="571"/>
      <c r="BO142" s="571"/>
      <c r="BP142" s="571"/>
      <c r="BQ142" s="571"/>
      <c r="BR142" s="571"/>
      <c r="BS142" s="571"/>
    </row>
    <row r="143" spans="1:71" s="567" customFormat="1">
      <c r="A143" s="594"/>
      <c r="B143" s="594"/>
      <c r="C143" s="594"/>
      <c r="J143" s="568"/>
      <c r="K143" s="568"/>
      <c r="L143" s="569"/>
      <c r="Z143" s="568"/>
      <c r="AA143" s="568"/>
      <c r="BC143" s="571"/>
      <c r="BI143" s="571"/>
      <c r="BJ143" s="571"/>
      <c r="BK143" s="571"/>
      <c r="BL143" s="571"/>
      <c r="BM143" s="571"/>
      <c r="BN143" s="571"/>
      <c r="BO143" s="571"/>
      <c r="BP143" s="571"/>
      <c r="BQ143" s="571"/>
      <c r="BR143" s="571"/>
      <c r="BS143" s="571"/>
    </row>
    <row r="144" spans="1:71" s="567" customFormat="1">
      <c r="A144" s="594"/>
      <c r="B144" s="594"/>
      <c r="C144" s="594"/>
      <c r="J144" s="568"/>
      <c r="K144" s="568"/>
      <c r="L144" s="569"/>
      <c r="Z144" s="568"/>
      <c r="AA144" s="568"/>
      <c r="BC144" s="571"/>
      <c r="BI144" s="571"/>
      <c r="BJ144" s="571"/>
      <c r="BK144" s="571"/>
      <c r="BL144" s="571"/>
      <c r="BM144" s="571"/>
      <c r="BN144" s="571"/>
      <c r="BO144" s="571"/>
      <c r="BP144" s="571"/>
      <c r="BQ144" s="571"/>
      <c r="BR144" s="571"/>
      <c r="BS144" s="571"/>
    </row>
    <row r="145" spans="1:71" s="567" customFormat="1">
      <c r="A145" s="594"/>
      <c r="B145" s="594"/>
      <c r="C145" s="594"/>
      <c r="J145" s="568"/>
      <c r="K145" s="568"/>
      <c r="L145" s="569"/>
      <c r="Z145" s="568"/>
      <c r="AA145" s="568"/>
      <c r="BC145" s="571"/>
      <c r="BI145" s="571"/>
      <c r="BJ145" s="571"/>
      <c r="BK145" s="571"/>
      <c r="BL145" s="571"/>
      <c r="BM145" s="571"/>
      <c r="BN145" s="571"/>
      <c r="BO145" s="571"/>
      <c r="BP145" s="571"/>
      <c r="BQ145" s="571"/>
      <c r="BR145" s="571"/>
      <c r="BS145" s="571"/>
    </row>
    <row r="146" spans="1:71" s="567" customFormat="1">
      <c r="A146" s="594"/>
      <c r="B146" s="594"/>
      <c r="C146" s="594"/>
      <c r="J146" s="568"/>
      <c r="K146" s="568"/>
      <c r="L146" s="569"/>
      <c r="Z146" s="568"/>
      <c r="AA146" s="568"/>
      <c r="BC146" s="571"/>
      <c r="BI146" s="571"/>
      <c r="BJ146" s="571"/>
      <c r="BK146" s="571"/>
      <c r="BL146" s="571"/>
      <c r="BM146" s="571"/>
      <c r="BN146" s="571"/>
      <c r="BO146" s="571"/>
      <c r="BP146" s="571"/>
      <c r="BQ146" s="571"/>
      <c r="BR146" s="571"/>
      <c r="BS146" s="571"/>
    </row>
    <row r="147" spans="1:71" s="567" customFormat="1">
      <c r="A147" s="594"/>
      <c r="B147" s="594"/>
      <c r="C147" s="594"/>
      <c r="J147" s="568"/>
      <c r="K147" s="568"/>
      <c r="L147" s="569"/>
      <c r="Z147" s="568"/>
      <c r="AA147" s="568"/>
      <c r="BC147" s="571"/>
      <c r="BI147" s="571"/>
      <c r="BJ147" s="571"/>
      <c r="BK147" s="571"/>
      <c r="BL147" s="571"/>
      <c r="BM147" s="571"/>
      <c r="BN147" s="571"/>
      <c r="BO147" s="571"/>
      <c r="BP147" s="571"/>
      <c r="BQ147" s="571"/>
      <c r="BR147" s="571"/>
      <c r="BS147" s="571"/>
    </row>
    <row r="148" spans="1:71" s="567" customFormat="1">
      <c r="A148" s="594"/>
      <c r="B148" s="594"/>
      <c r="C148" s="594"/>
      <c r="J148" s="568"/>
      <c r="K148" s="568"/>
      <c r="L148" s="569"/>
      <c r="Z148" s="568"/>
      <c r="AA148" s="568"/>
      <c r="BC148" s="571"/>
      <c r="BI148" s="571"/>
      <c r="BJ148" s="571"/>
      <c r="BK148" s="571"/>
      <c r="BL148" s="571"/>
      <c r="BM148" s="571"/>
      <c r="BN148" s="571"/>
      <c r="BO148" s="571"/>
      <c r="BP148" s="571"/>
      <c r="BQ148" s="571"/>
      <c r="BR148" s="571"/>
      <c r="BS148" s="571"/>
    </row>
    <row r="149" spans="1:71" s="567" customFormat="1">
      <c r="A149" s="594"/>
      <c r="B149" s="594"/>
      <c r="C149" s="594"/>
      <c r="J149" s="568"/>
      <c r="K149" s="568"/>
      <c r="L149" s="569"/>
      <c r="Z149" s="568"/>
      <c r="AA149" s="568"/>
      <c r="BC149" s="571"/>
      <c r="BI149" s="571"/>
      <c r="BJ149" s="571"/>
      <c r="BK149" s="571"/>
      <c r="BL149" s="571"/>
      <c r="BM149" s="571"/>
      <c r="BN149" s="571"/>
      <c r="BO149" s="571"/>
      <c r="BP149" s="571"/>
      <c r="BQ149" s="571"/>
      <c r="BR149" s="571"/>
      <c r="BS149" s="571"/>
    </row>
    <row r="150" spans="1:71" s="567" customFormat="1">
      <c r="A150" s="594"/>
      <c r="B150" s="594"/>
      <c r="C150" s="594"/>
      <c r="J150" s="568"/>
      <c r="K150" s="568"/>
      <c r="L150" s="569"/>
      <c r="Z150" s="568"/>
      <c r="AA150" s="568"/>
      <c r="BC150" s="571"/>
      <c r="BI150" s="571"/>
      <c r="BJ150" s="571"/>
      <c r="BK150" s="571"/>
      <c r="BL150" s="571"/>
      <c r="BM150" s="571"/>
      <c r="BN150" s="571"/>
      <c r="BO150" s="571"/>
      <c r="BP150" s="571"/>
      <c r="BQ150" s="571"/>
      <c r="BR150" s="571"/>
      <c r="BS150" s="571"/>
    </row>
    <row r="151" spans="1:71" s="567" customFormat="1">
      <c r="A151" s="594"/>
      <c r="B151" s="594"/>
      <c r="C151" s="594"/>
      <c r="J151" s="568"/>
      <c r="K151" s="568"/>
      <c r="L151" s="569"/>
      <c r="Z151" s="568"/>
      <c r="AA151" s="568"/>
      <c r="BC151" s="571"/>
      <c r="BI151" s="571"/>
      <c r="BJ151" s="571"/>
      <c r="BK151" s="571"/>
      <c r="BL151" s="571"/>
      <c r="BM151" s="571"/>
      <c r="BN151" s="571"/>
      <c r="BO151" s="571"/>
      <c r="BP151" s="571"/>
      <c r="BQ151" s="571"/>
      <c r="BR151" s="571"/>
      <c r="BS151" s="571"/>
    </row>
    <row r="152" spans="1:71" s="567" customFormat="1">
      <c r="A152" s="594"/>
      <c r="B152" s="594"/>
      <c r="C152" s="594"/>
      <c r="J152" s="568"/>
      <c r="K152" s="568"/>
      <c r="L152" s="569"/>
      <c r="Z152" s="568"/>
      <c r="AA152" s="568"/>
      <c r="BC152" s="571"/>
      <c r="BI152" s="571"/>
      <c r="BJ152" s="571"/>
      <c r="BK152" s="571"/>
      <c r="BL152" s="571"/>
      <c r="BM152" s="571"/>
      <c r="BN152" s="571"/>
      <c r="BO152" s="571"/>
      <c r="BP152" s="571"/>
      <c r="BQ152" s="571"/>
      <c r="BR152" s="571"/>
      <c r="BS152" s="571"/>
    </row>
    <row r="153" spans="1:71" s="567" customFormat="1">
      <c r="A153" s="594"/>
      <c r="B153" s="594"/>
      <c r="C153" s="594"/>
      <c r="J153" s="568"/>
      <c r="K153" s="568"/>
      <c r="L153" s="569"/>
      <c r="Z153" s="568"/>
      <c r="AA153" s="568"/>
      <c r="BC153" s="571"/>
      <c r="BI153" s="571"/>
      <c r="BJ153" s="571"/>
      <c r="BK153" s="571"/>
      <c r="BL153" s="571"/>
      <c r="BM153" s="571"/>
      <c r="BN153" s="571"/>
      <c r="BO153" s="571"/>
      <c r="BP153" s="571"/>
      <c r="BQ153" s="571"/>
      <c r="BR153" s="571"/>
      <c r="BS153" s="571"/>
    </row>
    <row r="154" spans="1:71" s="567" customFormat="1">
      <c r="A154" s="594"/>
      <c r="B154" s="594"/>
      <c r="C154" s="594"/>
      <c r="J154" s="568"/>
      <c r="K154" s="568"/>
      <c r="L154" s="569"/>
      <c r="Z154" s="568"/>
      <c r="AA154" s="568"/>
      <c r="BC154" s="571"/>
      <c r="BI154" s="571"/>
      <c r="BJ154" s="571"/>
      <c r="BK154" s="571"/>
      <c r="BL154" s="571"/>
      <c r="BM154" s="571"/>
      <c r="BN154" s="571"/>
      <c r="BO154" s="571"/>
      <c r="BP154" s="571"/>
      <c r="BQ154" s="571"/>
      <c r="BR154" s="571"/>
      <c r="BS154" s="571"/>
    </row>
    <row r="155" spans="1:71" s="567" customFormat="1">
      <c r="A155" s="594"/>
      <c r="B155" s="594"/>
      <c r="C155" s="594"/>
      <c r="J155" s="568"/>
      <c r="K155" s="568"/>
      <c r="L155" s="569"/>
      <c r="Z155" s="568"/>
      <c r="AA155" s="568"/>
      <c r="BC155" s="571"/>
      <c r="BI155" s="571"/>
      <c r="BJ155" s="571"/>
      <c r="BK155" s="571"/>
      <c r="BL155" s="571"/>
      <c r="BM155" s="571"/>
      <c r="BN155" s="571"/>
      <c r="BO155" s="571"/>
      <c r="BP155" s="571"/>
      <c r="BQ155" s="571"/>
      <c r="BR155" s="571"/>
      <c r="BS155" s="571"/>
    </row>
    <row r="156" spans="1:71" s="567" customFormat="1">
      <c r="A156" s="594"/>
      <c r="B156" s="594"/>
      <c r="C156" s="594"/>
      <c r="J156" s="568"/>
      <c r="K156" s="568"/>
      <c r="L156" s="569"/>
      <c r="Z156" s="568"/>
      <c r="AA156" s="568"/>
      <c r="BC156" s="571"/>
      <c r="BI156" s="571"/>
      <c r="BJ156" s="571"/>
      <c r="BK156" s="571"/>
      <c r="BL156" s="571"/>
      <c r="BM156" s="571"/>
      <c r="BN156" s="571"/>
      <c r="BO156" s="571"/>
      <c r="BP156" s="571"/>
      <c r="BQ156" s="571"/>
      <c r="BR156" s="571"/>
      <c r="BS156" s="571"/>
    </row>
    <row r="157" spans="1:71" s="567" customFormat="1">
      <c r="A157" s="594"/>
      <c r="B157" s="594"/>
      <c r="C157" s="594"/>
      <c r="J157" s="568"/>
      <c r="K157" s="568"/>
      <c r="L157" s="569"/>
      <c r="Z157" s="568"/>
      <c r="AA157" s="568"/>
      <c r="BC157" s="571"/>
      <c r="BI157" s="571"/>
      <c r="BJ157" s="571"/>
      <c r="BK157" s="571"/>
      <c r="BL157" s="571"/>
      <c r="BM157" s="571"/>
      <c r="BN157" s="571"/>
      <c r="BO157" s="571"/>
      <c r="BP157" s="571"/>
      <c r="BQ157" s="571"/>
      <c r="BR157" s="571"/>
      <c r="BS157" s="571"/>
    </row>
    <row r="158" spans="1:71" s="567" customFormat="1">
      <c r="A158" s="594"/>
      <c r="B158" s="594"/>
      <c r="C158" s="594"/>
      <c r="J158" s="568"/>
      <c r="K158" s="568"/>
      <c r="L158" s="569"/>
      <c r="Z158" s="568"/>
      <c r="AA158" s="568"/>
      <c r="BC158" s="571"/>
      <c r="BI158" s="571"/>
      <c r="BJ158" s="571"/>
      <c r="BK158" s="571"/>
      <c r="BL158" s="571"/>
      <c r="BM158" s="571"/>
      <c r="BN158" s="571"/>
      <c r="BO158" s="571"/>
      <c r="BP158" s="571"/>
      <c r="BQ158" s="571"/>
      <c r="BR158" s="571"/>
      <c r="BS158" s="571"/>
    </row>
    <row r="159" spans="1:71" s="567" customFormat="1">
      <c r="A159" s="594"/>
      <c r="B159" s="594"/>
      <c r="C159" s="594"/>
      <c r="J159" s="568"/>
      <c r="K159" s="568"/>
      <c r="L159" s="569"/>
      <c r="Z159" s="568"/>
      <c r="AA159" s="568"/>
      <c r="BC159" s="571"/>
      <c r="BI159" s="571"/>
      <c r="BJ159" s="571"/>
      <c r="BK159" s="571"/>
      <c r="BL159" s="571"/>
      <c r="BM159" s="571"/>
      <c r="BN159" s="571"/>
      <c r="BO159" s="571"/>
      <c r="BP159" s="571"/>
      <c r="BQ159" s="571"/>
      <c r="BR159" s="571"/>
      <c r="BS159" s="571"/>
    </row>
    <row r="160" spans="1:71" s="567" customFormat="1">
      <c r="A160" s="594"/>
      <c r="B160" s="594"/>
      <c r="C160" s="594"/>
      <c r="J160" s="568"/>
      <c r="K160" s="568"/>
      <c r="L160" s="569"/>
      <c r="Z160" s="568"/>
      <c r="AA160" s="568"/>
      <c r="BC160" s="571"/>
      <c r="BI160" s="571"/>
      <c r="BJ160" s="571"/>
      <c r="BK160" s="571"/>
      <c r="BL160" s="571"/>
      <c r="BM160" s="571"/>
      <c r="BN160" s="571"/>
      <c r="BO160" s="571"/>
      <c r="BP160" s="571"/>
      <c r="BQ160" s="571"/>
      <c r="BR160" s="571"/>
      <c r="BS160" s="571"/>
    </row>
    <row r="161" spans="1:71" s="567" customFormat="1">
      <c r="A161" s="594"/>
      <c r="B161" s="594"/>
      <c r="C161" s="594"/>
      <c r="J161" s="568"/>
      <c r="K161" s="568"/>
      <c r="L161" s="569"/>
      <c r="Z161" s="568"/>
      <c r="AA161" s="568"/>
      <c r="BC161" s="571"/>
      <c r="BI161" s="571"/>
      <c r="BJ161" s="571"/>
      <c r="BK161" s="571"/>
      <c r="BL161" s="571"/>
      <c r="BM161" s="571"/>
      <c r="BN161" s="571"/>
      <c r="BO161" s="571"/>
      <c r="BP161" s="571"/>
      <c r="BQ161" s="571"/>
      <c r="BR161" s="571"/>
      <c r="BS161" s="571"/>
    </row>
    <row r="162" spans="1:71" s="567" customFormat="1">
      <c r="A162" s="594"/>
      <c r="B162" s="594"/>
      <c r="C162" s="594"/>
      <c r="J162" s="568"/>
      <c r="K162" s="568"/>
      <c r="L162" s="569"/>
      <c r="Z162" s="568"/>
      <c r="AA162" s="568"/>
      <c r="BC162" s="571"/>
      <c r="BI162" s="571"/>
      <c r="BJ162" s="571"/>
      <c r="BK162" s="571"/>
      <c r="BL162" s="571"/>
      <c r="BM162" s="571"/>
      <c r="BN162" s="571"/>
      <c r="BO162" s="571"/>
      <c r="BP162" s="571"/>
      <c r="BQ162" s="571"/>
      <c r="BR162" s="571"/>
      <c r="BS162" s="571"/>
    </row>
    <row r="163" spans="1:71" s="567" customFormat="1">
      <c r="A163" s="594"/>
      <c r="B163" s="594"/>
      <c r="C163" s="594"/>
      <c r="J163" s="568"/>
      <c r="K163" s="568"/>
      <c r="L163" s="569"/>
      <c r="Z163" s="568"/>
      <c r="AA163" s="568"/>
      <c r="BC163" s="571"/>
      <c r="BI163" s="571"/>
      <c r="BJ163" s="571"/>
      <c r="BK163" s="571"/>
      <c r="BL163" s="571"/>
      <c r="BM163" s="571"/>
      <c r="BN163" s="571"/>
      <c r="BO163" s="571"/>
      <c r="BP163" s="571"/>
      <c r="BQ163" s="571"/>
      <c r="BR163" s="571"/>
      <c r="BS163" s="571"/>
    </row>
    <row r="164" spans="1:71" s="567" customFormat="1">
      <c r="A164" s="594"/>
      <c r="B164" s="594"/>
      <c r="C164" s="594"/>
      <c r="J164" s="568"/>
      <c r="K164" s="568"/>
      <c r="L164" s="569"/>
      <c r="Z164" s="568"/>
      <c r="AA164" s="568"/>
      <c r="BC164" s="571"/>
      <c r="BI164" s="571"/>
      <c r="BJ164" s="571"/>
      <c r="BK164" s="571"/>
      <c r="BL164" s="571"/>
      <c r="BM164" s="571"/>
      <c r="BN164" s="571"/>
      <c r="BO164" s="571"/>
      <c r="BP164" s="571"/>
      <c r="BQ164" s="571"/>
      <c r="BR164" s="571"/>
      <c r="BS164" s="571"/>
    </row>
    <row r="165" spans="1:71" s="567" customFormat="1">
      <c r="A165" s="594"/>
      <c r="B165" s="594"/>
      <c r="C165" s="594"/>
      <c r="J165" s="568"/>
      <c r="K165" s="568"/>
      <c r="L165" s="569"/>
      <c r="Z165" s="568"/>
      <c r="AA165" s="568"/>
      <c r="BC165" s="571"/>
      <c r="BI165" s="571"/>
      <c r="BJ165" s="571"/>
      <c r="BK165" s="571"/>
      <c r="BL165" s="571"/>
      <c r="BM165" s="571"/>
      <c r="BN165" s="571"/>
      <c r="BO165" s="571"/>
      <c r="BP165" s="571"/>
      <c r="BQ165" s="571"/>
      <c r="BR165" s="571"/>
      <c r="BS165" s="571"/>
    </row>
    <row r="166" spans="1:71" s="567" customFormat="1">
      <c r="A166" s="594"/>
      <c r="B166" s="594"/>
      <c r="C166" s="594"/>
      <c r="J166" s="568"/>
      <c r="K166" s="568"/>
      <c r="L166" s="569"/>
      <c r="Z166" s="568"/>
      <c r="AA166" s="568"/>
      <c r="BC166" s="571"/>
      <c r="BI166" s="571"/>
      <c r="BJ166" s="571"/>
      <c r="BK166" s="571"/>
      <c r="BL166" s="571"/>
      <c r="BM166" s="571"/>
      <c r="BN166" s="571"/>
      <c r="BO166" s="571"/>
      <c r="BP166" s="571"/>
      <c r="BQ166" s="571"/>
      <c r="BR166" s="571"/>
      <c r="BS166" s="571"/>
    </row>
    <row r="167" spans="1:71" s="567" customFormat="1">
      <c r="A167" s="594"/>
      <c r="B167" s="594"/>
      <c r="C167" s="594"/>
      <c r="J167" s="568"/>
      <c r="K167" s="568"/>
      <c r="L167" s="569"/>
      <c r="Z167" s="568"/>
      <c r="AA167" s="568"/>
      <c r="BC167" s="571"/>
      <c r="BI167" s="571"/>
      <c r="BJ167" s="571"/>
      <c r="BK167" s="571"/>
      <c r="BL167" s="571"/>
      <c r="BM167" s="571"/>
      <c r="BN167" s="571"/>
      <c r="BO167" s="571"/>
      <c r="BP167" s="571"/>
      <c r="BQ167" s="571"/>
      <c r="BR167" s="571"/>
      <c r="BS167" s="571"/>
    </row>
    <row r="168" spans="1:71" s="567" customFormat="1">
      <c r="A168" s="594"/>
      <c r="B168" s="594"/>
      <c r="C168" s="594"/>
      <c r="J168" s="568"/>
      <c r="K168" s="568"/>
      <c r="L168" s="569"/>
      <c r="Z168" s="568"/>
      <c r="AA168" s="568"/>
      <c r="BC168" s="571"/>
      <c r="BI168" s="571"/>
      <c r="BJ168" s="571"/>
      <c r="BK168" s="571"/>
      <c r="BL168" s="571"/>
      <c r="BM168" s="571"/>
      <c r="BN168" s="571"/>
      <c r="BO168" s="571"/>
      <c r="BP168" s="571"/>
      <c r="BQ168" s="571"/>
      <c r="BR168" s="571"/>
      <c r="BS168" s="571"/>
    </row>
    <row r="169" spans="1:71" s="567" customFormat="1">
      <c r="A169" s="594"/>
      <c r="B169" s="594"/>
      <c r="C169" s="594"/>
      <c r="J169" s="568"/>
      <c r="K169" s="568"/>
      <c r="L169" s="569"/>
      <c r="Z169" s="568"/>
      <c r="AA169" s="568"/>
      <c r="BC169" s="571"/>
      <c r="BI169" s="571"/>
      <c r="BJ169" s="571"/>
      <c r="BK169" s="571"/>
      <c r="BL169" s="571"/>
      <c r="BM169" s="571"/>
      <c r="BN169" s="571"/>
      <c r="BO169" s="571"/>
      <c r="BP169" s="571"/>
      <c r="BQ169" s="571"/>
      <c r="BR169" s="571"/>
      <c r="BS169" s="571"/>
    </row>
    <row r="170" spans="1:71" s="567" customFormat="1">
      <c r="A170" s="594"/>
      <c r="B170" s="594"/>
      <c r="C170" s="594"/>
      <c r="J170" s="568"/>
      <c r="K170" s="568"/>
      <c r="L170" s="569"/>
      <c r="Z170" s="568"/>
      <c r="AA170" s="568"/>
      <c r="BC170" s="571"/>
      <c r="BI170" s="571"/>
      <c r="BJ170" s="571"/>
      <c r="BK170" s="571"/>
      <c r="BL170" s="571"/>
      <c r="BM170" s="571"/>
      <c r="BN170" s="571"/>
      <c r="BO170" s="571"/>
      <c r="BP170" s="571"/>
      <c r="BQ170" s="571"/>
      <c r="BR170" s="571"/>
      <c r="BS170" s="571"/>
    </row>
    <row r="171" spans="1:71" s="567" customFormat="1">
      <c r="A171" s="594"/>
      <c r="B171" s="594"/>
      <c r="C171" s="594"/>
      <c r="J171" s="568"/>
      <c r="K171" s="568"/>
      <c r="L171" s="569"/>
      <c r="Z171" s="568"/>
      <c r="AA171" s="568"/>
      <c r="BC171" s="571"/>
      <c r="BI171" s="571"/>
      <c r="BJ171" s="571"/>
      <c r="BK171" s="571"/>
      <c r="BL171" s="571"/>
      <c r="BM171" s="571"/>
      <c r="BN171" s="571"/>
      <c r="BO171" s="571"/>
      <c r="BP171" s="571"/>
      <c r="BQ171" s="571"/>
      <c r="BR171" s="571"/>
      <c r="BS171" s="571"/>
    </row>
    <row r="172" spans="1:71" s="567" customFormat="1">
      <c r="A172" s="594"/>
      <c r="B172" s="594"/>
      <c r="C172" s="594"/>
      <c r="J172" s="568"/>
      <c r="K172" s="568"/>
      <c r="L172" s="569"/>
      <c r="Z172" s="568"/>
      <c r="AA172" s="568"/>
      <c r="BC172" s="571"/>
      <c r="BI172" s="571"/>
      <c r="BJ172" s="571"/>
      <c r="BK172" s="571"/>
      <c r="BL172" s="571"/>
      <c r="BM172" s="571"/>
      <c r="BN172" s="571"/>
      <c r="BO172" s="571"/>
      <c r="BP172" s="571"/>
      <c r="BQ172" s="571"/>
      <c r="BR172" s="571"/>
      <c r="BS172" s="571"/>
    </row>
    <row r="173" spans="1:71" s="567" customFormat="1">
      <c r="A173" s="594"/>
      <c r="B173" s="594"/>
      <c r="C173" s="594"/>
      <c r="J173" s="568"/>
      <c r="K173" s="568"/>
      <c r="L173" s="569"/>
      <c r="Z173" s="568"/>
      <c r="AA173" s="568"/>
      <c r="BC173" s="571"/>
      <c r="BI173" s="571"/>
      <c r="BJ173" s="571"/>
      <c r="BK173" s="571"/>
      <c r="BL173" s="571"/>
      <c r="BM173" s="571"/>
      <c r="BN173" s="571"/>
      <c r="BO173" s="571"/>
      <c r="BP173" s="571"/>
      <c r="BQ173" s="571"/>
      <c r="BR173" s="571"/>
      <c r="BS173" s="571"/>
    </row>
    <row r="174" spans="1:71" s="567" customFormat="1">
      <c r="A174" s="594"/>
      <c r="B174" s="594"/>
      <c r="C174" s="594"/>
      <c r="J174" s="568"/>
      <c r="K174" s="568"/>
      <c r="L174" s="569"/>
      <c r="Z174" s="568"/>
      <c r="AA174" s="568"/>
      <c r="BC174" s="571"/>
      <c r="BI174" s="571"/>
      <c r="BJ174" s="571"/>
      <c r="BK174" s="571"/>
      <c r="BL174" s="571"/>
      <c r="BM174" s="571"/>
      <c r="BN174" s="571"/>
      <c r="BO174" s="571"/>
      <c r="BP174" s="571"/>
      <c r="BQ174" s="571"/>
      <c r="BR174" s="571"/>
      <c r="BS174" s="571"/>
    </row>
    <row r="175" spans="1:71" s="567" customFormat="1">
      <c r="A175" s="594"/>
      <c r="B175" s="594"/>
      <c r="C175" s="594"/>
      <c r="J175" s="568"/>
      <c r="K175" s="568"/>
      <c r="L175" s="569"/>
      <c r="Z175" s="568"/>
      <c r="AA175" s="568"/>
      <c r="BC175" s="571"/>
      <c r="BI175" s="571"/>
      <c r="BJ175" s="571"/>
      <c r="BK175" s="571"/>
      <c r="BL175" s="571"/>
      <c r="BM175" s="571"/>
      <c r="BN175" s="571"/>
      <c r="BO175" s="571"/>
      <c r="BP175" s="571"/>
      <c r="BQ175" s="571"/>
      <c r="BR175" s="571"/>
      <c r="BS175" s="571"/>
    </row>
    <row r="176" spans="1:71" s="567" customFormat="1">
      <c r="A176" s="594"/>
      <c r="B176" s="594"/>
      <c r="C176" s="594"/>
      <c r="J176" s="568"/>
      <c r="K176" s="568"/>
      <c r="L176" s="569"/>
      <c r="Z176" s="568"/>
      <c r="AA176" s="568"/>
      <c r="BC176" s="571"/>
      <c r="BI176" s="571"/>
      <c r="BJ176" s="571"/>
      <c r="BK176" s="571"/>
      <c r="BL176" s="571"/>
      <c r="BM176" s="571"/>
      <c r="BN176" s="571"/>
      <c r="BO176" s="571"/>
      <c r="BP176" s="571"/>
      <c r="BQ176" s="571"/>
      <c r="BR176" s="571"/>
      <c r="BS176" s="571"/>
    </row>
    <row r="177" spans="1:71" s="567" customFormat="1">
      <c r="A177" s="594"/>
      <c r="B177" s="594"/>
      <c r="C177" s="594"/>
      <c r="J177" s="568"/>
      <c r="K177" s="568"/>
      <c r="L177" s="569"/>
      <c r="Z177" s="568"/>
      <c r="AA177" s="568"/>
      <c r="BC177" s="571"/>
      <c r="BI177" s="571"/>
      <c r="BJ177" s="571"/>
      <c r="BK177" s="571"/>
      <c r="BL177" s="571"/>
      <c r="BM177" s="571"/>
      <c r="BN177" s="571"/>
      <c r="BO177" s="571"/>
      <c r="BP177" s="571"/>
      <c r="BQ177" s="571"/>
      <c r="BR177" s="571"/>
      <c r="BS177" s="571"/>
    </row>
    <row r="178" spans="1:71" s="567" customFormat="1">
      <c r="A178" s="594"/>
      <c r="B178" s="594"/>
      <c r="C178" s="594"/>
      <c r="J178" s="568"/>
      <c r="K178" s="568"/>
      <c r="L178" s="569"/>
      <c r="Z178" s="568"/>
      <c r="AA178" s="568"/>
      <c r="BC178" s="571"/>
      <c r="BI178" s="571"/>
      <c r="BJ178" s="571"/>
      <c r="BK178" s="571"/>
      <c r="BL178" s="571"/>
      <c r="BM178" s="571"/>
      <c r="BN178" s="571"/>
      <c r="BO178" s="571"/>
      <c r="BP178" s="571"/>
      <c r="BQ178" s="571"/>
      <c r="BR178" s="571"/>
      <c r="BS178" s="571"/>
    </row>
    <row r="179" spans="1:71" s="567" customFormat="1">
      <c r="A179" s="594"/>
      <c r="B179" s="594"/>
      <c r="C179" s="594"/>
      <c r="J179" s="568"/>
      <c r="K179" s="568"/>
      <c r="L179" s="569"/>
      <c r="Z179" s="568"/>
      <c r="AA179" s="568"/>
      <c r="BC179" s="571"/>
      <c r="BI179" s="571"/>
      <c r="BJ179" s="571"/>
      <c r="BK179" s="571"/>
      <c r="BL179" s="571"/>
      <c r="BM179" s="571"/>
      <c r="BN179" s="571"/>
      <c r="BO179" s="571"/>
      <c r="BP179" s="571"/>
      <c r="BQ179" s="571"/>
      <c r="BR179" s="571"/>
      <c r="BS179" s="571"/>
    </row>
    <row r="180" spans="1:71" s="567" customFormat="1">
      <c r="A180" s="594"/>
      <c r="B180" s="594"/>
      <c r="C180" s="594"/>
      <c r="J180" s="568"/>
      <c r="K180" s="568"/>
      <c r="L180" s="569"/>
      <c r="Z180" s="568"/>
      <c r="AA180" s="568"/>
      <c r="BC180" s="571"/>
      <c r="BI180" s="571"/>
      <c r="BJ180" s="571"/>
      <c r="BK180" s="571"/>
      <c r="BL180" s="571"/>
      <c r="BM180" s="571"/>
      <c r="BN180" s="571"/>
      <c r="BO180" s="571"/>
      <c r="BP180" s="571"/>
      <c r="BQ180" s="571"/>
      <c r="BR180" s="571"/>
      <c r="BS180" s="571"/>
    </row>
    <row r="181" spans="1:71" s="567" customFormat="1">
      <c r="A181" s="594"/>
      <c r="B181" s="594"/>
      <c r="C181" s="594"/>
      <c r="J181" s="568"/>
      <c r="K181" s="568"/>
      <c r="L181" s="569"/>
      <c r="Z181" s="568"/>
      <c r="AA181" s="568"/>
      <c r="BC181" s="571"/>
      <c r="BI181" s="571"/>
      <c r="BJ181" s="571"/>
      <c r="BK181" s="571"/>
      <c r="BL181" s="571"/>
      <c r="BM181" s="571"/>
      <c r="BN181" s="571"/>
      <c r="BO181" s="571"/>
      <c r="BP181" s="571"/>
      <c r="BQ181" s="571"/>
      <c r="BR181" s="571"/>
      <c r="BS181" s="571"/>
    </row>
    <row r="182" spans="1:71" s="567" customFormat="1">
      <c r="A182" s="594"/>
      <c r="B182" s="594"/>
      <c r="C182" s="594"/>
      <c r="J182" s="568"/>
      <c r="K182" s="568"/>
      <c r="L182" s="569"/>
      <c r="Z182" s="568"/>
      <c r="AA182" s="568"/>
      <c r="BC182" s="571"/>
      <c r="BI182" s="571"/>
      <c r="BJ182" s="571"/>
      <c r="BK182" s="571"/>
      <c r="BL182" s="571"/>
      <c r="BM182" s="571"/>
      <c r="BN182" s="571"/>
      <c r="BO182" s="571"/>
      <c r="BP182" s="571"/>
      <c r="BQ182" s="571"/>
      <c r="BR182" s="571"/>
      <c r="BS182" s="571"/>
    </row>
    <row r="183" spans="1:71" s="567" customFormat="1">
      <c r="A183" s="594"/>
      <c r="B183" s="594"/>
      <c r="C183" s="594"/>
      <c r="J183" s="568"/>
      <c r="K183" s="568"/>
      <c r="L183" s="569"/>
      <c r="Z183" s="568"/>
      <c r="AA183" s="568"/>
      <c r="BC183" s="571"/>
      <c r="BI183" s="571"/>
      <c r="BJ183" s="571"/>
      <c r="BK183" s="571"/>
      <c r="BL183" s="571"/>
      <c r="BM183" s="571"/>
      <c r="BN183" s="571"/>
      <c r="BO183" s="571"/>
      <c r="BP183" s="571"/>
      <c r="BQ183" s="571"/>
      <c r="BR183" s="571"/>
      <c r="BS183" s="571"/>
    </row>
    <row r="184" spans="1:71" s="567" customFormat="1">
      <c r="A184" s="594"/>
      <c r="B184" s="594"/>
      <c r="C184" s="594"/>
      <c r="J184" s="568"/>
      <c r="K184" s="568"/>
      <c r="L184" s="569"/>
      <c r="Z184" s="568"/>
      <c r="AA184" s="568"/>
      <c r="BC184" s="571"/>
      <c r="BI184" s="571"/>
      <c r="BJ184" s="571"/>
      <c r="BK184" s="571"/>
      <c r="BL184" s="571"/>
      <c r="BM184" s="571"/>
      <c r="BN184" s="571"/>
      <c r="BO184" s="571"/>
      <c r="BP184" s="571"/>
      <c r="BQ184" s="571"/>
      <c r="BR184" s="571"/>
      <c r="BS184" s="571"/>
    </row>
    <row r="185" spans="1:71" s="567" customFormat="1">
      <c r="A185" s="594"/>
      <c r="B185" s="594"/>
      <c r="C185" s="594"/>
      <c r="J185" s="568"/>
      <c r="K185" s="568"/>
      <c r="L185" s="569"/>
      <c r="Z185" s="568"/>
      <c r="AA185" s="568"/>
      <c r="BC185" s="571"/>
      <c r="BI185" s="571"/>
      <c r="BJ185" s="571"/>
      <c r="BK185" s="571"/>
      <c r="BL185" s="571"/>
      <c r="BM185" s="571"/>
      <c r="BN185" s="571"/>
      <c r="BO185" s="571"/>
      <c r="BP185" s="571"/>
      <c r="BQ185" s="571"/>
      <c r="BR185" s="571"/>
      <c r="BS185" s="571"/>
    </row>
    <row r="186" spans="1:71" s="567" customFormat="1">
      <c r="A186" s="594"/>
      <c r="B186" s="594"/>
      <c r="C186" s="594"/>
      <c r="J186" s="568"/>
      <c r="K186" s="568"/>
      <c r="L186" s="569"/>
      <c r="Z186" s="568"/>
      <c r="AA186" s="568"/>
      <c r="BC186" s="571"/>
      <c r="BI186" s="571"/>
      <c r="BJ186" s="571"/>
      <c r="BK186" s="571"/>
      <c r="BL186" s="571"/>
      <c r="BM186" s="571"/>
      <c r="BN186" s="571"/>
      <c r="BO186" s="571"/>
      <c r="BP186" s="571"/>
      <c r="BQ186" s="571"/>
      <c r="BR186" s="571"/>
      <c r="BS186" s="571"/>
    </row>
    <row r="187" spans="1:71" s="567" customFormat="1">
      <c r="A187" s="594"/>
      <c r="B187" s="594"/>
      <c r="C187" s="594"/>
      <c r="J187" s="568"/>
      <c r="K187" s="568"/>
      <c r="L187" s="569"/>
      <c r="Z187" s="568"/>
      <c r="AA187" s="568"/>
      <c r="BC187" s="571"/>
      <c r="BI187" s="571"/>
      <c r="BJ187" s="571"/>
      <c r="BK187" s="571"/>
      <c r="BL187" s="571"/>
      <c r="BM187" s="571"/>
      <c r="BN187" s="571"/>
      <c r="BO187" s="571"/>
      <c r="BP187" s="571"/>
      <c r="BQ187" s="571"/>
      <c r="BR187" s="571"/>
      <c r="BS187" s="571"/>
    </row>
    <row r="188" spans="1:71" s="567" customFormat="1">
      <c r="A188" s="594"/>
      <c r="B188" s="594"/>
      <c r="C188" s="594"/>
      <c r="J188" s="568"/>
      <c r="K188" s="568"/>
      <c r="L188" s="569"/>
      <c r="Z188" s="568"/>
      <c r="AA188" s="568"/>
      <c r="BC188" s="571"/>
      <c r="BI188" s="571"/>
      <c r="BJ188" s="571"/>
      <c r="BK188" s="571"/>
      <c r="BL188" s="571"/>
      <c r="BM188" s="571"/>
      <c r="BN188" s="571"/>
      <c r="BO188" s="571"/>
      <c r="BP188" s="571"/>
      <c r="BQ188" s="571"/>
      <c r="BR188" s="571"/>
      <c r="BS188" s="571"/>
    </row>
    <row r="189" spans="1:71" s="567" customFormat="1">
      <c r="A189" s="594"/>
      <c r="B189" s="594"/>
      <c r="C189" s="594"/>
      <c r="J189" s="568"/>
      <c r="K189" s="568"/>
      <c r="L189" s="569"/>
      <c r="Z189" s="568"/>
      <c r="AA189" s="568"/>
      <c r="BC189" s="571"/>
      <c r="BI189" s="571"/>
      <c r="BJ189" s="571"/>
      <c r="BK189" s="571"/>
      <c r="BL189" s="571"/>
      <c r="BM189" s="571"/>
      <c r="BN189" s="571"/>
      <c r="BO189" s="571"/>
      <c r="BP189" s="571"/>
      <c r="BQ189" s="571"/>
      <c r="BR189" s="571"/>
      <c r="BS189" s="571"/>
    </row>
    <row r="190" spans="1:71" s="567" customFormat="1">
      <c r="A190" s="594"/>
      <c r="B190" s="594"/>
      <c r="C190" s="594"/>
      <c r="J190" s="568"/>
      <c r="K190" s="568"/>
      <c r="L190" s="569"/>
      <c r="Z190" s="568"/>
      <c r="AA190" s="568"/>
      <c r="BC190" s="571"/>
      <c r="BI190" s="571"/>
      <c r="BJ190" s="571"/>
      <c r="BK190" s="571"/>
      <c r="BL190" s="571"/>
      <c r="BM190" s="571"/>
      <c r="BN190" s="571"/>
      <c r="BO190" s="571"/>
      <c r="BP190" s="571"/>
      <c r="BQ190" s="571"/>
      <c r="BR190" s="571"/>
      <c r="BS190" s="571"/>
    </row>
    <row r="191" spans="1:71" s="567" customFormat="1">
      <c r="A191" s="594"/>
      <c r="B191" s="594"/>
      <c r="C191" s="594"/>
      <c r="J191" s="568"/>
      <c r="K191" s="568"/>
      <c r="L191" s="569"/>
      <c r="Z191" s="568"/>
      <c r="AA191" s="568"/>
      <c r="BC191" s="571"/>
      <c r="BI191" s="571"/>
      <c r="BJ191" s="571"/>
      <c r="BK191" s="571"/>
      <c r="BL191" s="571"/>
      <c r="BM191" s="571"/>
      <c r="BN191" s="571"/>
      <c r="BO191" s="571"/>
      <c r="BP191" s="571"/>
      <c r="BQ191" s="571"/>
      <c r="BR191" s="571"/>
      <c r="BS191" s="571"/>
    </row>
    <row r="192" spans="1:71" s="567" customFormat="1">
      <c r="A192" s="594"/>
      <c r="B192" s="594"/>
      <c r="C192" s="594"/>
      <c r="J192" s="568"/>
      <c r="K192" s="568"/>
      <c r="L192" s="569"/>
      <c r="Z192" s="568"/>
      <c r="AA192" s="568"/>
      <c r="BC192" s="571"/>
      <c r="BI192" s="571"/>
      <c r="BJ192" s="571"/>
      <c r="BK192" s="571"/>
      <c r="BL192" s="571"/>
      <c r="BM192" s="571"/>
      <c r="BN192" s="571"/>
      <c r="BO192" s="571"/>
      <c r="BP192" s="571"/>
      <c r="BQ192" s="571"/>
      <c r="BR192" s="571"/>
      <c r="BS192" s="571"/>
    </row>
    <row r="193" spans="1:71" s="567" customFormat="1">
      <c r="A193" s="594"/>
      <c r="B193" s="594"/>
      <c r="C193" s="594"/>
      <c r="J193" s="568"/>
      <c r="K193" s="568"/>
      <c r="L193" s="569"/>
      <c r="Z193" s="568"/>
      <c r="AA193" s="568"/>
      <c r="BC193" s="571"/>
      <c r="BI193" s="571"/>
      <c r="BJ193" s="571"/>
      <c r="BK193" s="571"/>
      <c r="BL193" s="571"/>
      <c r="BM193" s="571"/>
      <c r="BN193" s="571"/>
      <c r="BO193" s="571"/>
      <c r="BP193" s="571"/>
      <c r="BQ193" s="571"/>
      <c r="BR193" s="571"/>
      <c r="BS193" s="571"/>
    </row>
    <row r="194" spans="1:71" s="567" customFormat="1">
      <c r="A194" s="594"/>
      <c r="B194" s="594"/>
      <c r="C194" s="594"/>
      <c r="J194" s="568"/>
      <c r="K194" s="568"/>
      <c r="L194" s="569"/>
      <c r="Z194" s="568"/>
      <c r="AA194" s="568"/>
      <c r="BC194" s="571"/>
      <c r="BI194" s="571"/>
      <c r="BJ194" s="571"/>
      <c r="BK194" s="571"/>
      <c r="BL194" s="571"/>
      <c r="BM194" s="571"/>
      <c r="BN194" s="571"/>
      <c r="BO194" s="571"/>
      <c r="BP194" s="571"/>
      <c r="BQ194" s="571"/>
      <c r="BR194" s="571"/>
      <c r="BS194" s="571"/>
    </row>
    <row r="195" spans="1:71" s="567" customFormat="1">
      <c r="A195" s="594"/>
      <c r="B195" s="594"/>
      <c r="C195" s="594"/>
      <c r="J195" s="568"/>
      <c r="K195" s="568"/>
      <c r="L195" s="569"/>
      <c r="Z195" s="568"/>
      <c r="AA195" s="568"/>
      <c r="BC195" s="571"/>
      <c r="BI195" s="571"/>
      <c r="BJ195" s="571"/>
      <c r="BK195" s="571"/>
      <c r="BL195" s="571"/>
      <c r="BM195" s="571"/>
      <c r="BN195" s="571"/>
      <c r="BO195" s="571"/>
      <c r="BP195" s="571"/>
      <c r="BQ195" s="571"/>
      <c r="BR195" s="571"/>
      <c r="BS195" s="571"/>
    </row>
    <row r="196" spans="1:71" s="567" customFormat="1">
      <c r="A196" s="594"/>
      <c r="B196" s="594"/>
      <c r="C196" s="594"/>
      <c r="J196" s="568"/>
      <c r="K196" s="568"/>
      <c r="L196" s="569"/>
      <c r="Z196" s="568"/>
      <c r="AA196" s="568"/>
      <c r="BC196" s="571"/>
      <c r="BI196" s="571"/>
      <c r="BJ196" s="571"/>
      <c r="BK196" s="571"/>
      <c r="BL196" s="571"/>
      <c r="BM196" s="571"/>
      <c r="BN196" s="571"/>
      <c r="BO196" s="571"/>
      <c r="BP196" s="571"/>
      <c r="BQ196" s="571"/>
      <c r="BR196" s="571"/>
      <c r="BS196" s="571"/>
    </row>
    <row r="197" spans="1:71" s="567" customFormat="1">
      <c r="A197" s="594"/>
      <c r="B197" s="594"/>
      <c r="C197" s="594"/>
      <c r="J197" s="568"/>
      <c r="K197" s="568"/>
      <c r="L197" s="569"/>
      <c r="Z197" s="568"/>
      <c r="AA197" s="568"/>
      <c r="BC197" s="571"/>
      <c r="BI197" s="571"/>
      <c r="BJ197" s="571"/>
      <c r="BK197" s="571"/>
      <c r="BL197" s="571"/>
      <c r="BM197" s="571"/>
      <c r="BN197" s="571"/>
      <c r="BO197" s="571"/>
      <c r="BP197" s="571"/>
      <c r="BQ197" s="571"/>
      <c r="BR197" s="571"/>
      <c r="BS197" s="571"/>
    </row>
    <row r="198" spans="1:71" s="567" customFormat="1">
      <c r="A198" s="594"/>
      <c r="B198" s="594"/>
      <c r="C198" s="594"/>
      <c r="J198" s="568"/>
      <c r="K198" s="568"/>
      <c r="L198" s="569"/>
      <c r="Z198" s="568"/>
      <c r="AA198" s="568"/>
      <c r="BC198" s="571"/>
      <c r="BI198" s="571"/>
      <c r="BJ198" s="571"/>
      <c r="BK198" s="571"/>
      <c r="BL198" s="571"/>
      <c r="BM198" s="571"/>
      <c r="BN198" s="571"/>
      <c r="BO198" s="571"/>
      <c r="BP198" s="571"/>
      <c r="BQ198" s="571"/>
      <c r="BR198" s="571"/>
      <c r="BS198" s="571"/>
    </row>
    <row r="199" spans="1:71" s="567" customFormat="1">
      <c r="A199" s="594"/>
      <c r="B199" s="594"/>
      <c r="C199" s="594"/>
      <c r="J199" s="568"/>
      <c r="K199" s="568"/>
      <c r="L199" s="569"/>
      <c r="Z199" s="568"/>
      <c r="AA199" s="568"/>
      <c r="BC199" s="571"/>
      <c r="BI199" s="571"/>
      <c r="BJ199" s="571"/>
      <c r="BK199" s="571"/>
      <c r="BL199" s="571"/>
      <c r="BM199" s="571"/>
      <c r="BN199" s="571"/>
      <c r="BO199" s="571"/>
      <c r="BP199" s="571"/>
      <c r="BQ199" s="571"/>
      <c r="BR199" s="571"/>
      <c r="BS199" s="571"/>
    </row>
    <row r="200" spans="1:71" s="567" customFormat="1">
      <c r="A200" s="594"/>
      <c r="B200" s="594"/>
      <c r="C200" s="594"/>
      <c r="J200" s="568"/>
      <c r="K200" s="568"/>
      <c r="L200" s="569"/>
      <c r="Z200" s="568"/>
      <c r="AA200" s="568"/>
      <c r="BC200" s="571"/>
      <c r="BI200" s="571"/>
      <c r="BJ200" s="571"/>
      <c r="BK200" s="571"/>
      <c r="BL200" s="571"/>
      <c r="BM200" s="571"/>
      <c r="BN200" s="571"/>
      <c r="BO200" s="571"/>
      <c r="BP200" s="571"/>
      <c r="BQ200" s="571"/>
      <c r="BR200" s="571"/>
      <c r="BS200" s="571"/>
    </row>
    <row r="201" spans="1:71" s="567" customFormat="1">
      <c r="A201" s="594"/>
      <c r="B201" s="594"/>
      <c r="C201" s="594"/>
      <c r="J201" s="568"/>
      <c r="K201" s="568"/>
      <c r="L201" s="569"/>
      <c r="Z201" s="568"/>
      <c r="AA201" s="568"/>
      <c r="BC201" s="571"/>
      <c r="BI201" s="571"/>
      <c r="BJ201" s="571"/>
      <c r="BK201" s="571"/>
      <c r="BL201" s="571"/>
      <c r="BM201" s="571"/>
      <c r="BN201" s="571"/>
      <c r="BO201" s="571"/>
      <c r="BP201" s="571"/>
      <c r="BQ201" s="571"/>
      <c r="BR201" s="571"/>
      <c r="BS201" s="571"/>
    </row>
    <row r="202" spans="1:71" s="567" customFormat="1">
      <c r="A202" s="594"/>
      <c r="B202" s="594"/>
      <c r="C202" s="594"/>
      <c r="J202" s="568"/>
      <c r="K202" s="568"/>
      <c r="L202" s="569"/>
      <c r="Z202" s="568"/>
      <c r="AA202" s="568"/>
      <c r="BC202" s="571"/>
      <c r="BI202" s="571"/>
      <c r="BJ202" s="571"/>
      <c r="BK202" s="571"/>
      <c r="BL202" s="571"/>
      <c r="BM202" s="571"/>
      <c r="BN202" s="571"/>
      <c r="BO202" s="571"/>
      <c r="BP202" s="571"/>
      <c r="BQ202" s="571"/>
      <c r="BR202" s="571"/>
      <c r="BS202" s="571"/>
    </row>
    <row r="203" spans="1:71" s="567" customFormat="1">
      <c r="A203" s="594"/>
      <c r="B203" s="594"/>
      <c r="C203" s="594"/>
      <c r="J203" s="568"/>
      <c r="K203" s="568"/>
      <c r="L203" s="569"/>
      <c r="Z203" s="568"/>
      <c r="AA203" s="568"/>
      <c r="BC203" s="571"/>
      <c r="BI203" s="571"/>
      <c r="BJ203" s="571"/>
      <c r="BK203" s="571"/>
      <c r="BL203" s="571"/>
      <c r="BM203" s="571"/>
      <c r="BN203" s="571"/>
      <c r="BO203" s="571"/>
      <c r="BP203" s="571"/>
      <c r="BQ203" s="571"/>
      <c r="BR203" s="571"/>
      <c r="BS203" s="571"/>
    </row>
    <row r="204" spans="1:71" s="567" customFormat="1">
      <c r="A204" s="594"/>
      <c r="B204" s="594"/>
      <c r="C204" s="594"/>
      <c r="J204" s="568"/>
      <c r="K204" s="568"/>
      <c r="L204" s="569"/>
      <c r="Z204" s="568"/>
      <c r="AA204" s="568"/>
      <c r="BC204" s="571"/>
      <c r="BI204" s="571"/>
      <c r="BJ204" s="571"/>
      <c r="BK204" s="571"/>
      <c r="BL204" s="571"/>
      <c r="BM204" s="571"/>
      <c r="BN204" s="571"/>
      <c r="BO204" s="571"/>
      <c r="BP204" s="571"/>
      <c r="BQ204" s="571"/>
      <c r="BR204" s="571"/>
      <c r="BS204" s="571"/>
    </row>
    <row r="205" spans="1:71" s="567" customFormat="1">
      <c r="A205" s="594"/>
      <c r="B205" s="594"/>
      <c r="C205" s="594"/>
      <c r="J205" s="568"/>
      <c r="K205" s="568"/>
      <c r="L205" s="569"/>
      <c r="Z205" s="568"/>
      <c r="AA205" s="568"/>
      <c r="BC205" s="571"/>
      <c r="BI205" s="571"/>
      <c r="BJ205" s="571"/>
      <c r="BK205" s="571"/>
      <c r="BL205" s="571"/>
      <c r="BM205" s="571"/>
      <c r="BN205" s="571"/>
      <c r="BO205" s="571"/>
      <c r="BP205" s="571"/>
      <c r="BQ205" s="571"/>
      <c r="BR205" s="571"/>
      <c r="BS205" s="571"/>
    </row>
    <row r="206" spans="1:71" s="567" customFormat="1">
      <c r="A206" s="594"/>
      <c r="B206" s="594"/>
      <c r="C206" s="594"/>
      <c r="J206" s="568"/>
      <c r="K206" s="568"/>
      <c r="L206" s="569"/>
      <c r="Z206" s="568"/>
      <c r="AA206" s="568"/>
      <c r="BC206" s="571"/>
      <c r="BI206" s="571"/>
      <c r="BJ206" s="571"/>
      <c r="BK206" s="571"/>
      <c r="BL206" s="571"/>
      <c r="BM206" s="571"/>
      <c r="BN206" s="571"/>
      <c r="BO206" s="571"/>
      <c r="BP206" s="571"/>
      <c r="BQ206" s="571"/>
      <c r="BR206" s="571"/>
      <c r="BS206" s="571"/>
    </row>
    <row r="207" spans="1:71" s="567" customFormat="1">
      <c r="A207" s="594"/>
      <c r="B207" s="594"/>
      <c r="C207" s="594"/>
      <c r="J207" s="568"/>
      <c r="K207" s="568"/>
      <c r="L207" s="569"/>
      <c r="Z207" s="568"/>
      <c r="AA207" s="568"/>
      <c r="BC207" s="571"/>
      <c r="BI207" s="571"/>
      <c r="BJ207" s="571"/>
      <c r="BK207" s="571"/>
      <c r="BL207" s="571"/>
      <c r="BM207" s="571"/>
      <c r="BN207" s="571"/>
      <c r="BO207" s="571"/>
      <c r="BP207" s="571"/>
      <c r="BQ207" s="571"/>
      <c r="BR207" s="571"/>
      <c r="BS207" s="571"/>
    </row>
    <row r="208" spans="1:71" s="567" customFormat="1">
      <c r="A208" s="594"/>
      <c r="B208" s="594"/>
      <c r="C208" s="594"/>
      <c r="J208" s="568"/>
      <c r="K208" s="568"/>
      <c r="L208" s="569"/>
      <c r="Z208" s="568"/>
      <c r="AA208" s="568"/>
      <c r="BC208" s="571"/>
      <c r="BI208" s="571"/>
      <c r="BJ208" s="571"/>
      <c r="BK208" s="571"/>
      <c r="BL208" s="571"/>
      <c r="BM208" s="571"/>
      <c r="BN208" s="571"/>
      <c r="BO208" s="571"/>
      <c r="BP208" s="571"/>
      <c r="BQ208" s="571"/>
      <c r="BR208" s="571"/>
      <c r="BS208" s="571"/>
    </row>
    <row r="209" spans="1:111" s="567" customFormat="1">
      <c r="A209" s="594"/>
      <c r="B209" s="594"/>
      <c r="C209" s="594"/>
      <c r="J209" s="568"/>
      <c r="K209" s="568"/>
      <c r="L209" s="569"/>
      <c r="Z209" s="568"/>
      <c r="AA209" s="568"/>
      <c r="BC209" s="571"/>
      <c r="BI209" s="571"/>
      <c r="BJ209" s="571"/>
      <c r="BK209" s="571"/>
      <c r="BL209" s="571"/>
      <c r="BM209" s="571"/>
      <c r="BN209" s="571"/>
      <c r="BO209" s="571"/>
      <c r="BP209" s="571"/>
      <c r="BQ209" s="571"/>
      <c r="BR209" s="571"/>
      <c r="BS209" s="571"/>
    </row>
    <row r="210" spans="1:111" s="397" customFormat="1">
      <c r="D210" s="567"/>
      <c r="J210" s="400"/>
      <c r="K210" s="400"/>
      <c r="L210" s="408"/>
      <c r="M210" s="567"/>
      <c r="Y210" s="567"/>
      <c r="Z210" s="400"/>
      <c r="AA210" s="400"/>
      <c r="AE210" s="567"/>
      <c r="AI210" s="567"/>
      <c r="AT210" s="567"/>
      <c r="BC210" s="571"/>
      <c r="BI210" s="401"/>
      <c r="BJ210" s="401"/>
      <c r="BK210" s="401"/>
      <c r="BL210" s="401"/>
      <c r="BM210" s="401"/>
      <c r="BN210" s="571"/>
      <c r="BO210" s="401"/>
      <c r="BP210" s="401"/>
      <c r="BQ210" s="401"/>
      <c r="BR210" s="401"/>
      <c r="BS210" s="401"/>
      <c r="BT210" s="567"/>
      <c r="BU210" s="567"/>
      <c r="BV210" s="567"/>
      <c r="BW210" s="567"/>
      <c r="BX210" s="567"/>
      <c r="BY210" s="567"/>
      <c r="BZ210" s="567"/>
      <c r="CA210" s="567"/>
      <c r="CB210" s="567"/>
      <c r="CC210" s="567"/>
      <c r="CD210" s="567"/>
      <c r="CE210" s="567"/>
      <c r="CF210" s="567"/>
      <c r="CG210" s="567"/>
      <c r="CH210" s="567"/>
      <c r="CI210" s="567"/>
      <c r="CJ210" s="567"/>
      <c r="CK210" s="567"/>
      <c r="CL210" s="567"/>
      <c r="CM210" s="567"/>
      <c r="CN210" s="567"/>
      <c r="CO210" s="567"/>
      <c r="CP210" s="567"/>
      <c r="CQ210" s="567"/>
      <c r="CR210" s="567"/>
      <c r="CS210" s="567"/>
      <c r="CT210" s="567"/>
      <c r="CU210" s="567"/>
      <c r="CV210" s="567"/>
      <c r="CW210" s="567"/>
      <c r="CX210" s="567"/>
      <c r="CY210" s="567"/>
      <c r="CZ210" s="567"/>
      <c r="DA210" s="567"/>
      <c r="DB210" s="567"/>
      <c r="DC210" s="567"/>
      <c r="DD210" s="567"/>
      <c r="DE210" s="567"/>
      <c r="DF210" s="567"/>
      <c r="DG210" s="567"/>
    </row>
    <row r="211" spans="1:111" s="397" customFormat="1">
      <c r="D211" s="567"/>
      <c r="J211" s="400"/>
      <c r="K211" s="400"/>
      <c r="L211" s="408"/>
      <c r="M211" s="567"/>
      <c r="Y211" s="567"/>
      <c r="Z211" s="400"/>
      <c r="AA211" s="400"/>
      <c r="AE211" s="567"/>
      <c r="AI211" s="567"/>
      <c r="AT211" s="567"/>
      <c r="BC211" s="571"/>
      <c r="BI211" s="401"/>
      <c r="BJ211" s="401"/>
      <c r="BK211" s="401"/>
      <c r="BL211" s="401"/>
      <c r="BM211" s="401"/>
      <c r="BN211" s="571"/>
      <c r="BO211" s="401"/>
      <c r="BP211" s="401"/>
      <c r="BQ211" s="401"/>
      <c r="BR211" s="401"/>
      <c r="BS211" s="401"/>
      <c r="BT211" s="567"/>
      <c r="BU211" s="567"/>
      <c r="BV211" s="567"/>
      <c r="BW211" s="567"/>
      <c r="BX211" s="567"/>
      <c r="BY211" s="567"/>
      <c r="BZ211" s="567"/>
      <c r="CA211" s="567"/>
      <c r="CB211" s="567"/>
      <c r="CC211" s="567"/>
      <c r="CD211" s="567"/>
      <c r="CE211" s="567"/>
      <c r="CF211" s="567"/>
      <c r="CG211" s="567"/>
      <c r="CH211" s="567"/>
      <c r="CI211" s="567"/>
      <c r="CJ211" s="567"/>
      <c r="CK211" s="567"/>
      <c r="CL211" s="567"/>
      <c r="CM211" s="567"/>
      <c r="CN211" s="567"/>
      <c r="CO211" s="567"/>
      <c r="CP211" s="567"/>
      <c r="CQ211" s="567"/>
      <c r="CR211" s="567"/>
      <c r="CS211" s="567"/>
      <c r="CT211" s="567"/>
      <c r="CU211" s="567"/>
      <c r="CV211" s="567"/>
      <c r="CW211" s="567"/>
      <c r="CX211" s="567"/>
      <c r="CY211" s="567"/>
      <c r="CZ211" s="567"/>
      <c r="DA211" s="567"/>
      <c r="DB211" s="567"/>
      <c r="DC211" s="567"/>
      <c r="DD211" s="567"/>
      <c r="DE211" s="567"/>
      <c r="DF211" s="567"/>
      <c r="DG211" s="567"/>
    </row>
    <row r="212" spans="1:111" s="397" customFormat="1">
      <c r="D212" s="567"/>
      <c r="J212" s="400"/>
      <c r="K212" s="400"/>
      <c r="L212" s="408"/>
      <c r="M212" s="567"/>
      <c r="Y212" s="567"/>
      <c r="Z212" s="400"/>
      <c r="AA212" s="400"/>
      <c r="AE212" s="567"/>
      <c r="AI212" s="567"/>
      <c r="AT212" s="567"/>
      <c r="BC212" s="571"/>
      <c r="BI212" s="401"/>
      <c r="BJ212" s="401"/>
      <c r="BK212" s="401"/>
      <c r="BL212" s="401"/>
      <c r="BM212" s="401"/>
      <c r="BN212" s="571"/>
      <c r="BO212" s="401"/>
      <c r="BP212" s="401"/>
      <c r="BQ212" s="401"/>
      <c r="BR212" s="401"/>
      <c r="BS212" s="401"/>
      <c r="BT212" s="567"/>
      <c r="BU212" s="567"/>
      <c r="BV212" s="567"/>
      <c r="BW212" s="567"/>
      <c r="BX212" s="567"/>
      <c r="BY212" s="567"/>
      <c r="BZ212" s="567"/>
      <c r="CA212" s="567"/>
      <c r="CB212" s="567"/>
      <c r="CC212" s="567"/>
      <c r="CD212" s="567"/>
      <c r="CE212" s="567"/>
      <c r="CF212" s="567"/>
      <c r="CG212" s="567"/>
      <c r="CH212" s="567"/>
      <c r="CI212" s="567"/>
      <c r="CJ212" s="567"/>
      <c r="CK212" s="567"/>
      <c r="CL212" s="567"/>
      <c r="CM212" s="567"/>
      <c r="CN212" s="567"/>
      <c r="CO212" s="567"/>
      <c r="CP212" s="567"/>
      <c r="CQ212" s="567"/>
      <c r="CR212" s="567"/>
      <c r="CS212" s="567"/>
      <c r="CT212" s="567"/>
      <c r="CU212" s="567"/>
      <c r="CV212" s="567"/>
      <c r="CW212" s="567"/>
      <c r="CX212" s="567"/>
      <c r="CY212" s="567"/>
      <c r="CZ212" s="567"/>
      <c r="DA212" s="567"/>
      <c r="DB212" s="567"/>
      <c r="DC212" s="567"/>
      <c r="DD212" s="567"/>
      <c r="DE212" s="567"/>
      <c r="DF212" s="567"/>
      <c r="DG212" s="567"/>
    </row>
    <row r="213" spans="1:111" s="397" customFormat="1">
      <c r="D213" s="567"/>
      <c r="J213" s="400"/>
      <c r="K213" s="400"/>
      <c r="L213" s="408"/>
      <c r="M213" s="567"/>
      <c r="Y213" s="567"/>
      <c r="Z213" s="400"/>
      <c r="AA213" s="400"/>
      <c r="AE213" s="567"/>
      <c r="AI213" s="567"/>
      <c r="AT213" s="567"/>
      <c r="BC213" s="571"/>
      <c r="BI213" s="401"/>
      <c r="BJ213" s="401"/>
      <c r="BK213" s="401"/>
      <c r="BL213" s="401"/>
      <c r="BM213" s="401"/>
      <c r="BN213" s="571"/>
      <c r="BO213" s="401"/>
      <c r="BP213" s="401"/>
      <c r="BQ213" s="401"/>
      <c r="BR213" s="401"/>
      <c r="BS213" s="401"/>
      <c r="BT213" s="567"/>
      <c r="BU213" s="567"/>
      <c r="BV213" s="567"/>
      <c r="BW213" s="567"/>
      <c r="BX213" s="567"/>
      <c r="BY213" s="567"/>
      <c r="BZ213" s="567"/>
      <c r="CA213" s="567"/>
      <c r="CB213" s="567"/>
      <c r="CC213" s="567"/>
      <c r="CD213" s="567"/>
      <c r="CE213" s="567"/>
      <c r="CF213" s="567"/>
      <c r="CG213" s="567"/>
      <c r="CH213" s="567"/>
      <c r="CI213" s="567"/>
      <c r="CJ213" s="567"/>
      <c r="CK213" s="567"/>
      <c r="CL213" s="567"/>
      <c r="CM213" s="567"/>
      <c r="CN213" s="567"/>
      <c r="CO213" s="567"/>
      <c r="CP213" s="567"/>
      <c r="CQ213" s="567"/>
      <c r="CR213" s="567"/>
      <c r="CS213" s="567"/>
      <c r="CT213" s="567"/>
      <c r="CU213" s="567"/>
      <c r="CV213" s="567"/>
      <c r="CW213" s="567"/>
      <c r="CX213" s="567"/>
      <c r="CY213" s="567"/>
      <c r="CZ213" s="567"/>
      <c r="DA213" s="567"/>
      <c r="DB213" s="567"/>
      <c r="DC213" s="567"/>
      <c r="DD213" s="567"/>
      <c r="DE213" s="567"/>
      <c r="DF213" s="567"/>
      <c r="DG213" s="567"/>
    </row>
    <row r="214" spans="1:111" s="397" customFormat="1">
      <c r="D214" s="567"/>
      <c r="J214" s="400"/>
      <c r="K214" s="400"/>
      <c r="L214" s="408"/>
      <c r="M214" s="567"/>
      <c r="Y214" s="567"/>
      <c r="Z214" s="400"/>
      <c r="AA214" s="400"/>
      <c r="AE214" s="567"/>
      <c r="AI214" s="567"/>
      <c r="AT214" s="567"/>
      <c r="BC214" s="571"/>
      <c r="BI214" s="401"/>
      <c r="BJ214" s="401"/>
      <c r="BK214" s="401"/>
      <c r="BL214" s="401"/>
      <c r="BM214" s="401"/>
      <c r="BN214" s="571"/>
      <c r="BO214" s="401"/>
      <c r="BP214" s="401"/>
      <c r="BQ214" s="401"/>
      <c r="BR214" s="401"/>
      <c r="BS214" s="401"/>
      <c r="BT214" s="567"/>
      <c r="BU214" s="567"/>
      <c r="BV214" s="567"/>
      <c r="BW214" s="567"/>
      <c r="BX214" s="567"/>
      <c r="BY214" s="567"/>
      <c r="BZ214" s="567"/>
      <c r="CA214" s="567"/>
      <c r="CB214" s="567"/>
      <c r="CC214" s="567"/>
      <c r="CD214" s="567"/>
      <c r="CE214" s="567"/>
      <c r="CF214" s="567"/>
      <c r="CG214" s="567"/>
      <c r="CH214" s="567"/>
      <c r="CI214" s="567"/>
      <c r="CJ214" s="567"/>
      <c r="CK214" s="567"/>
      <c r="CL214" s="567"/>
      <c r="CM214" s="567"/>
      <c r="CN214" s="567"/>
      <c r="CO214" s="567"/>
      <c r="CP214" s="567"/>
      <c r="CQ214" s="567"/>
      <c r="CR214" s="567"/>
      <c r="CS214" s="567"/>
      <c r="CT214" s="567"/>
      <c r="CU214" s="567"/>
      <c r="CV214" s="567"/>
      <c r="CW214" s="567"/>
      <c r="CX214" s="567"/>
      <c r="CY214" s="567"/>
      <c r="CZ214" s="567"/>
      <c r="DA214" s="567"/>
      <c r="DB214" s="567"/>
      <c r="DC214" s="567"/>
      <c r="DD214" s="567"/>
      <c r="DE214" s="567"/>
      <c r="DF214" s="567"/>
      <c r="DG214" s="567"/>
    </row>
    <row r="215" spans="1:111" s="397" customFormat="1">
      <c r="D215" s="567"/>
      <c r="J215" s="400"/>
      <c r="K215" s="400"/>
      <c r="L215" s="408"/>
      <c r="M215" s="567"/>
      <c r="Y215" s="567"/>
      <c r="Z215" s="400"/>
      <c r="AA215" s="400"/>
      <c r="AE215" s="567"/>
      <c r="AI215" s="567"/>
      <c r="AT215" s="567"/>
      <c r="BC215" s="571"/>
      <c r="BI215" s="401"/>
      <c r="BJ215" s="401"/>
      <c r="BK215" s="401"/>
      <c r="BL215" s="401"/>
      <c r="BM215" s="401"/>
      <c r="BN215" s="571"/>
      <c r="BO215" s="401"/>
      <c r="BP215" s="401"/>
      <c r="BQ215" s="401"/>
      <c r="BR215" s="401"/>
      <c r="BS215" s="401"/>
      <c r="BT215" s="567"/>
      <c r="BU215" s="567"/>
      <c r="BV215" s="567"/>
      <c r="BW215" s="567"/>
      <c r="BX215" s="567"/>
      <c r="BY215" s="567"/>
      <c r="BZ215" s="567"/>
      <c r="CA215" s="567"/>
      <c r="CB215" s="567"/>
      <c r="CC215" s="567"/>
      <c r="CD215" s="567"/>
      <c r="CE215" s="567"/>
      <c r="CF215" s="567"/>
      <c r="CG215" s="567"/>
      <c r="CH215" s="567"/>
      <c r="CI215" s="567"/>
      <c r="CJ215" s="567"/>
      <c r="CK215" s="567"/>
      <c r="CL215" s="567"/>
      <c r="CM215" s="567"/>
      <c r="CN215" s="567"/>
      <c r="CO215" s="567"/>
      <c r="CP215" s="567"/>
      <c r="CQ215" s="567"/>
      <c r="CR215" s="567"/>
      <c r="CS215" s="567"/>
      <c r="CT215" s="567"/>
      <c r="CU215" s="567"/>
      <c r="CV215" s="567"/>
      <c r="CW215" s="567"/>
      <c r="CX215" s="567"/>
      <c r="CY215" s="567"/>
      <c r="CZ215" s="567"/>
      <c r="DA215" s="567"/>
      <c r="DB215" s="567"/>
      <c r="DC215" s="567"/>
      <c r="DD215" s="567"/>
      <c r="DE215" s="567"/>
      <c r="DF215" s="567"/>
      <c r="DG215" s="567"/>
    </row>
    <row r="216" spans="1:111" s="397" customFormat="1">
      <c r="D216" s="567"/>
      <c r="J216" s="400"/>
      <c r="K216" s="400"/>
      <c r="L216" s="408"/>
      <c r="M216" s="567"/>
      <c r="Y216" s="567"/>
      <c r="Z216" s="400"/>
      <c r="AA216" s="400"/>
      <c r="AE216" s="567"/>
      <c r="AI216" s="567"/>
      <c r="AT216" s="567"/>
      <c r="BC216" s="571"/>
      <c r="BI216" s="401"/>
      <c r="BJ216" s="401"/>
      <c r="BK216" s="401"/>
      <c r="BL216" s="401"/>
      <c r="BM216" s="401"/>
      <c r="BN216" s="571"/>
      <c r="BO216" s="401"/>
      <c r="BP216" s="401"/>
      <c r="BQ216" s="401"/>
      <c r="BR216" s="401"/>
      <c r="BS216" s="401"/>
      <c r="BT216" s="567"/>
      <c r="BU216" s="567"/>
      <c r="BV216" s="567"/>
      <c r="BW216" s="567"/>
      <c r="BX216" s="567"/>
      <c r="BY216" s="567"/>
      <c r="BZ216" s="567"/>
      <c r="CA216" s="567"/>
      <c r="CB216" s="567"/>
      <c r="CC216" s="567"/>
      <c r="CD216" s="567"/>
      <c r="CE216" s="567"/>
      <c r="CF216" s="567"/>
      <c r="CG216" s="567"/>
      <c r="CH216" s="567"/>
      <c r="CI216" s="567"/>
      <c r="CJ216" s="567"/>
      <c r="CK216" s="567"/>
      <c r="CL216" s="567"/>
      <c r="CM216" s="567"/>
      <c r="CN216" s="567"/>
      <c r="CO216" s="567"/>
      <c r="CP216" s="567"/>
      <c r="CQ216" s="567"/>
      <c r="CR216" s="567"/>
      <c r="CS216" s="567"/>
      <c r="CT216" s="567"/>
      <c r="CU216" s="567"/>
      <c r="CV216" s="567"/>
      <c r="CW216" s="567"/>
      <c r="CX216" s="567"/>
      <c r="CY216" s="567"/>
      <c r="CZ216" s="567"/>
      <c r="DA216" s="567"/>
      <c r="DB216" s="567"/>
      <c r="DC216" s="567"/>
      <c r="DD216" s="567"/>
      <c r="DE216" s="567"/>
      <c r="DF216" s="567"/>
      <c r="DG216" s="567"/>
    </row>
    <row r="217" spans="1:111" s="397" customFormat="1">
      <c r="D217" s="567"/>
      <c r="J217" s="400"/>
      <c r="K217" s="400"/>
      <c r="L217" s="408"/>
      <c r="M217" s="567"/>
      <c r="Y217" s="567"/>
      <c r="Z217" s="400"/>
      <c r="AA217" s="400"/>
      <c r="AE217" s="567"/>
      <c r="AI217" s="567"/>
      <c r="AT217" s="567"/>
      <c r="BC217" s="571"/>
      <c r="BI217" s="401"/>
      <c r="BJ217" s="401"/>
      <c r="BK217" s="401"/>
      <c r="BL217" s="401"/>
      <c r="BM217" s="401"/>
      <c r="BN217" s="571"/>
      <c r="BO217" s="401"/>
      <c r="BP217" s="401"/>
      <c r="BQ217" s="401"/>
      <c r="BR217" s="401"/>
      <c r="BS217" s="401"/>
      <c r="BT217" s="567"/>
      <c r="BU217" s="567"/>
      <c r="BV217" s="567"/>
      <c r="BW217" s="567"/>
      <c r="BX217" s="567"/>
      <c r="BY217" s="567"/>
      <c r="BZ217" s="567"/>
      <c r="CA217" s="567"/>
      <c r="CB217" s="567"/>
      <c r="CC217" s="567"/>
      <c r="CD217" s="567"/>
      <c r="CE217" s="567"/>
      <c r="CF217" s="567"/>
      <c r="CG217" s="567"/>
      <c r="CH217" s="567"/>
      <c r="CI217" s="567"/>
      <c r="CJ217" s="567"/>
      <c r="CK217" s="567"/>
      <c r="CL217" s="567"/>
      <c r="CM217" s="567"/>
      <c r="CN217" s="567"/>
      <c r="CO217" s="567"/>
      <c r="CP217" s="567"/>
      <c r="CQ217" s="567"/>
      <c r="CR217" s="567"/>
      <c r="CS217" s="567"/>
      <c r="CT217" s="567"/>
      <c r="CU217" s="567"/>
      <c r="CV217" s="567"/>
      <c r="CW217" s="567"/>
      <c r="CX217" s="567"/>
      <c r="CY217" s="567"/>
      <c r="CZ217" s="567"/>
      <c r="DA217" s="567"/>
      <c r="DB217" s="567"/>
      <c r="DC217" s="567"/>
      <c r="DD217" s="567"/>
      <c r="DE217" s="567"/>
      <c r="DF217" s="567"/>
      <c r="DG217" s="567"/>
    </row>
    <row r="218" spans="1:111" s="397" customFormat="1">
      <c r="D218" s="567"/>
      <c r="J218" s="400"/>
      <c r="K218" s="400"/>
      <c r="L218" s="408"/>
      <c r="M218" s="567"/>
      <c r="Y218" s="567"/>
      <c r="Z218" s="400"/>
      <c r="AA218" s="400"/>
      <c r="AE218" s="567"/>
      <c r="AI218" s="567"/>
      <c r="AT218" s="567"/>
      <c r="BC218" s="571"/>
      <c r="BI218" s="401"/>
      <c r="BJ218" s="401"/>
      <c r="BK218" s="401"/>
      <c r="BL218" s="401"/>
      <c r="BM218" s="401"/>
      <c r="BN218" s="571"/>
      <c r="BO218" s="401"/>
      <c r="BP218" s="401"/>
      <c r="BQ218" s="401"/>
      <c r="BR218" s="401"/>
      <c r="BS218" s="401"/>
      <c r="BT218" s="567"/>
      <c r="BU218" s="567"/>
      <c r="BV218" s="567"/>
      <c r="BW218" s="567"/>
      <c r="BX218" s="567"/>
      <c r="BY218" s="567"/>
      <c r="BZ218" s="567"/>
      <c r="CA218" s="567"/>
      <c r="CB218" s="567"/>
      <c r="CC218" s="567"/>
      <c r="CD218" s="567"/>
      <c r="CE218" s="567"/>
      <c r="CF218" s="567"/>
      <c r="CG218" s="567"/>
      <c r="CH218" s="567"/>
      <c r="CI218" s="567"/>
      <c r="CJ218" s="567"/>
      <c r="CK218" s="567"/>
      <c r="CL218" s="567"/>
      <c r="CM218" s="567"/>
      <c r="CN218" s="567"/>
      <c r="CO218" s="567"/>
      <c r="CP218" s="567"/>
      <c r="CQ218" s="567"/>
      <c r="CR218" s="567"/>
      <c r="CS218" s="567"/>
      <c r="CT218" s="567"/>
      <c r="CU218" s="567"/>
      <c r="CV218" s="567"/>
      <c r="CW218" s="567"/>
      <c r="CX218" s="567"/>
      <c r="CY218" s="567"/>
      <c r="CZ218" s="567"/>
      <c r="DA218" s="567"/>
      <c r="DB218" s="567"/>
      <c r="DC218" s="567"/>
      <c r="DD218" s="567"/>
      <c r="DE218" s="567"/>
      <c r="DF218" s="567"/>
      <c r="DG218" s="567"/>
    </row>
    <row r="219" spans="1:111" s="397" customFormat="1">
      <c r="D219" s="567"/>
      <c r="J219" s="400"/>
      <c r="K219" s="400"/>
      <c r="L219" s="408"/>
      <c r="M219" s="567"/>
      <c r="Y219" s="567"/>
      <c r="Z219" s="400"/>
      <c r="AA219" s="400"/>
      <c r="AE219" s="567"/>
      <c r="AI219" s="567"/>
      <c r="AT219" s="567"/>
      <c r="BC219" s="571"/>
      <c r="BI219" s="401"/>
      <c r="BJ219" s="401"/>
      <c r="BK219" s="401"/>
      <c r="BL219" s="401"/>
      <c r="BM219" s="401"/>
      <c r="BN219" s="571"/>
      <c r="BO219" s="401"/>
      <c r="BP219" s="401"/>
      <c r="BQ219" s="401"/>
      <c r="BR219" s="401"/>
      <c r="BS219" s="401"/>
      <c r="BT219" s="567"/>
      <c r="BU219" s="567"/>
      <c r="BV219" s="567"/>
      <c r="BW219" s="567"/>
      <c r="BX219" s="567"/>
      <c r="BY219" s="567"/>
      <c r="BZ219" s="567"/>
      <c r="CA219" s="567"/>
      <c r="CB219" s="567"/>
      <c r="CC219" s="567"/>
      <c r="CD219" s="567"/>
      <c r="CE219" s="567"/>
      <c r="CF219" s="567"/>
      <c r="CG219" s="567"/>
      <c r="CH219" s="567"/>
      <c r="CI219" s="567"/>
      <c r="CJ219" s="567"/>
      <c r="CK219" s="567"/>
      <c r="CL219" s="567"/>
      <c r="CM219" s="567"/>
      <c r="CN219" s="567"/>
      <c r="CO219" s="567"/>
      <c r="CP219" s="567"/>
      <c r="CQ219" s="567"/>
      <c r="CR219" s="567"/>
      <c r="CS219" s="567"/>
      <c r="CT219" s="567"/>
      <c r="CU219" s="567"/>
      <c r="CV219" s="567"/>
      <c r="CW219" s="567"/>
      <c r="CX219" s="567"/>
      <c r="CY219" s="567"/>
      <c r="CZ219" s="567"/>
      <c r="DA219" s="567"/>
      <c r="DB219" s="567"/>
      <c r="DC219" s="567"/>
      <c r="DD219" s="567"/>
      <c r="DE219" s="567"/>
      <c r="DF219" s="567"/>
      <c r="DG219" s="567"/>
    </row>
  </sheetData>
  <mergeCells count="13">
    <mergeCell ref="AU4:BB5"/>
    <mergeCell ref="A1:BM1"/>
    <mergeCell ref="A2:C5"/>
    <mergeCell ref="E4:L5"/>
    <mergeCell ref="N4:X5"/>
    <mergeCell ref="BI4:BM5"/>
    <mergeCell ref="Z4:AD5"/>
    <mergeCell ref="AF4:AH5"/>
    <mergeCell ref="BI2:BK2"/>
    <mergeCell ref="BL2:BM2"/>
    <mergeCell ref="AJ4:AS5"/>
    <mergeCell ref="E2:I2"/>
    <mergeCell ref="BD4:BH5"/>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76960-2157-4BE9-B6AD-08D9027C978D}">
  <dimension ref="A1:J7"/>
  <sheetViews>
    <sheetView workbookViewId="0">
      <selection sqref="A1:B1"/>
    </sheetView>
  </sheetViews>
  <sheetFormatPr baseColWidth="10" defaultRowHeight="15"/>
  <cols>
    <col min="2" max="2" width="30.85546875" style="5" customWidth="1"/>
    <col min="3" max="3" width="6.5703125" bestFit="1" customWidth="1"/>
    <col min="4" max="6" width="6.85546875" bestFit="1" customWidth="1"/>
    <col min="7" max="7" width="10.7109375" bestFit="1" customWidth="1"/>
    <col min="8" max="8" width="10.28515625" bestFit="1" customWidth="1"/>
    <col min="9" max="9" width="7.7109375" bestFit="1" customWidth="1"/>
    <col min="10" max="10" width="17" bestFit="1" customWidth="1"/>
  </cols>
  <sheetData>
    <row r="1" spans="1:10" ht="31.5">
      <c r="A1" s="1202" t="s">
        <v>1402</v>
      </c>
      <c r="B1" s="1202"/>
      <c r="C1" s="1033" t="s">
        <v>48</v>
      </c>
      <c r="D1" s="1033" t="s">
        <v>75</v>
      </c>
      <c r="E1" s="1033" t="s">
        <v>53</v>
      </c>
      <c r="F1" s="1033" t="s">
        <v>237</v>
      </c>
      <c r="G1" s="1033" t="s">
        <v>249</v>
      </c>
      <c r="H1" s="1033" t="s">
        <v>250</v>
      </c>
      <c r="I1" s="1033" t="s">
        <v>240</v>
      </c>
      <c r="J1" s="1034" t="s">
        <v>858</v>
      </c>
    </row>
    <row r="2" spans="1:10" ht="50.1" customHeight="1" thickBot="1">
      <c r="A2" s="1032"/>
      <c r="B2" s="1032" t="s">
        <v>419</v>
      </c>
      <c r="C2" s="1035"/>
      <c r="D2" s="1036">
        <v>4900</v>
      </c>
      <c r="E2" s="1036"/>
      <c r="F2" s="1036">
        <v>3930</v>
      </c>
      <c r="G2" s="1036">
        <v>90000</v>
      </c>
      <c r="H2" s="1035"/>
      <c r="I2" s="1035"/>
      <c r="J2" s="1036">
        <v>26498</v>
      </c>
    </row>
    <row r="3" spans="1:10" ht="50.1" customHeight="1" thickBot="1">
      <c r="A3" s="1032"/>
      <c r="B3" s="1032" t="s">
        <v>24</v>
      </c>
      <c r="C3" s="1036">
        <v>15277</v>
      </c>
      <c r="D3" s="1036">
        <v>18502.78</v>
      </c>
      <c r="E3" s="1036"/>
      <c r="F3" s="1036">
        <v>18197</v>
      </c>
      <c r="G3" s="1036">
        <v>35000</v>
      </c>
      <c r="H3" s="1035"/>
      <c r="I3" s="1036">
        <v>1600</v>
      </c>
      <c r="J3" s="1036">
        <v>4000</v>
      </c>
    </row>
    <row r="4" spans="1:10" ht="50.1" customHeight="1" thickBot="1">
      <c r="A4" s="1032"/>
      <c r="B4" s="1032" t="s">
        <v>352</v>
      </c>
      <c r="C4" s="1035"/>
      <c r="D4" s="1035"/>
      <c r="E4" s="1035"/>
      <c r="F4" s="1035"/>
      <c r="G4" s="1035"/>
      <c r="H4" s="1035"/>
      <c r="I4" s="1035"/>
      <c r="J4" s="1035">
        <v>18</v>
      </c>
    </row>
    <row r="5" spans="1:10" ht="50.1" customHeight="1" thickBot="1">
      <c r="A5" s="1032"/>
      <c r="B5" s="1032" t="s">
        <v>1403</v>
      </c>
      <c r="C5" s="1035">
        <v>44</v>
      </c>
      <c r="D5" s="1035">
        <v>30</v>
      </c>
      <c r="E5" s="1035">
        <v>23.75</v>
      </c>
      <c r="F5" s="1035">
        <v>36.630000000000003</v>
      </c>
      <c r="G5" s="1035">
        <v>33</v>
      </c>
      <c r="H5" s="1035">
        <v>37</v>
      </c>
      <c r="I5" s="1035">
        <v>4</v>
      </c>
      <c r="J5" s="1035">
        <v>21</v>
      </c>
    </row>
    <row r="6" spans="1:10" ht="50.1" customHeight="1" thickBot="1">
      <c r="A6" s="1032"/>
      <c r="B6" s="1032" t="s">
        <v>425</v>
      </c>
      <c r="C6" s="1035">
        <v>755</v>
      </c>
      <c r="D6" s="1035">
        <v>838</v>
      </c>
      <c r="E6" s="1035">
        <v>832</v>
      </c>
      <c r="F6" s="1035"/>
      <c r="G6" s="1036">
        <v>4642</v>
      </c>
      <c r="H6" s="1036">
        <v>2450</v>
      </c>
      <c r="I6" s="1036">
        <v>1200</v>
      </c>
      <c r="J6" s="1035"/>
    </row>
    <row r="7" spans="1:10" ht="50.1" customHeight="1" thickBot="1">
      <c r="A7" s="1032"/>
      <c r="B7" s="1032" t="s">
        <v>1404</v>
      </c>
      <c r="C7" s="1036">
        <v>1870</v>
      </c>
      <c r="D7" s="1036">
        <v>1330</v>
      </c>
      <c r="E7" s="1036">
        <v>1294</v>
      </c>
      <c r="F7" s="1036">
        <v>1310</v>
      </c>
      <c r="G7" s="1036">
        <v>7928</v>
      </c>
      <c r="H7" s="1036">
        <v>1500</v>
      </c>
      <c r="I7" s="1035">
        <v>670</v>
      </c>
      <c r="J7" s="1035">
        <v>796</v>
      </c>
    </row>
  </sheetData>
  <mergeCells count="1">
    <mergeCell ref="A1:B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theme="9" tint="0.39997558519241921"/>
  </sheetPr>
  <dimension ref="A1:AY194"/>
  <sheetViews>
    <sheetView topLeftCell="A20" workbookViewId="0">
      <selection sqref="A1:L2"/>
    </sheetView>
  </sheetViews>
  <sheetFormatPr baseColWidth="10" defaultRowHeight="15"/>
  <cols>
    <col min="1" max="1" width="18" customWidth="1"/>
    <col min="2" max="2" width="11.140625" customWidth="1"/>
    <col min="3" max="3" width="12.42578125" customWidth="1"/>
    <col min="4" max="4" width="23.7109375" customWidth="1"/>
    <col min="5" max="5" width="13.7109375" customWidth="1"/>
    <col min="6" max="6" width="9.42578125" style="310" customWidth="1"/>
    <col min="7" max="7" width="50.7109375" style="5" customWidth="1"/>
    <col min="8" max="8" width="13.140625" style="310" customWidth="1"/>
    <col min="10" max="10" width="9.42578125" style="4" bestFit="1" customWidth="1"/>
    <col min="11" max="11" width="35.140625" customWidth="1"/>
    <col min="12" max="12" width="15" style="27" customWidth="1"/>
    <col min="13" max="51" width="10.85546875" style="27"/>
  </cols>
  <sheetData>
    <row r="1" spans="1:12" ht="18.75" customHeight="1">
      <c r="A1" s="1207" t="s">
        <v>188</v>
      </c>
      <c r="B1" s="1207"/>
      <c r="C1" s="1207"/>
      <c r="D1" s="1207"/>
      <c r="E1" s="1207"/>
      <c r="F1" s="1207"/>
      <c r="G1" s="1207"/>
      <c r="H1" s="1207"/>
      <c r="I1" s="1207"/>
      <c r="J1" s="1207"/>
      <c r="K1" s="1207"/>
      <c r="L1" s="1207"/>
    </row>
    <row r="2" spans="1:12" ht="75" customHeight="1">
      <c r="A2" s="1207"/>
      <c r="B2" s="1207"/>
      <c r="C2" s="1207"/>
      <c r="D2" s="1207"/>
      <c r="E2" s="1207"/>
      <c r="F2" s="1207"/>
      <c r="G2" s="1207"/>
      <c r="H2" s="1207"/>
      <c r="I2" s="1207"/>
      <c r="J2" s="1207"/>
      <c r="K2" s="1207"/>
      <c r="L2" s="1207"/>
    </row>
    <row r="3" spans="1:12" s="27" customFormat="1" ht="20.25" customHeight="1">
      <c r="A3" s="236"/>
      <c r="B3" s="236"/>
      <c r="C3" s="236"/>
      <c r="D3" s="236"/>
      <c r="E3" s="236"/>
      <c r="F3" s="236"/>
      <c r="G3" s="236"/>
      <c r="H3" s="236"/>
      <c r="I3" s="236"/>
      <c r="J3" s="236"/>
      <c r="K3" s="236"/>
      <c r="L3" s="236"/>
    </row>
    <row r="4" spans="1:12" ht="75" customHeight="1">
      <c r="A4" s="1208" t="s">
        <v>189</v>
      </c>
      <c r="B4" s="1208"/>
      <c r="C4" s="1208"/>
      <c r="D4" s="1208"/>
      <c r="E4" s="1208"/>
      <c r="F4" s="1208"/>
      <c r="G4" s="1208"/>
      <c r="H4" s="1208"/>
      <c r="I4" s="1208"/>
      <c r="J4" s="1208"/>
      <c r="K4" s="1208"/>
    </row>
    <row r="5" spans="1:12" ht="47.25">
      <c r="A5" s="237" t="s">
        <v>190</v>
      </c>
      <c r="B5" s="237" t="s">
        <v>191</v>
      </c>
      <c r="C5" s="238" t="s">
        <v>69</v>
      </c>
      <c r="D5" s="238" t="s">
        <v>192</v>
      </c>
      <c r="E5" s="238" t="s">
        <v>193</v>
      </c>
      <c r="F5" s="1209" t="s">
        <v>149</v>
      </c>
      <c r="G5" s="1210"/>
      <c r="H5" s="237" t="s">
        <v>194</v>
      </c>
      <c r="I5" s="237" t="s">
        <v>195</v>
      </c>
      <c r="J5" s="1211" t="s">
        <v>196</v>
      </c>
      <c r="K5" s="1211"/>
    </row>
    <row r="6" spans="1:12" ht="15.75">
      <c r="A6" s="239" t="s">
        <v>48</v>
      </c>
      <c r="B6" s="239">
        <v>1000</v>
      </c>
      <c r="C6" s="240">
        <v>40000</v>
      </c>
      <c r="D6" s="240">
        <v>20528</v>
      </c>
      <c r="E6" s="241">
        <v>3320</v>
      </c>
      <c r="F6" s="242"/>
      <c r="G6" s="243"/>
      <c r="H6" s="244">
        <v>40.322580645161288</v>
      </c>
      <c r="I6" s="245">
        <v>4.4000000000000004</v>
      </c>
      <c r="J6" s="246">
        <v>839</v>
      </c>
      <c r="K6" s="247" t="s">
        <v>197</v>
      </c>
    </row>
    <row r="7" spans="1:12" ht="15.75">
      <c r="A7" s="248" t="s">
        <v>75</v>
      </c>
      <c r="B7" s="248">
        <v>1000</v>
      </c>
      <c r="C7" s="249"/>
      <c r="D7" s="249">
        <v>17611</v>
      </c>
      <c r="E7" s="250">
        <v>2000</v>
      </c>
      <c r="F7" s="251"/>
      <c r="G7" s="252"/>
      <c r="H7" s="253">
        <v>30.487804878048784</v>
      </c>
      <c r="I7" s="254">
        <v>4.4000000000000004</v>
      </c>
      <c r="J7" s="255">
        <v>1047</v>
      </c>
      <c r="K7" s="256" t="s">
        <v>101</v>
      </c>
    </row>
    <row r="8" spans="1:12" ht="15.75">
      <c r="A8" s="248" t="s">
        <v>156</v>
      </c>
      <c r="B8" s="248">
        <v>1000</v>
      </c>
      <c r="C8" s="249"/>
      <c r="D8" s="249">
        <v>17611</v>
      </c>
      <c r="E8" s="250">
        <v>2000</v>
      </c>
      <c r="F8" s="251"/>
      <c r="G8" s="252"/>
      <c r="H8" s="253">
        <v>30.487804878048784</v>
      </c>
      <c r="I8" s="254">
        <v>4.4000000000000004</v>
      </c>
      <c r="J8" s="255">
        <v>1047</v>
      </c>
      <c r="K8" s="256" t="s">
        <v>101</v>
      </c>
    </row>
    <row r="9" spans="1:12" ht="15.75">
      <c r="A9" s="239" t="s">
        <v>53</v>
      </c>
      <c r="B9" s="239">
        <v>1000</v>
      </c>
      <c r="C9" s="240"/>
      <c r="D9" s="240"/>
      <c r="E9" s="241">
        <v>1294</v>
      </c>
      <c r="F9" s="242"/>
      <c r="G9" s="243"/>
      <c r="H9" s="244">
        <v>23.752969121140143</v>
      </c>
      <c r="I9" s="245">
        <v>4.4000000000000004</v>
      </c>
      <c r="J9" s="246">
        <v>1040</v>
      </c>
      <c r="K9" s="257" t="s">
        <v>105</v>
      </c>
    </row>
    <row r="10" spans="1:12" ht="15.75">
      <c r="A10" s="248" t="s">
        <v>76</v>
      </c>
      <c r="B10" s="248">
        <v>1000</v>
      </c>
      <c r="C10" s="249"/>
      <c r="D10" s="249"/>
      <c r="E10" s="250">
        <v>671</v>
      </c>
      <c r="F10" s="251"/>
      <c r="G10" s="252"/>
      <c r="H10" s="253">
        <v>33.333333333333336</v>
      </c>
      <c r="I10" s="254">
        <v>3.7</v>
      </c>
      <c r="J10" s="255"/>
      <c r="K10" s="258" t="s">
        <v>104</v>
      </c>
    </row>
    <row r="11" spans="1:12" ht="15.75">
      <c r="A11" s="248" t="s">
        <v>157</v>
      </c>
      <c r="B11" s="248">
        <v>1000</v>
      </c>
      <c r="C11" s="249"/>
      <c r="D11" s="249"/>
      <c r="E11" s="250">
        <v>671</v>
      </c>
      <c r="F11" s="251"/>
      <c r="G11" s="252"/>
      <c r="H11" s="253">
        <v>17.361111111111111</v>
      </c>
      <c r="I11" s="254">
        <v>3.7</v>
      </c>
      <c r="J11" s="255"/>
      <c r="K11" s="258" t="s">
        <v>104</v>
      </c>
    </row>
    <row r="12" spans="1:12" ht="15.75">
      <c r="A12" s="248" t="s">
        <v>161</v>
      </c>
      <c r="B12" s="248">
        <v>1000</v>
      </c>
      <c r="C12" s="249">
        <v>100000</v>
      </c>
      <c r="D12" s="249">
        <v>3000</v>
      </c>
      <c r="E12" s="250">
        <v>747.49999999999989</v>
      </c>
      <c r="F12" s="251">
        <v>15</v>
      </c>
      <c r="G12" s="252"/>
      <c r="H12" s="253">
        <v>19.23076923076923</v>
      </c>
      <c r="I12" s="254"/>
      <c r="J12" s="255">
        <v>1500</v>
      </c>
      <c r="K12" s="258" t="s">
        <v>102</v>
      </c>
    </row>
    <row r="13" spans="1:12" ht="15.75">
      <c r="A13" s="248" t="s">
        <v>158</v>
      </c>
      <c r="B13" s="248">
        <v>1000</v>
      </c>
      <c r="C13" s="249">
        <v>7000</v>
      </c>
      <c r="D13" s="249">
        <v>6000</v>
      </c>
      <c r="E13" s="250">
        <v>747.49999999999989</v>
      </c>
      <c r="F13" s="251">
        <v>17</v>
      </c>
      <c r="G13" s="252"/>
      <c r="H13" s="253">
        <v>33.333333333333336</v>
      </c>
      <c r="I13" s="254"/>
      <c r="J13" s="255">
        <v>1000</v>
      </c>
      <c r="K13" s="258" t="s">
        <v>103</v>
      </c>
    </row>
    <row r="14" spans="1:12" ht="15.75">
      <c r="A14" s="239" t="s">
        <v>18</v>
      </c>
      <c r="B14" s="239">
        <v>1000</v>
      </c>
      <c r="C14" s="240">
        <v>90000</v>
      </c>
      <c r="D14" s="240">
        <v>39428</v>
      </c>
      <c r="E14" s="241">
        <v>18058.024000000001</v>
      </c>
      <c r="F14" s="242"/>
      <c r="G14" s="243"/>
      <c r="H14" s="244">
        <v>33.333333333333336</v>
      </c>
      <c r="I14" s="245">
        <v>2.5</v>
      </c>
      <c r="J14" s="246">
        <v>5366</v>
      </c>
      <c r="K14" s="247" t="s">
        <v>183</v>
      </c>
    </row>
    <row r="15" spans="1:12" ht="47.25">
      <c r="A15" s="248" t="s">
        <v>54</v>
      </c>
      <c r="B15" s="248">
        <v>1000</v>
      </c>
      <c r="C15" s="249"/>
      <c r="D15" s="249">
        <v>490</v>
      </c>
      <c r="E15" s="250">
        <v>224.42000000000002</v>
      </c>
      <c r="F15" s="251"/>
      <c r="G15" s="252"/>
      <c r="H15" s="253">
        <v>37.453183520599254</v>
      </c>
      <c r="I15" s="254"/>
      <c r="J15" s="255">
        <v>1320</v>
      </c>
      <c r="K15" s="259" t="s">
        <v>185</v>
      </c>
    </row>
    <row r="16" spans="1:12" ht="15.75">
      <c r="A16" s="239" t="s">
        <v>77</v>
      </c>
      <c r="B16" s="239">
        <v>1000</v>
      </c>
      <c r="C16" s="240">
        <v>100000</v>
      </c>
      <c r="D16" s="240">
        <v>6000</v>
      </c>
      <c r="E16" s="241">
        <v>747.49999999999989</v>
      </c>
      <c r="F16" s="242">
        <v>17</v>
      </c>
      <c r="G16" s="243"/>
      <c r="H16" s="244">
        <v>33.333333333333336</v>
      </c>
      <c r="I16" s="245"/>
      <c r="J16" s="246">
        <v>1000</v>
      </c>
      <c r="K16" s="247" t="s">
        <v>103</v>
      </c>
    </row>
    <row r="17" spans="1:51" ht="31.5">
      <c r="A17" s="239" t="s">
        <v>55</v>
      </c>
      <c r="B17" s="239">
        <v>1000</v>
      </c>
      <c r="C17" s="240"/>
      <c r="D17" s="240">
        <v>1321</v>
      </c>
      <c r="E17" s="241">
        <v>200</v>
      </c>
      <c r="F17" s="242"/>
      <c r="G17" s="243"/>
      <c r="H17" s="244">
        <v>20</v>
      </c>
      <c r="I17" s="245">
        <v>0.85499999999999998</v>
      </c>
      <c r="J17" s="246">
        <v>1240</v>
      </c>
      <c r="K17" s="260" t="s">
        <v>187</v>
      </c>
    </row>
    <row r="18" spans="1:51" s="265" customFormat="1" ht="18.75">
      <c r="A18" s="261" t="s">
        <v>78</v>
      </c>
      <c r="B18" s="262">
        <f>B6+B9+B14+B16+B17</f>
        <v>5000</v>
      </c>
      <c r="C18" s="262">
        <f t="shared" ref="C18:J18" si="0">C6+C9+C14+C16+C17</f>
        <v>230000</v>
      </c>
      <c r="D18" s="262">
        <f t="shared" si="0"/>
        <v>67277</v>
      </c>
      <c r="E18" s="262">
        <f t="shared" si="0"/>
        <v>23619.524000000001</v>
      </c>
      <c r="F18" s="262">
        <f t="shared" si="0"/>
        <v>17</v>
      </c>
      <c r="G18" s="262">
        <f t="shared" si="0"/>
        <v>0</v>
      </c>
      <c r="H18" s="262">
        <f t="shared" si="0"/>
        <v>150.74221643296812</v>
      </c>
      <c r="I18" s="263">
        <f t="shared" si="0"/>
        <v>12.155000000000001</v>
      </c>
      <c r="J18" s="262">
        <f t="shared" si="0"/>
        <v>9485</v>
      </c>
      <c r="K18" s="263" t="s">
        <v>198</v>
      </c>
      <c r="L18" s="264"/>
      <c r="M18" s="264"/>
      <c r="N18" s="264"/>
      <c r="O18" s="264"/>
      <c r="P18" s="264"/>
      <c r="Q18" s="264"/>
      <c r="R18" s="264"/>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row>
    <row r="19" spans="1:51" s="266" customFormat="1" ht="69" customHeight="1">
      <c r="A19" s="266" t="s">
        <v>199</v>
      </c>
      <c r="F19" s="267"/>
      <c r="G19" s="268"/>
      <c r="H19" s="267"/>
      <c r="J19" s="269"/>
    </row>
    <row r="20" spans="1:51" ht="75" customHeight="1">
      <c r="A20" s="1212" t="s">
        <v>200</v>
      </c>
      <c r="B20" s="1212"/>
      <c r="C20" s="1212"/>
      <c r="D20" s="1212"/>
      <c r="E20" s="1212"/>
      <c r="F20" s="1212"/>
      <c r="G20" s="1212"/>
      <c r="H20" s="1212"/>
      <c r="I20" s="1212"/>
      <c r="J20" s="1212"/>
      <c r="K20" s="1212"/>
      <c r="L20" s="1212"/>
      <c r="O20" s="203"/>
    </row>
    <row r="21" spans="1:51" ht="47.25">
      <c r="A21" s="270" t="s">
        <v>190</v>
      </c>
      <c r="B21" s="270" t="s">
        <v>191</v>
      </c>
      <c r="C21" s="271" t="s">
        <v>201</v>
      </c>
      <c r="D21" s="271" t="s">
        <v>202</v>
      </c>
      <c r="E21" s="271" t="s">
        <v>193</v>
      </c>
      <c r="F21" s="1213" t="s">
        <v>203</v>
      </c>
      <c r="G21" s="1213"/>
      <c r="H21" s="270" t="s">
        <v>194</v>
      </c>
      <c r="I21" s="270" t="s">
        <v>204</v>
      </c>
      <c r="J21" s="1213" t="s">
        <v>205</v>
      </c>
      <c r="K21" s="1213"/>
      <c r="L21" s="270" t="s">
        <v>206</v>
      </c>
    </row>
    <row r="22" spans="1:51" ht="15.75">
      <c r="A22" s="272" t="s">
        <v>48</v>
      </c>
      <c r="B22" s="273">
        <v>1000</v>
      </c>
      <c r="C22" s="274">
        <v>39260</v>
      </c>
      <c r="D22" s="274"/>
      <c r="E22" s="275"/>
      <c r="F22" s="276"/>
      <c r="G22" s="277"/>
      <c r="H22" s="278"/>
      <c r="I22" s="279">
        <v>2222</v>
      </c>
      <c r="J22" s="274">
        <v>1033</v>
      </c>
      <c r="K22" s="272" t="s">
        <v>207</v>
      </c>
      <c r="L22" s="280">
        <v>2000</v>
      </c>
    </row>
    <row r="23" spans="1:51" ht="15.75">
      <c r="A23" s="272" t="s">
        <v>53</v>
      </c>
      <c r="B23" s="273">
        <v>1000</v>
      </c>
      <c r="C23" s="274">
        <v>39260</v>
      </c>
      <c r="D23" s="274"/>
      <c r="E23" s="275"/>
      <c r="F23" s="276"/>
      <c r="G23" s="277"/>
      <c r="H23" s="278"/>
      <c r="I23" s="279">
        <v>2222</v>
      </c>
      <c r="J23" s="274"/>
      <c r="K23" s="281"/>
      <c r="L23" s="280">
        <v>1000</v>
      </c>
    </row>
    <row r="24" spans="1:51" ht="31.5">
      <c r="A24" s="272" t="s">
        <v>208</v>
      </c>
      <c r="B24" s="273">
        <v>1000</v>
      </c>
      <c r="C24" s="274"/>
      <c r="D24" s="282" t="s">
        <v>209</v>
      </c>
      <c r="E24" s="275">
        <v>6996000</v>
      </c>
      <c r="F24" s="276"/>
      <c r="G24" s="277"/>
      <c r="H24" s="278"/>
      <c r="I24" s="283"/>
      <c r="J24" s="274">
        <v>4000</v>
      </c>
      <c r="K24" s="272" t="s">
        <v>210</v>
      </c>
      <c r="L24" s="280">
        <v>15000</v>
      </c>
    </row>
    <row r="25" spans="1:51" ht="31.5">
      <c r="A25" s="284" t="s">
        <v>211</v>
      </c>
      <c r="B25" s="285">
        <v>1000</v>
      </c>
      <c r="C25" s="286">
        <v>270000</v>
      </c>
      <c r="D25" s="286">
        <v>7000</v>
      </c>
      <c r="E25" s="287">
        <v>1500</v>
      </c>
      <c r="F25" s="288">
        <v>17</v>
      </c>
      <c r="G25" s="288" t="s">
        <v>212</v>
      </c>
      <c r="H25" s="289">
        <v>2</v>
      </c>
      <c r="I25" s="290">
        <v>500</v>
      </c>
      <c r="J25" s="286"/>
      <c r="K25" s="284"/>
      <c r="L25" s="291">
        <v>1000</v>
      </c>
    </row>
    <row r="26" spans="1:51" ht="31.5">
      <c r="A26" s="284" t="s">
        <v>213</v>
      </c>
      <c r="B26" s="285">
        <v>1000</v>
      </c>
      <c r="C26" s="286">
        <v>270000</v>
      </c>
      <c r="D26" s="286">
        <v>7000</v>
      </c>
      <c r="E26" s="287">
        <v>1500</v>
      </c>
      <c r="F26" s="288">
        <v>17</v>
      </c>
      <c r="G26" s="288" t="s">
        <v>212</v>
      </c>
      <c r="H26" s="289">
        <v>2</v>
      </c>
      <c r="I26" s="290">
        <v>500</v>
      </c>
      <c r="J26" s="286"/>
      <c r="K26" s="284"/>
      <c r="L26" s="291">
        <v>1000</v>
      </c>
    </row>
    <row r="27" spans="1:51" ht="31.5">
      <c r="A27" s="272" t="s">
        <v>77</v>
      </c>
      <c r="B27" s="273">
        <v>1000</v>
      </c>
      <c r="C27" s="274">
        <v>270000</v>
      </c>
      <c r="D27" s="274">
        <v>7000</v>
      </c>
      <c r="E27" s="275">
        <v>1500</v>
      </c>
      <c r="F27" s="277">
        <v>17</v>
      </c>
      <c r="G27" s="277" t="s">
        <v>214</v>
      </c>
      <c r="H27" s="278">
        <v>2</v>
      </c>
      <c r="I27" s="283">
        <v>500</v>
      </c>
      <c r="J27" s="274"/>
      <c r="K27" s="292"/>
      <c r="L27" s="280">
        <v>1000</v>
      </c>
    </row>
    <row r="28" spans="1:51" ht="78.75">
      <c r="A28" s="272" t="s">
        <v>55</v>
      </c>
      <c r="B28" s="273">
        <v>1000</v>
      </c>
      <c r="C28" s="274"/>
      <c r="D28" s="274"/>
      <c r="E28" s="275"/>
      <c r="F28" s="276"/>
      <c r="G28" s="277"/>
      <c r="H28" s="278"/>
      <c r="I28" s="283"/>
      <c r="J28" s="293" t="s">
        <v>215</v>
      </c>
      <c r="K28" s="294" t="s">
        <v>216</v>
      </c>
      <c r="L28" s="280">
        <v>350</v>
      </c>
    </row>
    <row r="29" spans="1:51" ht="15.75">
      <c r="A29" s="284" t="s">
        <v>217</v>
      </c>
      <c r="B29" s="295"/>
      <c r="C29" s="286"/>
      <c r="D29" s="286"/>
      <c r="E29" s="287"/>
      <c r="F29" s="296"/>
      <c r="G29" s="288"/>
      <c r="H29" s="289"/>
      <c r="I29" s="290"/>
      <c r="J29" s="297"/>
      <c r="K29" s="298"/>
      <c r="L29" s="291">
        <v>7000</v>
      </c>
    </row>
    <row r="30" spans="1:51" s="304" customFormat="1" ht="37.5">
      <c r="A30" s="299" t="s">
        <v>78</v>
      </c>
      <c r="B30" s="300">
        <f>B22+B23+B24+B27+B28</f>
        <v>5000</v>
      </c>
      <c r="C30" s="300">
        <f>C22+C23+C24+C27+C28</f>
        <v>348520</v>
      </c>
      <c r="D30" s="300">
        <f>D22+D23+D27+D28</f>
        <v>7000</v>
      </c>
      <c r="E30" s="300">
        <f>E22+E23+E24+E27+E28</f>
        <v>6997500</v>
      </c>
      <c r="F30" s="300">
        <f>F22+F23+F24+F27+F28</f>
        <v>17</v>
      </c>
      <c r="G30" s="301" t="s">
        <v>218</v>
      </c>
      <c r="H30" s="300">
        <f>H22+H23+H24+H27+H28</f>
        <v>2</v>
      </c>
      <c r="I30" s="300">
        <f>I22+I23+I24+I27+I28</f>
        <v>4944</v>
      </c>
      <c r="J30" s="300">
        <v>6086</v>
      </c>
      <c r="K30" s="302" t="s">
        <v>198</v>
      </c>
      <c r="L30" s="303">
        <f>L22+L23+L24+L27+L28</f>
        <v>19350</v>
      </c>
      <c r="M30" s="264"/>
      <c r="N30" s="264"/>
      <c r="O30" s="264"/>
      <c r="P30" s="264"/>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c r="AN30" s="264"/>
      <c r="AO30" s="264"/>
      <c r="AP30" s="264"/>
      <c r="AQ30" s="264"/>
      <c r="AR30" s="264"/>
      <c r="AS30" s="264"/>
      <c r="AT30" s="264"/>
      <c r="AU30" s="264"/>
      <c r="AV30" s="264"/>
      <c r="AW30" s="264"/>
      <c r="AX30" s="264"/>
      <c r="AY30" s="264"/>
    </row>
    <row r="31" spans="1:51" s="27" customFormat="1" ht="15.75" thickBot="1">
      <c r="F31" s="305"/>
      <c r="G31" s="30"/>
      <c r="H31" s="305"/>
      <c r="J31" s="29"/>
    </row>
    <row r="32" spans="1:51" s="27" customFormat="1" ht="18.75">
      <c r="E32" s="1214" t="s">
        <v>219</v>
      </c>
      <c r="F32" s="1215"/>
      <c r="G32" s="1215"/>
      <c r="H32" s="1215"/>
      <c r="I32" s="1215"/>
      <c r="J32" s="1216"/>
    </row>
    <row r="33" spans="1:10" s="27" customFormat="1" ht="18.75">
      <c r="E33" s="1203"/>
      <c r="F33" s="1204"/>
      <c r="G33" s="1204"/>
      <c r="H33" s="306" t="s">
        <v>220</v>
      </c>
      <c r="I33" s="1217" t="s">
        <v>221</v>
      </c>
      <c r="J33" s="1218"/>
    </row>
    <row r="34" spans="1:10" s="27" customFormat="1" ht="18.75">
      <c r="E34" s="1203" t="s">
        <v>222</v>
      </c>
      <c r="F34" s="1204"/>
      <c r="G34" s="1204"/>
      <c r="H34" s="307">
        <v>40000</v>
      </c>
      <c r="I34" s="1219">
        <v>39260</v>
      </c>
      <c r="J34" s="1220"/>
    </row>
    <row r="35" spans="1:10" s="27" customFormat="1" ht="18.75">
      <c r="E35" s="1203" t="s">
        <v>223</v>
      </c>
      <c r="F35" s="1204"/>
      <c r="G35" s="1204"/>
      <c r="H35" s="308" t="s">
        <v>224</v>
      </c>
      <c r="I35" s="1205" t="s">
        <v>225</v>
      </c>
      <c r="J35" s="1206"/>
    </row>
    <row r="36" spans="1:10" s="27" customFormat="1">
      <c r="E36" s="1225" t="s">
        <v>226</v>
      </c>
      <c r="F36" s="1226"/>
      <c r="G36" s="1226"/>
      <c r="H36" s="1227" t="s">
        <v>227</v>
      </c>
      <c r="I36" s="1219" t="s">
        <v>228</v>
      </c>
      <c r="J36" s="1220"/>
    </row>
    <row r="37" spans="1:10" s="27" customFormat="1">
      <c r="E37" s="1225"/>
      <c r="F37" s="1226"/>
      <c r="G37" s="1226"/>
      <c r="H37" s="1227"/>
      <c r="I37" s="1219"/>
      <c r="J37" s="1220"/>
    </row>
    <row r="38" spans="1:10" s="27" customFormat="1" ht="18.75">
      <c r="E38" s="1203" t="s">
        <v>229</v>
      </c>
      <c r="F38" s="1204"/>
      <c r="G38" s="1204"/>
      <c r="H38" s="307" t="s">
        <v>230</v>
      </c>
      <c r="I38" s="1219" t="s">
        <v>231</v>
      </c>
      <c r="J38" s="1220"/>
    </row>
    <row r="39" spans="1:10" s="27" customFormat="1" ht="18.75">
      <c r="E39" s="1203" t="s">
        <v>232</v>
      </c>
      <c r="F39" s="1204"/>
      <c r="G39" s="1204"/>
      <c r="H39" s="307" t="s">
        <v>233</v>
      </c>
      <c r="I39" s="1219" t="s">
        <v>234</v>
      </c>
      <c r="J39" s="1220"/>
    </row>
    <row r="40" spans="1:10" s="27" customFormat="1" ht="19.5" thickBot="1">
      <c r="E40" s="1221" t="s">
        <v>235</v>
      </c>
      <c r="F40" s="1222"/>
      <c r="G40" s="1222"/>
      <c r="H40" s="309" t="s">
        <v>236</v>
      </c>
      <c r="I40" s="1223">
        <v>17</v>
      </c>
      <c r="J40" s="1224"/>
    </row>
    <row r="41" spans="1:10" s="27" customFormat="1">
      <c r="F41" s="305"/>
      <c r="G41" s="30"/>
      <c r="H41" s="305"/>
      <c r="J41" s="29"/>
    </row>
    <row r="42" spans="1:10" s="27" customFormat="1">
      <c r="F42" s="305"/>
      <c r="G42" s="30"/>
      <c r="H42" s="305"/>
      <c r="J42" s="29"/>
    </row>
    <row r="43" spans="1:10" s="27" customFormat="1">
      <c r="F43" s="305"/>
      <c r="G43" s="30"/>
      <c r="H43" s="305"/>
      <c r="J43" s="29"/>
    </row>
    <row r="44" spans="1:10" s="27" customFormat="1">
      <c r="F44" s="305"/>
      <c r="G44" s="30"/>
      <c r="H44" s="305"/>
      <c r="J44" s="29"/>
    </row>
    <row r="45" spans="1:10" s="27" customFormat="1">
      <c r="F45" s="305"/>
      <c r="G45" s="30"/>
      <c r="H45" s="305"/>
      <c r="J45" s="29"/>
    </row>
    <row r="46" spans="1:10" s="27" customFormat="1">
      <c r="A46" s="27" t="s">
        <v>1069</v>
      </c>
      <c r="F46" s="305"/>
      <c r="G46" s="30"/>
      <c r="H46" s="305"/>
      <c r="J46" s="29"/>
    </row>
    <row r="47" spans="1:10" s="27" customFormat="1">
      <c r="A47" t="s">
        <v>382</v>
      </c>
      <c r="B47" s="492" t="s">
        <v>381</v>
      </c>
      <c r="F47" s="305"/>
      <c r="G47" s="30"/>
      <c r="H47" s="305"/>
      <c r="J47" s="29"/>
    </row>
    <row r="48" spans="1:10" s="27" customFormat="1">
      <c r="F48" s="305"/>
      <c r="G48" s="30"/>
      <c r="H48" s="305"/>
      <c r="J48" s="29"/>
    </row>
    <row r="49" spans="1:10" s="27" customFormat="1">
      <c r="F49" s="305"/>
      <c r="G49" s="30"/>
      <c r="H49" s="305"/>
      <c r="J49" s="29"/>
    </row>
    <row r="50" spans="1:10" s="27" customFormat="1">
      <c r="F50" s="305"/>
      <c r="G50" s="30"/>
      <c r="H50" s="305"/>
      <c r="J50" s="29"/>
    </row>
    <row r="51" spans="1:10" s="27" customFormat="1">
      <c r="F51" s="305"/>
      <c r="G51" s="30"/>
      <c r="H51" s="305"/>
      <c r="J51" s="29"/>
    </row>
    <row r="52" spans="1:10" s="27" customFormat="1">
      <c r="F52" s="305"/>
      <c r="G52" s="30"/>
      <c r="H52" s="305"/>
      <c r="J52" s="29"/>
    </row>
    <row r="53" spans="1:10" s="27" customFormat="1">
      <c r="F53" s="305"/>
      <c r="G53" s="30"/>
      <c r="H53" s="305"/>
      <c r="J53" s="29"/>
    </row>
    <row r="54" spans="1:10" s="27" customFormat="1">
      <c r="F54" s="305"/>
      <c r="G54" s="30"/>
      <c r="H54" s="305"/>
      <c r="J54" s="29"/>
    </row>
    <row r="55" spans="1:10" s="27" customFormat="1">
      <c r="F55" s="305"/>
      <c r="G55" s="30"/>
      <c r="H55" s="305"/>
      <c r="J55" s="29"/>
    </row>
    <row r="56" spans="1:10" s="27" customFormat="1">
      <c r="F56" s="305"/>
      <c r="G56" s="30"/>
      <c r="H56" s="305"/>
      <c r="J56" s="29"/>
    </row>
    <row r="57" spans="1:10" s="27" customFormat="1">
      <c r="F57" s="305"/>
      <c r="G57" s="30"/>
      <c r="H57" s="305"/>
      <c r="J57" s="29"/>
    </row>
    <row r="58" spans="1:10" s="27" customFormat="1">
      <c r="F58" s="305"/>
      <c r="G58" s="30"/>
      <c r="H58" s="305"/>
      <c r="J58" s="29"/>
    </row>
    <row r="59" spans="1:10" s="27" customFormat="1">
      <c r="F59" s="305"/>
      <c r="G59" s="30"/>
      <c r="H59" s="305"/>
      <c r="J59" s="29"/>
    </row>
    <row r="60" spans="1:10" s="27" customFormat="1" ht="20.100000000000001" customHeight="1">
      <c r="A60" t="s">
        <v>1070</v>
      </c>
      <c r="B60"/>
      <c r="C60"/>
      <c r="D60"/>
      <c r="F60" s="305"/>
      <c r="G60" s="30"/>
      <c r="H60" s="305"/>
      <c r="J60" s="29"/>
    </row>
    <row r="61" spans="1:10" s="27" customFormat="1" ht="20.100000000000001" customHeight="1">
      <c r="A61" s="889" t="s">
        <v>55</v>
      </c>
      <c r="B61" s="889"/>
      <c r="C61" s="889"/>
      <c r="D61" s="889"/>
      <c r="F61" s="305"/>
      <c r="G61" s="30"/>
      <c r="H61" s="305"/>
      <c r="J61" s="29"/>
    </row>
    <row r="62" spans="1:10" s="27" customFormat="1" ht="20.100000000000001" customHeight="1">
      <c r="A62" t="s">
        <v>448</v>
      </c>
      <c r="B62" t="s">
        <v>447</v>
      </c>
      <c r="C62"/>
      <c r="D62"/>
      <c r="F62" s="305"/>
      <c r="G62" s="30"/>
      <c r="H62" s="305"/>
      <c r="J62" s="29"/>
    </row>
    <row r="63" spans="1:10" s="27" customFormat="1" ht="20.100000000000001" customHeight="1">
      <c r="A63" t="s">
        <v>453</v>
      </c>
      <c r="B63" t="s">
        <v>452</v>
      </c>
      <c r="C63"/>
      <c r="D63"/>
      <c r="F63" s="305"/>
      <c r="G63" s="30"/>
      <c r="H63" s="305"/>
      <c r="J63" s="29"/>
    </row>
    <row r="64" spans="1:10" s="27" customFormat="1" ht="20.100000000000001" customHeight="1">
      <c r="A64"/>
      <c r="B64" t="s">
        <v>696</v>
      </c>
      <c r="C64"/>
      <c r="D64"/>
      <c r="F64" s="305"/>
      <c r="G64" s="30"/>
      <c r="H64" s="305"/>
      <c r="J64" s="29"/>
    </row>
    <row r="65" spans="1:10" s="27" customFormat="1" ht="20.100000000000001" customHeight="1">
      <c r="A65" s="646" t="s">
        <v>699</v>
      </c>
      <c r="B65" s="646" t="s">
        <v>700</v>
      </c>
      <c r="C65" s="646"/>
      <c r="D65" s="646"/>
      <c r="F65" s="305"/>
      <c r="G65" s="30"/>
      <c r="H65" s="305"/>
      <c r="J65" s="29"/>
    </row>
    <row r="66" spans="1:10" s="27" customFormat="1" ht="20.100000000000001" customHeight="1">
      <c r="A66" s="890" t="s">
        <v>18</v>
      </c>
      <c r="B66" s="890"/>
      <c r="C66" s="890"/>
      <c r="D66" s="890"/>
      <c r="F66" s="305"/>
      <c r="G66" s="30"/>
      <c r="H66" s="305"/>
      <c r="J66" s="29"/>
    </row>
    <row r="67" spans="1:10" s="27" customFormat="1" ht="20.100000000000001" customHeight="1">
      <c r="A67" t="s">
        <v>454</v>
      </c>
      <c r="B67" t="s">
        <v>455</v>
      </c>
      <c r="C67"/>
      <c r="D67"/>
      <c r="F67" s="305"/>
      <c r="G67" s="30"/>
      <c r="H67" s="305"/>
      <c r="J67" s="29"/>
    </row>
    <row r="68" spans="1:10" s="27" customFormat="1" ht="20.100000000000001" customHeight="1">
      <c r="F68" s="305"/>
      <c r="G68" s="30"/>
      <c r="H68" s="305"/>
      <c r="J68" s="29"/>
    </row>
    <row r="69" spans="1:10" s="27" customFormat="1" ht="20.100000000000001" customHeight="1">
      <c r="F69" s="305"/>
      <c r="G69" s="30"/>
      <c r="H69" s="305"/>
      <c r="J69" s="29"/>
    </row>
    <row r="70" spans="1:10" s="27" customFormat="1">
      <c r="A70" s="27" t="s">
        <v>1073</v>
      </c>
      <c r="F70" s="305"/>
      <c r="G70" s="30"/>
      <c r="H70" s="305"/>
      <c r="J70" s="29"/>
    </row>
    <row r="71" spans="1:10" s="27" customFormat="1">
      <c r="A71" s="891" t="s">
        <v>651</v>
      </c>
      <c r="F71" s="305"/>
      <c r="G71" s="30"/>
      <c r="H71" s="305"/>
      <c r="J71" s="29"/>
    </row>
    <row r="72" spans="1:10" s="27" customFormat="1">
      <c r="A72" s="891"/>
      <c r="F72" s="305"/>
      <c r="G72" s="30"/>
      <c r="H72" s="305"/>
      <c r="J72" s="29"/>
    </row>
    <row r="73" spans="1:10" s="27" customFormat="1">
      <c r="A73" s="892" t="s">
        <v>336</v>
      </c>
      <c r="F73" s="305"/>
      <c r="G73" s="30"/>
      <c r="H73" s="305"/>
      <c r="J73" s="29"/>
    </row>
    <row r="74" spans="1:10" s="27" customFormat="1">
      <c r="A74" s="892"/>
      <c r="F74" s="305"/>
      <c r="G74" s="30"/>
      <c r="H74" s="305"/>
      <c r="J74" s="29"/>
    </row>
    <row r="75" spans="1:10" s="27" customFormat="1">
      <c r="A75" s="892" t="s">
        <v>338</v>
      </c>
      <c r="F75" s="305"/>
      <c r="G75" s="30"/>
      <c r="H75" s="305"/>
      <c r="J75" s="29"/>
    </row>
    <row r="76" spans="1:10" s="27" customFormat="1">
      <c r="A76" s="892"/>
      <c r="F76" s="305"/>
      <c r="G76" s="30"/>
      <c r="H76" s="305"/>
      <c r="J76" s="29"/>
    </row>
    <row r="77" spans="1:10" s="27" customFormat="1">
      <c r="A77" s="892" t="s">
        <v>339</v>
      </c>
      <c r="F77" s="305"/>
      <c r="G77" s="30"/>
      <c r="H77" s="305"/>
      <c r="J77" s="29"/>
    </row>
    <row r="78" spans="1:10" s="27" customFormat="1">
      <c r="A78" s="892"/>
      <c r="F78" s="305"/>
      <c r="G78" s="30"/>
      <c r="H78" s="305"/>
      <c r="J78" s="29"/>
    </row>
    <row r="79" spans="1:10" s="27" customFormat="1">
      <c r="A79" s="892" t="s">
        <v>896</v>
      </c>
      <c r="F79" s="305"/>
      <c r="G79" s="30"/>
      <c r="H79" s="305"/>
      <c r="J79" s="29"/>
    </row>
    <row r="80" spans="1:10" s="27" customFormat="1">
      <c r="A80" s="892"/>
      <c r="F80" s="305"/>
      <c r="G80" s="30"/>
      <c r="H80" s="305"/>
      <c r="J80" s="29"/>
    </row>
    <row r="81" spans="1:10" s="27" customFormat="1">
      <c r="A81" s="892" t="s">
        <v>249</v>
      </c>
      <c r="F81" s="305"/>
      <c r="G81" s="30"/>
      <c r="H81" s="305"/>
      <c r="J81" s="29"/>
    </row>
    <row r="82" spans="1:10" s="27" customFormat="1">
      <c r="A82" s="892"/>
      <c r="F82" s="305"/>
      <c r="G82" s="30"/>
      <c r="H82" s="305"/>
      <c r="J82" s="29"/>
    </row>
    <row r="83" spans="1:10" s="27" customFormat="1">
      <c r="A83" s="892" t="s">
        <v>250</v>
      </c>
      <c r="F83" s="305"/>
      <c r="G83" s="30"/>
      <c r="H83" s="305"/>
      <c r="J83" s="29"/>
    </row>
    <row r="84" spans="1:10" s="27" customFormat="1">
      <c r="A84" s="892"/>
      <c r="F84" s="305"/>
      <c r="G84" s="30"/>
      <c r="H84" s="305"/>
      <c r="J84" s="29"/>
    </row>
    <row r="85" spans="1:10" s="27" customFormat="1">
      <c r="A85" s="892" t="s">
        <v>240</v>
      </c>
      <c r="F85" s="305"/>
      <c r="G85" s="30"/>
      <c r="H85" s="305"/>
      <c r="J85" s="29"/>
    </row>
    <row r="86" spans="1:10" s="27" customFormat="1">
      <c r="A86" s="892"/>
      <c r="F86" s="305"/>
      <c r="G86" s="30"/>
      <c r="H86" s="305"/>
      <c r="J86" s="29"/>
    </row>
    <row r="87" spans="1:10" s="27" customFormat="1">
      <c r="A87" s="892" t="s">
        <v>858</v>
      </c>
      <c r="F87" s="305"/>
      <c r="G87" s="30"/>
      <c r="H87" s="305"/>
      <c r="J87" s="29"/>
    </row>
    <row r="88" spans="1:10" s="27" customFormat="1">
      <c r="A88" s="892"/>
      <c r="F88" s="305"/>
      <c r="G88" s="30"/>
      <c r="H88" s="305"/>
      <c r="J88" s="29"/>
    </row>
    <row r="89" spans="1:10" s="27" customFormat="1">
      <c r="A89" s="892" t="s">
        <v>252</v>
      </c>
      <c r="F89" s="305"/>
      <c r="G89" s="30"/>
      <c r="H89" s="305"/>
      <c r="J89" s="29"/>
    </row>
    <row r="90" spans="1:10" s="27" customFormat="1">
      <c r="A90" s="892"/>
      <c r="F90" s="305"/>
      <c r="G90" s="30"/>
      <c r="H90" s="305"/>
      <c r="J90" s="29"/>
    </row>
    <row r="91" spans="1:10" s="27" customFormat="1">
      <c r="A91" s="892" t="s">
        <v>90</v>
      </c>
      <c r="F91" s="305"/>
      <c r="G91" s="30"/>
      <c r="H91" s="305"/>
      <c r="J91" s="29"/>
    </row>
    <row r="92" spans="1:10" s="27" customFormat="1">
      <c r="F92" s="305"/>
      <c r="G92" s="30"/>
      <c r="H92" s="305"/>
      <c r="J92" s="29"/>
    </row>
    <row r="93" spans="1:10" s="27" customFormat="1">
      <c r="F93" s="305"/>
      <c r="G93" s="30"/>
      <c r="H93" s="305"/>
      <c r="J93" s="29"/>
    </row>
    <row r="94" spans="1:10" s="27" customFormat="1">
      <c r="F94" s="305"/>
      <c r="G94" s="30"/>
      <c r="H94" s="305"/>
      <c r="J94" s="29"/>
    </row>
    <row r="95" spans="1:10" s="27" customFormat="1">
      <c r="F95" s="305"/>
      <c r="G95" s="30"/>
      <c r="H95" s="305"/>
      <c r="J95" s="29"/>
    </row>
    <row r="96" spans="1:10" s="27" customFormat="1">
      <c r="F96" s="305"/>
      <c r="G96" s="30"/>
      <c r="H96" s="305"/>
      <c r="J96" s="29"/>
    </row>
    <row r="97" spans="6:10" s="27" customFormat="1">
      <c r="F97" s="305"/>
      <c r="G97" s="30"/>
      <c r="H97" s="305"/>
      <c r="J97" s="29"/>
    </row>
    <row r="98" spans="6:10" s="27" customFormat="1">
      <c r="F98" s="305"/>
      <c r="G98" s="30"/>
      <c r="H98" s="305"/>
      <c r="J98" s="29"/>
    </row>
    <row r="99" spans="6:10" s="27" customFormat="1">
      <c r="F99" s="305"/>
      <c r="G99" s="30"/>
      <c r="H99" s="305"/>
      <c r="J99" s="29"/>
    </row>
    <row r="100" spans="6:10" s="27" customFormat="1">
      <c r="F100" s="305"/>
      <c r="G100" s="30"/>
      <c r="H100" s="305"/>
      <c r="J100" s="29"/>
    </row>
    <row r="101" spans="6:10" s="27" customFormat="1">
      <c r="F101" s="305"/>
      <c r="G101" s="30"/>
      <c r="H101" s="305"/>
      <c r="J101" s="29"/>
    </row>
    <row r="102" spans="6:10" s="27" customFormat="1">
      <c r="F102" s="305"/>
      <c r="G102" s="30"/>
      <c r="H102" s="305"/>
      <c r="J102" s="29"/>
    </row>
    <row r="103" spans="6:10" s="27" customFormat="1">
      <c r="F103" s="305"/>
      <c r="G103" s="30"/>
      <c r="H103" s="305"/>
      <c r="J103" s="29"/>
    </row>
    <row r="104" spans="6:10" s="27" customFormat="1">
      <c r="F104" s="305"/>
      <c r="G104" s="30"/>
      <c r="H104" s="305"/>
      <c r="J104" s="29"/>
    </row>
    <row r="105" spans="6:10" s="27" customFormat="1">
      <c r="F105" s="305"/>
      <c r="G105" s="30"/>
      <c r="H105" s="305"/>
      <c r="J105" s="29"/>
    </row>
    <row r="106" spans="6:10" s="27" customFormat="1">
      <c r="F106" s="305"/>
      <c r="G106" s="30"/>
      <c r="H106" s="305"/>
      <c r="J106" s="29"/>
    </row>
    <row r="107" spans="6:10" s="27" customFormat="1">
      <c r="F107" s="305"/>
      <c r="G107" s="30"/>
      <c r="H107" s="305"/>
      <c r="J107" s="29"/>
    </row>
    <row r="108" spans="6:10" s="27" customFormat="1">
      <c r="F108" s="305"/>
      <c r="G108" s="30"/>
      <c r="H108" s="305"/>
      <c r="J108" s="29"/>
    </row>
    <row r="109" spans="6:10" s="27" customFormat="1">
      <c r="F109" s="305"/>
      <c r="G109" s="30"/>
      <c r="H109" s="305"/>
      <c r="J109" s="29"/>
    </row>
    <row r="110" spans="6:10" s="27" customFormat="1">
      <c r="F110" s="305"/>
      <c r="G110" s="30"/>
      <c r="H110" s="305"/>
      <c r="J110" s="29"/>
    </row>
    <row r="111" spans="6:10" s="27" customFormat="1">
      <c r="F111" s="305"/>
      <c r="G111" s="30"/>
      <c r="H111" s="305"/>
      <c r="J111" s="29"/>
    </row>
    <row r="112" spans="6:10" s="27" customFormat="1">
      <c r="F112" s="305"/>
      <c r="G112" s="30"/>
      <c r="H112" s="305"/>
      <c r="J112" s="29"/>
    </row>
    <row r="113" spans="6:10" s="27" customFormat="1">
      <c r="F113" s="305"/>
      <c r="G113" s="30"/>
      <c r="H113" s="305"/>
      <c r="J113" s="29"/>
    </row>
    <row r="114" spans="6:10" s="27" customFormat="1">
      <c r="F114" s="305"/>
      <c r="G114" s="30"/>
      <c r="H114" s="305"/>
      <c r="J114" s="29"/>
    </row>
    <row r="115" spans="6:10" s="27" customFormat="1">
      <c r="F115" s="305"/>
      <c r="G115" s="30"/>
      <c r="H115" s="305"/>
      <c r="J115" s="29"/>
    </row>
    <row r="116" spans="6:10" s="27" customFormat="1">
      <c r="F116" s="305"/>
      <c r="G116" s="30"/>
      <c r="H116" s="305"/>
      <c r="J116" s="29"/>
    </row>
    <row r="117" spans="6:10" s="27" customFormat="1">
      <c r="F117" s="305"/>
      <c r="G117" s="30"/>
      <c r="H117" s="305"/>
      <c r="J117" s="29"/>
    </row>
    <row r="118" spans="6:10" s="27" customFormat="1">
      <c r="F118" s="305"/>
      <c r="G118" s="30"/>
      <c r="H118" s="305"/>
      <c r="J118" s="29"/>
    </row>
    <row r="119" spans="6:10" s="27" customFormat="1">
      <c r="F119" s="305"/>
      <c r="G119" s="30"/>
      <c r="H119" s="305"/>
      <c r="J119" s="29"/>
    </row>
    <row r="120" spans="6:10" s="27" customFormat="1">
      <c r="F120" s="305"/>
      <c r="G120" s="30"/>
      <c r="H120" s="305"/>
      <c r="J120" s="29"/>
    </row>
    <row r="121" spans="6:10" s="27" customFormat="1">
      <c r="F121" s="305"/>
      <c r="G121" s="30"/>
      <c r="H121" s="305"/>
      <c r="J121" s="29"/>
    </row>
    <row r="122" spans="6:10" s="27" customFormat="1">
      <c r="F122" s="305"/>
      <c r="G122" s="30"/>
      <c r="H122" s="305"/>
      <c r="J122" s="29"/>
    </row>
    <row r="123" spans="6:10" s="27" customFormat="1">
      <c r="F123" s="305"/>
      <c r="G123" s="30"/>
      <c r="H123" s="305"/>
      <c r="J123" s="29"/>
    </row>
    <row r="124" spans="6:10" s="27" customFormat="1">
      <c r="F124" s="305"/>
      <c r="G124" s="30"/>
      <c r="H124" s="305"/>
      <c r="J124" s="29"/>
    </row>
    <row r="125" spans="6:10" s="27" customFormat="1">
      <c r="F125" s="305"/>
      <c r="G125" s="30"/>
      <c r="H125" s="305"/>
      <c r="J125" s="29"/>
    </row>
    <row r="126" spans="6:10" s="27" customFormat="1">
      <c r="F126" s="305"/>
      <c r="G126" s="30"/>
      <c r="H126" s="305"/>
      <c r="J126" s="29"/>
    </row>
    <row r="127" spans="6:10" s="27" customFormat="1">
      <c r="F127" s="305"/>
      <c r="G127" s="30"/>
      <c r="H127" s="305"/>
      <c r="J127" s="29"/>
    </row>
    <row r="128" spans="6:10" s="27" customFormat="1">
      <c r="F128" s="305"/>
      <c r="G128" s="30"/>
      <c r="H128" s="305"/>
      <c r="J128" s="29"/>
    </row>
    <row r="129" spans="6:10" s="27" customFormat="1">
      <c r="F129" s="305"/>
      <c r="G129" s="30"/>
      <c r="H129" s="305"/>
      <c r="J129" s="29"/>
    </row>
    <row r="130" spans="6:10" s="27" customFormat="1">
      <c r="F130" s="305"/>
      <c r="G130" s="30"/>
      <c r="H130" s="305"/>
      <c r="J130" s="29"/>
    </row>
    <row r="131" spans="6:10" s="27" customFormat="1">
      <c r="F131" s="305"/>
      <c r="G131" s="30"/>
      <c r="H131" s="305"/>
      <c r="J131" s="29"/>
    </row>
    <row r="132" spans="6:10" s="27" customFormat="1">
      <c r="F132" s="305"/>
      <c r="G132" s="30"/>
      <c r="H132" s="305"/>
      <c r="J132" s="29"/>
    </row>
    <row r="133" spans="6:10" s="27" customFormat="1">
      <c r="F133" s="305"/>
      <c r="G133" s="30"/>
      <c r="H133" s="305"/>
      <c r="J133" s="29"/>
    </row>
    <row r="134" spans="6:10" s="27" customFormat="1">
      <c r="F134" s="305"/>
      <c r="G134" s="30"/>
      <c r="H134" s="305"/>
      <c r="J134" s="29"/>
    </row>
    <row r="135" spans="6:10" s="27" customFormat="1">
      <c r="F135" s="305"/>
      <c r="G135" s="30"/>
      <c r="H135" s="305"/>
      <c r="J135" s="29"/>
    </row>
    <row r="136" spans="6:10" s="27" customFormat="1">
      <c r="F136" s="305"/>
      <c r="G136" s="30"/>
      <c r="H136" s="305"/>
      <c r="J136" s="29"/>
    </row>
    <row r="137" spans="6:10" s="27" customFormat="1">
      <c r="F137" s="305"/>
      <c r="G137" s="30"/>
      <c r="H137" s="305"/>
      <c r="J137" s="29"/>
    </row>
    <row r="138" spans="6:10" s="27" customFormat="1">
      <c r="F138" s="305"/>
      <c r="G138" s="30"/>
      <c r="H138" s="305"/>
      <c r="J138" s="29"/>
    </row>
    <row r="139" spans="6:10" s="27" customFormat="1">
      <c r="F139" s="305"/>
      <c r="G139" s="30"/>
      <c r="H139" s="305"/>
      <c r="J139" s="29"/>
    </row>
    <row r="140" spans="6:10" s="27" customFormat="1">
      <c r="F140" s="305"/>
      <c r="G140" s="30"/>
      <c r="H140" s="305"/>
      <c r="J140" s="29"/>
    </row>
    <row r="141" spans="6:10" s="27" customFormat="1">
      <c r="F141" s="305"/>
      <c r="G141" s="30"/>
      <c r="H141" s="305"/>
      <c r="J141" s="29"/>
    </row>
    <row r="142" spans="6:10" s="27" customFormat="1">
      <c r="F142" s="305"/>
      <c r="G142" s="30"/>
      <c r="H142" s="305"/>
      <c r="J142" s="29"/>
    </row>
    <row r="143" spans="6:10" s="27" customFormat="1">
      <c r="F143" s="305"/>
      <c r="G143" s="30"/>
      <c r="H143" s="305"/>
      <c r="J143" s="29"/>
    </row>
    <row r="144" spans="6:10" s="27" customFormat="1">
      <c r="F144" s="305"/>
      <c r="G144" s="30"/>
      <c r="H144" s="305"/>
      <c r="J144" s="29"/>
    </row>
    <row r="145" spans="6:10" s="27" customFormat="1">
      <c r="F145" s="305"/>
      <c r="G145" s="30"/>
      <c r="H145" s="305"/>
      <c r="J145" s="29"/>
    </row>
    <row r="146" spans="6:10" s="27" customFormat="1">
      <c r="F146" s="305"/>
      <c r="G146" s="30"/>
      <c r="H146" s="305"/>
      <c r="J146" s="29"/>
    </row>
    <row r="147" spans="6:10" s="27" customFormat="1">
      <c r="F147" s="305"/>
      <c r="G147" s="30"/>
      <c r="H147" s="305"/>
      <c r="J147" s="29"/>
    </row>
    <row r="148" spans="6:10" s="27" customFormat="1">
      <c r="F148" s="305"/>
      <c r="G148" s="30"/>
      <c r="H148" s="305"/>
      <c r="J148" s="29"/>
    </row>
    <row r="149" spans="6:10" s="27" customFormat="1">
      <c r="F149" s="305"/>
      <c r="G149" s="30"/>
      <c r="H149" s="305"/>
      <c r="J149" s="29"/>
    </row>
    <row r="150" spans="6:10" s="27" customFormat="1">
      <c r="F150" s="305"/>
      <c r="G150" s="30"/>
      <c r="H150" s="305"/>
      <c r="J150" s="29"/>
    </row>
    <row r="151" spans="6:10" s="27" customFormat="1">
      <c r="F151" s="305"/>
      <c r="G151" s="30"/>
      <c r="H151" s="305"/>
      <c r="J151" s="29"/>
    </row>
    <row r="152" spans="6:10" s="27" customFormat="1">
      <c r="F152" s="305"/>
      <c r="G152" s="30"/>
      <c r="H152" s="305"/>
      <c r="J152" s="29"/>
    </row>
    <row r="153" spans="6:10" s="27" customFormat="1">
      <c r="F153" s="305"/>
      <c r="G153" s="30"/>
      <c r="H153" s="305"/>
      <c r="J153" s="29"/>
    </row>
    <row r="154" spans="6:10" s="27" customFormat="1">
      <c r="F154" s="305"/>
      <c r="G154" s="30"/>
      <c r="H154" s="305"/>
      <c r="J154" s="29"/>
    </row>
    <row r="155" spans="6:10" s="27" customFormat="1">
      <c r="F155" s="305"/>
      <c r="G155" s="30"/>
      <c r="H155" s="305"/>
      <c r="J155" s="29"/>
    </row>
    <row r="156" spans="6:10" s="27" customFormat="1">
      <c r="F156" s="305"/>
      <c r="G156" s="30"/>
      <c r="H156" s="305"/>
      <c r="J156" s="29"/>
    </row>
    <row r="157" spans="6:10" s="27" customFormat="1">
      <c r="F157" s="305"/>
      <c r="G157" s="30"/>
      <c r="H157" s="305"/>
      <c r="J157" s="29"/>
    </row>
    <row r="158" spans="6:10" s="27" customFormat="1">
      <c r="F158" s="305"/>
      <c r="G158" s="30"/>
      <c r="H158" s="305"/>
      <c r="J158" s="29"/>
    </row>
    <row r="159" spans="6:10" s="27" customFormat="1">
      <c r="F159" s="305"/>
      <c r="G159" s="30"/>
      <c r="H159" s="305"/>
      <c r="J159" s="29"/>
    </row>
    <row r="160" spans="6:10" s="27" customFormat="1">
      <c r="F160" s="305"/>
      <c r="G160" s="30"/>
      <c r="H160" s="305"/>
      <c r="J160" s="29"/>
    </row>
    <row r="161" spans="6:10" s="27" customFormat="1">
      <c r="F161" s="305"/>
      <c r="G161" s="30"/>
      <c r="H161" s="305"/>
      <c r="J161" s="29"/>
    </row>
    <row r="162" spans="6:10" s="27" customFormat="1">
      <c r="F162" s="305"/>
      <c r="G162" s="30"/>
      <c r="H162" s="305"/>
      <c r="J162" s="29"/>
    </row>
    <row r="163" spans="6:10" s="27" customFormat="1">
      <c r="F163" s="305"/>
      <c r="G163" s="30"/>
      <c r="H163" s="305"/>
      <c r="J163" s="29"/>
    </row>
    <row r="164" spans="6:10" s="27" customFormat="1">
      <c r="F164" s="305"/>
      <c r="G164" s="30"/>
      <c r="H164" s="305"/>
      <c r="J164" s="29"/>
    </row>
    <row r="165" spans="6:10" s="27" customFormat="1">
      <c r="F165" s="305"/>
      <c r="G165" s="30"/>
      <c r="H165" s="305"/>
      <c r="J165" s="29"/>
    </row>
    <row r="166" spans="6:10" s="27" customFormat="1">
      <c r="F166" s="305"/>
      <c r="G166" s="30"/>
      <c r="H166" s="305"/>
      <c r="J166" s="29"/>
    </row>
    <row r="167" spans="6:10" s="27" customFormat="1">
      <c r="F167" s="305"/>
      <c r="G167" s="30"/>
      <c r="H167" s="305"/>
      <c r="J167" s="29"/>
    </row>
    <row r="168" spans="6:10" s="27" customFormat="1">
      <c r="F168" s="305"/>
      <c r="G168" s="30"/>
      <c r="H168" s="305"/>
      <c r="J168" s="29"/>
    </row>
    <row r="169" spans="6:10" s="27" customFormat="1">
      <c r="F169" s="305"/>
      <c r="G169" s="30"/>
      <c r="H169" s="305"/>
      <c r="J169" s="29"/>
    </row>
    <row r="170" spans="6:10" s="27" customFormat="1">
      <c r="F170" s="305"/>
      <c r="G170" s="30"/>
      <c r="H170" s="305"/>
      <c r="J170" s="29"/>
    </row>
    <row r="171" spans="6:10" s="27" customFormat="1">
      <c r="F171" s="305"/>
      <c r="G171" s="30"/>
      <c r="H171" s="305"/>
      <c r="J171" s="29"/>
    </row>
    <row r="172" spans="6:10" s="27" customFormat="1">
      <c r="F172" s="305"/>
      <c r="G172" s="30"/>
      <c r="H172" s="305"/>
      <c r="J172" s="29"/>
    </row>
    <row r="173" spans="6:10" s="27" customFormat="1">
      <c r="F173" s="305"/>
      <c r="G173" s="30"/>
      <c r="H173" s="305"/>
      <c r="J173" s="29"/>
    </row>
    <row r="174" spans="6:10" s="27" customFormat="1">
      <c r="F174" s="305"/>
      <c r="G174" s="30"/>
      <c r="H174" s="305"/>
      <c r="J174" s="29"/>
    </row>
    <row r="175" spans="6:10" s="27" customFormat="1">
      <c r="F175" s="305"/>
      <c r="G175" s="30"/>
      <c r="H175" s="305"/>
      <c r="J175" s="29"/>
    </row>
    <row r="176" spans="6:10" s="27" customFormat="1">
      <c r="F176" s="305"/>
      <c r="G176" s="30"/>
      <c r="H176" s="305"/>
      <c r="J176" s="29"/>
    </row>
    <row r="177" spans="6:10" s="27" customFormat="1">
      <c r="F177" s="305"/>
      <c r="G177" s="30"/>
      <c r="H177" s="305"/>
      <c r="J177" s="29"/>
    </row>
    <row r="178" spans="6:10" s="27" customFormat="1">
      <c r="F178" s="305"/>
      <c r="G178" s="30"/>
      <c r="H178" s="305"/>
      <c r="J178" s="29"/>
    </row>
    <row r="179" spans="6:10" s="27" customFormat="1">
      <c r="F179" s="305"/>
      <c r="G179" s="30"/>
      <c r="H179" s="305"/>
      <c r="J179" s="29"/>
    </row>
    <row r="180" spans="6:10" s="27" customFormat="1">
      <c r="F180" s="305"/>
      <c r="G180" s="30"/>
      <c r="H180" s="305"/>
      <c r="J180" s="29"/>
    </row>
    <row r="181" spans="6:10" s="27" customFormat="1">
      <c r="F181" s="305"/>
      <c r="G181" s="30"/>
      <c r="H181" s="305"/>
      <c r="J181" s="29"/>
    </row>
    <row r="182" spans="6:10" s="27" customFormat="1">
      <c r="F182" s="305"/>
      <c r="G182" s="30"/>
      <c r="H182" s="305"/>
      <c r="J182" s="29"/>
    </row>
    <row r="183" spans="6:10" s="27" customFormat="1">
      <c r="F183" s="305"/>
      <c r="G183" s="30"/>
      <c r="H183" s="305"/>
      <c r="J183" s="29"/>
    </row>
    <row r="184" spans="6:10" s="27" customFormat="1">
      <c r="F184" s="305"/>
      <c r="G184" s="30"/>
      <c r="H184" s="305"/>
      <c r="J184" s="29"/>
    </row>
    <row r="185" spans="6:10" s="27" customFormat="1">
      <c r="F185" s="305"/>
      <c r="G185" s="30"/>
      <c r="H185" s="305"/>
      <c r="J185" s="29"/>
    </row>
    <row r="186" spans="6:10" s="27" customFormat="1">
      <c r="F186" s="305"/>
      <c r="G186" s="30"/>
      <c r="H186" s="305"/>
      <c r="J186" s="29"/>
    </row>
    <row r="187" spans="6:10" s="27" customFormat="1">
      <c r="F187" s="305"/>
      <c r="G187" s="30"/>
      <c r="H187" s="305"/>
      <c r="J187" s="29"/>
    </row>
    <row r="188" spans="6:10" s="27" customFormat="1">
      <c r="F188" s="305"/>
      <c r="G188" s="30"/>
      <c r="H188" s="305"/>
      <c r="J188" s="29"/>
    </row>
    <row r="189" spans="6:10" s="27" customFormat="1">
      <c r="F189" s="305"/>
      <c r="G189" s="30"/>
      <c r="H189" s="305"/>
      <c r="J189" s="29"/>
    </row>
    <row r="190" spans="6:10" s="27" customFormat="1">
      <c r="F190" s="305"/>
      <c r="G190" s="30"/>
      <c r="H190" s="305"/>
      <c r="J190" s="29"/>
    </row>
    <row r="191" spans="6:10" s="27" customFormat="1">
      <c r="F191" s="305"/>
      <c r="G191" s="30"/>
      <c r="H191" s="305"/>
      <c r="J191" s="29"/>
    </row>
    <row r="192" spans="6:10" s="27" customFormat="1">
      <c r="F192" s="305"/>
      <c r="G192" s="30"/>
      <c r="H192" s="305"/>
      <c r="J192" s="29"/>
    </row>
    <row r="193" spans="6:10" s="27" customFormat="1">
      <c r="F193" s="305"/>
      <c r="G193" s="30"/>
      <c r="H193" s="305"/>
      <c r="J193" s="29"/>
    </row>
    <row r="194" spans="6:10" s="27" customFormat="1">
      <c r="F194" s="305"/>
      <c r="G194" s="30"/>
      <c r="H194" s="305"/>
      <c r="J194" s="29"/>
    </row>
  </sheetData>
  <mergeCells count="23">
    <mergeCell ref="E40:G40"/>
    <mergeCell ref="I40:J40"/>
    <mergeCell ref="E36:G37"/>
    <mergeCell ref="H36:H37"/>
    <mergeCell ref="I36:J37"/>
    <mergeCell ref="E38:G38"/>
    <mergeCell ref="I38:J38"/>
    <mergeCell ref="E39:G39"/>
    <mergeCell ref="I39:J39"/>
    <mergeCell ref="E35:G35"/>
    <mergeCell ref="I35:J35"/>
    <mergeCell ref="A1:L2"/>
    <mergeCell ref="A4:K4"/>
    <mergeCell ref="F5:G5"/>
    <mergeCell ref="J5:K5"/>
    <mergeCell ref="A20:L20"/>
    <mergeCell ref="F21:G21"/>
    <mergeCell ref="J21:K21"/>
    <mergeCell ref="E32:J32"/>
    <mergeCell ref="E33:G33"/>
    <mergeCell ref="I33:J33"/>
    <mergeCell ref="E34:G34"/>
    <mergeCell ref="I34:J34"/>
  </mergeCells>
  <hyperlinks>
    <hyperlink ref="B47" r:id="rId1" xr:uid="{00000000-0004-0000-0B00-000000000000}"/>
  </hyperlinks>
  <pageMargins left="0.7" right="0.7" top="0.75" bottom="0.75" header="0.3" footer="0.3"/>
  <pageSetup paperSize="9" orientation="portrait"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170BE-CD76-44C0-AC7A-D50CF8C79492}">
  <dimension ref="B2:D48"/>
  <sheetViews>
    <sheetView topLeftCell="A43" workbookViewId="0">
      <selection activeCell="F10" sqref="F10"/>
    </sheetView>
  </sheetViews>
  <sheetFormatPr baseColWidth="10" defaultRowHeight="15"/>
  <cols>
    <col min="4" max="4" width="28.5703125" customWidth="1"/>
  </cols>
  <sheetData>
    <row r="2" spans="2:4" ht="56.25">
      <c r="B2" s="868" t="s">
        <v>358</v>
      </c>
      <c r="C2" s="868" t="s">
        <v>245</v>
      </c>
      <c r="D2" s="868" t="s">
        <v>859</v>
      </c>
    </row>
    <row r="3" spans="2:4" ht="18.75">
      <c r="B3" s="1229" t="s">
        <v>1163</v>
      </c>
      <c r="C3" s="1229"/>
      <c r="D3" s="1229"/>
    </row>
    <row r="4" spans="2:4">
      <c r="B4" s="751" t="s">
        <v>321</v>
      </c>
      <c r="C4" s="803" t="s">
        <v>651</v>
      </c>
      <c r="D4" s="914">
        <v>57119821.920000002</v>
      </c>
    </row>
    <row r="5" spans="2:4">
      <c r="B5" s="778" t="s">
        <v>321</v>
      </c>
      <c r="C5" s="804" t="s">
        <v>336</v>
      </c>
      <c r="D5" s="914">
        <v>2257882.86</v>
      </c>
    </row>
    <row r="6" spans="2:4">
      <c r="B6" s="778" t="s">
        <v>332</v>
      </c>
      <c r="C6" s="778" t="s">
        <v>337</v>
      </c>
      <c r="D6" s="914">
        <v>11969</v>
      </c>
    </row>
    <row r="7" spans="2:4">
      <c r="B7" s="778" t="s">
        <v>332</v>
      </c>
      <c r="C7" s="804" t="s">
        <v>338</v>
      </c>
      <c r="D7" s="914">
        <v>18324111.200000003</v>
      </c>
    </row>
    <row r="8" spans="2:4">
      <c r="B8" s="778" t="s">
        <v>332</v>
      </c>
      <c r="C8" s="804" t="s">
        <v>339</v>
      </c>
      <c r="D8" s="914">
        <v>54103.150000000009</v>
      </c>
    </row>
    <row r="9" spans="2:4">
      <c r="B9" s="778" t="s">
        <v>652</v>
      </c>
      <c r="C9" s="778" t="s">
        <v>1121</v>
      </c>
      <c r="D9" s="914">
        <v>661595.19999999995</v>
      </c>
    </row>
    <row r="10" spans="2:4">
      <c r="B10" s="778" t="s">
        <v>50</v>
      </c>
      <c r="C10" s="804" t="s">
        <v>249</v>
      </c>
      <c r="D10" s="914">
        <v>288727.77</v>
      </c>
    </row>
    <row r="11" spans="2:4">
      <c r="B11" s="778" t="s">
        <v>50</v>
      </c>
      <c r="C11" s="804" t="s">
        <v>250</v>
      </c>
      <c r="D11" s="914">
        <v>126175.86</v>
      </c>
    </row>
    <row r="12" spans="2:4">
      <c r="B12" s="778" t="s">
        <v>321</v>
      </c>
      <c r="C12" s="804" t="s">
        <v>240</v>
      </c>
      <c r="D12" s="914">
        <v>108024.1</v>
      </c>
    </row>
    <row r="13" spans="2:4">
      <c r="B13" s="778" t="s">
        <v>82</v>
      </c>
      <c r="C13" s="804" t="s">
        <v>858</v>
      </c>
      <c r="D13" s="914">
        <v>68853.2</v>
      </c>
    </row>
    <row r="14" spans="2:4">
      <c r="B14" s="778" t="s">
        <v>333</v>
      </c>
      <c r="C14" s="778" t="s">
        <v>252</v>
      </c>
      <c r="D14" s="914">
        <v>31087.899999999998</v>
      </c>
    </row>
    <row r="15" spans="2:4">
      <c r="B15" s="778" t="s">
        <v>334</v>
      </c>
      <c r="C15" s="778" t="s">
        <v>90</v>
      </c>
      <c r="D15" s="914">
        <v>20034.190000000002</v>
      </c>
    </row>
    <row r="16" spans="2:4">
      <c r="B16" s="788" t="s">
        <v>335</v>
      </c>
      <c r="C16" s="788" t="s">
        <v>340</v>
      </c>
      <c r="D16" s="914">
        <v>11453.599999999999</v>
      </c>
    </row>
    <row r="17" spans="2:4" ht="15.75">
      <c r="B17" s="1228" t="s">
        <v>78</v>
      </c>
      <c r="C17" s="1228"/>
      <c r="D17" s="410">
        <f>SUM(D4:D16)</f>
        <v>79083839.950000003</v>
      </c>
    </row>
    <row r="18" spans="2:4" ht="18.75">
      <c r="B18" s="1229" t="s">
        <v>1164</v>
      </c>
      <c r="C18" s="1229"/>
      <c r="D18" s="1229"/>
    </row>
    <row r="19" spans="2:4">
      <c r="B19" s="751" t="s">
        <v>321</v>
      </c>
      <c r="C19" s="803" t="s">
        <v>651</v>
      </c>
      <c r="D19" s="914">
        <v>54365784.460000001</v>
      </c>
    </row>
    <row r="20" spans="2:4">
      <c r="B20" s="778" t="s">
        <v>321</v>
      </c>
      <c r="C20" s="804" t="s">
        <v>336</v>
      </c>
      <c r="D20" s="914">
        <v>1997477.94</v>
      </c>
    </row>
    <row r="21" spans="2:4">
      <c r="B21" s="778" t="s">
        <v>332</v>
      </c>
      <c r="C21" s="778" t="s">
        <v>337</v>
      </c>
      <c r="D21" s="914"/>
    </row>
    <row r="22" spans="2:4">
      <c r="B22" s="778" t="s">
        <v>332</v>
      </c>
      <c r="C22" s="804" t="s">
        <v>338</v>
      </c>
      <c r="D22" s="914">
        <v>49283.399999999987</v>
      </c>
    </row>
    <row r="23" spans="2:4">
      <c r="B23" s="778" t="s">
        <v>332</v>
      </c>
      <c r="C23" s="804" t="s">
        <v>339</v>
      </c>
      <c r="D23" s="914">
        <v>8812.85</v>
      </c>
    </row>
    <row r="24" spans="2:4">
      <c r="B24" s="778" t="s">
        <v>652</v>
      </c>
      <c r="C24" s="778" t="s">
        <v>1121</v>
      </c>
      <c r="D24" s="914"/>
    </row>
    <row r="25" spans="2:4">
      <c r="B25" s="778" t="s">
        <v>50</v>
      </c>
      <c r="C25" s="804" t="s">
        <v>249</v>
      </c>
      <c r="D25" s="914">
        <v>191679.21000000002</v>
      </c>
    </row>
    <row r="26" spans="2:4">
      <c r="B26" s="778" t="s">
        <v>50</v>
      </c>
      <c r="C26" s="804" t="s">
        <v>250</v>
      </c>
      <c r="D26" s="914">
        <v>72283.56</v>
      </c>
    </row>
    <row r="27" spans="2:4">
      <c r="B27" s="778" t="s">
        <v>321</v>
      </c>
      <c r="C27" s="804" t="s">
        <v>240</v>
      </c>
      <c r="D27" s="914">
        <v>2407</v>
      </c>
    </row>
    <row r="28" spans="2:4">
      <c r="B28" s="778" t="s">
        <v>82</v>
      </c>
      <c r="C28" s="804" t="s">
        <v>858</v>
      </c>
      <c r="D28" s="914">
        <v>29227.200000000001</v>
      </c>
    </row>
    <row r="29" spans="2:4">
      <c r="B29" s="778" t="s">
        <v>333</v>
      </c>
      <c r="C29" s="778" t="s">
        <v>252</v>
      </c>
      <c r="D29" s="914"/>
    </row>
    <row r="30" spans="2:4">
      <c r="B30" s="778" t="s">
        <v>334</v>
      </c>
      <c r="C30" s="778" t="s">
        <v>90</v>
      </c>
      <c r="D30" s="914"/>
    </row>
    <row r="31" spans="2:4">
      <c r="B31" s="788" t="s">
        <v>335</v>
      </c>
      <c r="C31" s="788" t="s">
        <v>340</v>
      </c>
      <c r="D31" s="914"/>
    </row>
    <row r="32" spans="2:4" ht="15.75">
      <c r="B32" s="1228" t="s">
        <v>78</v>
      </c>
      <c r="C32" s="1228"/>
      <c r="D32" s="410">
        <f>SUM(D19:D31)</f>
        <v>56716955.620000005</v>
      </c>
    </row>
    <row r="33" spans="2:4" ht="18.75">
      <c r="B33" s="1229" t="s">
        <v>1166</v>
      </c>
      <c r="C33" s="1229"/>
      <c r="D33" s="1229"/>
    </row>
    <row r="34" spans="2:4">
      <c r="B34" s="751" t="s">
        <v>321</v>
      </c>
      <c r="C34" s="803" t="s">
        <v>651</v>
      </c>
      <c r="D34" s="914">
        <v>407664.89999999997</v>
      </c>
    </row>
    <row r="35" spans="2:4">
      <c r="B35" s="778" t="s">
        <v>321</v>
      </c>
      <c r="C35" s="804" t="s">
        <v>336</v>
      </c>
      <c r="D35" s="914">
        <v>62815.999999999985</v>
      </c>
    </row>
    <row r="36" spans="2:4">
      <c r="B36" s="778" t="s">
        <v>332</v>
      </c>
      <c r="C36" s="778" t="s">
        <v>337</v>
      </c>
      <c r="D36" s="914"/>
    </row>
    <row r="37" spans="2:4">
      <c r="B37" s="778" t="s">
        <v>332</v>
      </c>
      <c r="C37" s="804" t="s">
        <v>338</v>
      </c>
      <c r="D37" s="914">
        <v>17911.5</v>
      </c>
    </row>
    <row r="38" spans="2:4">
      <c r="B38" s="778" t="s">
        <v>332</v>
      </c>
      <c r="C38" s="804" t="s">
        <v>339</v>
      </c>
      <c r="D38" s="914">
        <v>3432.5</v>
      </c>
    </row>
    <row r="39" spans="2:4">
      <c r="B39" s="778" t="s">
        <v>652</v>
      </c>
      <c r="C39" s="778" t="s">
        <v>1121</v>
      </c>
      <c r="D39" s="914">
        <v>10.4</v>
      </c>
    </row>
    <row r="40" spans="2:4">
      <c r="B40" s="778" t="s">
        <v>50</v>
      </c>
      <c r="C40" s="804" t="s">
        <v>249</v>
      </c>
      <c r="D40" s="914">
        <v>30302.9</v>
      </c>
    </row>
    <row r="41" spans="2:4">
      <c r="B41" s="778" t="s">
        <v>50</v>
      </c>
      <c r="C41" s="804" t="s">
        <v>250</v>
      </c>
      <c r="D41" s="914">
        <v>29244.399999999994</v>
      </c>
    </row>
    <row r="42" spans="2:4">
      <c r="B42" s="778" t="s">
        <v>321</v>
      </c>
      <c r="C42" s="804" t="s">
        <v>240</v>
      </c>
      <c r="D42" s="914">
        <v>44203.6</v>
      </c>
    </row>
    <row r="43" spans="2:4">
      <c r="B43" s="778" t="s">
        <v>82</v>
      </c>
      <c r="C43" s="804" t="s">
        <v>858</v>
      </c>
      <c r="D43" s="914">
        <v>21033.200000000001</v>
      </c>
    </row>
    <row r="44" spans="2:4">
      <c r="B44" s="778" t="s">
        <v>333</v>
      </c>
      <c r="C44" s="778" t="s">
        <v>252</v>
      </c>
      <c r="D44" s="914"/>
    </row>
    <row r="45" spans="2:4">
      <c r="B45" s="778" t="s">
        <v>334</v>
      </c>
      <c r="C45" s="778" t="s">
        <v>90</v>
      </c>
      <c r="D45" s="914"/>
    </row>
    <row r="46" spans="2:4">
      <c r="B46" s="788" t="s">
        <v>335</v>
      </c>
      <c r="C46" s="788" t="s">
        <v>340</v>
      </c>
      <c r="D46" s="914"/>
    </row>
    <row r="47" spans="2:4" ht="15.75">
      <c r="B47" s="1228" t="s">
        <v>78</v>
      </c>
      <c r="C47" s="1228"/>
      <c r="D47" s="522">
        <f>SUM(D34:D46)</f>
        <v>616619.39999999991</v>
      </c>
    </row>
    <row r="48" spans="2:4" ht="18.75">
      <c r="B48" s="1229" t="s">
        <v>1167</v>
      </c>
      <c r="C48" s="1229"/>
      <c r="D48" s="1229"/>
    </row>
  </sheetData>
  <mergeCells count="7">
    <mergeCell ref="B47:C47"/>
    <mergeCell ref="B48:D48"/>
    <mergeCell ref="B17:C17"/>
    <mergeCell ref="B3:D3"/>
    <mergeCell ref="B18:D18"/>
    <mergeCell ref="B32:C32"/>
    <mergeCell ref="B33:D3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34"/>
  <sheetViews>
    <sheetView topLeftCell="B1" zoomScale="70" zoomScaleNormal="70" workbookViewId="0">
      <selection activeCell="E85" sqref="E85"/>
    </sheetView>
  </sheetViews>
  <sheetFormatPr baseColWidth="10" defaultColWidth="10.85546875" defaultRowHeight="15.75"/>
  <cols>
    <col min="1" max="1" width="1" style="86" customWidth="1"/>
    <col min="2" max="2" width="39" style="86" customWidth="1"/>
    <col min="3" max="3" width="48.28515625" style="814" customWidth="1"/>
    <col min="4" max="4" width="10.28515625" style="826" customWidth="1"/>
    <col min="5" max="5" width="50.28515625" style="814" customWidth="1"/>
    <col min="6" max="6" width="1.28515625" style="489" customWidth="1"/>
    <col min="7" max="7" width="39" style="814" customWidth="1"/>
    <col min="8" max="8" width="2" style="489" customWidth="1"/>
    <col min="9" max="9" width="58.42578125" style="814" customWidth="1"/>
    <col min="10" max="10" width="2.28515625" style="489" customWidth="1"/>
    <col min="11" max="11" width="41.140625" style="814" customWidth="1"/>
    <col min="12" max="16384" width="10.85546875" style="815"/>
  </cols>
  <sheetData>
    <row r="1" spans="1:11" s="86" customFormat="1">
      <c r="C1" s="489"/>
      <c r="D1" s="826"/>
      <c r="E1" s="489"/>
      <c r="F1" s="489"/>
      <c r="G1" s="489"/>
      <c r="H1" s="489"/>
      <c r="I1" s="489"/>
      <c r="J1" s="489"/>
      <c r="K1" s="489"/>
    </row>
    <row r="2" spans="1:11" s="86" customFormat="1" ht="31.5" customHeight="1">
      <c r="C2" s="1234" t="s">
        <v>945</v>
      </c>
      <c r="D2" s="1234"/>
      <c r="E2" s="1234"/>
      <c r="F2" s="489"/>
      <c r="G2" s="489"/>
      <c r="H2" s="489"/>
      <c r="I2" s="489"/>
      <c r="J2" s="489"/>
      <c r="K2" s="489"/>
    </row>
    <row r="3" spans="1:11" s="86" customFormat="1">
      <c r="C3" s="489"/>
      <c r="D3" s="826"/>
      <c r="E3" s="489"/>
      <c r="F3" s="489"/>
      <c r="G3" s="489"/>
      <c r="H3" s="489"/>
      <c r="I3" s="489"/>
      <c r="J3" s="489"/>
      <c r="K3" s="489"/>
    </row>
    <row r="4" spans="1:11" s="86" customFormat="1">
      <c r="C4" s="489"/>
      <c r="D4" s="826"/>
      <c r="E4" s="489"/>
      <c r="F4" s="489"/>
      <c r="G4" s="489"/>
      <c r="H4" s="489"/>
      <c r="I4" s="489"/>
      <c r="J4" s="489"/>
      <c r="K4" s="489"/>
    </row>
    <row r="5" spans="1:11" s="821" customFormat="1">
      <c r="A5" s="528"/>
      <c r="B5" s="528" t="s">
        <v>1468</v>
      </c>
      <c r="C5" s="822" t="s">
        <v>873</v>
      </c>
      <c r="D5" s="826"/>
      <c r="E5" s="823" t="s">
        <v>681</v>
      </c>
      <c r="F5" s="826"/>
      <c r="G5" s="964" t="s">
        <v>1251</v>
      </c>
      <c r="H5" s="826"/>
      <c r="I5" s="964" t="s">
        <v>1252</v>
      </c>
      <c r="J5" s="826"/>
      <c r="K5" s="964" t="s">
        <v>1259</v>
      </c>
    </row>
    <row r="6" spans="1:11" s="814" customFormat="1" ht="66" customHeight="1">
      <c r="A6" s="489"/>
      <c r="B6" s="489"/>
      <c r="C6" s="843" t="s">
        <v>877</v>
      </c>
      <c r="D6" s="1230"/>
      <c r="E6" s="844" t="s">
        <v>874</v>
      </c>
      <c r="F6" s="489"/>
      <c r="G6" s="844" t="s">
        <v>1004</v>
      </c>
      <c r="H6" s="489"/>
      <c r="I6" s="844"/>
      <c r="J6" s="489"/>
      <c r="K6" s="844"/>
    </row>
    <row r="7" spans="1:11" ht="31.5">
      <c r="C7" s="816" t="s">
        <v>408</v>
      </c>
      <c r="D7" s="1230"/>
      <c r="E7" s="824"/>
      <c r="G7" s="824" t="s">
        <v>1006</v>
      </c>
      <c r="I7" s="824"/>
      <c r="K7" s="824"/>
    </row>
    <row r="8" spans="1:11" ht="6" customHeight="1">
      <c r="C8" s="818"/>
      <c r="D8" s="1230"/>
      <c r="E8" s="817"/>
      <c r="G8" s="817"/>
      <c r="I8" s="817"/>
      <c r="K8" s="817"/>
    </row>
    <row r="9" spans="1:11" ht="31.5">
      <c r="C9" s="843" t="s">
        <v>875</v>
      </c>
      <c r="D9" s="1230"/>
      <c r="E9" s="844" t="s">
        <v>883</v>
      </c>
      <c r="G9" s="844"/>
      <c r="I9" s="844"/>
      <c r="K9" s="844"/>
    </row>
    <row r="10" spans="1:11" ht="31.5">
      <c r="C10" s="816" t="s">
        <v>876</v>
      </c>
      <c r="D10" s="1230"/>
      <c r="E10" s="824" t="s">
        <v>887</v>
      </c>
      <c r="G10" s="824"/>
      <c r="I10" s="824"/>
      <c r="K10" s="824"/>
    </row>
    <row r="11" spans="1:11" ht="4.5" customHeight="1">
      <c r="C11" s="818"/>
      <c r="D11" s="1230"/>
      <c r="E11" s="817"/>
      <c r="G11" s="817"/>
      <c r="I11" s="817"/>
      <c r="K11" s="817"/>
    </row>
    <row r="12" spans="1:11" ht="61.5" customHeight="1">
      <c r="C12" s="843" t="s">
        <v>946</v>
      </c>
      <c r="D12" s="1230"/>
      <c r="E12" s="844" t="s">
        <v>899</v>
      </c>
      <c r="G12" s="844" t="s">
        <v>1253</v>
      </c>
      <c r="I12" s="844"/>
      <c r="K12" s="844"/>
    </row>
    <row r="13" spans="1:11" ht="47.25">
      <c r="C13" s="816" t="s">
        <v>403</v>
      </c>
      <c r="D13" s="1230"/>
      <c r="E13" s="824" t="s">
        <v>403</v>
      </c>
      <c r="G13" s="824"/>
      <c r="I13" s="824"/>
      <c r="K13" s="824"/>
    </row>
    <row r="14" spans="1:11" ht="4.5" customHeight="1">
      <c r="C14" s="819"/>
      <c r="D14" s="1230"/>
      <c r="E14" s="817"/>
      <c r="G14" s="817"/>
      <c r="I14" s="817"/>
      <c r="K14" s="817"/>
    </row>
    <row r="15" spans="1:11" ht="31.5">
      <c r="C15" s="843" t="s">
        <v>882</v>
      </c>
      <c r="D15" s="1230"/>
      <c r="E15" s="844" t="s">
        <v>898</v>
      </c>
      <c r="G15" s="844"/>
      <c r="I15" s="844"/>
      <c r="K15" s="844"/>
    </row>
    <row r="16" spans="1:11" ht="63">
      <c r="C16" s="816" t="s">
        <v>385</v>
      </c>
      <c r="D16" s="1230"/>
      <c r="E16" s="824" t="s">
        <v>855</v>
      </c>
      <c r="G16" s="824"/>
      <c r="I16" s="824"/>
      <c r="K16" s="824"/>
    </row>
    <row r="17" spans="3:11" ht="2.25" customHeight="1">
      <c r="C17" s="819"/>
      <c r="D17" s="1230"/>
      <c r="E17" s="817"/>
      <c r="G17" s="817"/>
      <c r="I17" s="817"/>
      <c r="K17" s="817"/>
    </row>
    <row r="18" spans="3:11" ht="31.5">
      <c r="C18" s="843" t="s">
        <v>878</v>
      </c>
      <c r="D18" s="1230"/>
      <c r="E18" s="844" t="s">
        <v>884</v>
      </c>
      <c r="G18" s="844"/>
      <c r="I18" s="844"/>
      <c r="K18" s="844"/>
    </row>
    <row r="19" spans="3:11" ht="47.25">
      <c r="C19" s="816" t="s">
        <v>408</v>
      </c>
      <c r="D19" s="1230"/>
      <c r="E19" s="824" t="s">
        <v>885</v>
      </c>
      <c r="G19" s="824"/>
      <c r="I19" s="824"/>
      <c r="K19" s="824"/>
    </row>
    <row r="20" spans="3:11" ht="3" customHeight="1">
      <c r="C20" s="819"/>
      <c r="D20" s="1230"/>
      <c r="E20" s="817"/>
      <c r="G20" s="817"/>
      <c r="I20" s="817"/>
      <c r="K20" s="817"/>
    </row>
    <row r="21" spans="3:11" ht="105.75" customHeight="1">
      <c r="C21" s="843" t="s">
        <v>879</v>
      </c>
      <c r="D21" s="1230"/>
      <c r="E21" s="844" t="s">
        <v>886</v>
      </c>
      <c r="G21" s="844" t="s">
        <v>1255</v>
      </c>
      <c r="I21" s="844" t="s">
        <v>1254</v>
      </c>
      <c r="K21" s="844"/>
    </row>
    <row r="22" spans="3:11" ht="56.25" customHeight="1">
      <c r="C22" s="816" t="s">
        <v>408</v>
      </c>
      <c r="D22" s="1230"/>
      <c r="E22" s="824" t="s">
        <v>888</v>
      </c>
      <c r="G22" s="824" t="s">
        <v>494</v>
      </c>
      <c r="I22" s="824"/>
      <c r="K22" s="824"/>
    </row>
    <row r="23" spans="3:11" s="86" customFormat="1" ht="31.5" customHeight="1">
      <c r="C23" s="851"/>
      <c r="D23" s="826"/>
      <c r="E23" s="852"/>
      <c r="F23" s="489"/>
      <c r="G23" s="852"/>
      <c r="H23" s="489"/>
      <c r="I23" s="852"/>
      <c r="J23" s="489"/>
      <c r="K23" s="852"/>
    </row>
    <row r="24" spans="3:11" ht="31.5">
      <c r="C24" s="843" t="s">
        <v>881</v>
      </c>
      <c r="D24" s="826" t="s">
        <v>880</v>
      </c>
      <c r="E24" s="844" t="s">
        <v>890</v>
      </c>
      <c r="G24" s="844"/>
      <c r="I24" s="844"/>
      <c r="K24" s="844"/>
    </row>
    <row r="25" spans="3:11" ht="31.5">
      <c r="C25" s="1231" t="s">
        <v>623</v>
      </c>
      <c r="E25" s="824" t="s">
        <v>888</v>
      </c>
      <c r="G25" s="824"/>
      <c r="I25" s="824"/>
      <c r="K25" s="824"/>
    </row>
    <row r="26" spans="3:11" ht="3" customHeight="1">
      <c r="C26" s="1232"/>
      <c r="E26" s="817"/>
      <c r="G26" s="817"/>
      <c r="I26" s="817"/>
      <c r="K26" s="817"/>
    </row>
    <row r="27" spans="3:11" ht="31.5">
      <c r="C27" s="1232"/>
      <c r="E27" s="825" t="s">
        <v>892</v>
      </c>
      <c r="G27" s="825"/>
      <c r="I27" s="825"/>
      <c r="K27" s="825"/>
    </row>
    <row r="28" spans="3:11" ht="47.25">
      <c r="C28" s="1233"/>
      <c r="E28" s="824" t="s">
        <v>891</v>
      </c>
      <c r="G28" s="824"/>
      <c r="I28" s="824"/>
      <c r="K28" s="824"/>
    </row>
    <row r="29" spans="3:11" ht="31.5">
      <c r="C29" s="845" t="s">
        <v>900</v>
      </c>
      <c r="E29" s="846" t="s">
        <v>902</v>
      </c>
      <c r="G29" s="846"/>
      <c r="I29" s="846"/>
      <c r="K29" s="846"/>
    </row>
    <row r="30" spans="3:11" ht="47.25">
      <c r="C30" s="833" t="s">
        <v>901</v>
      </c>
      <c r="E30" s="834" t="s">
        <v>903</v>
      </c>
      <c r="G30" s="834"/>
      <c r="I30" s="834"/>
      <c r="K30" s="834"/>
    </row>
    <row r="31" spans="3:11">
      <c r="C31" s="845" t="s">
        <v>904</v>
      </c>
      <c r="E31" s="846" t="s">
        <v>906</v>
      </c>
      <c r="G31" s="846"/>
      <c r="I31" s="846"/>
      <c r="K31" s="846"/>
    </row>
    <row r="32" spans="3:11" ht="31.5">
      <c r="C32" s="833"/>
      <c r="E32" s="834" t="s">
        <v>905</v>
      </c>
      <c r="G32" s="834"/>
      <c r="I32" s="834"/>
      <c r="K32" s="834"/>
    </row>
    <row r="33" spans="3:11">
      <c r="C33" s="845" t="s">
        <v>908</v>
      </c>
      <c r="E33" s="846" t="s">
        <v>909</v>
      </c>
      <c r="G33" s="846"/>
      <c r="I33" s="846"/>
      <c r="K33" s="846"/>
    </row>
    <row r="34" spans="3:11" ht="63">
      <c r="C34" s="833" t="s">
        <v>907</v>
      </c>
      <c r="E34" s="834" t="s">
        <v>801</v>
      </c>
      <c r="G34" s="834"/>
      <c r="I34" s="834"/>
      <c r="K34" s="834"/>
    </row>
    <row r="35" spans="3:11" ht="78.75">
      <c r="C35" s="845" t="s">
        <v>910</v>
      </c>
      <c r="E35" s="846" t="s">
        <v>912</v>
      </c>
      <c r="G35" s="846" t="s">
        <v>1256</v>
      </c>
      <c r="I35" s="844" t="s">
        <v>1257</v>
      </c>
      <c r="K35" s="844"/>
    </row>
    <row r="36" spans="3:11" ht="31.5">
      <c r="C36" s="833" t="s">
        <v>911</v>
      </c>
      <c r="E36" s="834" t="s">
        <v>913</v>
      </c>
      <c r="G36" s="834"/>
      <c r="I36" s="834"/>
      <c r="K36" s="834"/>
    </row>
    <row r="37" spans="3:11" ht="47.25">
      <c r="C37" s="845" t="s">
        <v>947</v>
      </c>
      <c r="E37" s="846" t="s">
        <v>915</v>
      </c>
      <c r="G37" s="846"/>
      <c r="I37" s="846"/>
      <c r="K37" s="846"/>
    </row>
    <row r="38" spans="3:11" ht="63">
      <c r="C38" s="833" t="s">
        <v>557</v>
      </c>
      <c r="E38" s="834" t="s">
        <v>914</v>
      </c>
      <c r="G38" s="834"/>
      <c r="I38" s="834"/>
      <c r="K38" s="834"/>
    </row>
    <row r="39" spans="3:11" ht="31.5">
      <c r="C39" s="845" t="s">
        <v>916</v>
      </c>
      <c r="E39" s="846" t="s">
        <v>918</v>
      </c>
      <c r="G39" s="846"/>
      <c r="I39" s="846"/>
      <c r="K39" s="846"/>
    </row>
    <row r="40" spans="3:11">
      <c r="C40" s="833" t="s">
        <v>917</v>
      </c>
      <c r="E40" s="834" t="s">
        <v>948</v>
      </c>
      <c r="G40" s="834"/>
      <c r="I40" s="834"/>
      <c r="K40" s="834"/>
    </row>
    <row r="41" spans="3:11">
      <c r="C41" s="833"/>
      <c r="E41" s="834"/>
      <c r="G41" s="834"/>
      <c r="I41" s="834"/>
      <c r="K41" s="834"/>
    </row>
    <row r="42" spans="3:11">
      <c r="C42" s="845" t="s">
        <v>904</v>
      </c>
      <c r="D42" s="826" t="s">
        <v>76</v>
      </c>
      <c r="E42" s="846" t="s">
        <v>919</v>
      </c>
      <c r="G42" s="846"/>
      <c r="I42" s="846"/>
      <c r="K42" s="846"/>
    </row>
    <row r="43" spans="3:11" ht="31.5">
      <c r="C43" s="833"/>
      <c r="E43" s="834" t="s">
        <v>905</v>
      </c>
      <c r="G43" s="834"/>
      <c r="I43" s="834"/>
      <c r="K43" s="834"/>
    </row>
    <row r="44" spans="3:11">
      <c r="C44" s="845" t="s">
        <v>920</v>
      </c>
      <c r="E44" s="846" t="s">
        <v>922</v>
      </c>
      <c r="G44" s="846"/>
      <c r="I44" s="846"/>
      <c r="K44" s="846"/>
    </row>
    <row r="45" spans="3:11" ht="31.5">
      <c r="C45" s="833"/>
      <c r="E45" s="834" t="s">
        <v>921</v>
      </c>
      <c r="G45" s="834"/>
      <c r="I45" s="834"/>
      <c r="K45" s="834"/>
    </row>
    <row r="46" spans="3:11">
      <c r="C46" s="845" t="s">
        <v>925</v>
      </c>
      <c r="E46" s="846" t="s">
        <v>924</v>
      </c>
      <c r="G46" s="846"/>
      <c r="I46" s="846"/>
      <c r="K46" s="846"/>
    </row>
    <row r="47" spans="3:11" ht="45">
      <c r="C47" s="837" t="s">
        <v>923</v>
      </c>
      <c r="E47" s="834" t="s">
        <v>913</v>
      </c>
      <c r="G47" s="834"/>
      <c r="I47" s="834"/>
      <c r="K47" s="834"/>
    </row>
    <row r="48" spans="3:11" ht="31.5">
      <c r="C48" s="820"/>
      <c r="E48" s="834" t="s">
        <v>926</v>
      </c>
      <c r="G48" s="834"/>
      <c r="I48" s="834"/>
      <c r="K48" s="834"/>
    </row>
    <row r="49" spans="3:11" ht="63">
      <c r="C49" s="836"/>
      <c r="D49" s="826" t="s">
        <v>952</v>
      </c>
      <c r="E49" s="834"/>
      <c r="G49" s="834"/>
      <c r="I49" s="834"/>
      <c r="K49" s="834"/>
    </row>
    <row r="50" spans="3:11" ht="31.5">
      <c r="C50" s="847" t="s">
        <v>928</v>
      </c>
      <c r="E50" s="846" t="s">
        <v>953</v>
      </c>
      <c r="G50" s="846"/>
      <c r="I50" s="846"/>
      <c r="K50" s="846"/>
    </row>
    <row r="51" spans="3:11">
      <c r="C51" s="837" t="s">
        <v>929</v>
      </c>
      <c r="E51" s="834"/>
      <c r="G51" s="834"/>
      <c r="I51" s="834"/>
      <c r="K51" s="834"/>
    </row>
    <row r="52" spans="3:11" ht="31.5">
      <c r="C52" s="848" t="s">
        <v>931</v>
      </c>
      <c r="E52" s="846" t="s">
        <v>932</v>
      </c>
      <c r="G52" s="846"/>
      <c r="I52" s="846"/>
      <c r="K52" s="846"/>
    </row>
    <row r="53" spans="3:11" ht="60">
      <c r="C53" s="837" t="s">
        <v>930</v>
      </c>
      <c r="E53" s="834" t="s">
        <v>927</v>
      </c>
      <c r="G53" s="834"/>
      <c r="I53" s="834"/>
      <c r="K53" s="834"/>
    </row>
    <row r="54" spans="3:11" ht="31.5">
      <c r="C54" s="835"/>
      <c r="E54" s="854" t="s">
        <v>933</v>
      </c>
      <c r="G54" s="854"/>
      <c r="I54" s="854"/>
      <c r="K54" s="854"/>
    </row>
    <row r="55" spans="3:11" ht="14.25" customHeight="1">
      <c r="C55" s="819"/>
      <c r="E55" s="817" t="s">
        <v>934</v>
      </c>
      <c r="G55" s="817"/>
      <c r="I55" s="817"/>
      <c r="K55" s="817"/>
    </row>
    <row r="56" spans="3:11" ht="78.75">
      <c r="C56" s="849" t="s">
        <v>944</v>
      </c>
      <c r="E56" s="844" t="s">
        <v>951</v>
      </c>
      <c r="G56" s="844"/>
      <c r="I56" s="844"/>
      <c r="K56" s="844"/>
    </row>
    <row r="57" spans="3:11" ht="47.25">
      <c r="C57" s="819" t="s">
        <v>623</v>
      </c>
      <c r="E57" s="834" t="s">
        <v>927</v>
      </c>
      <c r="G57" s="834"/>
      <c r="I57" s="834"/>
      <c r="K57" s="834"/>
    </row>
    <row r="58" spans="3:11">
      <c r="C58" s="842"/>
      <c r="D58" s="826" t="s">
        <v>249</v>
      </c>
      <c r="E58" s="853"/>
      <c r="G58" s="853"/>
      <c r="I58" s="853"/>
      <c r="K58" s="853"/>
    </row>
    <row r="59" spans="3:11" ht="63">
      <c r="C59" s="843" t="s">
        <v>949</v>
      </c>
      <c r="D59" s="489"/>
      <c r="E59" s="844" t="s">
        <v>935</v>
      </c>
      <c r="G59" s="844"/>
      <c r="I59" s="844"/>
      <c r="K59" s="844"/>
    </row>
    <row r="60" spans="3:11">
      <c r="C60" s="838" t="s">
        <v>623</v>
      </c>
      <c r="E60" s="824"/>
      <c r="G60" s="824"/>
      <c r="I60" s="824"/>
      <c r="K60" s="824"/>
    </row>
    <row r="61" spans="3:11" ht="4.5" customHeight="1">
      <c r="C61" s="839"/>
      <c r="E61" s="817"/>
      <c r="G61" s="817"/>
      <c r="I61" s="817"/>
      <c r="K61" s="817"/>
    </row>
    <row r="62" spans="3:11" ht="220.5">
      <c r="C62" s="844" t="s">
        <v>936</v>
      </c>
      <c r="E62" s="844" t="s">
        <v>937</v>
      </c>
      <c r="G62" s="844" t="s">
        <v>1258</v>
      </c>
      <c r="I62" s="844" t="s">
        <v>1263</v>
      </c>
      <c r="K62" s="844" t="s">
        <v>1264</v>
      </c>
    </row>
    <row r="63" spans="3:11" ht="78.75">
      <c r="C63" s="840" t="s">
        <v>938</v>
      </c>
      <c r="E63" s="824" t="s">
        <v>950</v>
      </c>
      <c r="G63" s="824" t="s">
        <v>1218</v>
      </c>
      <c r="I63" s="824"/>
      <c r="K63" s="824" t="s">
        <v>1193</v>
      </c>
    </row>
    <row r="64" spans="3:11" ht="47.25">
      <c r="C64" s="850" t="s">
        <v>940</v>
      </c>
      <c r="E64" s="846" t="s">
        <v>942</v>
      </c>
      <c r="G64" s="846"/>
      <c r="I64" s="846"/>
      <c r="K64" s="846"/>
    </row>
    <row r="65" spans="1:11" ht="47.25">
      <c r="C65" s="841" t="s">
        <v>941</v>
      </c>
      <c r="E65" s="834" t="s">
        <v>939</v>
      </c>
      <c r="G65" s="834"/>
      <c r="I65" s="834"/>
      <c r="K65" s="834"/>
    </row>
    <row r="66" spans="1:11" ht="141.75">
      <c r="C66" s="969"/>
      <c r="E66" s="969" t="s">
        <v>583</v>
      </c>
      <c r="G66" s="970" t="s">
        <v>1260</v>
      </c>
      <c r="I66" s="970" t="s">
        <v>1261</v>
      </c>
      <c r="K66" s="970" t="s">
        <v>1262</v>
      </c>
    </row>
    <row r="67" spans="1:11" ht="97.5" customHeight="1">
      <c r="A67" s="815"/>
      <c r="B67" s="815"/>
      <c r="C67" s="967"/>
      <c r="D67" s="965"/>
      <c r="E67" s="967" t="s">
        <v>876</v>
      </c>
      <c r="F67" s="814"/>
      <c r="G67" s="834" t="s">
        <v>451</v>
      </c>
      <c r="H67" s="814"/>
      <c r="I67" s="834"/>
      <c r="J67" s="814"/>
      <c r="K67" s="834"/>
    </row>
    <row r="68" spans="1:11">
      <c r="C68" s="966"/>
      <c r="E68" s="834"/>
      <c r="G68" s="834"/>
      <c r="I68" s="834"/>
      <c r="K68" s="834"/>
    </row>
    <row r="69" spans="1:11">
      <c r="C69" s="968"/>
      <c r="E69" s="834"/>
      <c r="G69" s="834"/>
      <c r="I69" s="834"/>
      <c r="K69" s="834"/>
    </row>
    <row r="70" spans="1:11">
      <c r="C70" s="968"/>
      <c r="E70" s="846" t="s">
        <v>943</v>
      </c>
      <c r="G70" s="846"/>
      <c r="I70" s="846"/>
      <c r="K70" s="846"/>
    </row>
    <row r="71" spans="1:11">
      <c r="C71" s="968"/>
      <c r="E71" s="834" t="s">
        <v>734</v>
      </c>
      <c r="G71" s="834"/>
      <c r="I71" s="834"/>
      <c r="K71" s="834"/>
    </row>
    <row r="72" spans="1:11" s="86" customFormat="1">
      <c r="C72" s="489"/>
      <c r="D72" s="826"/>
      <c r="E72" s="489"/>
      <c r="F72" s="489"/>
      <c r="G72" s="489"/>
      <c r="H72" s="489"/>
      <c r="I72" s="489"/>
      <c r="J72" s="489"/>
      <c r="K72" s="489"/>
    </row>
    <row r="73" spans="1:11" s="86" customFormat="1">
      <c r="C73" s="1143"/>
      <c r="D73" s="1144"/>
      <c r="E73" s="1143"/>
      <c r="F73" s="1143"/>
      <c r="G73" s="1143"/>
      <c r="H73" s="1143"/>
      <c r="I73" s="1143"/>
      <c r="J73" s="1143"/>
      <c r="K73" s="1143"/>
    </row>
    <row r="74" spans="1:11" s="821" customFormat="1">
      <c r="A74" s="528"/>
      <c r="B74" s="528" t="s">
        <v>1468</v>
      </c>
      <c r="C74" s="822" t="s">
        <v>873</v>
      </c>
      <c r="D74" s="826"/>
      <c r="E74" s="823" t="s">
        <v>681</v>
      </c>
      <c r="F74" s="826"/>
      <c r="G74" s="964" t="s">
        <v>1251</v>
      </c>
      <c r="H74" s="826"/>
      <c r="I74" s="964" t="s">
        <v>1252</v>
      </c>
      <c r="J74" s="826"/>
      <c r="K74" s="964" t="s">
        <v>1259</v>
      </c>
    </row>
    <row r="75" spans="1:11" s="814" customFormat="1" ht="66" customHeight="1">
      <c r="A75" s="489"/>
      <c r="B75" s="489">
        <v>2023</v>
      </c>
      <c r="C75" s="843" t="s">
        <v>1469</v>
      </c>
      <c r="D75" s="1230"/>
      <c r="E75" s="844" t="s">
        <v>1472</v>
      </c>
      <c r="F75" s="489"/>
      <c r="G75" s="844"/>
      <c r="H75" s="489"/>
      <c r="I75" s="844"/>
      <c r="J75" s="489"/>
      <c r="K75" s="844"/>
    </row>
    <row r="76" spans="1:11" ht="31.5">
      <c r="C76" s="816" t="s">
        <v>1470</v>
      </c>
      <c r="D76" s="1230"/>
      <c r="E76" s="824" t="s">
        <v>1473</v>
      </c>
      <c r="G76" s="824"/>
      <c r="I76" s="824"/>
      <c r="K76" s="824"/>
    </row>
    <row r="77" spans="1:11" ht="6" customHeight="1">
      <c r="C77" s="818"/>
      <c r="D77" s="1230"/>
      <c r="E77" s="817"/>
      <c r="G77" s="817"/>
      <c r="I77" s="817"/>
      <c r="K77" s="817"/>
    </row>
    <row r="78" spans="1:11">
      <c r="C78" s="843" t="s">
        <v>1478</v>
      </c>
      <c r="D78" s="1230"/>
      <c r="E78" s="844" t="s">
        <v>1479</v>
      </c>
      <c r="G78" s="844"/>
      <c r="I78" s="844"/>
      <c r="K78" s="844"/>
    </row>
    <row r="79" spans="1:11">
      <c r="C79" s="816" t="s">
        <v>1470</v>
      </c>
      <c r="D79" s="1230"/>
      <c r="E79" s="824" t="s">
        <v>1480</v>
      </c>
      <c r="G79" s="824"/>
      <c r="I79" s="824"/>
      <c r="K79" s="824"/>
    </row>
    <row r="80" spans="1:11" ht="4.5" customHeight="1">
      <c r="C80" s="818"/>
      <c r="D80" s="1230"/>
      <c r="E80" s="817"/>
      <c r="G80" s="817"/>
      <c r="I80" s="817"/>
      <c r="K80" s="817"/>
    </row>
    <row r="81" spans="3:11" ht="61.5" customHeight="1">
      <c r="C81" s="843"/>
      <c r="D81" s="1230"/>
      <c r="E81" s="844"/>
      <c r="G81" s="844"/>
      <c r="I81" s="844"/>
      <c r="K81" s="844"/>
    </row>
    <row r="82" spans="3:11">
      <c r="C82" s="816"/>
      <c r="D82" s="1230"/>
      <c r="E82" s="824"/>
      <c r="G82" s="824"/>
      <c r="I82" s="824"/>
      <c r="K82" s="824"/>
    </row>
    <row r="83" spans="3:11" ht="4.5" customHeight="1">
      <c r="C83" s="819"/>
      <c r="D83" s="1230"/>
      <c r="E83" s="817"/>
      <c r="G83" s="817"/>
      <c r="I83" s="817"/>
      <c r="K83" s="817"/>
    </row>
    <row r="84" spans="3:11">
      <c r="C84" s="843"/>
      <c r="D84" s="1230"/>
      <c r="E84" s="844"/>
      <c r="G84" s="844"/>
      <c r="I84" s="844"/>
      <c r="K84" s="844"/>
    </row>
    <row r="85" spans="3:11">
      <c r="C85" s="816"/>
      <c r="D85" s="1230"/>
      <c r="E85" s="824"/>
      <c r="G85" s="824"/>
      <c r="I85" s="824"/>
      <c r="K85" s="824"/>
    </row>
    <row r="86" spans="3:11" ht="2.25" customHeight="1">
      <c r="C86" s="819"/>
      <c r="D86" s="1230"/>
      <c r="E86" s="817"/>
      <c r="G86" s="817"/>
      <c r="I86" s="817"/>
      <c r="K86" s="817"/>
    </row>
    <row r="87" spans="3:11">
      <c r="C87" s="843"/>
      <c r="D87" s="1230"/>
      <c r="E87" s="844"/>
      <c r="G87" s="844"/>
      <c r="I87" s="844"/>
      <c r="K87" s="844"/>
    </row>
    <row r="88" spans="3:11">
      <c r="C88" s="816"/>
      <c r="D88" s="1230"/>
      <c r="E88" s="824"/>
      <c r="G88" s="824"/>
      <c r="I88" s="824"/>
      <c r="K88" s="824"/>
    </row>
    <row r="89" spans="3:11" ht="3" customHeight="1">
      <c r="C89" s="819"/>
      <c r="D89" s="1230"/>
      <c r="E89" s="817"/>
      <c r="G89" s="817"/>
      <c r="I89" s="817"/>
      <c r="K89" s="817"/>
    </row>
    <row r="90" spans="3:11" ht="105.75" customHeight="1">
      <c r="C90" s="843"/>
      <c r="D90" s="1230"/>
      <c r="E90" s="844"/>
      <c r="G90" s="844"/>
      <c r="I90" s="844"/>
      <c r="K90" s="844"/>
    </row>
    <row r="91" spans="3:11" ht="56.25" customHeight="1">
      <c r="C91" s="816"/>
      <c r="D91" s="1230"/>
      <c r="E91" s="824"/>
      <c r="G91" s="824"/>
      <c r="I91" s="824"/>
      <c r="K91" s="824"/>
    </row>
    <row r="92" spans="3:11" s="86" customFormat="1" ht="31.5" customHeight="1">
      <c r="C92" s="851"/>
      <c r="D92" s="826"/>
      <c r="E92" s="852"/>
      <c r="F92" s="489"/>
      <c r="G92" s="852"/>
      <c r="H92" s="489"/>
      <c r="I92" s="852"/>
      <c r="J92" s="489"/>
      <c r="K92" s="852"/>
    </row>
    <row r="93" spans="3:11">
      <c r="C93" s="843"/>
      <c r="E93" s="844"/>
      <c r="G93" s="844"/>
      <c r="I93" s="844"/>
      <c r="K93" s="844"/>
    </row>
    <row r="94" spans="3:11">
      <c r="C94" s="1231"/>
      <c r="E94" s="824"/>
      <c r="G94" s="824"/>
      <c r="I94" s="824"/>
      <c r="K94" s="824"/>
    </row>
    <row r="95" spans="3:11" ht="3" customHeight="1">
      <c r="C95" s="1232"/>
      <c r="E95" s="817"/>
      <c r="G95" s="817"/>
      <c r="I95" s="817"/>
      <c r="K95" s="817"/>
    </row>
    <row r="96" spans="3:11">
      <c r="C96" s="1232"/>
      <c r="E96" s="825"/>
      <c r="G96" s="825"/>
      <c r="I96" s="825"/>
      <c r="K96" s="825"/>
    </row>
    <row r="97" spans="3:11">
      <c r="C97" s="1233"/>
      <c r="E97" s="824"/>
      <c r="G97" s="824"/>
      <c r="I97" s="824"/>
      <c r="K97" s="824"/>
    </row>
    <row r="98" spans="3:11">
      <c r="C98" s="845"/>
      <c r="E98" s="846"/>
      <c r="G98" s="846"/>
      <c r="I98" s="846"/>
      <c r="K98" s="846"/>
    </row>
    <row r="99" spans="3:11">
      <c r="C99" s="833"/>
      <c r="E99" s="834"/>
      <c r="G99" s="834"/>
      <c r="I99" s="834"/>
      <c r="K99" s="834"/>
    </row>
    <row r="100" spans="3:11">
      <c r="C100" s="845"/>
      <c r="E100" s="846"/>
      <c r="G100" s="846"/>
      <c r="I100" s="846"/>
      <c r="K100" s="846"/>
    </row>
    <row r="101" spans="3:11">
      <c r="C101" s="833"/>
      <c r="E101" s="834"/>
      <c r="G101" s="834"/>
      <c r="I101" s="834"/>
      <c r="K101" s="834"/>
    </row>
    <row r="102" spans="3:11">
      <c r="C102" s="845"/>
      <c r="E102" s="846"/>
      <c r="G102" s="846"/>
      <c r="I102" s="846"/>
      <c r="K102" s="846"/>
    </row>
    <row r="103" spans="3:11">
      <c r="C103" s="833"/>
      <c r="E103" s="834"/>
      <c r="G103" s="834"/>
      <c r="I103" s="834"/>
      <c r="K103" s="834"/>
    </row>
    <row r="104" spans="3:11">
      <c r="C104" s="845"/>
      <c r="E104" s="846"/>
      <c r="G104" s="846"/>
      <c r="I104" s="844"/>
      <c r="K104" s="844"/>
    </row>
    <row r="105" spans="3:11">
      <c r="C105" s="833"/>
      <c r="E105" s="834"/>
      <c r="G105" s="834"/>
      <c r="I105" s="834"/>
      <c r="K105" s="834"/>
    </row>
    <row r="106" spans="3:11">
      <c r="C106" s="845"/>
      <c r="E106" s="846"/>
      <c r="G106" s="846"/>
      <c r="I106" s="846"/>
      <c r="K106" s="846"/>
    </row>
    <row r="107" spans="3:11">
      <c r="C107" s="833"/>
      <c r="E107" s="834"/>
      <c r="G107" s="834"/>
      <c r="I107" s="834"/>
      <c r="K107" s="834"/>
    </row>
    <row r="108" spans="3:11">
      <c r="C108" s="845"/>
      <c r="E108" s="846"/>
      <c r="G108" s="846"/>
      <c r="I108" s="846"/>
      <c r="K108" s="846"/>
    </row>
    <row r="109" spans="3:11">
      <c r="C109" s="833"/>
      <c r="E109" s="834"/>
      <c r="G109" s="834"/>
      <c r="I109" s="834"/>
      <c r="K109" s="834"/>
    </row>
    <row r="110" spans="3:11">
      <c r="C110" s="833"/>
      <c r="E110" s="834"/>
      <c r="G110" s="834"/>
      <c r="I110" s="834"/>
      <c r="K110" s="834"/>
    </row>
    <row r="111" spans="3:11">
      <c r="C111" s="845"/>
      <c r="E111" s="846"/>
      <c r="G111" s="846"/>
      <c r="I111" s="846"/>
      <c r="K111" s="846"/>
    </row>
    <row r="112" spans="3:11">
      <c r="C112" s="833"/>
      <c r="E112" s="834"/>
      <c r="G112" s="834"/>
      <c r="I112" s="834"/>
      <c r="K112" s="834"/>
    </row>
    <row r="113" spans="3:11">
      <c r="C113" s="845"/>
      <c r="E113" s="846"/>
      <c r="G113" s="846"/>
      <c r="I113" s="846"/>
      <c r="K113" s="846"/>
    </row>
    <row r="114" spans="3:11">
      <c r="C114" s="833"/>
      <c r="E114" s="834"/>
      <c r="G114" s="834"/>
      <c r="I114" s="834"/>
      <c r="K114" s="834"/>
    </row>
    <row r="115" spans="3:11">
      <c r="C115" s="845"/>
      <c r="E115" s="846"/>
      <c r="G115" s="846"/>
      <c r="I115" s="846"/>
      <c r="K115" s="846"/>
    </row>
    <row r="116" spans="3:11">
      <c r="C116" s="837"/>
      <c r="E116" s="834"/>
      <c r="G116" s="834"/>
      <c r="I116" s="834"/>
      <c r="K116" s="834"/>
    </row>
    <row r="117" spans="3:11">
      <c r="C117" s="820"/>
      <c r="E117" s="834"/>
      <c r="G117" s="834"/>
      <c r="I117" s="834"/>
      <c r="K117" s="834"/>
    </row>
    <row r="118" spans="3:11">
      <c r="C118" s="836"/>
      <c r="E118" s="834"/>
      <c r="G118" s="834"/>
      <c r="I118" s="834"/>
      <c r="K118" s="834"/>
    </row>
    <row r="119" spans="3:11">
      <c r="C119" s="847"/>
      <c r="E119" s="846"/>
      <c r="G119" s="846"/>
      <c r="I119" s="846"/>
      <c r="K119" s="846"/>
    </row>
    <row r="120" spans="3:11">
      <c r="C120" s="837"/>
      <c r="E120" s="834"/>
      <c r="G120" s="834"/>
      <c r="I120" s="834"/>
      <c r="K120" s="834"/>
    </row>
    <row r="121" spans="3:11">
      <c r="C121" s="848"/>
      <c r="E121" s="846"/>
      <c r="G121" s="846"/>
      <c r="I121" s="846"/>
      <c r="K121" s="846"/>
    </row>
    <row r="122" spans="3:11">
      <c r="C122" s="837"/>
      <c r="E122" s="834"/>
      <c r="G122" s="834"/>
      <c r="I122" s="834"/>
      <c r="K122" s="834"/>
    </row>
    <row r="123" spans="3:11">
      <c r="C123" s="835"/>
      <c r="E123" s="854"/>
      <c r="G123" s="854"/>
      <c r="I123" s="854"/>
      <c r="K123" s="854"/>
    </row>
    <row r="124" spans="3:11" ht="14.25" customHeight="1">
      <c r="C124" s="819"/>
      <c r="E124" s="817"/>
      <c r="G124" s="817"/>
      <c r="I124" s="817"/>
      <c r="K124" s="817"/>
    </row>
    <row r="125" spans="3:11">
      <c r="C125" s="849"/>
      <c r="E125" s="844"/>
      <c r="G125" s="844"/>
      <c r="I125" s="844"/>
      <c r="K125" s="844"/>
    </row>
    <row r="126" spans="3:11">
      <c r="C126" s="819"/>
      <c r="E126" s="834"/>
      <c r="G126" s="834"/>
      <c r="I126" s="834"/>
      <c r="K126" s="834"/>
    </row>
    <row r="127" spans="3:11">
      <c r="C127" s="842"/>
      <c r="E127" s="853"/>
      <c r="G127" s="853"/>
      <c r="I127" s="853"/>
      <c r="K127" s="853"/>
    </row>
    <row r="128" spans="3:11">
      <c r="C128" s="843"/>
      <c r="D128" s="489"/>
      <c r="E128" s="844"/>
      <c r="G128" s="844"/>
      <c r="I128" s="844"/>
      <c r="K128" s="844"/>
    </row>
    <row r="129" spans="3:11">
      <c r="C129" s="838"/>
      <c r="E129" s="824"/>
      <c r="G129" s="824"/>
      <c r="I129" s="824"/>
      <c r="K129" s="824"/>
    </row>
    <row r="130" spans="3:11" ht="4.5" customHeight="1">
      <c r="C130" s="839"/>
      <c r="E130" s="817"/>
      <c r="G130" s="817"/>
      <c r="I130" s="817"/>
      <c r="K130" s="817"/>
    </row>
    <row r="131" spans="3:11">
      <c r="C131" s="844"/>
      <c r="E131" s="844"/>
      <c r="G131" s="844"/>
      <c r="I131" s="844"/>
      <c r="K131" s="844"/>
    </row>
    <row r="132" spans="3:11">
      <c r="C132" s="840"/>
      <c r="E132" s="824"/>
      <c r="G132" s="824"/>
      <c r="I132" s="824"/>
      <c r="K132" s="824"/>
    </row>
    <row r="133" spans="3:11">
      <c r="C133" s="850"/>
      <c r="E133" s="846"/>
      <c r="G133" s="846"/>
      <c r="I133" s="846"/>
      <c r="K133" s="846"/>
    </row>
    <row r="134" spans="3:11">
      <c r="C134" s="841"/>
      <c r="E134" s="834"/>
      <c r="G134" s="834"/>
      <c r="I134" s="834"/>
      <c r="K134" s="834"/>
    </row>
  </sheetData>
  <mergeCells count="5">
    <mergeCell ref="D6:D22"/>
    <mergeCell ref="C25:C28"/>
    <mergeCell ref="C2:E2"/>
    <mergeCell ref="D75:D91"/>
    <mergeCell ref="C94:C97"/>
  </mergeCells>
  <hyperlinks>
    <hyperlink ref="C47" r:id="rId1" xr:uid="{78C79E3C-617D-492A-8C11-92BA3C8B1261}"/>
    <hyperlink ref="C53" r:id="rId2" xr:uid="{0C478CB0-55F6-4BD9-A6A0-5F17939936DA}"/>
    <hyperlink ref="C65" r:id="rId3" xr:uid="{52802F51-53B6-4EAF-9ADF-D96760EA26C1}"/>
  </hyperlinks>
  <pageMargins left="0.15748031496062992" right="0.11811023622047245" top="0.74803149606299213" bottom="0.74803149606299213" header="0.31496062992125984" footer="0.31496062992125984"/>
  <pageSetup paperSize="9" scale="55" orientation="landscape" r:id="rId4"/>
  <rowBreaks count="1" manualBreakCount="1">
    <brk id="48" max="16383" man="1"/>
  </rowBreaks>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51"/>
  <sheetViews>
    <sheetView topLeftCell="G11" workbookViewId="0">
      <selection activeCell="B19" sqref="B19"/>
    </sheetView>
  </sheetViews>
  <sheetFormatPr baseColWidth="10" defaultRowHeight="15"/>
  <cols>
    <col min="1" max="1" width="6" bestFit="1" customWidth="1"/>
    <col min="2" max="2" width="24.42578125" customWidth="1"/>
    <col min="3" max="3" width="8.140625" bestFit="1" customWidth="1"/>
    <col min="4" max="4" width="10.28515625" bestFit="1" customWidth="1"/>
    <col min="5" max="5" width="12" customWidth="1"/>
    <col min="6" max="6" width="14.140625" bestFit="1" customWidth="1"/>
    <col min="7" max="7" width="15.7109375" customWidth="1"/>
    <col min="8" max="9" width="20.140625" customWidth="1"/>
    <col min="10" max="10" width="62.7109375" customWidth="1"/>
    <col min="11" max="11" width="76.42578125" bestFit="1" customWidth="1"/>
  </cols>
  <sheetData>
    <row r="1" spans="1:17">
      <c r="A1" s="378" t="s">
        <v>283</v>
      </c>
      <c r="B1" s="378" t="s">
        <v>273</v>
      </c>
      <c r="C1" s="378" t="s">
        <v>274</v>
      </c>
      <c r="D1" s="378" t="s">
        <v>98</v>
      </c>
      <c r="E1" s="378" t="s">
        <v>275</v>
      </c>
      <c r="F1" s="1235" t="s">
        <v>276</v>
      </c>
      <c r="G1" s="1235"/>
      <c r="H1" s="453" t="s">
        <v>277</v>
      </c>
      <c r="I1" s="453" t="s">
        <v>279</v>
      </c>
      <c r="J1" s="453" t="s">
        <v>278</v>
      </c>
      <c r="K1" s="453"/>
    </row>
    <row r="2" spans="1:17">
      <c r="A2" s="378" t="s">
        <v>282</v>
      </c>
      <c r="B2" s="378" t="s">
        <v>282</v>
      </c>
      <c r="C2" s="378" t="s">
        <v>282</v>
      </c>
      <c r="D2" s="378" t="s">
        <v>282</v>
      </c>
      <c r="E2" s="378" t="s">
        <v>21</v>
      </c>
      <c r="F2" s="453" t="s">
        <v>290</v>
      </c>
      <c r="G2" s="453" t="s">
        <v>14</v>
      </c>
      <c r="H2" s="453" t="s">
        <v>281</v>
      </c>
      <c r="I2" s="453" t="s">
        <v>282</v>
      </c>
      <c r="J2" s="453" t="s">
        <v>282</v>
      </c>
      <c r="K2" s="453" t="s">
        <v>443</v>
      </c>
    </row>
    <row r="3" spans="1:17" s="370" customFormat="1">
      <c r="A3" s="384"/>
      <c r="B3" s="385" t="s">
        <v>318</v>
      </c>
      <c r="C3" s="384"/>
      <c r="D3" s="384"/>
      <c r="E3" s="384"/>
      <c r="F3" s="384"/>
      <c r="G3" s="384"/>
      <c r="H3" s="384"/>
      <c r="I3" s="384"/>
      <c r="J3" s="384"/>
      <c r="K3" s="384"/>
    </row>
    <row r="4" spans="1:17" ht="30">
      <c r="B4" t="s">
        <v>25</v>
      </c>
      <c r="C4" s="310" t="s">
        <v>445</v>
      </c>
      <c r="D4" s="310">
        <v>1</v>
      </c>
      <c r="E4" s="310" t="s">
        <v>442</v>
      </c>
      <c r="F4" s="310"/>
      <c r="G4" s="310"/>
      <c r="H4" s="382"/>
      <c r="I4" s="310"/>
      <c r="J4" s="524" t="s">
        <v>446</v>
      </c>
      <c r="K4" s="492">
        <v>6</v>
      </c>
      <c r="L4" s="310"/>
      <c r="M4" s="310"/>
      <c r="N4" s="310"/>
      <c r="O4" s="310"/>
      <c r="P4" s="310"/>
      <c r="Q4" s="310"/>
    </row>
    <row r="5" spans="1:17" ht="29.25" customHeight="1">
      <c r="A5" t="s">
        <v>444</v>
      </c>
      <c r="B5" t="s">
        <v>25</v>
      </c>
      <c r="C5" s="310" t="s">
        <v>280</v>
      </c>
      <c r="D5" s="310">
        <v>1</v>
      </c>
      <c r="E5" s="310"/>
      <c r="F5" s="310"/>
      <c r="G5" s="310"/>
      <c r="H5" s="523">
        <v>2.157</v>
      </c>
      <c r="I5" s="310"/>
      <c r="J5" s="524" t="s">
        <v>446</v>
      </c>
      <c r="K5" s="492"/>
      <c r="L5" s="310"/>
      <c r="M5" s="310"/>
      <c r="N5" s="310"/>
      <c r="O5" s="310"/>
      <c r="P5" s="310"/>
      <c r="Q5" s="310"/>
    </row>
    <row r="6" spans="1:17">
      <c r="B6" t="s">
        <v>25</v>
      </c>
      <c r="C6" s="310" t="s">
        <v>280</v>
      </c>
      <c r="D6" s="310">
        <v>1</v>
      </c>
      <c r="E6" s="310"/>
      <c r="F6" s="310">
        <v>12</v>
      </c>
      <c r="G6" s="310" t="s">
        <v>305</v>
      </c>
      <c r="H6" s="310"/>
      <c r="I6" s="310"/>
      <c r="J6" s="310"/>
      <c r="K6" s="310"/>
      <c r="L6" s="310"/>
      <c r="M6" s="310"/>
      <c r="N6" s="310"/>
      <c r="O6" s="310"/>
      <c r="P6" s="310"/>
      <c r="Q6" s="310"/>
    </row>
    <row r="7" spans="1:17">
      <c r="A7" s="27"/>
      <c r="B7" t="s">
        <v>309</v>
      </c>
      <c r="C7" s="310" t="s">
        <v>310</v>
      </c>
      <c r="D7" s="310">
        <v>1</v>
      </c>
      <c r="E7" s="310">
        <f>F7*E11</f>
        <v>135.15</v>
      </c>
      <c r="F7" s="310">
        <v>159</v>
      </c>
      <c r="G7" s="310" t="s">
        <v>269</v>
      </c>
      <c r="H7" s="310"/>
      <c r="I7" s="310"/>
      <c r="J7" s="310"/>
      <c r="K7" s="310"/>
      <c r="L7" s="310"/>
      <c r="M7" s="310"/>
      <c r="N7" s="310"/>
      <c r="O7" s="310"/>
      <c r="P7" s="310"/>
      <c r="Q7" s="310"/>
    </row>
    <row r="8" spans="1:17">
      <c r="A8" s="27"/>
      <c r="B8" t="s">
        <v>309</v>
      </c>
      <c r="C8" s="310" t="s">
        <v>310</v>
      </c>
      <c r="D8" s="310">
        <v>1</v>
      </c>
      <c r="E8" s="310">
        <v>187.62</v>
      </c>
      <c r="F8" s="310">
        <v>66</v>
      </c>
      <c r="G8" s="310" t="s">
        <v>311</v>
      </c>
      <c r="H8" s="310"/>
      <c r="I8" s="310"/>
      <c r="J8" s="394" t="s">
        <v>331</v>
      </c>
      <c r="K8" s="394"/>
      <c r="L8" s="310"/>
      <c r="M8" s="310"/>
      <c r="N8" s="310"/>
      <c r="O8" s="310"/>
      <c r="P8" s="310"/>
      <c r="Q8" s="310"/>
    </row>
    <row r="9" spans="1:17">
      <c r="A9" s="27"/>
      <c r="B9" t="s">
        <v>309</v>
      </c>
      <c r="C9" s="310" t="s">
        <v>310</v>
      </c>
      <c r="D9" s="310">
        <v>2.36</v>
      </c>
      <c r="E9" s="310"/>
      <c r="F9" s="310">
        <v>1</v>
      </c>
      <c r="G9" s="310" t="s">
        <v>323</v>
      </c>
      <c r="H9" s="310"/>
      <c r="I9" s="310"/>
      <c r="J9" s="310"/>
      <c r="K9" s="310"/>
      <c r="L9" s="310"/>
      <c r="M9" s="310"/>
      <c r="N9" s="310"/>
      <c r="O9" s="310"/>
      <c r="P9" s="310"/>
      <c r="Q9" s="310"/>
    </row>
    <row r="10" spans="1:17">
      <c r="A10" s="27"/>
      <c r="B10" t="s">
        <v>309</v>
      </c>
      <c r="C10" s="310" t="s">
        <v>310</v>
      </c>
      <c r="D10" s="310">
        <v>1</v>
      </c>
      <c r="E10" s="310"/>
      <c r="F10" s="310"/>
      <c r="G10" s="310"/>
      <c r="H10" s="310"/>
      <c r="I10" s="310"/>
      <c r="J10" s="310"/>
      <c r="K10" s="310"/>
      <c r="L10" s="310"/>
      <c r="M10" s="310"/>
      <c r="N10" s="310"/>
      <c r="O10" s="310"/>
      <c r="P10" s="310"/>
      <c r="Q10" s="310"/>
    </row>
    <row r="11" spans="1:17">
      <c r="A11" s="27"/>
      <c r="B11" t="s">
        <v>309</v>
      </c>
      <c r="C11" s="310" t="s">
        <v>312</v>
      </c>
      <c r="D11" s="310">
        <v>1</v>
      </c>
      <c r="E11" s="310">
        <v>0.85</v>
      </c>
      <c r="F11" s="310"/>
      <c r="G11" s="310"/>
      <c r="H11" s="310"/>
      <c r="I11" s="310"/>
      <c r="J11" s="492" t="s">
        <v>437</v>
      </c>
      <c r="K11" s="492"/>
      <c r="L11" s="310"/>
      <c r="M11" s="310"/>
      <c r="N11" s="310"/>
      <c r="O11" s="310"/>
      <c r="P11" s="310"/>
      <c r="Q11" s="310"/>
    </row>
    <row r="12" spans="1:17">
      <c r="A12" s="27"/>
      <c r="B12" t="s">
        <v>309</v>
      </c>
      <c r="C12" s="310" t="s">
        <v>312</v>
      </c>
      <c r="D12" s="310">
        <v>1</v>
      </c>
      <c r="E12" s="310">
        <v>0.83</v>
      </c>
      <c r="F12" s="310"/>
      <c r="G12" s="310"/>
      <c r="H12" s="310"/>
      <c r="I12" s="310"/>
      <c r="J12" s="492" t="s">
        <v>438</v>
      </c>
      <c r="K12" s="492"/>
      <c r="L12" s="310"/>
      <c r="M12" s="310"/>
      <c r="N12" s="310"/>
      <c r="O12" s="310"/>
      <c r="P12" s="310"/>
      <c r="Q12" s="310"/>
    </row>
    <row r="13" spans="1:17">
      <c r="A13" s="27"/>
      <c r="B13" t="s">
        <v>309</v>
      </c>
      <c r="C13" s="310" t="s">
        <v>441</v>
      </c>
      <c r="D13" s="310">
        <v>1</v>
      </c>
      <c r="E13" s="310"/>
      <c r="F13" s="310"/>
      <c r="G13" s="310"/>
      <c r="H13" s="310"/>
      <c r="I13" s="310"/>
      <c r="J13" s="492" t="s">
        <v>439</v>
      </c>
      <c r="K13" s="492"/>
      <c r="L13" s="310"/>
      <c r="M13" s="310"/>
      <c r="N13" s="310"/>
      <c r="O13" s="310"/>
      <c r="P13" s="310"/>
      <c r="Q13" s="310"/>
    </row>
    <row r="14" spans="1:17">
      <c r="A14" s="27"/>
      <c r="B14" t="s">
        <v>309</v>
      </c>
      <c r="C14" s="310" t="s">
        <v>312</v>
      </c>
      <c r="D14" s="310">
        <v>1</v>
      </c>
      <c r="E14" s="310"/>
      <c r="F14" s="310"/>
      <c r="G14" s="310"/>
      <c r="H14" s="310"/>
      <c r="I14" s="310"/>
      <c r="J14" s="492"/>
      <c r="K14" s="492"/>
      <c r="L14" s="310"/>
      <c r="M14" s="310"/>
      <c r="N14" s="310"/>
      <c r="O14" s="310"/>
      <c r="P14" s="310"/>
      <c r="Q14" s="310"/>
    </row>
    <row r="15" spans="1:17">
      <c r="B15" t="s">
        <v>309</v>
      </c>
      <c r="C15" s="310" t="s">
        <v>16</v>
      </c>
      <c r="D15" s="310">
        <v>1</v>
      </c>
      <c r="E15" s="381"/>
      <c r="F15" s="381">
        <f>1000/1.18</f>
        <v>847.45762711864415</v>
      </c>
      <c r="G15" s="310" t="s">
        <v>269</v>
      </c>
      <c r="H15" s="310"/>
      <c r="I15" s="310"/>
      <c r="J15" s="310"/>
      <c r="K15" s="310"/>
      <c r="L15" s="310"/>
      <c r="M15" s="310"/>
      <c r="N15" s="310"/>
      <c r="O15" s="310"/>
      <c r="P15" s="310"/>
      <c r="Q15" s="310"/>
    </row>
    <row r="16" spans="1:17">
      <c r="B16" t="s">
        <v>309</v>
      </c>
      <c r="C16" s="310" t="s">
        <v>16</v>
      </c>
      <c r="D16" s="310">
        <v>1</v>
      </c>
      <c r="E16" s="381"/>
      <c r="F16" s="381">
        <f>847.5/159</f>
        <v>5.3301886792452828</v>
      </c>
      <c r="G16" s="310" t="s">
        <v>313</v>
      </c>
      <c r="H16" s="310"/>
      <c r="I16" s="310"/>
      <c r="J16" s="310"/>
      <c r="K16" s="310"/>
      <c r="L16" s="310"/>
      <c r="M16" s="310"/>
      <c r="N16" s="310"/>
      <c r="O16" s="310"/>
      <c r="P16" s="310"/>
      <c r="Q16" s="310"/>
    </row>
    <row r="17" spans="1:17">
      <c r="B17" t="s">
        <v>309</v>
      </c>
      <c r="C17" s="310" t="s">
        <v>16</v>
      </c>
      <c r="D17" s="310">
        <v>0.5</v>
      </c>
      <c r="E17" s="381"/>
      <c r="F17" s="310">
        <f>5.3/2</f>
        <v>2.65</v>
      </c>
      <c r="G17" s="310" t="s">
        <v>270</v>
      </c>
      <c r="H17" s="310"/>
      <c r="I17" s="310"/>
      <c r="J17" s="310"/>
      <c r="K17" s="310"/>
      <c r="L17" s="310"/>
      <c r="M17" s="310"/>
      <c r="N17" s="310"/>
      <c r="O17" s="310"/>
      <c r="P17" s="310"/>
      <c r="Q17" s="310"/>
    </row>
    <row r="18" spans="1:17">
      <c r="A18" s="386"/>
      <c r="B18" s="387" t="s">
        <v>319</v>
      </c>
      <c r="C18" s="388"/>
      <c r="D18" s="388"/>
      <c r="E18" s="388"/>
      <c r="F18" s="388"/>
      <c r="G18" s="388"/>
      <c r="H18" s="389"/>
      <c r="I18" s="388"/>
      <c r="J18" s="388"/>
      <c r="K18" s="388"/>
      <c r="L18" s="310"/>
      <c r="M18" s="310"/>
      <c r="N18" s="310"/>
      <c r="O18" s="310"/>
      <c r="P18" s="310"/>
      <c r="Q18" s="310"/>
    </row>
    <row r="19" spans="1:17">
      <c r="B19" t="s">
        <v>20</v>
      </c>
      <c r="C19" s="310" t="s">
        <v>284</v>
      </c>
      <c r="D19" s="310">
        <v>1</v>
      </c>
      <c r="E19" s="379">
        <v>4275</v>
      </c>
      <c r="F19" s="310"/>
      <c r="G19" s="310"/>
      <c r="H19" s="310"/>
      <c r="I19" s="310"/>
      <c r="J19" s="394" t="s">
        <v>1141</v>
      </c>
      <c r="K19" s="310"/>
      <c r="L19" s="310"/>
      <c r="M19" s="310"/>
      <c r="N19" s="310"/>
      <c r="O19" s="310"/>
      <c r="P19" s="310"/>
      <c r="Q19" s="310"/>
    </row>
    <row r="20" spans="1:17" ht="27.75" customHeight="1">
      <c r="B20" t="s">
        <v>1144</v>
      </c>
      <c r="C20" s="310" t="s">
        <v>16</v>
      </c>
      <c r="D20" s="310">
        <v>1</v>
      </c>
      <c r="E20" s="379">
        <v>65500</v>
      </c>
      <c r="F20" s="310"/>
      <c r="G20" s="310"/>
      <c r="H20" s="310"/>
      <c r="I20" s="310"/>
      <c r="J20" s="394" t="s">
        <v>1145</v>
      </c>
      <c r="K20" s="310"/>
      <c r="L20" s="310"/>
      <c r="M20" s="310"/>
      <c r="N20" s="310"/>
      <c r="O20" s="310"/>
      <c r="P20" s="310"/>
      <c r="Q20" s="310"/>
    </row>
    <row r="21" spans="1:17">
      <c r="B21" t="s">
        <v>29</v>
      </c>
      <c r="C21" s="310" t="s">
        <v>284</v>
      </c>
      <c r="D21" s="310">
        <v>1</v>
      </c>
      <c r="E21" s="379">
        <v>52310000</v>
      </c>
      <c r="F21" s="310"/>
      <c r="G21" s="310"/>
      <c r="H21" s="310"/>
      <c r="I21" s="310"/>
      <c r="J21" s="310"/>
      <c r="K21" s="310"/>
      <c r="L21" s="310"/>
      <c r="M21" s="310"/>
      <c r="N21" s="310"/>
      <c r="O21" s="310"/>
      <c r="P21" s="310"/>
      <c r="Q21" s="310"/>
    </row>
    <row r="22" spans="1:17" ht="24.75" customHeight="1">
      <c r="B22" t="s">
        <v>30</v>
      </c>
      <c r="C22" s="310" t="s">
        <v>284</v>
      </c>
      <c r="D22" s="310">
        <v>1</v>
      </c>
      <c r="E22" s="379">
        <v>25000000</v>
      </c>
      <c r="F22" s="310"/>
      <c r="G22" s="310"/>
      <c r="H22" s="310"/>
      <c r="I22" s="310"/>
      <c r="J22" s="394" t="s">
        <v>1140</v>
      </c>
      <c r="K22" s="310"/>
      <c r="L22" s="310"/>
      <c r="M22" s="310"/>
      <c r="N22" s="310"/>
      <c r="O22" s="310"/>
      <c r="P22" s="310"/>
      <c r="Q22" s="310"/>
    </row>
    <row r="23" spans="1:17">
      <c r="B23" t="s">
        <v>74</v>
      </c>
      <c r="C23" s="310" t="s">
        <v>74</v>
      </c>
      <c r="D23" s="310">
        <v>1</v>
      </c>
      <c r="E23" s="310"/>
      <c r="F23" s="310">
        <v>1</v>
      </c>
      <c r="G23" s="310" t="s">
        <v>315</v>
      </c>
      <c r="H23" s="310"/>
      <c r="I23" s="310"/>
      <c r="J23" s="310"/>
      <c r="K23" s="310"/>
      <c r="L23" s="310"/>
      <c r="M23" s="310"/>
      <c r="N23" s="310"/>
      <c r="O23" s="310"/>
      <c r="P23" s="310"/>
      <c r="Q23" s="310"/>
    </row>
    <row r="24" spans="1:17">
      <c r="B24" t="s">
        <v>316</v>
      </c>
      <c r="C24" s="310" t="s">
        <v>284</v>
      </c>
      <c r="D24" s="310">
        <v>1</v>
      </c>
      <c r="E24" s="310"/>
      <c r="F24" s="310">
        <v>375</v>
      </c>
      <c r="G24" s="310" t="s">
        <v>317</v>
      </c>
      <c r="H24" s="310"/>
      <c r="I24" s="310"/>
      <c r="J24" s="310"/>
      <c r="K24" s="310"/>
      <c r="L24" s="310"/>
      <c r="M24" s="310"/>
      <c r="N24" s="310"/>
      <c r="O24" s="310"/>
      <c r="P24" s="310"/>
      <c r="Q24" s="310"/>
    </row>
    <row r="25" spans="1:17">
      <c r="B25" t="s">
        <v>325</v>
      </c>
      <c r="C25" s="310" t="s">
        <v>7</v>
      </c>
      <c r="D25" s="310">
        <v>1</v>
      </c>
      <c r="E25" s="310"/>
      <c r="F25" s="310">
        <v>20000</v>
      </c>
      <c r="G25" s="310" t="s">
        <v>81</v>
      </c>
      <c r="H25" s="310"/>
      <c r="I25" s="310"/>
      <c r="J25" s="310"/>
      <c r="K25" s="310"/>
      <c r="L25" s="310"/>
      <c r="M25" s="310"/>
      <c r="N25" s="310"/>
      <c r="O25" s="310"/>
      <c r="P25" s="310"/>
      <c r="Q25" s="310"/>
    </row>
    <row r="26" spans="1:17">
      <c r="B26" t="s">
        <v>326</v>
      </c>
      <c r="C26" s="310" t="s">
        <v>7</v>
      </c>
      <c r="D26" s="310">
        <v>1</v>
      </c>
      <c r="E26" s="310"/>
      <c r="F26" s="310"/>
      <c r="G26" s="310"/>
      <c r="H26" s="310"/>
      <c r="I26" s="310" t="s">
        <v>327</v>
      </c>
      <c r="J26" s="310"/>
      <c r="K26" s="310"/>
      <c r="L26" s="310"/>
      <c r="M26" s="310"/>
      <c r="N26" s="310"/>
      <c r="O26" s="310"/>
      <c r="P26" s="310"/>
      <c r="Q26" s="310"/>
    </row>
    <row r="27" spans="1:17">
      <c r="B27" t="s">
        <v>329</v>
      </c>
      <c r="C27" s="310"/>
      <c r="D27" s="310"/>
      <c r="E27" s="310"/>
      <c r="F27" s="310"/>
      <c r="G27" s="310"/>
      <c r="H27" s="310"/>
      <c r="I27" s="310" t="s">
        <v>328</v>
      </c>
      <c r="J27" s="310"/>
      <c r="K27" s="310"/>
      <c r="L27" s="310"/>
      <c r="M27" s="310"/>
      <c r="N27" s="310"/>
      <c r="O27" s="310"/>
      <c r="P27" s="310"/>
      <c r="Q27" s="310"/>
    </row>
    <row r="28" spans="1:17">
      <c r="C28" s="310"/>
      <c r="D28" s="310"/>
      <c r="E28" s="310"/>
      <c r="F28" s="310"/>
      <c r="G28" s="310"/>
      <c r="H28" s="310"/>
      <c r="I28" s="310"/>
      <c r="J28" s="310"/>
      <c r="K28" s="310"/>
      <c r="L28" s="310"/>
      <c r="M28" s="310"/>
      <c r="N28" s="310"/>
      <c r="O28" s="310"/>
      <c r="P28" s="310"/>
      <c r="Q28" s="310"/>
    </row>
    <row r="29" spans="1:17">
      <c r="C29" s="310"/>
      <c r="D29" s="310"/>
      <c r="E29" s="310"/>
      <c r="F29" s="310"/>
      <c r="G29" s="310"/>
      <c r="H29" s="310"/>
      <c r="I29" s="310"/>
      <c r="J29" s="310"/>
      <c r="K29" s="310"/>
      <c r="L29" s="310"/>
      <c r="M29" s="310"/>
      <c r="N29" s="310"/>
      <c r="O29" s="310"/>
      <c r="P29" s="310"/>
      <c r="Q29" s="310"/>
    </row>
    <row r="30" spans="1:17">
      <c r="A30" s="386"/>
      <c r="B30" s="387" t="s">
        <v>211</v>
      </c>
      <c r="C30" s="388"/>
      <c r="D30" s="388"/>
      <c r="E30" s="390"/>
      <c r="F30" s="388"/>
      <c r="G30" s="388"/>
      <c r="H30" s="388"/>
      <c r="I30" s="388"/>
      <c r="J30" s="388"/>
      <c r="K30" s="388"/>
      <c r="L30" s="310"/>
      <c r="M30" s="310"/>
      <c r="N30" s="310"/>
      <c r="O30" s="310"/>
      <c r="P30" s="310"/>
      <c r="Q30" s="310"/>
    </row>
    <row r="31" spans="1:17">
      <c r="B31" t="s">
        <v>289</v>
      </c>
      <c r="C31" s="310" t="s">
        <v>284</v>
      </c>
      <c r="D31" s="310">
        <v>8</v>
      </c>
      <c r="E31" s="310"/>
      <c r="F31" s="310">
        <v>1</v>
      </c>
      <c r="G31" s="310" t="s">
        <v>292</v>
      </c>
      <c r="H31" s="310"/>
      <c r="I31" s="310"/>
      <c r="J31" s="310"/>
      <c r="K31" s="310"/>
      <c r="L31" s="310"/>
      <c r="M31" s="310"/>
      <c r="N31" s="310"/>
      <c r="O31" s="310"/>
      <c r="P31" s="310"/>
      <c r="Q31" s="310"/>
    </row>
    <row r="32" spans="1:17">
      <c r="B32" t="s">
        <v>300</v>
      </c>
      <c r="C32" s="310" t="s">
        <v>284</v>
      </c>
      <c r="D32" s="310">
        <v>6</v>
      </c>
      <c r="E32" s="310"/>
      <c r="F32" s="310">
        <v>1</v>
      </c>
      <c r="G32" s="310" t="s">
        <v>293</v>
      </c>
      <c r="H32" s="310"/>
      <c r="I32" s="310"/>
      <c r="J32" s="310"/>
      <c r="K32" s="310"/>
      <c r="L32" s="310"/>
      <c r="M32" s="310"/>
      <c r="N32" s="310"/>
      <c r="O32" s="310"/>
      <c r="P32" s="310"/>
      <c r="Q32" s="310"/>
    </row>
    <row r="33" spans="1:17">
      <c r="B33" t="s">
        <v>90</v>
      </c>
      <c r="C33" s="310" t="s">
        <v>16</v>
      </c>
      <c r="D33" s="310">
        <v>1</v>
      </c>
      <c r="E33" s="310"/>
      <c r="F33" s="310">
        <v>17</v>
      </c>
      <c r="G33" s="310" t="s">
        <v>299</v>
      </c>
      <c r="H33" s="310"/>
      <c r="I33" s="310"/>
      <c r="J33" s="310"/>
      <c r="K33" s="310"/>
      <c r="L33" s="310"/>
      <c r="M33" s="310"/>
      <c r="N33" s="310"/>
      <c r="O33" s="310"/>
      <c r="P33" s="310"/>
      <c r="Q33" s="310"/>
    </row>
    <row r="34" spans="1:17">
      <c r="A34" s="386"/>
      <c r="B34" s="387" t="s">
        <v>320</v>
      </c>
      <c r="C34" s="388"/>
      <c r="D34" s="388"/>
      <c r="E34" s="388"/>
      <c r="F34" s="388"/>
      <c r="G34" s="388"/>
      <c r="H34" s="388"/>
      <c r="I34" s="388"/>
      <c r="J34" s="388"/>
      <c r="K34" s="388"/>
      <c r="L34" s="310"/>
      <c r="M34" s="310"/>
      <c r="N34" s="310"/>
      <c r="O34" s="310"/>
      <c r="P34" s="310"/>
      <c r="Q34" s="310"/>
    </row>
    <row r="35" spans="1:17">
      <c r="B35" t="s">
        <v>301</v>
      </c>
      <c r="C35" s="310" t="s">
        <v>284</v>
      </c>
      <c r="D35" s="310">
        <v>40</v>
      </c>
      <c r="E35" s="310"/>
      <c r="F35" s="310">
        <v>1</v>
      </c>
      <c r="G35" s="310" t="s">
        <v>294</v>
      </c>
      <c r="H35" s="310"/>
      <c r="I35" s="310"/>
      <c r="J35" s="310"/>
      <c r="K35" s="310"/>
      <c r="L35" s="310"/>
      <c r="M35" s="310"/>
      <c r="N35" s="310"/>
      <c r="O35" s="310"/>
      <c r="P35" s="310"/>
      <c r="Q35" s="310"/>
    </row>
    <row r="36" spans="1:17">
      <c r="B36" t="s">
        <v>321</v>
      </c>
      <c r="C36" s="310" t="s">
        <v>284</v>
      </c>
      <c r="D36" s="310">
        <v>22</v>
      </c>
      <c r="E36" s="310"/>
      <c r="F36" s="310">
        <v>1</v>
      </c>
      <c r="G36" s="310" t="s">
        <v>297</v>
      </c>
      <c r="H36" s="310"/>
      <c r="I36" s="310"/>
      <c r="J36" s="310"/>
      <c r="K36" s="310"/>
      <c r="L36" s="310"/>
      <c r="M36" s="310"/>
      <c r="N36" s="310"/>
      <c r="O36" s="310"/>
      <c r="P36" s="310"/>
      <c r="Q36" s="310"/>
    </row>
    <row r="37" spans="1:17">
      <c r="A37" s="386"/>
      <c r="B37" s="387" t="s">
        <v>208</v>
      </c>
      <c r="C37" s="388"/>
      <c r="D37" s="388"/>
      <c r="E37" s="388"/>
      <c r="F37" s="388"/>
      <c r="G37" s="388"/>
      <c r="H37" s="388"/>
      <c r="I37" s="388"/>
      <c r="J37" s="388"/>
      <c r="K37" s="388"/>
      <c r="L37" s="310"/>
      <c r="M37" s="310"/>
      <c r="N37" s="310"/>
      <c r="O37" s="310"/>
      <c r="P37" s="310"/>
      <c r="Q37" s="310"/>
    </row>
    <row r="38" spans="1:17">
      <c r="B38" t="s">
        <v>302</v>
      </c>
      <c r="C38" s="310" t="s">
        <v>284</v>
      </c>
      <c r="D38" s="310">
        <v>80</v>
      </c>
      <c r="E38" s="310"/>
      <c r="F38" s="310">
        <v>1</v>
      </c>
      <c r="G38" s="310" t="s">
        <v>295</v>
      </c>
      <c r="H38" s="310"/>
      <c r="I38" s="310"/>
      <c r="J38" s="310"/>
      <c r="K38" s="310"/>
      <c r="L38" s="310"/>
      <c r="M38" s="310"/>
      <c r="N38" s="310"/>
      <c r="O38" s="310"/>
      <c r="P38" s="310"/>
      <c r="Q38" s="310"/>
    </row>
    <row r="39" spans="1:17">
      <c r="A39" s="392" t="s">
        <v>268</v>
      </c>
      <c r="B39" t="s">
        <v>314</v>
      </c>
      <c r="C39" s="310" t="s">
        <v>284</v>
      </c>
      <c r="D39" s="310">
        <v>1</v>
      </c>
      <c r="F39" s="381">
        <v>177.5</v>
      </c>
      <c r="G39" s="310" t="s">
        <v>271</v>
      </c>
      <c r="H39" s="310"/>
      <c r="I39" s="310"/>
      <c r="J39" s="310"/>
      <c r="K39" s="310"/>
      <c r="L39" s="310"/>
      <c r="M39" s="310"/>
      <c r="N39" s="310"/>
      <c r="O39" s="310"/>
      <c r="P39" s="310"/>
      <c r="Q39" s="310"/>
    </row>
    <row r="40" spans="1:17">
      <c r="A40" s="392" t="s">
        <v>268</v>
      </c>
      <c r="B40" t="s">
        <v>322</v>
      </c>
      <c r="C40" s="310" t="s">
        <v>284</v>
      </c>
      <c r="D40" s="310">
        <v>77</v>
      </c>
      <c r="E40" s="310">
        <v>1</v>
      </c>
      <c r="F40" s="381">
        <f>F39*77/1000</f>
        <v>13.6675</v>
      </c>
      <c r="G40" s="310" t="s">
        <v>272</v>
      </c>
      <c r="H40" s="310"/>
      <c r="I40" s="310"/>
      <c r="J40" s="310"/>
      <c r="K40" s="310"/>
      <c r="L40" s="310"/>
      <c r="M40" s="310"/>
      <c r="N40" s="310"/>
      <c r="O40" s="310"/>
      <c r="P40" s="310"/>
      <c r="Q40" s="310"/>
    </row>
    <row r="41" spans="1:17">
      <c r="A41" s="392" t="s">
        <v>268</v>
      </c>
      <c r="B41" t="s">
        <v>249</v>
      </c>
      <c r="C41" s="310" t="s">
        <v>16</v>
      </c>
      <c r="D41" s="310">
        <v>1</v>
      </c>
      <c r="E41">
        <v>1000</v>
      </c>
      <c r="F41" s="391">
        <f>13.7*1000</f>
        <v>13700</v>
      </c>
      <c r="G41" s="310" t="s">
        <v>272</v>
      </c>
      <c r="H41" s="310"/>
      <c r="I41" s="310"/>
      <c r="J41" s="310"/>
      <c r="K41" s="310"/>
      <c r="L41" s="310"/>
      <c r="M41" s="310"/>
      <c r="N41" s="310"/>
      <c r="O41" s="310"/>
      <c r="P41" s="310"/>
      <c r="Q41" s="310"/>
    </row>
    <row r="42" spans="1:17">
      <c r="B42" t="s">
        <v>249</v>
      </c>
      <c r="C42" s="310" t="s">
        <v>16</v>
      </c>
      <c r="D42" s="310">
        <v>1</v>
      </c>
      <c r="E42">
        <v>1000</v>
      </c>
      <c r="F42" s="391">
        <f>13700/66</f>
        <v>207.57575757575756</v>
      </c>
      <c r="G42" s="310" t="s">
        <v>313</v>
      </c>
      <c r="H42" s="310"/>
      <c r="I42" s="310"/>
      <c r="J42" s="310"/>
      <c r="K42" s="310"/>
      <c r="L42" s="310"/>
      <c r="M42" s="310"/>
      <c r="N42" s="310"/>
      <c r="O42" s="310"/>
      <c r="P42" s="310"/>
      <c r="Q42" s="310"/>
    </row>
    <row r="43" spans="1:17">
      <c r="B43" t="s">
        <v>303</v>
      </c>
      <c r="C43" s="310" t="s">
        <v>284</v>
      </c>
      <c r="D43" s="310">
        <v>8</v>
      </c>
      <c r="E43" s="310"/>
      <c r="F43" s="310">
        <v>1</v>
      </c>
      <c r="G43" s="310" t="s">
        <v>296</v>
      </c>
      <c r="H43" s="310"/>
      <c r="I43" s="310"/>
      <c r="J43" s="310"/>
      <c r="K43" s="310"/>
      <c r="L43" s="310"/>
      <c r="M43" s="310"/>
      <c r="N43" s="310"/>
      <c r="O43" s="310"/>
      <c r="P43" s="310"/>
      <c r="Q43" s="310"/>
    </row>
    <row r="44" spans="1:17">
      <c r="B44" t="s">
        <v>303</v>
      </c>
      <c r="C44" s="310" t="s">
        <v>284</v>
      </c>
      <c r="D44" s="310">
        <v>550</v>
      </c>
      <c r="E44" s="310"/>
      <c r="F44" s="310">
        <v>1</v>
      </c>
      <c r="G44" s="310" t="s">
        <v>298</v>
      </c>
      <c r="H44" s="310"/>
      <c r="I44" s="310"/>
      <c r="J44" s="310"/>
      <c r="K44" s="310"/>
      <c r="L44" s="310"/>
      <c r="M44" s="310"/>
      <c r="N44" s="310"/>
      <c r="O44" s="310"/>
      <c r="P44" s="310"/>
      <c r="Q44" s="310"/>
    </row>
    <row r="45" spans="1:17">
      <c r="A45" s="386"/>
      <c r="B45" s="387" t="s">
        <v>67</v>
      </c>
      <c r="C45" s="388"/>
      <c r="D45" s="388"/>
      <c r="E45" s="390"/>
      <c r="F45" s="388"/>
      <c r="G45" s="388"/>
      <c r="H45" s="388"/>
      <c r="I45" s="388"/>
      <c r="J45" s="388"/>
      <c r="K45" s="388"/>
      <c r="L45" s="310"/>
      <c r="M45" s="310"/>
      <c r="N45" s="310"/>
      <c r="O45" s="310"/>
      <c r="P45" s="310"/>
      <c r="Q45" s="310"/>
    </row>
    <row r="46" spans="1:17">
      <c r="B46" t="s">
        <v>285</v>
      </c>
      <c r="C46" s="310" t="s">
        <v>286</v>
      </c>
      <c r="D46" s="310">
        <v>1</v>
      </c>
      <c r="E46" s="310"/>
      <c r="F46" s="310"/>
      <c r="G46" s="310"/>
      <c r="H46" s="382">
        <f>0.147*97</f>
        <v>14.258999999999999</v>
      </c>
      <c r="I46" s="310"/>
      <c r="J46" s="310"/>
      <c r="K46" s="310"/>
      <c r="L46" s="310"/>
      <c r="M46" s="310"/>
      <c r="N46" s="310"/>
      <c r="O46" s="310"/>
      <c r="P46" s="310"/>
      <c r="Q46" s="310"/>
    </row>
    <row r="47" spans="1:17">
      <c r="B47" s="6" t="s">
        <v>287</v>
      </c>
      <c r="C47" s="380" t="s">
        <v>288</v>
      </c>
      <c r="D47" s="310">
        <v>1</v>
      </c>
      <c r="E47" s="310"/>
      <c r="F47" s="310">
        <v>1</v>
      </c>
      <c r="G47" s="310" t="s">
        <v>291</v>
      </c>
      <c r="H47" s="383"/>
      <c r="I47" s="310"/>
      <c r="J47" s="310"/>
      <c r="K47" s="310"/>
      <c r="L47" s="310"/>
      <c r="M47" s="310"/>
      <c r="N47" s="310"/>
      <c r="O47" s="310"/>
      <c r="P47" s="310"/>
      <c r="Q47" s="310"/>
    </row>
    <row r="48" spans="1:17">
      <c r="B48" t="s">
        <v>26</v>
      </c>
      <c r="C48" s="310" t="s">
        <v>16</v>
      </c>
      <c r="D48" s="310">
        <v>21</v>
      </c>
      <c r="E48" s="310"/>
      <c r="F48" s="310">
        <v>1</v>
      </c>
      <c r="G48" s="310" t="s">
        <v>304</v>
      </c>
      <c r="H48" s="310"/>
      <c r="I48" s="310"/>
      <c r="J48" s="310"/>
      <c r="K48" s="310"/>
      <c r="L48" s="310"/>
      <c r="M48" s="310"/>
      <c r="N48" s="310"/>
      <c r="O48" s="310"/>
      <c r="P48" s="310"/>
      <c r="Q48" s="310"/>
    </row>
    <row r="49" spans="2:17">
      <c r="B49" t="s">
        <v>307</v>
      </c>
      <c r="C49" s="310" t="s">
        <v>306</v>
      </c>
      <c r="D49" s="310">
        <v>1</v>
      </c>
      <c r="E49" s="310" t="s">
        <v>282</v>
      </c>
      <c r="F49" s="379">
        <v>1765</v>
      </c>
      <c r="G49" s="310" t="s">
        <v>308</v>
      </c>
      <c r="H49" s="310"/>
      <c r="I49" s="310"/>
      <c r="J49" s="310"/>
      <c r="K49" s="310"/>
      <c r="L49" s="310"/>
      <c r="M49" s="310"/>
      <c r="N49" s="310"/>
      <c r="O49" s="310"/>
      <c r="P49" s="310"/>
      <c r="Q49" s="310"/>
    </row>
    <row r="50" spans="2:17">
      <c r="B50" t="s">
        <v>364</v>
      </c>
      <c r="C50" s="310" t="s">
        <v>365</v>
      </c>
      <c r="D50" s="310">
        <v>1000</v>
      </c>
      <c r="E50" s="310"/>
      <c r="F50" s="310">
        <v>1.52</v>
      </c>
      <c r="G50" s="310" t="s">
        <v>366</v>
      </c>
      <c r="H50" s="310"/>
      <c r="I50" s="310"/>
      <c r="J50" s="394" t="s">
        <v>368</v>
      </c>
      <c r="K50" s="394"/>
      <c r="L50" s="310"/>
      <c r="M50" s="310"/>
      <c r="N50" s="310"/>
      <c r="O50" s="310"/>
      <c r="P50" s="310"/>
      <c r="Q50" s="310"/>
    </row>
    <row r="51" spans="2:17">
      <c r="B51" t="s">
        <v>367</v>
      </c>
      <c r="C51" s="310" t="s">
        <v>24</v>
      </c>
      <c r="D51" s="310">
        <v>1000</v>
      </c>
      <c r="E51" s="310"/>
      <c r="F51" s="310"/>
      <c r="G51" s="310"/>
      <c r="H51" s="310"/>
      <c r="I51" s="310"/>
      <c r="J51" s="394" t="s">
        <v>368</v>
      </c>
      <c r="K51" s="394"/>
      <c r="L51" s="310"/>
      <c r="M51" s="310"/>
      <c r="N51" s="310"/>
      <c r="O51" s="310"/>
      <c r="P51" s="310"/>
      <c r="Q51" s="310"/>
    </row>
  </sheetData>
  <mergeCells count="1">
    <mergeCell ref="F1:G1"/>
  </mergeCells>
  <hyperlinks>
    <hyperlink ref="J8" r:id="rId1" xr:uid="{00000000-0004-0000-0A00-000000000000}"/>
    <hyperlink ref="J50" r:id="rId2" xr:uid="{00000000-0004-0000-0A00-000001000000}"/>
    <hyperlink ref="J51" r:id="rId3" xr:uid="{00000000-0004-0000-0A00-000002000000}"/>
    <hyperlink ref="J11" r:id="rId4" display="https://www.pemex.com/negocio/gasolineras/nuestros-productos/Documents/HDS SAC Gasolinas (Premium y Magna).pdf" xr:uid="{00000000-0004-0000-0A00-000003000000}"/>
    <hyperlink ref="J12" r:id="rId5" xr:uid="{00000000-0004-0000-0A00-000004000000}"/>
    <hyperlink ref="J13" r:id="rId6" xr:uid="{00000000-0004-0000-0A00-000005000000}"/>
    <hyperlink ref="J22" r:id="rId7" location=":~:text=Para%20soportar%20un%20peso%20total,el%20nivel%20de%20la%20calle." xr:uid="{104876C9-BBC3-4C79-9E12-F4303EA5137C}"/>
    <hyperlink ref="J19" r:id="rId8" xr:uid="{CCE57E75-E4FF-4EF2-A4A9-58BB8F6197E1}"/>
  </hyperlinks>
  <pageMargins left="0.7" right="0.7" top="0.75" bottom="0.75" header="0.3" footer="0.3"/>
  <pageSetup orientation="portrait" r:id="rId9"/>
  <drawing r:id="rId1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4" tint="-0.499984740745262"/>
  </sheetPr>
  <dimension ref="A1:BI147"/>
  <sheetViews>
    <sheetView workbookViewId="0">
      <selection sqref="A1:Y1"/>
    </sheetView>
  </sheetViews>
  <sheetFormatPr baseColWidth="10" defaultRowHeight="15"/>
  <cols>
    <col min="2" max="2" width="22.42578125" customWidth="1"/>
    <col min="3" max="3" width="11" customWidth="1"/>
    <col min="4" max="4" width="11.28515625" customWidth="1"/>
    <col min="5" max="5" width="22.28515625" customWidth="1"/>
    <col min="6" max="6" width="21.42578125" customWidth="1"/>
    <col min="7" max="7" width="18.7109375" style="4" customWidth="1"/>
    <col min="8" max="8" width="22.140625" style="4" customWidth="1"/>
    <col min="9" max="9" width="22.28515625" style="4" customWidth="1"/>
    <col min="10" max="10" width="18.85546875" customWidth="1"/>
    <col min="11" max="11" width="24.7109375" customWidth="1"/>
    <col min="12" max="12" width="21.7109375" customWidth="1"/>
    <col min="13" max="13" width="14.42578125" customWidth="1"/>
    <col min="14" max="15" width="25.42578125" customWidth="1"/>
    <col min="16" max="16" width="18" customWidth="1"/>
    <col min="17" max="17" width="13" style="4" customWidth="1"/>
    <col min="18" max="19" width="27.42578125" customWidth="1"/>
    <col min="20" max="20" width="19.140625" customWidth="1"/>
    <col min="21" max="23" width="19.85546875" customWidth="1"/>
    <col min="24" max="24" width="15.7109375" customWidth="1"/>
    <col min="25" max="25" width="32.140625" customWidth="1"/>
    <col min="26" max="61" width="10.85546875" style="27"/>
  </cols>
  <sheetData>
    <row r="1" spans="1:61" s="27" customFormat="1" ht="120" customHeight="1" thickBot="1">
      <c r="A1" s="1236" t="s">
        <v>145</v>
      </c>
      <c r="B1" s="1236"/>
      <c r="C1" s="1236"/>
      <c r="D1" s="1236"/>
      <c r="E1" s="1236"/>
      <c r="F1" s="1236"/>
      <c r="G1" s="1236"/>
      <c r="H1" s="1236"/>
      <c r="I1" s="1236"/>
      <c r="J1" s="1236"/>
      <c r="K1" s="1236"/>
      <c r="L1" s="1236"/>
      <c r="M1" s="1236"/>
      <c r="N1" s="1236"/>
      <c r="O1" s="1236"/>
      <c r="P1" s="1236"/>
      <c r="Q1" s="1236"/>
      <c r="R1" s="1236"/>
      <c r="S1" s="1236"/>
      <c r="T1" s="1236"/>
      <c r="U1" s="1236"/>
      <c r="V1" s="1236"/>
      <c r="W1" s="1236"/>
      <c r="X1" s="1236"/>
      <c r="Y1" s="1236"/>
    </row>
    <row r="2" spans="1:61" s="86" customFormat="1" ht="70.5" customHeight="1" thickBot="1">
      <c r="A2" s="1239" t="s">
        <v>58</v>
      </c>
      <c r="B2" s="1240"/>
      <c r="C2" s="1240"/>
      <c r="D2" s="1240"/>
      <c r="E2" s="1240"/>
      <c r="F2" s="1240"/>
      <c r="G2" s="1240"/>
      <c r="H2" s="1240"/>
      <c r="I2" s="1240"/>
      <c r="J2" s="1240"/>
      <c r="K2" s="1240"/>
      <c r="L2" s="1240"/>
      <c r="M2" s="1240"/>
      <c r="N2" s="1240"/>
      <c r="O2" s="1240"/>
      <c r="P2" s="1240"/>
      <c r="Q2" s="1240"/>
      <c r="R2" s="1240"/>
      <c r="S2" s="1240"/>
      <c r="T2" s="1240"/>
      <c r="U2" s="1240"/>
      <c r="V2" s="1240"/>
      <c r="W2" s="1240"/>
      <c r="X2" s="1240"/>
      <c r="Y2" s="1240"/>
    </row>
    <row r="3" spans="1:61" s="5" customFormat="1" ht="60.75" thickBot="1">
      <c r="A3" s="72" t="s">
        <v>106</v>
      </c>
      <c r="B3" s="73" t="s">
        <v>14</v>
      </c>
      <c r="C3" s="73" t="s">
        <v>17</v>
      </c>
      <c r="D3" s="73" t="s">
        <v>49</v>
      </c>
      <c r="E3" s="73" t="s">
        <v>111</v>
      </c>
      <c r="F3" s="73" t="s">
        <v>128</v>
      </c>
      <c r="G3" s="74" t="s">
        <v>109</v>
      </c>
      <c r="H3" s="73" t="s">
        <v>131</v>
      </c>
      <c r="I3" s="73" t="s">
        <v>132</v>
      </c>
      <c r="J3" s="73" t="s">
        <v>52</v>
      </c>
      <c r="K3" s="73" t="s">
        <v>107</v>
      </c>
      <c r="L3" s="73" t="s">
        <v>108</v>
      </c>
      <c r="M3" s="73" t="s">
        <v>130</v>
      </c>
      <c r="N3" s="73" t="s">
        <v>116</v>
      </c>
      <c r="O3" s="73" t="s">
        <v>113</v>
      </c>
      <c r="P3" s="73" t="s">
        <v>133</v>
      </c>
      <c r="Q3" s="74" t="s">
        <v>112</v>
      </c>
      <c r="R3" s="73" t="s">
        <v>136</v>
      </c>
      <c r="S3" s="73" t="s">
        <v>126</v>
      </c>
      <c r="T3" s="73" t="s">
        <v>117</v>
      </c>
      <c r="U3" s="73" t="s">
        <v>118</v>
      </c>
      <c r="V3" s="73" t="s">
        <v>670</v>
      </c>
      <c r="W3" s="73" t="s">
        <v>671</v>
      </c>
      <c r="X3" s="73" t="s">
        <v>121</v>
      </c>
      <c r="Y3" s="73" t="s">
        <v>123</v>
      </c>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row>
    <row r="4" spans="1:61">
      <c r="A4" s="71" t="s">
        <v>7</v>
      </c>
      <c r="B4" s="9" t="s">
        <v>32</v>
      </c>
      <c r="C4" s="135">
        <f>C33</f>
        <v>2.605E-2</v>
      </c>
      <c r="D4" s="135">
        <f>C4*1000</f>
        <v>26.05</v>
      </c>
      <c r="E4" s="135">
        <f>E11/C11</f>
        <v>2094420</v>
      </c>
      <c r="F4" s="136">
        <f>F11/C11</f>
        <v>169325</v>
      </c>
      <c r="G4" s="137">
        <f>E4-F4</f>
        <v>1925095</v>
      </c>
      <c r="H4" s="137">
        <f t="shared" ref="H4:I7" si="0">E4/3600/1000</f>
        <v>0.58178333333333332</v>
      </c>
      <c r="I4" s="137">
        <f>F4/3600/1000</f>
        <v>4.7034722222222221E-2</v>
      </c>
      <c r="J4" s="136">
        <f>H4-I4</f>
        <v>0.53474861111111105</v>
      </c>
      <c r="K4" s="136">
        <f t="shared" ref="K4:L7" si="1">E4/3600</f>
        <v>581.7833333333333</v>
      </c>
      <c r="L4" s="136">
        <f t="shared" si="1"/>
        <v>47.034722222222221</v>
      </c>
      <c r="M4" s="136">
        <f>K4-L4</f>
        <v>534.74861111111113</v>
      </c>
      <c r="N4" s="136">
        <f>H4*C$36</f>
        <v>0.26645676666666668</v>
      </c>
      <c r="O4" s="136">
        <f>I4*C$36</f>
        <v>2.1541902777777778E-2</v>
      </c>
      <c r="P4" s="136">
        <f>N4-O4</f>
        <v>0.24491486388888889</v>
      </c>
      <c r="Q4" s="137">
        <f>G4*(100/E4)</f>
        <v>91.915422885572141</v>
      </c>
      <c r="R4" s="136">
        <f t="shared" ref="R4:S8" si="2">N4/0.039</f>
        <v>6.8322247863247867</v>
      </c>
      <c r="S4" s="135">
        <f t="shared" si="2"/>
        <v>0.55235648148148153</v>
      </c>
      <c r="T4" s="135">
        <f>T11/C11</f>
        <v>1.1462000000000001E-4</v>
      </c>
      <c r="U4" s="136">
        <f>U21/C21</f>
        <v>1.8390258000000003E-2</v>
      </c>
      <c r="V4" s="136"/>
      <c r="W4" s="136"/>
      <c r="X4" s="135" t="s">
        <v>33</v>
      </c>
      <c r="Y4" s="135" t="s">
        <v>33</v>
      </c>
    </row>
    <row r="5" spans="1:61">
      <c r="A5" s="9" t="s">
        <v>7</v>
      </c>
      <c r="B5" s="9" t="s">
        <v>31</v>
      </c>
      <c r="C5" s="138">
        <f>C34</f>
        <v>3.7310000000000003E-2</v>
      </c>
      <c r="D5" s="138">
        <f>C5*1000</f>
        <v>37.31</v>
      </c>
      <c r="E5" s="138">
        <f>E12/C12</f>
        <v>2999724.0000000005</v>
      </c>
      <c r="F5" s="138">
        <f>F12/C12</f>
        <v>242515.00000000003</v>
      </c>
      <c r="G5" s="139">
        <f>E5-F5</f>
        <v>2757209.0000000005</v>
      </c>
      <c r="H5" s="137">
        <f t="shared" si="0"/>
        <v>0.83325666666666676</v>
      </c>
      <c r="I5" s="137">
        <f t="shared" si="0"/>
        <v>6.7365277777777788E-2</v>
      </c>
      <c r="J5" s="136">
        <f>H5-I5</f>
        <v>0.76589138888888897</v>
      </c>
      <c r="K5" s="136">
        <f t="shared" si="1"/>
        <v>833.25666666666677</v>
      </c>
      <c r="L5" s="136">
        <f t="shared" si="1"/>
        <v>67.365277777777791</v>
      </c>
      <c r="M5" s="136">
        <f>K5-L5</f>
        <v>765.89138888888897</v>
      </c>
      <c r="N5" s="136">
        <f>H5*C$36</f>
        <v>0.38163155333333337</v>
      </c>
      <c r="O5" s="136">
        <f>I5*C$36</f>
        <v>3.0853297222222228E-2</v>
      </c>
      <c r="P5" s="136">
        <f>N5-O5</f>
        <v>0.35077825611111113</v>
      </c>
      <c r="Q5" s="137">
        <f>G5*(100/E5)</f>
        <v>91.915422885572141</v>
      </c>
      <c r="R5" s="140">
        <f t="shared" si="2"/>
        <v>9.7854244444444447</v>
      </c>
      <c r="S5" s="138">
        <f t="shared" si="2"/>
        <v>0.79111018518518539</v>
      </c>
      <c r="T5" s="138">
        <f>T21/C21</f>
        <v>1.1462000000000002E-4</v>
      </c>
      <c r="U5" s="138">
        <f>U22/C22</f>
        <v>2.6339367600000003E-2</v>
      </c>
      <c r="V5" s="138"/>
      <c r="W5" s="138"/>
      <c r="X5" s="138" t="s">
        <v>33</v>
      </c>
      <c r="Y5" s="138" t="s">
        <v>33</v>
      </c>
    </row>
    <row r="6" spans="1:61" ht="15.75">
      <c r="A6" s="9" t="s">
        <v>7</v>
      </c>
      <c r="B6" s="9" t="s">
        <v>56</v>
      </c>
      <c r="C6" s="140">
        <v>2.605E-2</v>
      </c>
      <c r="D6" s="138">
        <f>C6*1000</f>
        <v>26.05</v>
      </c>
      <c r="E6" s="141">
        <f>E13/C13</f>
        <v>2094420</v>
      </c>
      <c r="F6" s="140">
        <f>F13/C13</f>
        <v>169325</v>
      </c>
      <c r="G6" s="138">
        <f>E6-F6</f>
        <v>1925095</v>
      </c>
      <c r="H6" s="137">
        <f t="shared" si="0"/>
        <v>0.58178333333333332</v>
      </c>
      <c r="I6" s="137">
        <f t="shared" si="0"/>
        <v>4.7034722222222221E-2</v>
      </c>
      <c r="J6" s="136">
        <f>H6-I6</f>
        <v>0.53474861111111105</v>
      </c>
      <c r="K6" s="136">
        <f t="shared" si="1"/>
        <v>581.7833333333333</v>
      </c>
      <c r="L6" s="136">
        <f t="shared" si="1"/>
        <v>47.034722222222221</v>
      </c>
      <c r="M6" s="136">
        <f>K6-L6</f>
        <v>534.74861111111113</v>
      </c>
      <c r="N6" s="136">
        <f>H6*C$36</f>
        <v>0.26645676666666668</v>
      </c>
      <c r="O6" s="136">
        <f>I6*C$36</f>
        <v>2.1541902777777778E-2</v>
      </c>
      <c r="P6" s="136">
        <f>N6-O6</f>
        <v>0.24491486388888889</v>
      </c>
      <c r="Q6" s="137">
        <f>G6*(100/E6)</f>
        <v>91.915422885572141</v>
      </c>
      <c r="R6" s="140">
        <f t="shared" si="2"/>
        <v>6.8322247863247867</v>
      </c>
      <c r="S6" s="138">
        <f t="shared" si="2"/>
        <v>0.55235648148148153</v>
      </c>
      <c r="T6" s="138">
        <f>T13/C13</f>
        <v>1.1462000000000001E-4</v>
      </c>
      <c r="U6" s="138">
        <f>U13/C13</f>
        <v>1.8390258E-2</v>
      </c>
      <c r="V6" s="138"/>
      <c r="W6" s="138"/>
      <c r="X6" s="138" t="s">
        <v>33</v>
      </c>
      <c r="Y6" s="138" t="s">
        <v>33</v>
      </c>
    </row>
    <row r="7" spans="1:61">
      <c r="A7" s="10" t="s">
        <v>7</v>
      </c>
      <c r="B7" s="10" t="s">
        <v>65</v>
      </c>
      <c r="C7" s="140">
        <f>C35</f>
        <v>4.3959999999999999E-2</v>
      </c>
      <c r="D7" s="138">
        <f>C7*1000</f>
        <v>43.96</v>
      </c>
      <c r="E7" s="142">
        <f>E14/C14</f>
        <v>3095936.8509999998</v>
      </c>
      <c r="F7" s="140">
        <f>F14/C14</f>
        <v>250151.6848124</v>
      </c>
      <c r="G7" s="142">
        <f>G14/C14</f>
        <v>2845785.1661875998</v>
      </c>
      <c r="H7" s="137">
        <f t="shared" si="0"/>
        <v>0.859982458611111</v>
      </c>
      <c r="I7" s="137">
        <f t="shared" si="0"/>
        <v>6.9486579114555552E-2</v>
      </c>
      <c r="J7" s="136">
        <f>H7-I7</f>
        <v>0.79049587949655542</v>
      </c>
      <c r="K7" s="136">
        <f t="shared" si="1"/>
        <v>859.98245861111104</v>
      </c>
      <c r="L7" s="136">
        <f t="shared" si="1"/>
        <v>69.486579114555553</v>
      </c>
      <c r="M7" s="136">
        <f>K7-L7</f>
        <v>790.49587949655552</v>
      </c>
      <c r="N7" s="136">
        <f>H7*C$36</f>
        <v>0.39387196604388885</v>
      </c>
      <c r="O7" s="136">
        <f>I7*C$36</f>
        <v>3.1824853234466446E-2</v>
      </c>
      <c r="P7" s="136">
        <f>N7-O7</f>
        <v>0.36204711280942242</v>
      </c>
      <c r="Q7" s="137">
        <f>G7*(100/E7)</f>
        <v>91.920000411778432</v>
      </c>
      <c r="R7" s="140">
        <f t="shared" si="2"/>
        <v>10.099281180612534</v>
      </c>
      <c r="S7" s="138">
        <f t="shared" si="2"/>
        <v>0.816021877806832</v>
      </c>
      <c r="T7" s="142">
        <f>T24/C24</f>
        <v>1.9342399999999998E-4</v>
      </c>
      <c r="U7" s="143">
        <f>U24/C24</f>
        <v>3.1034001599999996E-2</v>
      </c>
      <c r="V7" s="143"/>
      <c r="W7" s="143"/>
      <c r="X7" s="138" t="s">
        <v>33</v>
      </c>
      <c r="Y7" s="140">
        <f>Y14/C14</f>
        <v>4.3959999999999999E-2</v>
      </c>
    </row>
    <row r="8" spans="1:61">
      <c r="A8" s="10"/>
      <c r="B8" s="10" t="s">
        <v>88</v>
      </c>
      <c r="C8" s="140" t="s">
        <v>33</v>
      </c>
      <c r="D8" s="140" t="s">
        <v>33</v>
      </c>
      <c r="E8" s="140" t="s">
        <v>33</v>
      </c>
      <c r="F8" s="140" t="s">
        <v>33</v>
      </c>
      <c r="G8" s="140" t="s">
        <v>33</v>
      </c>
      <c r="H8" s="137" t="str">
        <f>IF(E8="SD","-",E8/3600/1000)</f>
        <v>-</v>
      </c>
      <c r="I8" s="137" t="str">
        <f>IF(E8="SD","-",F8/3600/1000)</f>
        <v>-</v>
      </c>
      <c r="J8" s="136" t="str">
        <f>IF(E8="SD","-",H8-I8)</f>
        <v>-</v>
      </c>
      <c r="K8" s="136" t="str">
        <f>IF(E8="SD","-",E8/3600)</f>
        <v>-</v>
      </c>
      <c r="L8" s="136" t="str">
        <f>IF(E8="SD","-",F8/3600)</f>
        <v>-</v>
      </c>
      <c r="M8" s="136" t="str">
        <f>IF(E8="SD","-",K8-L8)</f>
        <v>-</v>
      </c>
      <c r="N8" s="136">
        <v>0</v>
      </c>
      <c r="O8" s="136">
        <v>0</v>
      </c>
      <c r="P8" s="136">
        <f>N8-O8</f>
        <v>0</v>
      </c>
      <c r="Q8" s="137" t="str">
        <f>IF(E8="SD","-",G8*(100/E8))</f>
        <v>-</v>
      </c>
      <c r="R8" s="140">
        <f t="shared" si="2"/>
        <v>0</v>
      </c>
      <c r="S8" s="138">
        <f t="shared" si="2"/>
        <v>0</v>
      </c>
      <c r="T8" s="142" t="s">
        <v>33</v>
      </c>
      <c r="U8" s="138" t="s">
        <v>33</v>
      </c>
      <c r="V8" s="138"/>
      <c r="W8" s="138"/>
      <c r="X8" s="138" t="s">
        <v>33</v>
      </c>
      <c r="Y8" s="138" t="s">
        <v>33</v>
      </c>
    </row>
    <row r="9" spans="1:61" s="27" customFormat="1">
      <c r="C9" s="144"/>
      <c r="D9" s="144"/>
      <c r="E9" s="145"/>
      <c r="F9" s="144"/>
      <c r="G9" s="145"/>
      <c r="H9" s="137"/>
      <c r="I9" s="145"/>
      <c r="J9" s="144"/>
      <c r="K9" s="145"/>
      <c r="L9" s="144"/>
      <c r="M9" s="144"/>
      <c r="N9" s="144"/>
      <c r="O9" s="144"/>
      <c r="P9" s="144"/>
      <c r="Q9" s="145"/>
      <c r="R9" s="144">
        <f>N9/0.039</f>
        <v>0</v>
      </c>
      <c r="S9" s="144"/>
      <c r="T9" s="144"/>
      <c r="U9" s="144"/>
      <c r="V9" s="144"/>
      <c r="W9" s="144"/>
      <c r="X9" s="144"/>
      <c r="Y9" s="144"/>
    </row>
    <row r="10" spans="1:61">
      <c r="A10" s="11"/>
      <c r="B10" s="11"/>
      <c r="C10" s="146" t="s">
        <v>35</v>
      </c>
      <c r="D10" s="146"/>
      <c r="E10" s="147"/>
      <c r="F10" s="147"/>
      <c r="G10" s="148"/>
      <c r="H10" s="148"/>
      <c r="I10" s="148"/>
      <c r="J10" s="147"/>
      <c r="K10" s="147"/>
      <c r="L10" s="147"/>
      <c r="M10" s="147"/>
      <c r="N10" s="147"/>
      <c r="O10" s="147"/>
      <c r="P10" s="147"/>
      <c r="Q10" s="148"/>
      <c r="R10" s="147"/>
      <c r="S10" s="147"/>
      <c r="T10" s="147"/>
      <c r="U10" s="147"/>
      <c r="V10" s="147"/>
      <c r="W10" s="147"/>
      <c r="X10" s="147"/>
      <c r="Y10" s="147"/>
    </row>
    <row r="11" spans="1:61">
      <c r="A11" s="10" t="s">
        <v>15</v>
      </c>
      <c r="B11" s="9" t="s">
        <v>32</v>
      </c>
      <c r="C11" s="149">
        <f>1/C4</f>
        <v>38.387715930902111</v>
      </c>
      <c r="D11" s="149">
        <f>C11*C4</f>
        <v>1</v>
      </c>
      <c r="E11" s="152">
        <f>E31</f>
        <v>80400000</v>
      </c>
      <c r="F11" s="153">
        <f>E32</f>
        <v>6500000</v>
      </c>
      <c r="G11" s="154">
        <f>E11-F11</f>
        <v>73900000</v>
      </c>
      <c r="H11" s="150">
        <f>E11/3600/1000</f>
        <v>22.333333333333332</v>
      </c>
      <c r="I11" s="150">
        <f t="shared" ref="H11:I14" si="3">F11/3600/1000</f>
        <v>1.8055555555555556</v>
      </c>
      <c r="J11" s="395">
        <f>H11-I11</f>
        <v>20.527777777777775</v>
      </c>
      <c r="K11" s="149">
        <f t="shared" ref="K11:L14" si="4">E11/3600</f>
        <v>22333.333333333332</v>
      </c>
      <c r="L11" s="149">
        <f t="shared" si="4"/>
        <v>1805.5555555555557</v>
      </c>
      <c r="M11" s="149">
        <f>K11-L11</f>
        <v>20527.777777777777</v>
      </c>
      <c r="N11" s="149">
        <f>H11*C$36</f>
        <v>10.228666666666667</v>
      </c>
      <c r="O11" s="149">
        <f>I11*C$36</f>
        <v>0.82694444444444448</v>
      </c>
      <c r="P11" s="149">
        <f>N11-O11</f>
        <v>9.4017222222222223</v>
      </c>
      <c r="Q11" s="150">
        <f>G11*(100/E11)</f>
        <v>91.915422885572141</v>
      </c>
      <c r="R11" s="149">
        <f t="shared" ref="R11:S15" si="5">N11/0.039</f>
        <v>262.27350427350427</v>
      </c>
      <c r="S11" s="142">
        <f t="shared" si="5"/>
        <v>21.203703703703706</v>
      </c>
      <c r="T11" s="142">
        <f>T21/1000</f>
        <v>4.4000000000000003E-3</v>
      </c>
      <c r="U11" s="142">
        <f>U21/1000</f>
        <v>0.70596000000000003</v>
      </c>
      <c r="V11" s="142"/>
      <c r="W11" s="142"/>
      <c r="X11" s="138" t="s">
        <v>33</v>
      </c>
      <c r="Y11" s="138" t="s">
        <v>33</v>
      </c>
    </row>
    <row r="12" spans="1:61">
      <c r="A12" s="10" t="s">
        <v>15</v>
      </c>
      <c r="B12" s="9" t="s">
        <v>31</v>
      </c>
      <c r="C12" s="149">
        <f>1/C5</f>
        <v>26.802465826856068</v>
      </c>
      <c r="D12" s="149">
        <f>C12*C5</f>
        <v>1</v>
      </c>
      <c r="E12" s="152">
        <f>E31</f>
        <v>80400000</v>
      </c>
      <c r="F12" s="153">
        <f>E32</f>
        <v>6500000</v>
      </c>
      <c r="G12" s="154">
        <f>E12-F12</f>
        <v>73900000</v>
      </c>
      <c r="H12" s="150">
        <f t="shared" si="3"/>
        <v>22.333333333333332</v>
      </c>
      <c r="I12" s="150">
        <f t="shared" si="3"/>
        <v>1.8055555555555556</v>
      </c>
      <c r="J12" s="149">
        <f>H12-I12</f>
        <v>20.527777777777775</v>
      </c>
      <c r="K12" s="149">
        <f t="shared" si="4"/>
        <v>22333.333333333332</v>
      </c>
      <c r="L12" s="149">
        <f t="shared" si="4"/>
        <v>1805.5555555555557</v>
      </c>
      <c r="M12" s="149">
        <f>K12-L12</f>
        <v>20527.777777777777</v>
      </c>
      <c r="N12" s="149">
        <f>H12*C$36</f>
        <v>10.228666666666667</v>
      </c>
      <c r="O12" s="149">
        <f>I12*C$36</f>
        <v>0.82694444444444448</v>
      </c>
      <c r="P12" s="149">
        <f>N12-O12</f>
        <v>9.4017222222222223</v>
      </c>
      <c r="Q12" s="150">
        <f>G12*(100/E12)</f>
        <v>91.915422885572141</v>
      </c>
      <c r="R12" s="149">
        <f t="shared" si="5"/>
        <v>262.27350427350427</v>
      </c>
      <c r="S12" s="142">
        <f t="shared" si="5"/>
        <v>21.203703703703706</v>
      </c>
      <c r="T12" s="142">
        <f>T21/1000</f>
        <v>4.4000000000000003E-3</v>
      </c>
      <c r="U12" s="142">
        <f>U21/1000</f>
        <v>0.70596000000000003</v>
      </c>
      <c r="V12" s="142"/>
      <c r="W12" s="142"/>
      <c r="X12" s="138" t="s">
        <v>33</v>
      </c>
      <c r="Y12" s="138" t="s">
        <v>33</v>
      </c>
    </row>
    <row r="13" spans="1:61">
      <c r="A13" s="10" t="s">
        <v>57</v>
      </c>
      <c r="B13" s="9" t="s">
        <v>56</v>
      </c>
      <c r="C13" s="149">
        <f>1/C6</f>
        <v>38.387715930902111</v>
      </c>
      <c r="D13" s="149">
        <f>C13*C6</f>
        <v>1</v>
      </c>
      <c r="E13" s="155">
        <f>E31</f>
        <v>80400000</v>
      </c>
      <c r="F13" s="153">
        <f>E32</f>
        <v>6500000</v>
      </c>
      <c r="G13" s="152">
        <f>E13-F13</f>
        <v>73900000</v>
      </c>
      <c r="H13" s="150">
        <f t="shared" si="3"/>
        <v>22.333333333333332</v>
      </c>
      <c r="I13" s="150">
        <f t="shared" si="3"/>
        <v>1.8055555555555556</v>
      </c>
      <c r="J13" s="149">
        <f>H13-I13</f>
        <v>20.527777777777775</v>
      </c>
      <c r="K13" s="149">
        <f t="shared" si="4"/>
        <v>22333.333333333332</v>
      </c>
      <c r="L13" s="149">
        <f t="shared" si="4"/>
        <v>1805.5555555555557</v>
      </c>
      <c r="M13" s="149">
        <f>K13-L13</f>
        <v>20527.777777777777</v>
      </c>
      <c r="N13" s="149">
        <f>H13*C$36</f>
        <v>10.228666666666667</v>
      </c>
      <c r="O13" s="149">
        <f>I13*C$36</f>
        <v>0.82694444444444448</v>
      </c>
      <c r="P13" s="149">
        <f>N13-O13</f>
        <v>9.4017222222222223</v>
      </c>
      <c r="Q13" s="150">
        <f>G13*(100/E13)</f>
        <v>91.915422885572141</v>
      </c>
      <c r="R13" s="149">
        <f t="shared" si="5"/>
        <v>262.27350427350427</v>
      </c>
      <c r="S13" s="142">
        <f t="shared" si="5"/>
        <v>21.203703703703706</v>
      </c>
      <c r="T13" s="142">
        <f>T21/1000</f>
        <v>4.4000000000000003E-3</v>
      </c>
      <c r="U13" s="142">
        <f>U21/1000</f>
        <v>0.70596000000000003</v>
      </c>
      <c r="V13" s="142"/>
      <c r="W13" s="142"/>
      <c r="X13" s="138" t="s">
        <v>33</v>
      </c>
      <c r="Y13" s="138" t="s">
        <v>33</v>
      </c>
    </row>
    <row r="14" spans="1:61">
      <c r="A14" s="10" t="s">
        <v>27</v>
      </c>
      <c r="B14" s="10" t="s">
        <v>65</v>
      </c>
      <c r="C14" s="149">
        <f>1/C7</f>
        <v>22.747952684258419</v>
      </c>
      <c r="D14" s="149">
        <f>C14*C7</f>
        <v>1</v>
      </c>
      <c r="E14" s="155">
        <v>70426225</v>
      </c>
      <c r="F14" s="153">
        <v>5690438.6900000004</v>
      </c>
      <c r="G14" s="152">
        <f>E14-F14</f>
        <v>64735786.310000002</v>
      </c>
      <c r="H14" s="150">
        <f t="shared" si="3"/>
        <v>19.562840277777777</v>
      </c>
      <c r="I14" s="150">
        <f t="shared" si="3"/>
        <v>1.580677413888889</v>
      </c>
      <c r="J14" s="149">
        <f>H14-I14</f>
        <v>17.982162863888888</v>
      </c>
      <c r="K14" s="149">
        <f t="shared" si="4"/>
        <v>19562.840277777777</v>
      </c>
      <c r="L14" s="149">
        <f t="shared" si="4"/>
        <v>1580.6774138888891</v>
      </c>
      <c r="M14" s="149">
        <f>K14-L14</f>
        <v>17982.162863888887</v>
      </c>
      <c r="N14" s="149">
        <f>H14*C$36</f>
        <v>8.9597808472222216</v>
      </c>
      <c r="O14" s="149">
        <f>I14*C$36</f>
        <v>0.72395025556111126</v>
      </c>
      <c r="P14" s="149">
        <f>N14-O14</f>
        <v>8.2358305916611094</v>
      </c>
      <c r="Q14" s="150">
        <f>G14*(100/E14)</f>
        <v>91.920000411778418</v>
      </c>
      <c r="R14" s="149">
        <f t="shared" si="5"/>
        <v>229.73797044159542</v>
      </c>
      <c r="S14" s="142">
        <f t="shared" si="5"/>
        <v>18.56282706566952</v>
      </c>
      <c r="T14" s="142">
        <f>T24/1000</f>
        <v>4.4000000000000003E-3</v>
      </c>
      <c r="U14" s="142">
        <f>U7*C14</f>
        <v>0.70595999999999992</v>
      </c>
      <c r="V14" s="142"/>
      <c r="W14" s="142"/>
      <c r="X14" s="138" t="s">
        <v>33</v>
      </c>
      <c r="Y14" s="138">
        <f>Y24/1000</f>
        <v>1</v>
      </c>
    </row>
    <row r="15" spans="1:61">
      <c r="A15" s="10"/>
      <c r="B15" s="10" t="s">
        <v>88</v>
      </c>
      <c r="C15" s="140" t="s">
        <v>33</v>
      </c>
      <c r="D15" s="140" t="s">
        <v>33</v>
      </c>
      <c r="E15" s="156" t="s">
        <v>33</v>
      </c>
      <c r="F15" s="156" t="s">
        <v>33</v>
      </c>
      <c r="G15" s="156" t="s">
        <v>33</v>
      </c>
      <c r="H15" s="150" t="str">
        <f>IF(E15="SD","-",E15/3600/1000)</f>
        <v>-</v>
      </c>
      <c r="I15" s="150" t="str">
        <f>IF(E15="SD","-",F15/3600/1000)</f>
        <v>-</v>
      </c>
      <c r="J15" s="149" t="str">
        <f>IF(E15="SD","-",H15-I15)</f>
        <v>-</v>
      </c>
      <c r="K15" s="149" t="str">
        <f>IF(E15="SD","-",E15/3600)</f>
        <v>-</v>
      </c>
      <c r="L15" s="149" t="str">
        <f>IF(E15="SD","-",F15/3600)</f>
        <v>-</v>
      </c>
      <c r="M15" s="149" t="str">
        <f>IF(E15="SD","-",K15-L15)</f>
        <v>-</v>
      </c>
      <c r="N15" s="149">
        <v>2.5379999999999998</v>
      </c>
      <c r="O15" s="149">
        <v>0.183</v>
      </c>
      <c r="P15" s="149">
        <f>N15-O15</f>
        <v>2.355</v>
      </c>
      <c r="Q15" s="150">
        <f>P15/N15*100</f>
        <v>92.789598108747057</v>
      </c>
      <c r="R15" s="149">
        <f t="shared" si="5"/>
        <v>65.076923076923066</v>
      </c>
      <c r="S15" s="142">
        <f t="shared" si="5"/>
        <v>4.6923076923076925</v>
      </c>
      <c r="T15" s="142" t="s">
        <v>33</v>
      </c>
      <c r="U15" s="142" t="s">
        <v>33</v>
      </c>
      <c r="V15" s="142"/>
      <c r="W15" s="142"/>
      <c r="X15" s="138" t="s">
        <v>33</v>
      </c>
      <c r="Y15" s="138" t="s">
        <v>33</v>
      </c>
    </row>
    <row r="16" spans="1:61">
      <c r="A16" s="654"/>
      <c r="B16" s="654" t="s">
        <v>661</v>
      </c>
      <c r="C16" s="655"/>
      <c r="D16" s="655"/>
      <c r="E16" s="656">
        <f>E26/1000</f>
        <v>70400000</v>
      </c>
      <c r="F16" s="656"/>
      <c r="G16" s="656"/>
      <c r="H16" s="657">
        <f>H26/1000</f>
        <v>19.555555555555554</v>
      </c>
      <c r="I16" s="657"/>
      <c r="J16" s="658"/>
      <c r="K16" s="658"/>
      <c r="L16" s="658"/>
      <c r="M16" s="658"/>
      <c r="N16" s="658">
        <f>N26/1000</f>
        <v>2.391</v>
      </c>
      <c r="O16" s="658"/>
      <c r="P16" s="658"/>
      <c r="Q16" s="657"/>
      <c r="R16" s="658"/>
      <c r="S16" s="659"/>
      <c r="T16" s="659"/>
      <c r="U16" s="659"/>
      <c r="V16" s="659"/>
      <c r="W16" s="659"/>
      <c r="X16" s="660"/>
      <c r="Y16" s="660"/>
    </row>
    <row r="17" spans="1:25">
      <c r="A17" s="654" t="s">
        <v>665</v>
      </c>
      <c r="B17" s="654" t="s">
        <v>664</v>
      </c>
      <c r="C17" s="655"/>
      <c r="D17" s="655"/>
      <c r="E17" s="656">
        <v>69800000</v>
      </c>
      <c r="F17" s="656">
        <v>14800000</v>
      </c>
      <c r="G17" s="152">
        <f>E17-F17</f>
        <v>55000000</v>
      </c>
      <c r="H17" s="150">
        <f>E17/3600/1000</f>
        <v>19.388888888888889</v>
      </c>
      <c r="I17" s="150">
        <f>F17/3600/1000</f>
        <v>4.1111111111111116</v>
      </c>
      <c r="J17" s="149">
        <f>H17-I17</f>
        <v>15.277777777777779</v>
      </c>
      <c r="K17" s="658"/>
      <c r="L17" s="658"/>
      <c r="M17" s="658"/>
      <c r="N17" s="658">
        <v>2.78</v>
      </c>
      <c r="O17" s="658">
        <v>0.91</v>
      </c>
      <c r="P17" s="658">
        <f>N17-O17</f>
        <v>1.8699999999999997</v>
      </c>
      <c r="Q17" s="657"/>
      <c r="R17" s="658"/>
      <c r="S17" s="659"/>
      <c r="T17" s="659"/>
      <c r="U17" s="659"/>
      <c r="V17" s="659">
        <v>9.89</v>
      </c>
      <c r="W17" s="659">
        <v>10.3</v>
      </c>
      <c r="X17" s="660">
        <f>V17-W17</f>
        <v>-0.41000000000000014</v>
      </c>
      <c r="Y17" s="660"/>
    </row>
    <row r="18" spans="1:25">
      <c r="A18" s="654" t="s">
        <v>666</v>
      </c>
      <c r="B18" s="654" t="s">
        <v>664</v>
      </c>
      <c r="C18" s="655"/>
      <c r="D18" s="655"/>
      <c r="E18" s="656">
        <v>69800000</v>
      </c>
      <c r="F18" s="656">
        <v>42300000</v>
      </c>
      <c r="G18" s="152">
        <f>E18-F18</f>
        <v>27500000</v>
      </c>
      <c r="H18" s="150">
        <f>E18/3600/1000</f>
        <v>19.388888888888889</v>
      </c>
      <c r="I18" s="150">
        <f>F18/3600/1000</f>
        <v>11.75</v>
      </c>
      <c r="J18" s="149">
        <f>H18-I18</f>
        <v>7.6388888888888893</v>
      </c>
      <c r="K18" s="658"/>
      <c r="L18" s="658"/>
      <c r="M18" s="658"/>
      <c r="N18" s="658">
        <v>2.78</v>
      </c>
      <c r="O18" s="658">
        <v>1.85</v>
      </c>
      <c r="P18" s="658">
        <f>N18-O18</f>
        <v>0.92999999999999972</v>
      </c>
      <c r="Q18" s="657"/>
      <c r="R18" s="658"/>
      <c r="S18" s="659"/>
      <c r="T18" s="659"/>
      <c r="U18" s="659"/>
      <c r="V18" s="659">
        <v>9.89</v>
      </c>
      <c r="W18" s="659">
        <v>10.1</v>
      </c>
      <c r="X18" s="660">
        <f>V18-W18</f>
        <v>-0.20999999999999908</v>
      </c>
      <c r="Y18" s="660"/>
    </row>
    <row r="19" spans="1:25" s="27" customFormat="1">
      <c r="C19" s="145"/>
      <c r="D19" s="145"/>
      <c r="E19" s="157"/>
      <c r="F19" s="158"/>
      <c r="G19" s="157"/>
      <c r="H19" s="144"/>
      <c r="I19" s="144"/>
      <c r="J19" s="145"/>
      <c r="K19" s="144"/>
      <c r="L19" s="145"/>
      <c r="M19" s="145"/>
      <c r="N19" s="145"/>
      <c r="O19" s="145"/>
      <c r="P19" s="145"/>
      <c r="Q19" s="151"/>
      <c r="R19" s="145"/>
      <c r="S19" s="145"/>
      <c r="T19" s="144"/>
      <c r="U19" s="144"/>
      <c r="V19" s="144"/>
      <c r="W19" s="144"/>
      <c r="X19" s="144"/>
      <c r="Y19" s="144"/>
    </row>
    <row r="20" spans="1:25">
      <c r="A20" s="11"/>
      <c r="B20" s="11"/>
      <c r="C20" s="148"/>
      <c r="D20" s="148"/>
      <c r="E20" s="159"/>
      <c r="F20" s="160"/>
      <c r="G20" s="160"/>
      <c r="H20" s="148"/>
      <c r="I20" s="148"/>
      <c r="J20" s="147"/>
      <c r="K20" s="147"/>
      <c r="L20" s="148"/>
      <c r="M20" s="147"/>
      <c r="N20" s="147"/>
      <c r="O20" s="147"/>
      <c r="P20" s="147"/>
      <c r="Q20" s="148"/>
      <c r="R20" s="147"/>
      <c r="S20" s="147"/>
      <c r="T20" s="147"/>
      <c r="U20" s="147"/>
      <c r="V20" s="147"/>
      <c r="W20" s="147"/>
      <c r="X20" s="147"/>
      <c r="Y20" s="147"/>
    </row>
    <row r="21" spans="1:25">
      <c r="A21" s="10" t="s">
        <v>16</v>
      </c>
      <c r="B21" s="9" t="s">
        <v>32</v>
      </c>
      <c r="C21" s="149">
        <f>C11*1000</f>
        <v>38387.715930902108</v>
      </c>
      <c r="D21" s="149">
        <f>C21*C4</f>
        <v>999.99999999999989</v>
      </c>
      <c r="E21" s="153">
        <f t="shared" ref="E21:G23" si="6">E11*1000</f>
        <v>80400000000</v>
      </c>
      <c r="F21" s="153">
        <f t="shared" si="6"/>
        <v>6500000000</v>
      </c>
      <c r="G21" s="154">
        <f t="shared" si="6"/>
        <v>73900000000</v>
      </c>
      <c r="H21" s="150">
        <f t="shared" ref="H21:I24" si="7">E21/3600/1000</f>
        <v>22333.333333333332</v>
      </c>
      <c r="I21" s="150">
        <f t="shared" si="7"/>
        <v>1805.5555555555554</v>
      </c>
      <c r="J21" s="661">
        <f>H21-I21</f>
        <v>20527.777777777777</v>
      </c>
      <c r="K21" s="149">
        <f>K11*1000</f>
        <v>22333333.333333332</v>
      </c>
      <c r="L21" s="149">
        <f>L11*1000</f>
        <v>1805555.5555555557</v>
      </c>
      <c r="M21" s="142">
        <f>M11*1000</f>
        <v>20527777.777777776</v>
      </c>
      <c r="N21" s="149">
        <f>H21*C$36</f>
        <v>10228.666666666666</v>
      </c>
      <c r="O21" s="149">
        <f>I21*C$36</f>
        <v>826.94444444444446</v>
      </c>
      <c r="P21" s="149">
        <f>N21-O21</f>
        <v>9401.7222222222208</v>
      </c>
      <c r="Q21" s="150">
        <f>G21*(100/E21)</f>
        <v>91.915422885572127</v>
      </c>
      <c r="R21" s="149">
        <f t="shared" ref="R21:S25" si="8">N21/0.039</f>
        <v>262273.50427350425</v>
      </c>
      <c r="S21" s="142">
        <f t="shared" si="8"/>
        <v>21203.703703703704</v>
      </c>
      <c r="T21" s="142">
        <v>4.4000000000000004</v>
      </c>
      <c r="U21" s="142">
        <v>705.96</v>
      </c>
      <c r="V21" s="142"/>
      <c r="W21" s="142"/>
      <c r="X21" s="138" t="s">
        <v>33</v>
      </c>
      <c r="Y21" s="138" t="s">
        <v>33</v>
      </c>
    </row>
    <row r="22" spans="1:25">
      <c r="A22" s="10" t="s">
        <v>16</v>
      </c>
      <c r="B22" s="9" t="s">
        <v>31</v>
      </c>
      <c r="C22" s="149">
        <f>C12*1000</f>
        <v>26802.465826856067</v>
      </c>
      <c r="D22" s="149">
        <f>C22*C5</f>
        <v>999.99999999999989</v>
      </c>
      <c r="E22" s="153">
        <f t="shared" si="6"/>
        <v>80400000000</v>
      </c>
      <c r="F22" s="153">
        <f t="shared" si="6"/>
        <v>6500000000</v>
      </c>
      <c r="G22" s="154">
        <f t="shared" si="6"/>
        <v>73900000000</v>
      </c>
      <c r="H22" s="150">
        <f t="shared" si="7"/>
        <v>22333.333333333332</v>
      </c>
      <c r="I22" s="150">
        <f t="shared" si="7"/>
        <v>1805.5555555555554</v>
      </c>
      <c r="J22" s="149">
        <f>H22-I22</f>
        <v>20527.777777777777</v>
      </c>
      <c r="K22" s="149">
        <f t="shared" ref="K22:L24" si="9">K12*1000</f>
        <v>22333333.333333332</v>
      </c>
      <c r="L22" s="149">
        <f t="shared" si="9"/>
        <v>1805555.5555555557</v>
      </c>
      <c r="M22" s="142">
        <f>M12*1000</f>
        <v>20527777.777777776</v>
      </c>
      <c r="N22" s="149">
        <f>H22*C$36</f>
        <v>10228.666666666666</v>
      </c>
      <c r="O22" s="149">
        <f>I22*C$36</f>
        <v>826.94444444444446</v>
      </c>
      <c r="P22" s="149">
        <f>N22-O22</f>
        <v>9401.7222222222208</v>
      </c>
      <c r="Q22" s="150">
        <f>G22*(100/E22)</f>
        <v>91.915422885572127</v>
      </c>
      <c r="R22" s="149">
        <f t="shared" si="8"/>
        <v>262273.50427350425</v>
      </c>
      <c r="S22" s="142">
        <f t="shared" si="8"/>
        <v>21203.703703703704</v>
      </c>
      <c r="T22" s="142">
        <f>T12*1000</f>
        <v>4.4000000000000004</v>
      </c>
      <c r="U22" s="142">
        <f>705.96</f>
        <v>705.96</v>
      </c>
      <c r="V22" s="142"/>
      <c r="W22" s="142"/>
      <c r="X22" s="138" t="s">
        <v>33</v>
      </c>
      <c r="Y22" s="138" t="s">
        <v>33</v>
      </c>
    </row>
    <row r="23" spans="1:25">
      <c r="A23" s="10" t="s">
        <v>28</v>
      </c>
      <c r="B23" s="9" t="s">
        <v>56</v>
      </c>
      <c r="C23" s="149">
        <f>C13*1000</f>
        <v>38387.715930902108</v>
      </c>
      <c r="D23" s="149">
        <f>C23*C6</f>
        <v>999.99999999999989</v>
      </c>
      <c r="E23" s="152">
        <f t="shared" si="6"/>
        <v>80400000000</v>
      </c>
      <c r="F23" s="153">
        <f t="shared" si="6"/>
        <v>6500000000</v>
      </c>
      <c r="G23" s="152">
        <f t="shared" si="6"/>
        <v>73900000000</v>
      </c>
      <c r="H23" s="150">
        <f t="shared" si="7"/>
        <v>22333.333333333332</v>
      </c>
      <c r="I23" s="150">
        <f t="shared" si="7"/>
        <v>1805.5555555555554</v>
      </c>
      <c r="J23" s="149">
        <f>H23-I23</f>
        <v>20527.777777777777</v>
      </c>
      <c r="K23" s="149">
        <f t="shared" si="9"/>
        <v>22333333.333333332</v>
      </c>
      <c r="L23" s="149">
        <f t="shared" si="9"/>
        <v>1805555.5555555557</v>
      </c>
      <c r="M23" s="142">
        <f>M13*1000</f>
        <v>20527777.777777776</v>
      </c>
      <c r="N23" s="149">
        <f>H23*C$36</f>
        <v>10228.666666666666</v>
      </c>
      <c r="O23" s="149">
        <f>I23*C$36</f>
        <v>826.94444444444446</v>
      </c>
      <c r="P23" s="149">
        <f>N23-O23</f>
        <v>9401.7222222222208</v>
      </c>
      <c r="Q23" s="150">
        <f>G23*(100/E23)</f>
        <v>91.915422885572127</v>
      </c>
      <c r="R23" s="149">
        <f t="shared" si="8"/>
        <v>262273.50427350425</v>
      </c>
      <c r="S23" s="142">
        <f t="shared" si="8"/>
        <v>21203.703703703704</v>
      </c>
      <c r="T23" s="142">
        <f>T13*1000</f>
        <v>4.4000000000000004</v>
      </c>
      <c r="U23" s="142">
        <f>U13*1000</f>
        <v>705.96</v>
      </c>
      <c r="V23" s="142"/>
      <c r="W23" s="142"/>
      <c r="X23" s="138" t="s">
        <v>33</v>
      </c>
      <c r="Y23" s="138" t="s">
        <v>33</v>
      </c>
    </row>
    <row r="24" spans="1:25">
      <c r="A24" s="10" t="s">
        <v>16</v>
      </c>
      <c r="B24" s="10" t="s">
        <v>65</v>
      </c>
      <c r="C24" s="149">
        <f>C14*1000</f>
        <v>22747.95268425842</v>
      </c>
      <c r="D24" s="149">
        <f>C24*C7</f>
        <v>1000.0000000000001</v>
      </c>
      <c r="E24" s="152">
        <f>E14*1000</f>
        <v>70426225000</v>
      </c>
      <c r="F24" s="153">
        <f>F14*1000</f>
        <v>5690438690</v>
      </c>
      <c r="G24" s="152">
        <f>E24-F24</f>
        <v>64735786310</v>
      </c>
      <c r="H24" s="150">
        <f t="shared" si="7"/>
        <v>19562.840277777777</v>
      </c>
      <c r="I24" s="150">
        <f t="shared" si="7"/>
        <v>1580.6774138888889</v>
      </c>
      <c r="J24" s="149">
        <f>H24-I24</f>
        <v>17982.162863888887</v>
      </c>
      <c r="K24" s="149">
        <f t="shared" si="9"/>
        <v>19562840.277777776</v>
      </c>
      <c r="L24" s="149">
        <f t="shared" si="9"/>
        <v>1580677.4138888891</v>
      </c>
      <c r="M24" s="142">
        <f>M14*1000</f>
        <v>17982162.863888886</v>
      </c>
      <c r="N24" s="149">
        <f>H24*C$36</f>
        <v>8959.7808472222223</v>
      </c>
      <c r="O24" s="149">
        <f>I24*C$36</f>
        <v>723.95025556111113</v>
      </c>
      <c r="P24" s="149">
        <f>N24-O24</f>
        <v>8235.8305916611116</v>
      </c>
      <c r="Q24" s="150">
        <f>G24*(100/E24)</f>
        <v>91.920000411778418</v>
      </c>
      <c r="R24" s="149">
        <f t="shared" si="8"/>
        <v>229737.97044159545</v>
      </c>
      <c r="S24" s="142">
        <f t="shared" si="8"/>
        <v>18562.827065669517</v>
      </c>
      <c r="T24" s="142">
        <v>4.4000000000000004</v>
      </c>
      <c r="U24" s="142">
        <f>U21</f>
        <v>705.96</v>
      </c>
      <c r="V24" s="142"/>
      <c r="W24" s="142"/>
      <c r="X24" s="138" t="s">
        <v>33</v>
      </c>
      <c r="Y24" s="138">
        <v>1000</v>
      </c>
    </row>
    <row r="25" spans="1:25">
      <c r="A25" s="10"/>
      <c r="B25" s="10" t="s">
        <v>88</v>
      </c>
      <c r="C25" s="140" t="s">
        <v>33</v>
      </c>
      <c r="D25" s="140" t="s">
        <v>33</v>
      </c>
      <c r="E25" s="156" t="s">
        <v>33</v>
      </c>
      <c r="F25" s="156" t="s">
        <v>33</v>
      </c>
      <c r="G25" s="156" t="s">
        <v>33</v>
      </c>
      <c r="H25" s="150" t="str">
        <f>IF(E25="SD","-",E25/3600/1000)</f>
        <v>-</v>
      </c>
      <c r="I25" s="150" t="str">
        <f>IF(E25="SD","-",F25/3600/1000)</f>
        <v>-</v>
      </c>
      <c r="J25" s="149" t="str">
        <f>IF(E25="SD","-",H25-I25)</f>
        <v>-</v>
      </c>
      <c r="K25" s="149" t="str">
        <f>IF(E25="SD","-",K15*1000)</f>
        <v>-</v>
      </c>
      <c r="L25" s="149" t="str">
        <f>IF(E25="SD","-",L15*1000)</f>
        <v>-</v>
      </c>
      <c r="M25" s="149" t="s">
        <v>33</v>
      </c>
      <c r="N25" s="149">
        <f>N15*1000</f>
        <v>2538</v>
      </c>
      <c r="O25" s="149">
        <f>O15*1000</f>
        <v>183</v>
      </c>
      <c r="P25" s="149">
        <f>N25-O25</f>
        <v>2355</v>
      </c>
      <c r="Q25" s="150">
        <f>P25/N25*100</f>
        <v>92.789598108747043</v>
      </c>
      <c r="R25" s="149">
        <f t="shared" si="8"/>
        <v>65076.923076923078</v>
      </c>
      <c r="S25" s="142">
        <f t="shared" si="8"/>
        <v>4692.3076923076924</v>
      </c>
      <c r="T25" s="142" t="s">
        <v>33</v>
      </c>
      <c r="U25" s="142" t="s">
        <v>33</v>
      </c>
      <c r="V25" s="142"/>
      <c r="W25" s="142"/>
      <c r="X25" s="138">
        <v>40000</v>
      </c>
      <c r="Y25" s="138" t="s">
        <v>33</v>
      </c>
    </row>
    <row r="26" spans="1:25">
      <c r="A26" s="654"/>
      <c r="B26" s="654" t="s">
        <v>661</v>
      </c>
      <c r="C26" s="655"/>
      <c r="D26" s="655"/>
      <c r="E26" s="656">
        <v>70400000000</v>
      </c>
      <c r="F26" s="656"/>
      <c r="G26" s="656"/>
      <c r="H26" s="150">
        <f>E26/3600/1000</f>
        <v>19555.555555555555</v>
      </c>
      <c r="I26" s="657"/>
      <c r="J26" s="658"/>
      <c r="K26" s="658"/>
      <c r="L26" s="658"/>
      <c r="M26" s="658"/>
      <c r="N26" s="658">
        <v>2391</v>
      </c>
      <c r="O26" s="658"/>
      <c r="P26" s="658"/>
      <c r="Q26" s="657"/>
      <c r="R26" s="658"/>
      <c r="S26" s="659"/>
      <c r="T26" s="659"/>
      <c r="U26" s="659"/>
      <c r="V26" s="659"/>
      <c r="W26" s="659"/>
      <c r="X26" s="660"/>
      <c r="Y26" s="660"/>
    </row>
    <row r="27" spans="1:25">
      <c r="A27" s="654" t="s">
        <v>665</v>
      </c>
      <c r="B27" s="654" t="s">
        <v>664</v>
      </c>
      <c r="C27" s="655"/>
      <c r="D27" s="655"/>
      <c r="E27" s="656">
        <f>E17*1000</f>
        <v>69800000000</v>
      </c>
      <c r="F27" s="656">
        <f>F17*1000</f>
        <v>14800000000</v>
      </c>
      <c r="G27" s="152">
        <f>E27-F27</f>
        <v>55000000000</v>
      </c>
      <c r="H27" s="150">
        <f>E27/3600/1000</f>
        <v>19388.888888888887</v>
      </c>
      <c r="I27" s="150">
        <f t="shared" ref="I27" si="10">F27/3600/1000</f>
        <v>4111.1111111111113</v>
      </c>
      <c r="J27" s="661">
        <f>H27-I27</f>
        <v>15277.777777777776</v>
      </c>
      <c r="K27" s="658"/>
      <c r="L27" s="658"/>
      <c r="M27" s="658"/>
      <c r="N27" s="658">
        <f>N17*1000</f>
        <v>2780</v>
      </c>
      <c r="O27" s="658">
        <f>O17*1000</f>
        <v>910</v>
      </c>
      <c r="P27" s="669">
        <f>P17*1000</f>
        <v>1869.9999999999998</v>
      </c>
      <c r="Q27" s="657"/>
      <c r="R27" s="658"/>
      <c r="S27" s="659"/>
      <c r="T27" s="659"/>
      <c r="U27" s="659"/>
      <c r="V27" s="659">
        <f>V17*1000</f>
        <v>9890</v>
      </c>
      <c r="W27" s="659">
        <f t="shared" ref="W27:X27" si="11">W17*1000</f>
        <v>10300</v>
      </c>
      <c r="X27" s="665">
        <f t="shared" si="11"/>
        <v>-410.00000000000011</v>
      </c>
      <c r="Y27" s="660"/>
    </row>
    <row r="28" spans="1:25">
      <c r="A28" s="654" t="s">
        <v>666</v>
      </c>
      <c r="B28" s="654" t="s">
        <v>664</v>
      </c>
      <c r="C28" s="655"/>
      <c r="D28" s="655"/>
      <c r="E28" s="656">
        <f>E18*1000</f>
        <v>69800000000</v>
      </c>
      <c r="F28" s="656">
        <v>42300000000</v>
      </c>
      <c r="G28" s="152">
        <f>E28-F28</f>
        <v>27500000000</v>
      </c>
      <c r="H28" s="150">
        <f>E28/3600/1000</f>
        <v>19388.888888888887</v>
      </c>
      <c r="I28" s="150">
        <f t="shared" ref="I28" si="12">F28/3600/1000</f>
        <v>11750</v>
      </c>
      <c r="J28" s="661">
        <f>H28-I28</f>
        <v>7638.8888888888869</v>
      </c>
      <c r="K28" s="658"/>
      <c r="L28" s="658"/>
      <c r="M28" s="658"/>
      <c r="N28" s="658">
        <f>N18*1000</f>
        <v>2780</v>
      </c>
      <c r="O28" s="658">
        <f t="shared" ref="O28:P28" si="13">O18*1000</f>
        <v>1850</v>
      </c>
      <c r="P28" s="669">
        <f t="shared" si="13"/>
        <v>929.99999999999977</v>
      </c>
      <c r="Q28" s="657"/>
      <c r="R28" s="658"/>
      <c r="S28" s="659"/>
      <c r="T28" s="659"/>
      <c r="U28" s="659"/>
      <c r="V28" s="659">
        <f>V18*1000</f>
        <v>9890</v>
      </c>
      <c r="W28" s="659">
        <f t="shared" ref="W28:X28" si="14">W18*1000</f>
        <v>10100</v>
      </c>
      <c r="X28" s="665">
        <f t="shared" si="14"/>
        <v>-209.99999999999909</v>
      </c>
      <c r="Y28" s="660"/>
    </row>
    <row r="29" spans="1:25" s="27" customFormat="1">
      <c r="G29" s="29"/>
      <c r="H29" s="29"/>
      <c r="I29" s="29"/>
      <c r="J29" s="28"/>
      <c r="O29" s="28"/>
      <c r="Q29" s="29"/>
      <c r="S29" s="28">
        <f>O29/0.039</f>
        <v>0</v>
      </c>
    </row>
    <row r="30" spans="1:25">
      <c r="A30" s="1237" t="s">
        <v>5</v>
      </c>
      <c r="B30" s="1238"/>
      <c r="C30" s="18" t="s">
        <v>6</v>
      </c>
      <c r="D30" s="18" t="s">
        <v>7</v>
      </c>
      <c r="E30" s="18" t="s">
        <v>6</v>
      </c>
      <c r="F30" s="18" t="s">
        <v>7</v>
      </c>
      <c r="G30" s="28"/>
      <c r="H30" s="28"/>
      <c r="I30" s="28"/>
      <c r="J30" s="27"/>
      <c r="K30" s="28"/>
      <c r="L30" s="47"/>
      <c r="M30" s="27"/>
      <c r="N30" s="27"/>
      <c r="O30" s="27"/>
      <c r="P30" s="27"/>
      <c r="Q30" s="27"/>
      <c r="R30" s="28"/>
      <c r="S30" s="28"/>
      <c r="T30" s="28"/>
      <c r="U30" s="28"/>
      <c r="V30" s="28"/>
      <c r="W30" s="28"/>
      <c r="X30" s="27"/>
      <c r="Y30" s="27"/>
    </row>
    <row r="31" spans="1:25">
      <c r="A31" s="1243" t="s">
        <v>3</v>
      </c>
      <c r="B31" s="1244"/>
      <c r="C31" s="16">
        <v>80.400000000000006</v>
      </c>
      <c r="D31" s="16" t="s">
        <v>1</v>
      </c>
      <c r="E31" s="68">
        <f>C31*1000000</f>
        <v>80400000</v>
      </c>
      <c r="F31" s="16" t="s">
        <v>19</v>
      </c>
      <c r="G31" s="47"/>
      <c r="H31" s="47"/>
      <c r="I31" s="47"/>
      <c r="J31" s="27"/>
      <c r="K31" s="47"/>
      <c r="L31" s="47"/>
      <c r="M31" s="27"/>
      <c r="N31" s="27"/>
      <c r="O31" s="27"/>
      <c r="P31" s="27"/>
      <c r="Q31" s="27"/>
      <c r="R31" s="47"/>
      <c r="S31" s="47"/>
      <c r="T31" s="47"/>
      <c r="U31" s="47"/>
      <c r="V31" s="47"/>
      <c r="W31" s="47"/>
      <c r="X31" s="27"/>
      <c r="Y31" s="27"/>
    </row>
    <row r="32" spans="1:25">
      <c r="A32" s="1243" t="s">
        <v>4</v>
      </c>
      <c r="B32" s="1244"/>
      <c r="C32" s="16">
        <v>6.5</v>
      </c>
      <c r="D32" s="16" t="s">
        <v>1</v>
      </c>
      <c r="E32" s="68">
        <f>C32*1000000</f>
        <v>6500000</v>
      </c>
      <c r="F32" s="16" t="s">
        <v>19</v>
      </c>
      <c r="G32" s="28"/>
      <c r="H32" s="28"/>
      <c r="I32" s="28"/>
      <c r="J32" s="27"/>
      <c r="K32" s="28"/>
      <c r="L32" s="47"/>
      <c r="M32" s="27"/>
      <c r="N32" s="27"/>
      <c r="O32" s="27"/>
      <c r="P32" s="27"/>
      <c r="Q32" s="27"/>
      <c r="R32" s="28"/>
      <c r="S32" s="28"/>
      <c r="T32" s="28"/>
      <c r="U32" s="28"/>
      <c r="V32" s="28"/>
      <c r="W32" s="28"/>
      <c r="X32" s="27"/>
      <c r="Y32" s="27"/>
    </row>
    <row r="33" spans="1:25">
      <c r="A33" s="1243" t="s">
        <v>39</v>
      </c>
      <c r="B33" s="1244"/>
      <c r="C33" s="16">
        <v>2.605E-2</v>
      </c>
      <c r="D33" s="16" t="s">
        <v>15</v>
      </c>
      <c r="E33" s="68"/>
      <c r="F33" s="16"/>
      <c r="G33" s="28"/>
      <c r="H33" s="28"/>
      <c r="I33" s="28"/>
      <c r="J33" s="27"/>
      <c r="K33" s="28"/>
      <c r="L33" s="47"/>
      <c r="M33" s="27"/>
      <c r="N33" s="27"/>
      <c r="O33" s="27"/>
      <c r="P33" s="27"/>
      <c r="Q33" s="27"/>
      <c r="R33" s="28"/>
      <c r="S33" s="28"/>
      <c r="T33" s="28"/>
      <c r="U33" s="28"/>
      <c r="V33" s="28"/>
      <c r="W33" s="28"/>
      <c r="X33" s="27"/>
      <c r="Y33" s="27"/>
    </row>
    <row r="34" spans="1:25" ht="28.5" customHeight="1">
      <c r="A34" s="1241" t="s">
        <v>40</v>
      </c>
      <c r="B34" s="1242"/>
      <c r="C34" s="16">
        <v>3.7310000000000003E-2</v>
      </c>
      <c r="D34" s="16" t="s">
        <v>15</v>
      </c>
      <c r="E34" s="68"/>
      <c r="F34" s="16"/>
      <c r="G34" s="27"/>
      <c r="H34" s="27"/>
      <c r="I34" s="27"/>
      <c r="J34" s="27"/>
      <c r="K34" s="27"/>
      <c r="L34" s="47"/>
      <c r="M34" s="27"/>
      <c r="N34" s="27"/>
      <c r="O34" s="27"/>
      <c r="P34" s="27"/>
      <c r="Q34" s="27"/>
      <c r="R34" s="27"/>
      <c r="S34" s="27"/>
      <c r="T34" s="27"/>
      <c r="U34" s="27"/>
      <c r="V34" s="27"/>
      <c r="W34" s="27"/>
      <c r="X34" s="27"/>
      <c r="Y34" s="27"/>
    </row>
    <row r="35" spans="1:25">
      <c r="A35" s="1243" t="s">
        <v>41</v>
      </c>
      <c r="B35" s="1244"/>
      <c r="C35" s="16">
        <v>4.3959999999999999E-2</v>
      </c>
      <c r="D35" s="16" t="s">
        <v>15</v>
      </c>
      <c r="E35" s="69"/>
      <c r="F35" s="16"/>
      <c r="G35" s="27"/>
      <c r="H35" s="27"/>
      <c r="I35" s="27"/>
      <c r="J35" s="27"/>
      <c r="K35" s="28"/>
      <c r="L35" s="47"/>
      <c r="M35" s="27"/>
      <c r="N35" s="27"/>
      <c r="O35" s="27"/>
      <c r="P35" s="27"/>
      <c r="Q35" s="27"/>
      <c r="R35" s="28"/>
      <c r="S35" s="28"/>
      <c r="T35" s="28"/>
      <c r="U35" s="28"/>
      <c r="V35" s="28"/>
      <c r="W35" s="28"/>
      <c r="X35" s="27"/>
      <c r="Y35" s="27"/>
    </row>
    <row r="36" spans="1:25">
      <c r="A36" s="1237" t="s">
        <v>37</v>
      </c>
      <c r="B36" s="1238"/>
      <c r="C36" s="16">
        <v>0.45800000000000002</v>
      </c>
      <c r="D36" s="16" t="s">
        <v>51</v>
      </c>
      <c r="E36" s="16"/>
      <c r="F36" s="16"/>
      <c r="G36" s="27"/>
      <c r="H36" s="27"/>
      <c r="I36" s="27"/>
      <c r="J36" s="27"/>
      <c r="K36" s="28"/>
      <c r="L36" s="47"/>
      <c r="M36" s="27"/>
      <c r="N36" s="27"/>
      <c r="O36" s="27"/>
      <c r="P36" s="27"/>
      <c r="Q36" s="27"/>
      <c r="R36" s="28"/>
      <c r="S36" s="28"/>
      <c r="T36" s="28"/>
      <c r="U36" s="28"/>
      <c r="V36" s="28"/>
      <c r="W36" s="28"/>
      <c r="X36" s="27"/>
      <c r="Y36" s="27"/>
    </row>
    <row r="37" spans="1:25" s="27" customFormat="1">
      <c r="G37" s="70"/>
      <c r="H37" s="70"/>
      <c r="I37" s="70"/>
      <c r="Q37" s="70"/>
    </row>
    <row r="38" spans="1:25" s="27" customFormat="1">
      <c r="G38" s="29"/>
      <c r="H38" s="29"/>
      <c r="I38" s="29"/>
      <c r="Q38" s="29"/>
    </row>
    <row r="39" spans="1:25" s="27" customFormat="1">
      <c r="G39" s="29"/>
      <c r="H39" s="29"/>
      <c r="I39" s="29"/>
      <c r="Q39" s="29"/>
    </row>
    <row r="40" spans="1:25" s="27" customFormat="1">
      <c r="G40" s="29"/>
      <c r="H40" s="29"/>
      <c r="I40" s="29"/>
      <c r="Q40" s="29"/>
    </row>
    <row r="41" spans="1:25" s="27" customFormat="1">
      <c r="G41" s="29"/>
      <c r="H41" s="29"/>
      <c r="I41" s="29"/>
      <c r="Q41" s="29"/>
    </row>
    <row r="42" spans="1:25" s="27" customFormat="1">
      <c r="G42" s="29"/>
      <c r="H42" s="29"/>
      <c r="I42" s="29"/>
      <c r="Q42" s="29"/>
    </row>
    <row r="43" spans="1:25" s="27" customFormat="1">
      <c r="G43" s="29"/>
      <c r="H43" s="29"/>
      <c r="I43" s="29"/>
      <c r="Q43" s="29"/>
    </row>
    <row r="44" spans="1:25" s="27" customFormat="1">
      <c r="G44" s="29"/>
      <c r="H44" s="29"/>
      <c r="I44" s="29"/>
      <c r="Q44" s="29"/>
    </row>
    <row r="45" spans="1:25" s="27" customFormat="1">
      <c r="G45" s="29"/>
      <c r="H45" s="29"/>
      <c r="I45" s="29"/>
      <c r="Q45" s="29"/>
    </row>
    <row r="46" spans="1:25" s="27" customFormat="1">
      <c r="G46" s="29"/>
      <c r="H46" s="29"/>
      <c r="I46" s="29"/>
      <c r="Q46" s="29"/>
    </row>
    <row r="47" spans="1:25" s="27" customFormat="1">
      <c r="G47" s="29"/>
      <c r="H47" s="29"/>
      <c r="I47" s="29"/>
      <c r="Q47" s="29"/>
    </row>
    <row r="48" spans="1:25" s="27" customFormat="1">
      <c r="G48" s="29"/>
      <c r="H48" s="29"/>
      <c r="I48" s="29"/>
      <c r="Q48" s="29"/>
    </row>
    <row r="49" spans="7:17" s="27" customFormat="1">
      <c r="G49" s="29"/>
      <c r="H49" s="29"/>
      <c r="I49" s="29"/>
      <c r="Q49" s="29"/>
    </row>
    <row r="50" spans="7:17" s="27" customFormat="1">
      <c r="G50" s="29"/>
      <c r="H50" s="29"/>
      <c r="I50" s="29"/>
      <c r="Q50" s="29"/>
    </row>
    <row r="51" spans="7:17" s="27" customFormat="1">
      <c r="G51" s="29"/>
      <c r="H51" s="29"/>
      <c r="I51" s="29"/>
      <c r="Q51" s="29"/>
    </row>
    <row r="52" spans="7:17" s="27" customFormat="1">
      <c r="G52" s="29"/>
      <c r="H52" s="29"/>
      <c r="I52" s="29"/>
      <c r="Q52" s="29"/>
    </row>
    <row r="53" spans="7:17" s="27" customFormat="1">
      <c r="G53" s="29"/>
      <c r="H53" s="29"/>
      <c r="I53" s="29"/>
      <c r="Q53" s="29"/>
    </row>
    <row r="54" spans="7:17" s="27" customFormat="1">
      <c r="G54" s="29"/>
      <c r="H54" s="29"/>
      <c r="I54" s="29"/>
      <c r="Q54" s="29"/>
    </row>
    <row r="55" spans="7:17" s="27" customFormat="1">
      <c r="G55" s="29"/>
      <c r="H55" s="29"/>
      <c r="I55" s="29"/>
      <c r="Q55" s="29"/>
    </row>
    <row r="56" spans="7:17" s="27" customFormat="1">
      <c r="G56" s="29"/>
      <c r="H56" s="29"/>
      <c r="I56" s="29"/>
      <c r="Q56" s="29"/>
    </row>
    <row r="57" spans="7:17" s="27" customFormat="1">
      <c r="G57" s="29"/>
      <c r="H57" s="29"/>
      <c r="I57" s="29"/>
      <c r="Q57" s="29"/>
    </row>
    <row r="58" spans="7:17" s="27" customFormat="1">
      <c r="G58" s="29"/>
      <c r="H58" s="29"/>
      <c r="I58" s="29"/>
      <c r="Q58" s="29"/>
    </row>
    <row r="59" spans="7:17" s="27" customFormat="1">
      <c r="G59" s="29"/>
      <c r="H59" s="29"/>
      <c r="I59" s="29"/>
      <c r="Q59" s="29"/>
    </row>
    <row r="60" spans="7:17" s="27" customFormat="1">
      <c r="G60" s="29"/>
      <c r="H60" s="29"/>
      <c r="I60" s="29"/>
      <c r="Q60" s="29"/>
    </row>
    <row r="61" spans="7:17" s="27" customFormat="1">
      <c r="G61" s="29"/>
      <c r="H61" s="29"/>
      <c r="I61" s="29"/>
      <c r="Q61" s="29"/>
    </row>
    <row r="62" spans="7:17" s="27" customFormat="1">
      <c r="G62" s="29"/>
      <c r="H62" s="29"/>
      <c r="I62" s="29"/>
      <c r="Q62" s="29"/>
    </row>
    <row r="63" spans="7:17" s="27" customFormat="1">
      <c r="G63" s="29"/>
      <c r="H63" s="29"/>
      <c r="I63" s="29"/>
      <c r="Q63" s="29"/>
    </row>
    <row r="64" spans="7:17" s="27" customFormat="1">
      <c r="G64" s="29"/>
      <c r="H64" s="29"/>
      <c r="I64" s="29"/>
      <c r="Q64" s="29"/>
    </row>
    <row r="65" spans="7:17" s="27" customFormat="1">
      <c r="G65" s="29"/>
      <c r="H65" s="29"/>
      <c r="I65" s="29"/>
      <c r="Q65" s="29"/>
    </row>
    <row r="66" spans="7:17" s="27" customFormat="1">
      <c r="G66" s="29"/>
      <c r="H66" s="29"/>
      <c r="I66" s="29"/>
      <c r="Q66" s="29"/>
    </row>
    <row r="67" spans="7:17" s="27" customFormat="1">
      <c r="G67" s="29"/>
      <c r="H67" s="29"/>
      <c r="I67" s="29"/>
      <c r="Q67" s="29"/>
    </row>
    <row r="68" spans="7:17" s="27" customFormat="1">
      <c r="G68" s="29"/>
      <c r="H68" s="29"/>
      <c r="I68" s="29"/>
      <c r="Q68" s="29"/>
    </row>
    <row r="69" spans="7:17" s="27" customFormat="1">
      <c r="G69" s="29"/>
      <c r="H69" s="29"/>
      <c r="I69" s="29"/>
      <c r="Q69" s="29"/>
    </row>
    <row r="70" spans="7:17" s="27" customFormat="1">
      <c r="G70" s="29"/>
      <c r="H70" s="29"/>
      <c r="I70" s="29"/>
      <c r="Q70" s="29"/>
    </row>
    <row r="71" spans="7:17" s="27" customFormat="1">
      <c r="G71" s="29"/>
      <c r="H71" s="29"/>
      <c r="I71" s="29"/>
      <c r="Q71" s="29"/>
    </row>
    <row r="72" spans="7:17" s="27" customFormat="1">
      <c r="G72" s="29"/>
      <c r="H72" s="29"/>
      <c r="I72" s="29"/>
      <c r="Q72" s="29"/>
    </row>
    <row r="73" spans="7:17" s="27" customFormat="1">
      <c r="G73" s="29"/>
      <c r="H73" s="29"/>
      <c r="I73" s="29"/>
      <c r="Q73" s="29"/>
    </row>
    <row r="74" spans="7:17" s="27" customFormat="1">
      <c r="G74" s="29"/>
      <c r="H74" s="29"/>
      <c r="I74" s="29"/>
      <c r="Q74" s="29"/>
    </row>
    <row r="75" spans="7:17" s="27" customFormat="1">
      <c r="G75" s="29"/>
      <c r="H75" s="29"/>
      <c r="I75" s="29"/>
      <c r="Q75" s="29"/>
    </row>
    <row r="76" spans="7:17" s="27" customFormat="1">
      <c r="G76" s="29"/>
      <c r="H76" s="29"/>
      <c r="I76" s="29"/>
      <c r="Q76" s="29"/>
    </row>
    <row r="77" spans="7:17" s="27" customFormat="1">
      <c r="G77" s="29"/>
      <c r="H77" s="29"/>
      <c r="I77" s="29"/>
      <c r="Q77" s="29"/>
    </row>
    <row r="78" spans="7:17" s="27" customFormat="1">
      <c r="G78" s="29"/>
      <c r="H78" s="29"/>
      <c r="I78" s="29"/>
      <c r="Q78" s="29"/>
    </row>
    <row r="79" spans="7:17" s="27" customFormat="1">
      <c r="G79" s="29"/>
      <c r="H79" s="29"/>
      <c r="I79" s="29"/>
      <c r="Q79" s="29"/>
    </row>
    <row r="80" spans="7:17" s="27" customFormat="1">
      <c r="G80" s="29"/>
      <c r="H80" s="29"/>
      <c r="I80" s="29"/>
      <c r="Q80" s="29"/>
    </row>
    <row r="81" spans="7:17" s="27" customFormat="1">
      <c r="G81" s="29"/>
      <c r="H81" s="29"/>
      <c r="I81" s="29"/>
      <c r="Q81" s="29"/>
    </row>
    <row r="82" spans="7:17" s="27" customFormat="1">
      <c r="G82" s="29"/>
      <c r="H82" s="29"/>
      <c r="I82" s="29"/>
      <c r="Q82" s="29"/>
    </row>
    <row r="83" spans="7:17" s="27" customFormat="1">
      <c r="G83" s="29"/>
      <c r="H83" s="29"/>
      <c r="I83" s="29"/>
      <c r="Q83" s="29"/>
    </row>
    <row r="84" spans="7:17" s="27" customFormat="1">
      <c r="G84" s="29"/>
      <c r="H84" s="29"/>
      <c r="I84" s="29"/>
      <c r="Q84" s="29"/>
    </row>
    <row r="85" spans="7:17" s="27" customFormat="1">
      <c r="G85" s="29"/>
      <c r="H85" s="29"/>
      <c r="I85" s="29"/>
      <c r="Q85" s="29"/>
    </row>
    <row r="86" spans="7:17" s="27" customFormat="1">
      <c r="G86" s="29"/>
      <c r="H86" s="29"/>
      <c r="I86" s="29"/>
      <c r="Q86" s="29"/>
    </row>
    <row r="87" spans="7:17" s="27" customFormat="1">
      <c r="G87" s="29"/>
      <c r="H87" s="29"/>
      <c r="I87" s="29"/>
      <c r="Q87" s="29"/>
    </row>
    <row r="88" spans="7:17" s="27" customFormat="1">
      <c r="G88" s="29"/>
      <c r="H88" s="29"/>
      <c r="I88" s="29"/>
      <c r="Q88" s="29"/>
    </row>
    <row r="89" spans="7:17" s="27" customFormat="1">
      <c r="G89" s="29"/>
      <c r="H89" s="29"/>
      <c r="I89" s="29"/>
      <c r="Q89" s="29"/>
    </row>
    <row r="90" spans="7:17" s="27" customFormat="1">
      <c r="G90" s="29"/>
      <c r="H90" s="29"/>
      <c r="I90" s="29"/>
      <c r="Q90" s="29"/>
    </row>
    <row r="91" spans="7:17" s="27" customFormat="1">
      <c r="G91" s="29"/>
      <c r="H91" s="29"/>
      <c r="I91" s="29"/>
      <c r="Q91" s="29"/>
    </row>
    <row r="92" spans="7:17" s="27" customFormat="1">
      <c r="G92" s="29"/>
      <c r="H92" s="29"/>
      <c r="I92" s="29"/>
      <c r="Q92" s="29"/>
    </row>
    <row r="93" spans="7:17" s="27" customFormat="1">
      <c r="G93" s="29"/>
      <c r="H93" s="29"/>
      <c r="I93" s="29"/>
      <c r="Q93" s="29"/>
    </row>
    <row r="94" spans="7:17" s="27" customFormat="1">
      <c r="G94" s="29"/>
      <c r="H94" s="29"/>
      <c r="I94" s="29"/>
      <c r="Q94" s="29"/>
    </row>
    <row r="95" spans="7:17" s="27" customFormat="1">
      <c r="G95" s="29"/>
      <c r="H95" s="29"/>
      <c r="I95" s="29"/>
      <c r="Q95" s="29"/>
    </row>
    <row r="96" spans="7:17" s="27" customFormat="1">
      <c r="G96" s="29"/>
      <c r="H96" s="29"/>
      <c r="I96" s="29"/>
      <c r="Q96" s="29"/>
    </row>
    <row r="97" spans="7:17" s="27" customFormat="1">
      <c r="G97" s="29"/>
      <c r="H97" s="29"/>
      <c r="I97" s="29"/>
      <c r="Q97" s="29"/>
    </row>
    <row r="98" spans="7:17" s="27" customFormat="1">
      <c r="G98" s="29"/>
      <c r="H98" s="29"/>
      <c r="I98" s="29"/>
      <c r="Q98" s="29"/>
    </row>
    <row r="99" spans="7:17" s="27" customFormat="1">
      <c r="G99" s="29"/>
      <c r="H99" s="29"/>
      <c r="I99" s="29"/>
      <c r="Q99" s="29"/>
    </row>
    <row r="100" spans="7:17" s="27" customFormat="1">
      <c r="G100" s="29"/>
      <c r="H100" s="29"/>
      <c r="I100" s="29"/>
      <c r="Q100" s="29"/>
    </row>
    <row r="101" spans="7:17" s="27" customFormat="1">
      <c r="G101" s="29"/>
      <c r="H101" s="29"/>
      <c r="I101" s="29"/>
      <c r="Q101" s="29"/>
    </row>
    <row r="102" spans="7:17" s="27" customFormat="1">
      <c r="G102" s="29"/>
      <c r="H102" s="29"/>
      <c r="I102" s="29"/>
      <c r="Q102" s="29"/>
    </row>
    <row r="103" spans="7:17" s="27" customFormat="1">
      <c r="G103" s="29"/>
      <c r="H103" s="29"/>
      <c r="I103" s="29"/>
      <c r="Q103" s="29"/>
    </row>
    <row r="104" spans="7:17" s="27" customFormat="1">
      <c r="G104" s="29"/>
      <c r="H104" s="29"/>
      <c r="I104" s="29"/>
      <c r="Q104" s="29"/>
    </row>
    <row r="105" spans="7:17" s="27" customFormat="1">
      <c r="G105" s="29"/>
      <c r="H105" s="29"/>
      <c r="I105" s="29"/>
      <c r="Q105" s="29"/>
    </row>
    <row r="106" spans="7:17" s="27" customFormat="1">
      <c r="G106" s="29"/>
      <c r="H106" s="29"/>
      <c r="I106" s="29"/>
      <c r="Q106" s="29"/>
    </row>
    <row r="107" spans="7:17" s="27" customFormat="1">
      <c r="G107" s="29"/>
      <c r="H107" s="29"/>
      <c r="I107" s="29"/>
      <c r="Q107" s="29"/>
    </row>
    <row r="108" spans="7:17" s="27" customFormat="1">
      <c r="G108" s="29"/>
      <c r="H108" s="29"/>
      <c r="I108" s="29"/>
      <c r="Q108" s="29"/>
    </row>
    <row r="109" spans="7:17" s="27" customFormat="1">
      <c r="G109" s="29"/>
      <c r="H109" s="29"/>
      <c r="I109" s="29"/>
      <c r="Q109" s="29"/>
    </row>
    <row r="110" spans="7:17" s="27" customFormat="1">
      <c r="G110" s="29"/>
      <c r="H110" s="29"/>
      <c r="I110" s="29"/>
      <c r="Q110" s="29"/>
    </row>
    <row r="111" spans="7:17" s="27" customFormat="1">
      <c r="G111" s="29"/>
      <c r="H111" s="29"/>
      <c r="I111" s="29"/>
      <c r="Q111" s="29"/>
    </row>
    <row r="112" spans="7:17" s="27" customFormat="1">
      <c r="G112" s="29"/>
      <c r="H112" s="29"/>
      <c r="I112" s="29"/>
      <c r="Q112" s="29"/>
    </row>
    <row r="113" spans="7:17" s="27" customFormat="1">
      <c r="G113" s="29"/>
      <c r="H113" s="29"/>
      <c r="I113" s="29"/>
      <c r="Q113" s="29"/>
    </row>
    <row r="114" spans="7:17" s="27" customFormat="1">
      <c r="G114" s="29"/>
      <c r="H114" s="29"/>
      <c r="I114" s="29"/>
      <c r="Q114" s="29"/>
    </row>
    <row r="115" spans="7:17" s="27" customFormat="1">
      <c r="G115" s="29"/>
      <c r="H115" s="29"/>
      <c r="I115" s="29"/>
      <c r="Q115" s="29"/>
    </row>
    <row r="116" spans="7:17" s="27" customFormat="1">
      <c r="G116" s="29"/>
      <c r="H116" s="29"/>
      <c r="I116" s="29"/>
      <c r="Q116" s="29"/>
    </row>
    <row r="117" spans="7:17" s="27" customFormat="1">
      <c r="G117" s="29"/>
      <c r="H117" s="29"/>
      <c r="I117" s="29"/>
      <c r="Q117" s="29"/>
    </row>
    <row r="118" spans="7:17" s="27" customFormat="1">
      <c r="G118" s="29"/>
      <c r="H118" s="29"/>
      <c r="I118" s="29"/>
      <c r="Q118" s="29"/>
    </row>
    <row r="119" spans="7:17" s="27" customFormat="1">
      <c r="G119" s="29"/>
      <c r="H119" s="29"/>
      <c r="I119" s="29"/>
      <c r="Q119" s="29"/>
    </row>
    <row r="120" spans="7:17" s="27" customFormat="1">
      <c r="G120" s="29"/>
      <c r="H120" s="29"/>
      <c r="I120" s="29"/>
      <c r="Q120" s="29"/>
    </row>
    <row r="121" spans="7:17" s="27" customFormat="1">
      <c r="G121" s="29"/>
      <c r="H121" s="29"/>
      <c r="I121" s="29"/>
      <c r="Q121" s="29"/>
    </row>
    <row r="122" spans="7:17" s="27" customFormat="1">
      <c r="G122" s="29"/>
      <c r="H122" s="29"/>
      <c r="I122" s="29"/>
      <c r="Q122" s="29"/>
    </row>
    <row r="123" spans="7:17" s="27" customFormat="1">
      <c r="G123" s="29"/>
      <c r="H123" s="29"/>
      <c r="I123" s="29"/>
      <c r="Q123" s="29"/>
    </row>
    <row r="124" spans="7:17" s="27" customFormat="1">
      <c r="G124" s="29"/>
      <c r="H124" s="29"/>
      <c r="I124" s="29"/>
      <c r="Q124" s="29"/>
    </row>
    <row r="125" spans="7:17" s="27" customFormat="1">
      <c r="G125" s="29"/>
      <c r="H125" s="29"/>
      <c r="I125" s="29"/>
      <c r="Q125" s="29"/>
    </row>
    <row r="126" spans="7:17" s="27" customFormat="1">
      <c r="G126" s="29"/>
      <c r="H126" s="29"/>
      <c r="I126" s="29"/>
      <c r="Q126" s="29"/>
    </row>
    <row r="127" spans="7:17" s="27" customFormat="1">
      <c r="G127" s="29"/>
      <c r="H127" s="29"/>
      <c r="I127" s="29"/>
      <c r="Q127" s="29"/>
    </row>
    <row r="128" spans="7:17" s="27" customFormat="1">
      <c r="G128" s="29"/>
      <c r="H128" s="29"/>
      <c r="I128" s="29"/>
      <c r="Q128" s="29"/>
    </row>
    <row r="129" spans="7:17" s="27" customFormat="1">
      <c r="G129" s="29"/>
      <c r="H129" s="29"/>
      <c r="I129" s="29"/>
      <c r="Q129" s="29"/>
    </row>
    <row r="130" spans="7:17" s="27" customFormat="1">
      <c r="G130" s="29"/>
      <c r="H130" s="29"/>
      <c r="I130" s="29"/>
      <c r="Q130" s="29"/>
    </row>
    <row r="131" spans="7:17" s="27" customFormat="1">
      <c r="G131" s="29"/>
      <c r="H131" s="29"/>
      <c r="I131" s="29"/>
      <c r="Q131" s="29"/>
    </row>
    <row r="132" spans="7:17" s="27" customFormat="1">
      <c r="G132" s="29"/>
      <c r="H132" s="29"/>
      <c r="I132" s="29"/>
      <c r="Q132" s="29"/>
    </row>
    <row r="133" spans="7:17" s="27" customFormat="1">
      <c r="G133" s="29"/>
      <c r="H133" s="29"/>
      <c r="I133" s="29"/>
      <c r="Q133" s="29"/>
    </row>
    <row r="134" spans="7:17" s="27" customFormat="1">
      <c r="G134" s="29"/>
      <c r="H134" s="29"/>
      <c r="I134" s="29"/>
      <c r="Q134" s="29"/>
    </row>
    <row r="135" spans="7:17" s="27" customFormat="1">
      <c r="G135" s="29"/>
      <c r="H135" s="29"/>
      <c r="I135" s="29"/>
      <c r="Q135" s="29"/>
    </row>
    <row r="136" spans="7:17" s="27" customFormat="1">
      <c r="G136" s="29"/>
      <c r="H136" s="29"/>
      <c r="I136" s="29"/>
      <c r="Q136" s="29"/>
    </row>
    <row r="137" spans="7:17" s="27" customFormat="1">
      <c r="G137" s="29"/>
      <c r="H137" s="29"/>
      <c r="I137" s="29"/>
      <c r="Q137" s="29"/>
    </row>
    <row r="138" spans="7:17" s="27" customFormat="1">
      <c r="G138" s="29"/>
      <c r="H138" s="29"/>
      <c r="I138" s="29"/>
      <c r="Q138" s="29"/>
    </row>
    <row r="139" spans="7:17" s="27" customFormat="1">
      <c r="G139" s="29"/>
      <c r="H139" s="29"/>
      <c r="I139" s="29"/>
      <c r="Q139" s="29"/>
    </row>
    <row r="140" spans="7:17" s="27" customFormat="1">
      <c r="G140" s="29"/>
      <c r="H140" s="29"/>
      <c r="I140" s="29"/>
      <c r="Q140" s="29"/>
    </row>
    <row r="141" spans="7:17" s="27" customFormat="1">
      <c r="G141" s="29"/>
      <c r="H141" s="29"/>
      <c r="I141" s="29"/>
      <c r="Q141" s="29"/>
    </row>
    <row r="142" spans="7:17" s="27" customFormat="1">
      <c r="G142" s="29"/>
      <c r="H142" s="29"/>
      <c r="I142" s="29"/>
      <c r="Q142" s="29"/>
    </row>
    <row r="143" spans="7:17" s="27" customFormat="1">
      <c r="G143" s="29"/>
      <c r="H143" s="29"/>
      <c r="I143" s="29"/>
      <c r="Q143" s="29"/>
    </row>
    <row r="144" spans="7:17" s="27" customFormat="1">
      <c r="G144" s="29"/>
      <c r="H144" s="29"/>
      <c r="I144" s="29"/>
      <c r="Q144" s="29"/>
    </row>
    <row r="145" spans="7:17" s="27" customFormat="1">
      <c r="G145" s="29"/>
      <c r="H145" s="29"/>
      <c r="I145" s="29"/>
      <c r="Q145" s="29"/>
    </row>
    <row r="146" spans="7:17" s="27" customFormat="1">
      <c r="G146" s="29"/>
      <c r="H146" s="29"/>
      <c r="I146" s="29"/>
      <c r="Q146" s="29"/>
    </row>
    <row r="147" spans="7:17" s="27" customFormat="1">
      <c r="G147" s="29"/>
      <c r="H147" s="29"/>
      <c r="I147" s="29"/>
      <c r="Q147" s="29"/>
    </row>
  </sheetData>
  <mergeCells count="9">
    <mergeCell ref="A1:Y1"/>
    <mergeCell ref="A36:B36"/>
    <mergeCell ref="A2:Y2"/>
    <mergeCell ref="A34:B34"/>
    <mergeCell ref="A30:B30"/>
    <mergeCell ref="A31:B31"/>
    <mergeCell ref="A32:B32"/>
    <mergeCell ref="A33:B33"/>
    <mergeCell ref="A35:B35"/>
  </mergeCell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sheetPr>
  <dimension ref="A1:BP230"/>
  <sheetViews>
    <sheetView workbookViewId="0">
      <selection sqref="A1:U1"/>
    </sheetView>
  </sheetViews>
  <sheetFormatPr baseColWidth="10" defaultRowHeight="15"/>
  <cols>
    <col min="1" max="1" width="14.42578125" customWidth="1"/>
    <col min="2" max="2" width="21.42578125" customWidth="1"/>
    <col min="3" max="3" width="12.42578125" customWidth="1"/>
    <col min="4" max="4" width="15" customWidth="1"/>
    <col min="5" max="5" width="21" customWidth="1"/>
    <col min="6" max="6" width="21.140625" customWidth="1"/>
    <col min="7" max="7" width="17" customWidth="1"/>
    <col min="8" max="8" width="24.7109375" customWidth="1"/>
    <col min="9" max="9" width="24" customWidth="1"/>
    <col min="10" max="10" width="15" customWidth="1"/>
    <col min="11" max="11" width="23.42578125" customWidth="1"/>
    <col min="12" max="12" width="20.42578125" customWidth="1"/>
    <col min="13" max="13" width="15.42578125" customWidth="1"/>
    <col min="14" max="14" width="23.42578125" customWidth="1"/>
    <col min="15" max="15" width="22.7109375" customWidth="1"/>
    <col min="16" max="16" width="13.42578125" customWidth="1"/>
    <col min="17" max="17" width="10.42578125" style="4" customWidth="1"/>
    <col min="18" max="18" width="28.42578125" style="4" customWidth="1"/>
    <col min="19" max="19" width="27.42578125" style="4" customWidth="1"/>
    <col min="20" max="20" width="16.42578125" customWidth="1"/>
    <col min="21" max="24" width="16.7109375" style="4" customWidth="1"/>
    <col min="25" max="66" width="10.85546875" style="27"/>
  </cols>
  <sheetData>
    <row r="1" spans="1:66" s="27" customFormat="1" ht="120" customHeight="1" thickBot="1">
      <c r="A1" s="1236" t="s">
        <v>145</v>
      </c>
      <c r="B1" s="1236"/>
      <c r="C1" s="1236"/>
      <c r="D1" s="1236"/>
      <c r="E1" s="1236"/>
      <c r="F1" s="1236"/>
      <c r="G1" s="1236"/>
      <c r="H1" s="1236"/>
      <c r="I1" s="1236"/>
      <c r="J1" s="1236"/>
      <c r="K1" s="1236"/>
      <c r="L1" s="1236"/>
      <c r="M1" s="1236"/>
      <c r="N1" s="1236"/>
      <c r="O1" s="1236"/>
      <c r="P1" s="1236"/>
      <c r="Q1" s="1236"/>
      <c r="R1" s="1236"/>
      <c r="S1" s="1236"/>
      <c r="T1" s="1236"/>
      <c r="U1" s="1236"/>
      <c r="V1" s="666"/>
      <c r="W1" s="666"/>
      <c r="X1" s="666"/>
    </row>
    <row r="2" spans="1:66" s="88" customFormat="1" ht="69.75" customHeight="1" thickBot="1">
      <c r="A2" s="1246" t="s">
        <v>146</v>
      </c>
      <c r="B2" s="1246"/>
      <c r="C2" s="1246"/>
      <c r="D2" s="1246"/>
      <c r="E2" s="1246"/>
      <c r="F2" s="1246"/>
      <c r="G2" s="1246"/>
      <c r="H2" s="1246"/>
      <c r="I2" s="1246"/>
      <c r="J2" s="1246"/>
      <c r="K2" s="1246"/>
      <c r="L2" s="1246"/>
      <c r="M2" s="1246"/>
      <c r="N2" s="1246"/>
      <c r="O2" s="1246"/>
      <c r="P2" s="1246"/>
      <c r="Q2" s="1246"/>
      <c r="R2" s="1246"/>
      <c r="S2" s="1246"/>
      <c r="T2" s="1246"/>
      <c r="U2" s="1246"/>
      <c r="V2" s="667"/>
      <c r="W2" s="667"/>
      <c r="X2" s="66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row>
    <row r="3" spans="1:66" s="5" customFormat="1" ht="60" customHeight="1" thickBot="1">
      <c r="A3" s="83" t="s">
        <v>106</v>
      </c>
      <c r="B3" s="83" t="s">
        <v>14</v>
      </c>
      <c r="C3" s="83" t="s">
        <v>17</v>
      </c>
      <c r="D3" s="83" t="s">
        <v>64</v>
      </c>
      <c r="E3" s="83" t="s">
        <v>111</v>
      </c>
      <c r="F3" s="83" t="s">
        <v>128</v>
      </c>
      <c r="G3" s="84" t="s">
        <v>109</v>
      </c>
      <c r="H3" s="84" t="s">
        <v>131</v>
      </c>
      <c r="I3" s="84" t="s">
        <v>132</v>
      </c>
      <c r="J3" s="84" t="s">
        <v>52</v>
      </c>
      <c r="K3" s="84" t="s">
        <v>107</v>
      </c>
      <c r="L3" s="84" t="s">
        <v>108</v>
      </c>
      <c r="M3" s="83" t="s">
        <v>130</v>
      </c>
      <c r="N3" s="83" t="s">
        <v>134</v>
      </c>
      <c r="O3" s="83" t="s">
        <v>135</v>
      </c>
      <c r="P3" s="83" t="s">
        <v>127</v>
      </c>
      <c r="Q3" s="84" t="s">
        <v>112</v>
      </c>
      <c r="R3" s="84" t="s">
        <v>136</v>
      </c>
      <c r="S3" s="84" t="s">
        <v>126</v>
      </c>
      <c r="T3" s="83" t="s">
        <v>117</v>
      </c>
      <c r="U3" s="83" t="s">
        <v>118</v>
      </c>
      <c r="V3" s="83" t="s">
        <v>672</v>
      </c>
      <c r="W3" s="83" t="s">
        <v>673</v>
      </c>
      <c r="X3" s="83" t="s">
        <v>674</v>
      </c>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row>
    <row r="4" spans="1:66">
      <c r="A4" s="81" t="s">
        <v>7</v>
      </c>
      <c r="B4" s="82" t="s">
        <v>36</v>
      </c>
      <c r="C4" s="163">
        <f>C32</f>
        <v>2.4E-2</v>
      </c>
      <c r="D4" s="163">
        <f>C4*1000</f>
        <v>24</v>
      </c>
      <c r="E4" s="163">
        <f>E10/C10</f>
        <v>1672800</v>
      </c>
      <c r="F4" s="164">
        <f>F10/C10</f>
        <v>151200</v>
      </c>
      <c r="G4" s="165">
        <f>E4-F4</f>
        <v>1521600</v>
      </c>
      <c r="H4" s="165">
        <f>E4/3600/1000</f>
        <v>0.46466666666666667</v>
      </c>
      <c r="I4" s="165">
        <f>F4/3600/1000</f>
        <v>4.2000000000000003E-2</v>
      </c>
      <c r="J4" s="165">
        <f>H4-I4</f>
        <v>0.42266666666666669</v>
      </c>
      <c r="K4" s="165">
        <f t="shared" ref="K4:L7" si="0">E4/3600</f>
        <v>464.66666666666669</v>
      </c>
      <c r="L4" s="165">
        <f t="shared" si="0"/>
        <v>42</v>
      </c>
      <c r="M4" s="164">
        <f>K4-L4</f>
        <v>422.66666666666669</v>
      </c>
      <c r="N4" s="163">
        <f>H4*C$33</f>
        <v>0.21281733333333333</v>
      </c>
      <c r="O4" s="163">
        <f>I4*C$33</f>
        <v>1.9236000000000003E-2</v>
      </c>
      <c r="P4" s="164">
        <f>N4-O4</f>
        <v>0.19358133333333333</v>
      </c>
      <c r="Q4" s="165">
        <f>P4*(100/N4)</f>
        <v>90.961262553802001</v>
      </c>
      <c r="R4" s="165">
        <f t="shared" ref="R4:S7" si="1">N4/0.039</f>
        <v>5.4568547008547004</v>
      </c>
      <c r="S4" s="165">
        <f t="shared" si="1"/>
        <v>0.49323076923076931</v>
      </c>
      <c r="T4" s="163">
        <f>T19/C19</f>
        <v>1.0656000000000001E-4</v>
      </c>
      <c r="U4" s="163">
        <f>U10/C10</f>
        <v>1.6943040000000003E-2</v>
      </c>
      <c r="V4" s="163"/>
      <c r="W4" s="163"/>
      <c r="X4" s="163"/>
    </row>
    <row r="5" spans="1:66">
      <c r="A5" s="75" t="s">
        <v>7</v>
      </c>
      <c r="B5" s="76" t="s">
        <v>94</v>
      </c>
      <c r="C5" s="166">
        <v>4.4999999999999998E-2</v>
      </c>
      <c r="D5" s="166">
        <f>C5*1000</f>
        <v>45</v>
      </c>
      <c r="E5" s="166">
        <f>E21/C21</f>
        <v>383578.74</v>
      </c>
      <c r="F5" s="167">
        <f>F21/C21</f>
        <v>34671.682305000002</v>
      </c>
      <c r="G5" s="168">
        <f>E5-F5</f>
        <v>348907.05769499997</v>
      </c>
      <c r="H5" s="168">
        <f>E5/3600/1000</f>
        <v>0.10654965</v>
      </c>
      <c r="I5" s="168">
        <f>F5/3600/1000</f>
        <v>9.6310228624999997E-3</v>
      </c>
      <c r="J5" s="168">
        <f>H5-I5</f>
        <v>9.6918627137499991E-2</v>
      </c>
      <c r="K5" s="168">
        <f t="shared" si="0"/>
        <v>106.54965</v>
      </c>
      <c r="L5" s="168">
        <f t="shared" si="0"/>
        <v>9.6310228625000001</v>
      </c>
      <c r="M5" s="167">
        <f>K5-L5</f>
        <v>96.918627137499996</v>
      </c>
      <c r="N5" s="166">
        <f>H5*C$33</f>
        <v>4.8799739699999997E-2</v>
      </c>
      <c r="O5" s="166">
        <f>I5*C$33</f>
        <v>4.4110084710250004E-3</v>
      </c>
      <c r="P5" s="167">
        <f>N5-O5</f>
        <v>4.4388731228974999E-2</v>
      </c>
      <c r="Q5" s="168">
        <f>P5*(100/N5)</f>
        <v>90.961000000938526</v>
      </c>
      <c r="R5" s="168">
        <f t="shared" si="1"/>
        <v>1.2512753769230769</v>
      </c>
      <c r="S5" s="168">
        <f t="shared" si="1"/>
        <v>0.11310278130833334</v>
      </c>
      <c r="T5" s="166">
        <f>T21/C21</f>
        <v>1.998E-4</v>
      </c>
      <c r="U5" s="166">
        <f>U21/C21</f>
        <v>3.1768200000000003E-2</v>
      </c>
      <c r="V5" s="166"/>
      <c r="W5" s="166"/>
      <c r="X5" s="166"/>
    </row>
    <row r="6" spans="1:66">
      <c r="A6" s="75" t="s">
        <v>7</v>
      </c>
      <c r="B6" s="76" t="s">
        <v>86</v>
      </c>
      <c r="C6" s="166">
        <v>8.1200000000000005E-3</v>
      </c>
      <c r="D6" s="166">
        <f>C6*1000</f>
        <v>8.120000000000001</v>
      </c>
      <c r="E6" s="166">
        <v>22140</v>
      </c>
      <c r="F6" s="167" t="s">
        <v>33</v>
      </c>
      <c r="G6" s="167" t="s">
        <v>33</v>
      </c>
      <c r="H6" s="168">
        <f>E6/3600/1000</f>
        <v>6.1500000000000001E-3</v>
      </c>
      <c r="I6" s="167" t="s">
        <v>33</v>
      </c>
      <c r="J6" s="168" t="e">
        <f>H6-I6</f>
        <v>#VALUE!</v>
      </c>
      <c r="K6" s="168">
        <f t="shared" si="0"/>
        <v>6.15</v>
      </c>
      <c r="L6" s="168" t="e">
        <f t="shared" si="0"/>
        <v>#VALUE!</v>
      </c>
      <c r="M6" s="167" t="s">
        <v>33</v>
      </c>
      <c r="N6" s="166">
        <f>H6*C$33</f>
        <v>2.8167000000000001E-3</v>
      </c>
      <c r="O6" s="166" t="s">
        <v>33</v>
      </c>
      <c r="P6" s="167" t="s">
        <v>33</v>
      </c>
      <c r="Q6" s="167" t="s">
        <v>33</v>
      </c>
      <c r="R6" s="168">
        <f t="shared" si="1"/>
        <v>7.2223076923076931E-2</v>
      </c>
      <c r="S6" s="168" t="e">
        <f t="shared" si="1"/>
        <v>#VALUE!</v>
      </c>
      <c r="T6" s="166" t="s">
        <v>33</v>
      </c>
      <c r="U6" s="166" t="s">
        <v>33</v>
      </c>
      <c r="V6" s="166"/>
      <c r="W6" s="166"/>
      <c r="X6" s="166"/>
    </row>
    <row r="7" spans="1:66">
      <c r="A7" s="75"/>
      <c r="B7" s="75" t="s">
        <v>89</v>
      </c>
      <c r="C7" s="166" t="s">
        <v>33</v>
      </c>
      <c r="D7" s="166" t="s">
        <v>33</v>
      </c>
      <c r="E7" s="166">
        <f>E23/C23</f>
        <v>22139.999999999996</v>
      </c>
      <c r="F7" s="167" t="s">
        <v>33</v>
      </c>
      <c r="G7" s="167" t="s">
        <v>33</v>
      </c>
      <c r="H7" s="168">
        <f>E7/3600/1000</f>
        <v>6.1499999999999983E-3</v>
      </c>
      <c r="I7" s="168" t="e">
        <f>F7/3600/1000</f>
        <v>#VALUE!</v>
      </c>
      <c r="J7" s="168" t="e">
        <f>H7-I7</f>
        <v>#VALUE!</v>
      </c>
      <c r="K7" s="168">
        <f t="shared" si="0"/>
        <v>6.1499999999999986</v>
      </c>
      <c r="L7" s="168" t="e">
        <f t="shared" si="0"/>
        <v>#VALUE!</v>
      </c>
      <c r="M7" s="167" t="e">
        <f>K7-L7</f>
        <v>#VALUE!</v>
      </c>
      <c r="N7" s="166" t="s">
        <v>33</v>
      </c>
      <c r="O7" s="166" t="s">
        <v>33</v>
      </c>
      <c r="P7" s="167" t="e">
        <f>N7-O7</f>
        <v>#VALUE!</v>
      </c>
      <c r="Q7" s="167" t="s">
        <v>33</v>
      </c>
      <c r="R7" s="168" t="e">
        <f t="shared" si="1"/>
        <v>#VALUE!</v>
      </c>
      <c r="S7" s="168" t="e">
        <f t="shared" si="1"/>
        <v>#VALUE!</v>
      </c>
      <c r="T7" s="166" t="s">
        <v>33</v>
      </c>
      <c r="U7" s="166" t="s">
        <v>33</v>
      </c>
      <c r="V7" s="166"/>
      <c r="W7" s="166"/>
      <c r="X7" s="166"/>
    </row>
    <row r="8" spans="1:66" s="27" customFormat="1">
      <c r="C8" s="132"/>
      <c r="D8" s="132"/>
      <c r="E8" s="132"/>
      <c r="F8" s="133"/>
      <c r="G8" s="134"/>
      <c r="H8" s="134"/>
      <c r="I8" s="134"/>
      <c r="J8" s="134"/>
      <c r="K8" s="134"/>
      <c r="L8" s="134"/>
      <c r="M8" s="133"/>
      <c r="N8" s="132"/>
      <c r="O8" s="132"/>
      <c r="P8" s="132"/>
      <c r="Q8" s="134"/>
      <c r="R8" s="134"/>
      <c r="S8" s="134"/>
      <c r="T8" s="132"/>
      <c r="U8" s="132"/>
      <c r="V8" s="132"/>
      <c r="W8" s="132"/>
      <c r="X8" s="132"/>
    </row>
    <row r="9" spans="1:66">
      <c r="A9" s="17"/>
      <c r="B9" s="17"/>
      <c r="C9" s="161" t="s">
        <v>35</v>
      </c>
      <c r="D9" s="161"/>
      <c r="E9" s="161"/>
      <c r="F9" s="161"/>
      <c r="G9" s="162"/>
      <c r="H9" s="162"/>
      <c r="I9" s="162"/>
      <c r="J9" s="162"/>
      <c r="K9" s="162"/>
      <c r="L9" s="162"/>
      <c r="M9" s="161"/>
      <c r="N9" s="161"/>
      <c r="O9" s="161"/>
      <c r="P9" s="161"/>
      <c r="Q9" s="162"/>
      <c r="R9" s="162"/>
      <c r="S9" s="162"/>
      <c r="T9" s="161"/>
      <c r="U9" s="161"/>
      <c r="V9" s="161"/>
      <c r="W9" s="161"/>
      <c r="X9" s="161"/>
    </row>
    <row r="10" spans="1:66">
      <c r="A10" s="75" t="s">
        <v>15</v>
      </c>
      <c r="B10" s="76" t="s">
        <v>36</v>
      </c>
      <c r="C10" s="167">
        <f>1/C4</f>
        <v>41.666666666666664</v>
      </c>
      <c r="D10" s="167">
        <f>C10*C4</f>
        <v>1</v>
      </c>
      <c r="E10" s="166">
        <f>E30</f>
        <v>69700000</v>
      </c>
      <c r="F10" s="167">
        <f>E31</f>
        <v>6300000</v>
      </c>
      <c r="G10" s="168">
        <f>E10-F10</f>
        <v>63400000</v>
      </c>
      <c r="H10" s="168">
        <f t="shared" ref="H10:I15" si="2">E10/3600/1000</f>
        <v>19.361111111111111</v>
      </c>
      <c r="I10" s="168">
        <f>F10/3600/1000</f>
        <v>1.75</v>
      </c>
      <c r="J10" s="396">
        <f>H10-I10</f>
        <v>17.611111111111111</v>
      </c>
      <c r="K10" s="168">
        <f t="shared" ref="K10:L13" si="3">E10/3600</f>
        <v>19361.111111111109</v>
      </c>
      <c r="L10" s="168">
        <f t="shared" si="3"/>
        <v>1750</v>
      </c>
      <c r="M10" s="167">
        <f>K10-L10</f>
        <v>17611.111111111109</v>
      </c>
      <c r="N10" s="166">
        <f>H10*C$33</f>
        <v>8.8673888888888897</v>
      </c>
      <c r="O10" s="166">
        <f>I10*C$33</f>
        <v>0.80149999999999999</v>
      </c>
      <c r="P10" s="167">
        <f>N10-O10</f>
        <v>8.0658888888888889</v>
      </c>
      <c r="Q10" s="168">
        <f>P10*(100/N10)</f>
        <v>90.961262553802001</v>
      </c>
      <c r="R10" s="168">
        <f t="shared" ref="R10:S13" si="4">N10/0.039</f>
        <v>227.3689458689459</v>
      </c>
      <c r="S10" s="168">
        <f t="shared" si="4"/>
        <v>20.551282051282051</v>
      </c>
      <c r="T10" s="166">
        <f>T19/1000</f>
        <v>4.4400000000000004E-3</v>
      </c>
      <c r="U10" s="166">
        <f>U19/1000</f>
        <v>0.70596000000000003</v>
      </c>
      <c r="V10" s="166"/>
      <c r="W10" s="166"/>
      <c r="X10" s="166"/>
    </row>
    <row r="11" spans="1:66">
      <c r="A11" s="75" t="s">
        <v>15</v>
      </c>
      <c r="B11" s="76" t="s">
        <v>94</v>
      </c>
      <c r="C11" s="167">
        <f>1/C5</f>
        <v>22.222222222222221</v>
      </c>
      <c r="D11" s="167">
        <f>C11*C5</f>
        <v>0.99999999999999989</v>
      </c>
      <c r="E11" s="166">
        <f>E21/1000</f>
        <v>8523972</v>
      </c>
      <c r="F11" s="167">
        <f>F5*C11</f>
        <v>770481.82900000003</v>
      </c>
      <c r="G11" s="168">
        <f>E11-F11</f>
        <v>7753490.1710000001</v>
      </c>
      <c r="H11" s="168">
        <f t="shared" si="2"/>
        <v>2.3677700000000002</v>
      </c>
      <c r="I11" s="168">
        <f t="shared" si="2"/>
        <v>0.2140227302777778</v>
      </c>
      <c r="J11" s="168">
        <f>H11-I11</f>
        <v>2.1537472697222224</v>
      </c>
      <c r="K11" s="168">
        <f t="shared" si="3"/>
        <v>2367.77</v>
      </c>
      <c r="L11" s="168">
        <f t="shared" si="3"/>
        <v>214.02273027777778</v>
      </c>
      <c r="M11" s="167">
        <f>K11-L11</f>
        <v>2153.747269722222</v>
      </c>
      <c r="N11" s="166">
        <f>H11*C$33</f>
        <v>1.0844386600000002</v>
      </c>
      <c r="O11" s="166">
        <f>I11*C$33</f>
        <v>9.8022410467222237E-2</v>
      </c>
      <c r="P11" s="167">
        <f>N11-O11</f>
        <v>0.98641624953277796</v>
      </c>
      <c r="Q11" s="168">
        <f>P11*(100/N11)</f>
        <v>90.961000000938526</v>
      </c>
      <c r="R11" s="168">
        <f t="shared" si="4"/>
        <v>27.806119487179494</v>
      </c>
      <c r="S11" s="168">
        <f t="shared" si="4"/>
        <v>2.5133951401851857</v>
      </c>
      <c r="T11" s="166">
        <f>T19/1000</f>
        <v>4.4400000000000004E-3</v>
      </c>
      <c r="U11" s="166">
        <f>U21/1000</f>
        <v>0.70596000000000003</v>
      </c>
      <c r="V11" s="166"/>
      <c r="W11" s="166"/>
      <c r="X11" s="166"/>
    </row>
    <row r="12" spans="1:66">
      <c r="A12" s="75" t="s">
        <v>15</v>
      </c>
      <c r="B12" s="76" t="s">
        <v>86</v>
      </c>
      <c r="C12" s="167">
        <f>1/C6</f>
        <v>123.15270935960591</v>
      </c>
      <c r="D12" s="167">
        <f>C12*C6</f>
        <v>1</v>
      </c>
      <c r="E12" s="166">
        <f>E6*C12</f>
        <v>2726600.9852216747</v>
      </c>
      <c r="F12" s="167"/>
      <c r="G12" s="168"/>
      <c r="H12" s="168">
        <f t="shared" si="2"/>
        <v>0.75738916256157629</v>
      </c>
      <c r="I12" s="168">
        <f t="shared" si="2"/>
        <v>0</v>
      </c>
      <c r="J12" s="167" t="s">
        <v>33</v>
      </c>
      <c r="K12" s="168">
        <f t="shared" si="3"/>
        <v>757.38916256157631</v>
      </c>
      <c r="L12" s="168">
        <f t="shared" si="3"/>
        <v>0</v>
      </c>
      <c r="M12" s="167" t="s">
        <v>33</v>
      </c>
      <c r="N12" s="166">
        <f>H12*C$33</f>
        <v>0.34688423645320193</v>
      </c>
      <c r="O12" s="166">
        <f>I12*C$33</f>
        <v>0</v>
      </c>
      <c r="P12" s="167">
        <f>N12-O12</f>
        <v>0.34688423645320193</v>
      </c>
      <c r="Q12" s="167" t="s">
        <v>33</v>
      </c>
      <c r="R12" s="168">
        <f t="shared" si="4"/>
        <v>8.8944676013641519</v>
      </c>
      <c r="S12" s="168">
        <f t="shared" si="4"/>
        <v>0</v>
      </c>
      <c r="T12" s="166"/>
      <c r="U12" s="166"/>
      <c r="V12" s="166"/>
      <c r="W12" s="166"/>
      <c r="X12" s="166"/>
    </row>
    <row r="13" spans="1:66">
      <c r="A13" s="75"/>
      <c r="B13" s="75" t="s">
        <v>89</v>
      </c>
      <c r="C13" s="166" t="s">
        <v>33</v>
      </c>
      <c r="D13" s="166" t="s">
        <v>33</v>
      </c>
      <c r="E13" s="166">
        <f>E23/1000</f>
        <v>2726600.9852216747</v>
      </c>
      <c r="F13" s="167" t="s">
        <v>33</v>
      </c>
      <c r="G13" s="167" t="s">
        <v>33</v>
      </c>
      <c r="H13" s="168">
        <f t="shared" si="2"/>
        <v>0.75738916256157629</v>
      </c>
      <c r="I13" s="168" t="e">
        <f t="shared" si="2"/>
        <v>#VALUE!</v>
      </c>
      <c r="J13" s="168" t="e">
        <f>H13-I13</f>
        <v>#VALUE!</v>
      </c>
      <c r="K13" s="168">
        <f t="shared" si="3"/>
        <v>757.38916256157631</v>
      </c>
      <c r="L13" s="168" t="e">
        <f t="shared" si="3"/>
        <v>#VALUE!</v>
      </c>
      <c r="M13" s="167" t="e">
        <f>K13-L13</f>
        <v>#VALUE!</v>
      </c>
      <c r="N13" s="166">
        <v>1.478</v>
      </c>
      <c r="O13" s="166">
        <v>0.183</v>
      </c>
      <c r="P13" s="167">
        <f>N13-O13</f>
        <v>1.2949999999999999</v>
      </c>
      <c r="Q13" s="168">
        <f>P13*(100/N13)</f>
        <v>87.618403247631932</v>
      </c>
      <c r="R13" s="168">
        <f t="shared" si="4"/>
        <v>37.897435897435898</v>
      </c>
      <c r="S13" s="168">
        <f t="shared" si="4"/>
        <v>4.6923076923076925</v>
      </c>
      <c r="T13" s="166"/>
      <c r="U13" s="166"/>
      <c r="V13" s="166"/>
      <c r="W13" s="166"/>
      <c r="X13" s="166"/>
    </row>
    <row r="14" spans="1:66">
      <c r="A14" s="641" t="s">
        <v>658</v>
      </c>
      <c r="B14" s="641" t="s">
        <v>89</v>
      </c>
      <c r="C14" s="643"/>
      <c r="D14" s="643"/>
      <c r="E14" s="643">
        <f>E24/1000</f>
        <v>78300000</v>
      </c>
      <c r="F14" s="642"/>
      <c r="G14" s="642"/>
      <c r="H14" s="168">
        <f t="shared" si="2"/>
        <v>21.75</v>
      </c>
      <c r="I14" s="644"/>
      <c r="J14" s="644"/>
      <c r="K14" s="644"/>
      <c r="L14" s="644"/>
      <c r="M14" s="642"/>
      <c r="N14" s="643">
        <f>N24/1000</f>
        <v>1.4650000000000001</v>
      </c>
      <c r="O14" s="643"/>
      <c r="P14" s="642"/>
      <c r="Q14" s="644"/>
      <c r="R14" s="644"/>
      <c r="S14" s="644"/>
      <c r="T14" s="643"/>
      <c r="U14" s="643"/>
      <c r="V14" s="643"/>
      <c r="W14" s="643"/>
      <c r="X14" s="643"/>
    </row>
    <row r="15" spans="1:66">
      <c r="A15" s="641" t="s">
        <v>667</v>
      </c>
      <c r="B15" s="641" t="s">
        <v>89</v>
      </c>
      <c r="C15" s="643"/>
      <c r="D15" s="643"/>
      <c r="E15" s="643">
        <v>75300000</v>
      </c>
      <c r="F15" s="642">
        <v>8690000</v>
      </c>
      <c r="G15" s="168">
        <f>E15-F15</f>
        <v>66610000</v>
      </c>
      <c r="H15" s="168">
        <f t="shared" si="2"/>
        <v>20.916666666666668</v>
      </c>
      <c r="I15" s="168">
        <f t="shared" si="2"/>
        <v>2.4138888888888888</v>
      </c>
      <c r="J15" s="168">
        <f>H15-I15</f>
        <v>18.50277777777778</v>
      </c>
      <c r="K15" s="644"/>
      <c r="L15" s="644"/>
      <c r="M15" s="642"/>
      <c r="N15" s="643">
        <v>1.89</v>
      </c>
      <c r="O15" s="643">
        <v>0.56000000000000005</v>
      </c>
      <c r="P15" s="642">
        <f>N15-O15</f>
        <v>1.3299999999999998</v>
      </c>
      <c r="Q15" s="644"/>
      <c r="R15" s="644"/>
      <c r="S15" s="644"/>
      <c r="T15" s="643"/>
      <c r="U15" s="643"/>
      <c r="V15" s="643">
        <v>8.33</v>
      </c>
      <c r="W15" s="643">
        <v>3.43</v>
      </c>
      <c r="X15" s="643">
        <f>V15-W15</f>
        <v>4.9000000000000004</v>
      </c>
    </row>
    <row r="16" spans="1:66">
      <c r="A16" s="641" t="s">
        <v>666</v>
      </c>
      <c r="B16" s="641" t="s">
        <v>89</v>
      </c>
      <c r="C16" s="643"/>
      <c r="D16" s="643"/>
      <c r="E16" s="643">
        <v>75300000</v>
      </c>
      <c r="F16" s="642">
        <v>42000000</v>
      </c>
      <c r="G16" s="168">
        <f>E16-F16</f>
        <v>33300000</v>
      </c>
      <c r="H16" s="168">
        <f t="shared" ref="H16" si="5">E16/3600/1000</f>
        <v>20.916666666666668</v>
      </c>
      <c r="I16" s="168">
        <f t="shared" ref="I16" si="6">F16/3600/1000</f>
        <v>11.666666666666666</v>
      </c>
      <c r="J16" s="168">
        <f>H16-I16</f>
        <v>9.2500000000000018</v>
      </c>
      <c r="K16" s="644"/>
      <c r="L16" s="644"/>
      <c r="M16" s="642"/>
      <c r="N16" s="643">
        <v>1.89</v>
      </c>
      <c r="O16" s="643">
        <v>1.22</v>
      </c>
      <c r="P16" s="642">
        <f>N16-O16</f>
        <v>0.66999999999999993</v>
      </c>
      <c r="Q16" s="644"/>
      <c r="R16" s="644"/>
      <c r="S16" s="644"/>
      <c r="T16" s="643"/>
      <c r="U16" s="643"/>
      <c r="V16" s="643">
        <v>8.33</v>
      </c>
      <c r="W16" s="643">
        <v>5.88</v>
      </c>
      <c r="X16" s="643">
        <f>V16-W16</f>
        <v>2.4500000000000002</v>
      </c>
    </row>
    <row r="17" spans="1:68" s="27" customFormat="1">
      <c r="C17" s="133"/>
      <c r="D17" s="132"/>
      <c r="E17" s="132"/>
      <c r="F17" s="133"/>
      <c r="G17" s="134"/>
      <c r="H17" s="134"/>
      <c r="I17" s="134"/>
      <c r="J17" s="134"/>
      <c r="K17" s="134"/>
      <c r="L17" s="134"/>
      <c r="M17" s="133"/>
      <c r="N17" s="132"/>
      <c r="O17" s="132"/>
      <c r="P17" s="132"/>
      <c r="Q17" s="134"/>
      <c r="R17" s="134"/>
      <c r="S17" s="134"/>
      <c r="T17" s="132"/>
      <c r="U17" s="132"/>
      <c r="V17" s="132"/>
      <c r="W17" s="132"/>
      <c r="X17" s="132"/>
    </row>
    <row r="18" spans="1:68">
      <c r="A18" s="17"/>
      <c r="B18" s="17"/>
      <c r="C18" s="162"/>
      <c r="D18" s="162"/>
      <c r="E18" s="161"/>
      <c r="F18" s="162"/>
      <c r="G18" s="162"/>
      <c r="H18" s="162"/>
      <c r="I18" s="162"/>
      <c r="J18" s="162"/>
      <c r="K18" s="162"/>
      <c r="L18" s="162"/>
      <c r="M18" s="161"/>
      <c r="N18" s="161"/>
      <c r="O18" s="161"/>
      <c r="P18" s="161"/>
      <c r="Q18" s="162"/>
      <c r="R18" s="162"/>
      <c r="S18" s="162"/>
      <c r="T18" s="161"/>
      <c r="U18" s="161"/>
      <c r="V18" s="161"/>
      <c r="W18" s="161"/>
      <c r="X18" s="161"/>
    </row>
    <row r="19" spans="1:68">
      <c r="A19" s="75" t="s">
        <v>16</v>
      </c>
      <c r="B19" s="76" t="s">
        <v>36</v>
      </c>
      <c r="C19" s="167">
        <f>C10*1000</f>
        <v>41666.666666666664</v>
      </c>
      <c r="D19" s="167">
        <f>C19*C4</f>
        <v>1000</v>
      </c>
      <c r="E19" s="645">
        <f>E10*1000</f>
        <v>69700000000</v>
      </c>
      <c r="F19" s="167">
        <f>F10*1000</f>
        <v>6300000000</v>
      </c>
      <c r="G19" s="168">
        <f>G10*1000</f>
        <v>63400000000</v>
      </c>
      <c r="H19" s="168">
        <f>E19/3600/1000</f>
        <v>19361.111111111113</v>
      </c>
      <c r="I19" s="168">
        <f t="shared" ref="H19:I23" si="7">F19/3600/1000</f>
        <v>1750</v>
      </c>
      <c r="J19" s="663">
        <f>H19-I19</f>
        <v>17611.111111111113</v>
      </c>
      <c r="K19" s="168">
        <f t="shared" ref="K19:L19" si="8">K10*1000</f>
        <v>19361111.111111108</v>
      </c>
      <c r="L19" s="168">
        <f t="shared" si="8"/>
        <v>1750000</v>
      </c>
      <c r="M19" s="166">
        <f>K19-L19</f>
        <v>17611111.111111108</v>
      </c>
      <c r="N19" s="166">
        <f>H19*C$33</f>
        <v>8867.3888888888905</v>
      </c>
      <c r="O19" s="166">
        <f>I19*C33</f>
        <v>801.5</v>
      </c>
      <c r="P19" s="167">
        <f>N19-O19</f>
        <v>8065.8888888888905</v>
      </c>
      <c r="Q19" s="168">
        <f>G19*(100/E19)</f>
        <v>90.961262553802015</v>
      </c>
      <c r="R19" s="168">
        <f t="shared" ref="R19:S23" si="9">N19/0.039</f>
        <v>227368.94586894591</v>
      </c>
      <c r="S19" s="168">
        <f t="shared" si="9"/>
        <v>20551.282051282051</v>
      </c>
      <c r="T19" s="166">
        <v>4.4400000000000004</v>
      </c>
      <c r="U19" s="166">
        <f>T19*159</f>
        <v>705.96</v>
      </c>
      <c r="V19" s="166"/>
      <c r="W19" s="166"/>
      <c r="X19" s="166"/>
    </row>
    <row r="20" spans="1:68">
      <c r="A20" s="75"/>
      <c r="B20" s="76"/>
      <c r="C20" s="167"/>
      <c r="D20" s="167"/>
      <c r="E20" s="645">
        <v>69700000</v>
      </c>
      <c r="F20" s="167"/>
      <c r="G20" s="168"/>
      <c r="H20" s="168">
        <f>E20/3600/1000</f>
        <v>19.361111111111111</v>
      </c>
      <c r="I20" s="168"/>
      <c r="J20" s="168"/>
      <c r="K20" s="168"/>
      <c r="L20" s="168"/>
      <c r="M20" s="166"/>
      <c r="N20" s="166"/>
      <c r="O20" s="166"/>
      <c r="P20" s="167"/>
      <c r="Q20" s="168"/>
      <c r="R20" s="168"/>
      <c r="S20" s="168"/>
      <c r="T20" s="166"/>
      <c r="U20" s="166"/>
      <c r="V20" s="166"/>
      <c r="W20" s="166"/>
      <c r="X20" s="166"/>
    </row>
    <row r="21" spans="1:68">
      <c r="A21" s="75" t="s">
        <v>16</v>
      </c>
      <c r="B21" s="76" t="s">
        <v>94</v>
      </c>
      <c r="C21" s="167">
        <f>C11*1000</f>
        <v>22222.222222222223</v>
      </c>
      <c r="D21" s="167">
        <f>C21*C5</f>
        <v>1000</v>
      </c>
      <c r="E21" s="167">
        <v>8523972000</v>
      </c>
      <c r="F21" s="167">
        <v>770481829</v>
      </c>
      <c r="G21" s="168">
        <f>E21-F21</f>
        <v>7753490171</v>
      </c>
      <c r="H21" s="168">
        <f t="shared" si="7"/>
        <v>2367.77</v>
      </c>
      <c r="I21" s="168">
        <f t="shared" si="7"/>
        <v>214.02273027777775</v>
      </c>
      <c r="J21" s="168">
        <f>H21-I21</f>
        <v>2153.7472697222224</v>
      </c>
      <c r="K21" s="168">
        <f t="shared" ref="K21:L23" si="10">K11*1000</f>
        <v>2367770</v>
      </c>
      <c r="L21" s="168">
        <f t="shared" si="10"/>
        <v>214022.73027777779</v>
      </c>
      <c r="M21" s="166">
        <f>K21-L21</f>
        <v>2153747.2697222224</v>
      </c>
      <c r="N21" s="166">
        <f>H21*C$33</f>
        <v>1084.43866</v>
      </c>
      <c r="O21" s="166">
        <f>I21*C34</f>
        <v>0</v>
      </c>
      <c r="P21" s="167">
        <f>N21-O21</f>
        <v>1084.43866</v>
      </c>
      <c r="Q21" s="168">
        <f>G21*(100/E21)</f>
        <v>90.96100000093854</v>
      </c>
      <c r="R21" s="168">
        <f t="shared" si="9"/>
        <v>27806.119487179487</v>
      </c>
      <c r="S21" s="168">
        <f t="shared" si="9"/>
        <v>0</v>
      </c>
      <c r="T21" s="166">
        <v>4.4400000000000004</v>
      </c>
      <c r="U21" s="166">
        <f>T21*159</f>
        <v>705.96</v>
      </c>
      <c r="V21" s="166"/>
      <c r="W21" s="166"/>
      <c r="X21" s="166"/>
    </row>
    <row r="22" spans="1:68">
      <c r="A22" s="79"/>
      <c r="B22" s="80" t="s">
        <v>129</v>
      </c>
      <c r="C22" s="169"/>
      <c r="D22" s="169">
        <f>C22*C6</f>
        <v>0</v>
      </c>
      <c r="E22" s="169"/>
      <c r="F22" s="169"/>
      <c r="G22" s="170"/>
      <c r="H22" s="170">
        <f t="shared" si="7"/>
        <v>0</v>
      </c>
      <c r="I22" s="170">
        <f t="shared" si="7"/>
        <v>0</v>
      </c>
      <c r="J22" s="170">
        <f>H22-I22</f>
        <v>0</v>
      </c>
      <c r="K22" s="170">
        <f t="shared" si="10"/>
        <v>757389.16256157635</v>
      </c>
      <c r="L22" s="170">
        <f t="shared" si="10"/>
        <v>0</v>
      </c>
      <c r="M22" s="171" t="s">
        <v>33</v>
      </c>
      <c r="N22" s="171">
        <f>H22*C$33</f>
        <v>0</v>
      </c>
      <c r="O22" s="171">
        <f>I22*C35</f>
        <v>0</v>
      </c>
      <c r="P22" s="169">
        <f>N22-O22</f>
        <v>0</v>
      </c>
      <c r="Q22" s="169" t="s">
        <v>33</v>
      </c>
      <c r="R22" s="170">
        <f t="shared" si="9"/>
        <v>0</v>
      </c>
      <c r="S22" s="170">
        <f t="shared" si="9"/>
        <v>0</v>
      </c>
      <c r="T22" s="171"/>
      <c r="U22" s="171"/>
      <c r="V22" s="171"/>
      <c r="W22" s="171"/>
      <c r="X22" s="171"/>
    </row>
    <row r="23" spans="1:68">
      <c r="A23" s="75" t="s">
        <v>16</v>
      </c>
      <c r="B23" s="75" t="s">
        <v>89</v>
      </c>
      <c r="C23" s="167">
        <f>C12*1000</f>
        <v>123152.70935960591</v>
      </c>
      <c r="D23" s="167"/>
      <c r="E23" s="166">
        <f>E12*1000</f>
        <v>2726600985.2216744</v>
      </c>
      <c r="F23" s="167"/>
      <c r="G23" s="168"/>
      <c r="H23" s="168">
        <f t="shared" si="7"/>
        <v>757.3891625615762</v>
      </c>
      <c r="I23" s="168">
        <f t="shared" si="7"/>
        <v>0</v>
      </c>
      <c r="J23" s="167" t="s">
        <v>33</v>
      </c>
      <c r="K23" s="168">
        <f t="shared" si="10"/>
        <v>757389.16256157635</v>
      </c>
      <c r="L23" s="168" t="e">
        <f t="shared" si="10"/>
        <v>#VALUE!</v>
      </c>
      <c r="M23" s="166" t="e">
        <f>K23-L23</f>
        <v>#VALUE!</v>
      </c>
      <c r="N23" s="167">
        <f>N13*1000</f>
        <v>1478</v>
      </c>
      <c r="O23" s="167">
        <f>O13*1000</f>
        <v>183</v>
      </c>
      <c r="P23" s="167">
        <f>N23-O23</f>
        <v>1295</v>
      </c>
      <c r="Q23" s="168">
        <f>P23*(100/N23)</f>
        <v>87.618403247631932</v>
      </c>
      <c r="R23" s="168">
        <f t="shared" si="9"/>
        <v>37897.435897435898</v>
      </c>
      <c r="S23" s="168">
        <f t="shared" si="9"/>
        <v>4692.3076923076924</v>
      </c>
      <c r="T23" s="166"/>
      <c r="U23" s="166"/>
      <c r="V23" s="166"/>
      <c r="W23" s="166"/>
      <c r="X23" s="166"/>
    </row>
    <row r="24" spans="1:68">
      <c r="A24" s="641" t="s">
        <v>658</v>
      </c>
      <c r="B24" s="641" t="s">
        <v>89</v>
      </c>
      <c r="C24" s="642"/>
      <c r="D24" s="642"/>
      <c r="E24" s="643">
        <v>78300000000</v>
      </c>
      <c r="F24" s="642"/>
      <c r="G24" s="644"/>
      <c r="H24" s="168">
        <f t="shared" ref="H24" si="11">E24/3600/1000</f>
        <v>21750</v>
      </c>
      <c r="I24" s="168">
        <f t="shared" ref="I24" si="12">F24/3600/1000</f>
        <v>0</v>
      </c>
      <c r="J24" s="167" t="s">
        <v>33</v>
      </c>
      <c r="K24" s="168">
        <f>K17*1000</f>
        <v>0</v>
      </c>
      <c r="L24" s="168">
        <f>L17*1000</f>
        <v>0</v>
      </c>
      <c r="M24" s="166">
        <f>K24-L24</f>
        <v>0</v>
      </c>
      <c r="N24" s="642">
        <v>1465</v>
      </c>
      <c r="O24" s="642"/>
      <c r="P24" s="642"/>
      <c r="Q24" s="644"/>
      <c r="R24" s="644"/>
      <c r="S24" s="644"/>
      <c r="T24" s="643"/>
      <c r="U24" s="643"/>
      <c r="V24" s="643"/>
      <c r="W24" s="643"/>
      <c r="X24" s="643"/>
    </row>
    <row r="25" spans="1:68">
      <c r="A25" s="641" t="s">
        <v>667</v>
      </c>
      <c r="B25" s="641" t="s">
        <v>89</v>
      </c>
      <c r="C25" s="642"/>
      <c r="D25" s="642"/>
      <c r="E25" s="643">
        <f t="shared" ref="E25:J25" si="13">E15*1000</f>
        <v>75300000000</v>
      </c>
      <c r="F25" s="642">
        <f t="shared" si="13"/>
        <v>8690000000</v>
      </c>
      <c r="G25" s="644">
        <f t="shared" si="13"/>
        <v>66610000000</v>
      </c>
      <c r="H25" s="644">
        <f t="shared" si="13"/>
        <v>20916.666666666668</v>
      </c>
      <c r="I25" s="644">
        <f t="shared" si="13"/>
        <v>2413.8888888888887</v>
      </c>
      <c r="J25" s="662">
        <f t="shared" si="13"/>
        <v>18502.777777777781</v>
      </c>
      <c r="K25" s="644"/>
      <c r="L25" s="644"/>
      <c r="M25" s="643"/>
      <c r="N25" s="642">
        <f>N15*1000</f>
        <v>1890</v>
      </c>
      <c r="O25" s="642">
        <f t="shared" ref="O25:P25" si="14">O15*1000</f>
        <v>560</v>
      </c>
      <c r="P25" s="662">
        <f t="shared" si="14"/>
        <v>1329.9999999999998</v>
      </c>
      <c r="Q25" s="644"/>
      <c r="R25" s="644"/>
      <c r="S25" s="644"/>
      <c r="T25" s="643"/>
      <c r="U25" s="643"/>
      <c r="V25" s="643">
        <f>V15*1000</f>
        <v>8330</v>
      </c>
      <c r="W25" s="643">
        <f t="shared" ref="W25:X25" si="15">W15*1000</f>
        <v>3430</v>
      </c>
      <c r="X25" s="668">
        <f t="shared" si="15"/>
        <v>4900</v>
      </c>
    </row>
    <row r="26" spans="1:68">
      <c r="A26" s="641" t="s">
        <v>666</v>
      </c>
      <c r="B26" s="641" t="s">
        <v>89</v>
      </c>
      <c r="C26" s="642"/>
      <c r="D26" s="642"/>
      <c r="E26" s="643">
        <f>E16*1000</f>
        <v>75300000000</v>
      </c>
      <c r="F26" s="642"/>
      <c r="G26" s="644">
        <f>G16*1000</f>
        <v>33300000000</v>
      </c>
      <c r="H26" s="644">
        <f>H16*1000</f>
        <v>20916.666666666668</v>
      </c>
      <c r="I26" s="644">
        <f>I16*1000</f>
        <v>11666.666666666666</v>
      </c>
      <c r="J26" s="662">
        <f>J16*1000</f>
        <v>9250.0000000000018</v>
      </c>
      <c r="K26" s="644"/>
      <c r="L26" s="644"/>
      <c r="M26" s="643"/>
      <c r="N26" s="642">
        <f>N16*1000</f>
        <v>1890</v>
      </c>
      <c r="O26" s="642">
        <f t="shared" ref="O26:P26" si="16">O16*1000</f>
        <v>1220</v>
      </c>
      <c r="P26" s="662">
        <f t="shared" si="16"/>
        <v>669.99999999999989</v>
      </c>
      <c r="Q26" s="644"/>
      <c r="R26" s="644"/>
      <c r="S26" s="644"/>
      <c r="T26" s="643"/>
      <c r="U26" s="643"/>
      <c r="V26" s="643">
        <f>V16*1000</f>
        <v>8330</v>
      </c>
      <c r="W26" s="643">
        <f t="shared" ref="W26:X26" si="17">W16*1000</f>
        <v>5880</v>
      </c>
      <c r="X26" s="668">
        <f t="shared" si="17"/>
        <v>2450</v>
      </c>
    </row>
    <row r="27" spans="1:68">
      <c r="A27" s="641"/>
      <c r="B27" s="641"/>
      <c r="C27" s="642"/>
      <c r="D27" s="642"/>
      <c r="E27" s="643"/>
      <c r="F27" s="642"/>
      <c r="G27" s="644"/>
      <c r="H27" s="644"/>
      <c r="I27" s="644"/>
      <c r="J27" s="642"/>
      <c r="K27" s="644"/>
      <c r="L27" s="644"/>
      <c r="M27" s="643"/>
      <c r="N27" s="642"/>
      <c r="O27" s="642"/>
      <c r="P27" s="642"/>
      <c r="Q27" s="644"/>
      <c r="R27" s="644"/>
      <c r="S27" s="644"/>
      <c r="T27" s="643"/>
      <c r="U27" s="643"/>
      <c r="V27" s="643"/>
      <c r="W27" s="643"/>
      <c r="X27" s="643"/>
    </row>
    <row r="28" spans="1:68" s="27" customFormat="1">
      <c r="C28" s="29"/>
      <c r="D28" s="63"/>
      <c r="E28" s="47"/>
      <c r="F28" s="29"/>
      <c r="G28" s="65"/>
      <c r="H28" s="65"/>
      <c r="I28" s="65"/>
      <c r="J28" s="65"/>
      <c r="K28" s="78"/>
      <c r="L28" s="65"/>
      <c r="M28" s="49"/>
      <c r="N28" s="66"/>
      <c r="O28" s="66"/>
      <c r="P28" s="66"/>
      <c r="Q28" s="65"/>
      <c r="R28" s="65"/>
      <c r="S28" s="65"/>
      <c r="T28" s="67"/>
      <c r="U28" s="67"/>
      <c r="V28" s="67"/>
      <c r="W28" s="67"/>
      <c r="X28" s="67"/>
    </row>
    <row r="29" spans="1:68">
      <c r="A29" s="1247" t="s">
        <v>5</v>
      </c>
      <c r="B29" s="1248"/>
      <c r="C29" s="77" t="s">
        <v>6</v>
      </c>
      <c r="D29" s="77" t="s">
        <v>7</v>
      </c>
      <c r="E29" s="77" t="s">
        <v>6</v>
      </c>
      <c r="F29" s="77" t="s">
        <v>7</v>
      </c>
      <c r="G29" s="27"/>
      <c r="H29" s="27"/>
      <c r="I29" s="27"/>
      <c r="J29" s="27"/>
      <c r="K29" s="27"/>
      <c r="L29" s="27"/>
      <c r="M29" s="27"/>
      <c r="N29" s="27"/>
      <c r="O29" s="27"/>
      <c r="P29" s="27"/>
      <c r="Q29" s="29"/>
      <c r="R29" s="29"/>
      <c r="S29" s="29"/>
      <c r="T29" s="27"/>
      <c r="U29" s="29"/>
      <c r="V29" s="29"/>
      <c r="W29" s="29"/>
      <c r="X29" s="29"/>
      <c r="BO29" s="27"/>
      <c r="BP29" s="27"/>
    </row>
    <row r="30" spans="1:68">
      <c r="A30" s="1249" t="s">
        <v>22</v>
      </c>
      <c r="B30" s="1250"/>
      <c r="C30" s="19">
        <v>69.7</v>
      </c>
      <c r="D30" s="22" t="s">
        <v>1</v>
      </c>
      <c r="E30" s="20">
        <f>C30*1000000</f>
        <v>69700000</v>
      </c>
      <c r="F30" s="22" t="s">
        <v>19</v>
      </c>
      <c r="G30" s="27"/>
      <c r="H30" s="27"/>
      <c r="I30" s="27"/>
      <c r="J30" s="27"/>
      <c r="K30" s="27"/>
      <c r="L30" s="27"/>
      <c r="M30" s="28"/>
      <c r="N30" s="27"/>
      <c r="O30" s="27"/>
      <c r="P30" s="27"/>
      <c r="Q30" s="29"/>
      <c r="R30" s="29"/>
      <c r="S30" s="29"/>
      <c r="T30" s="27"/>
      <c r="U30" s="29"/>
      <c r="V30" s="29"/>
      <c r="W30" s="29"/>
      <c r="X30" s="29"/>
      <c r="BO30" s="27"/>
      <c r="BP30" s="27"/>
    </row>
    <row r="31" spans="1:68">
      <c r="A31" s="1249" t="s">
        <v>23</v>
      </c>
      <c r="B31" s="1250"/>
      <c r="C31" s="19">
        <v>6.3</v>
      </c>
      <c r="D31" s="22" t="s">
        <v>1</v>
      </c>
      <c r="E31" s="20">
        <f>C31*1000000</f>
        <v>6300000</v>
      </c>
      <c r="F31" s="22" t="s">
        <v>19</v>
      </c>
      <c r="G31" s="27"/>
      <c r="H31" s="27"/>
      <c r="I31" s="27"/>
      <c r="J31" s="27"/>
      <c r="K31" s="27"/>
      <c r="L31" s="27"/>
      <c r="M31" s="85"/>
      <c r="N31" s="85"/>
      <c r="O31" s="85"/>
      <c r="P31" s="27"/>
      <c r="Q31" s="29"/>
      <c r="R31" s="29"/>
      <c r="S31" s="29"/>
      <c r="T31" s="29"/>
      <c r="U31" s="29"/>
      <c r="V31" s="29"/>
      <c r="W31" s="29"/>
      <c r="X31" s="29"/>
      <c r="BO31" s="27"/>
      <c r="BP31" s="27"/>
    </row>
    <row r="32" spans="1:68">
      <c r="A32" s="1251" t="s">
        <v>38</v>
      </c>
      <c r="B32" s="1252"/>
      <c r="C32" s="19">
        <v>2.4E-2</v>
      </c>
      <c r="D32" s="22" t="s">
        <v>15</v>
      </c>
      <c r="E32" s="21"/>
      <c r="F32" s="22"/>
      <c r="G32" s="27"/>
      <c r="H32" s="27"/>
      <c r="I32" s="27"/>
      <c r="J32" s="27"/>
      <c r="K32" s="27"/>
      <c r="L32" s="27"/>
      <c r="M32" s="27"/>
      <c r="N32" s="27"/>
      <c r="O32" s="27"/>
      <c r="P32" s="27"/>
      <c r="Q32" s="29"/>
      <c r="R32" s="29"/>
      <c r="S32" s="29"/>
      <c r="T32" s="27"/>
      <c r="U32" s="29"/>
      <c r="V32" s="29"/>
      <c r="W32" s="29"/>
      <c r="X32" s="29"/>
      <c r="BO32" s="27"/>
      <c r="BP32" s="27"/>
    </row>
    <row r="33" spans="1:68">
      <c r="A33" s="1245" t="s">
        <v>37</v>
      </c>
      <c r="B33" s="1245"/>
      <c r="C33" s="48">
        <v>0.45800000000000002</v>
      </c>
      <c r="D33" s="22" t="s">
        <v>51</v>
      </c>
      <c r="E33" s="19"/>
      <c r="F33" s="22"/>
      <c r="G33" s="27"/>
      <c r="H33" s="27"/>
      <c r="I33" s="27"/>
      <c r="J33" s="27"/>
      <c r="K33" s="27"/>
      <c r="L33" s="27"/>
      <c r="M33" s="28"/>
      <c r="N33" s="28"/>
      <c r="O33" s="28"/>
      <c r="P33" s="27"/>
      <c r="Q33" s="29"/>
      <c r="R33" s="29"/>
      <c r="S33" s="29"/>
      <c r="T33" s="28"/>
      <c r="U33" s="29"/>
      <c r="V33" s="29"/>
      <c r="W33" s="29"/>
      <c r="X33" s="29"/>
      <c r="BO33" s="27"/>
      <c r="BP33" s="27"/>
    </row>
    <row r="34" spans="1:68" s="27" customFormat="1">
      <c r="C34" s="66"/>
      <c r="D34" s="66"/>
      <c r="E34" s="66"/>
      <c r="M34" s="28"/>
      <c r="N34" s="28"/>
      <c r="O34" s="28"/>
      <c r="Q34" s="29"/>
      <c r="R34" s="29"/>
      <c r="S34" s="29"/>
      <c r="T34" s="28"/>
      <c r="U34" s="29"/>
      <c r="V34" s="29"/>
      <c r="W34" s="29"/>
      <c r="X34" s="29"/>
    </row>
    <row r="35" spans="1:68" s="27" customFormat="1">
      <c r="C35" s="66"/>
      <c r="D35" s="66"/>
      <c r="E35" s="66"/>
      <c r="Q35" s="29"/>
      <c r="R35" s="29"/>
      <c r="S35" s="29"/>
      <c r="U35" s="29"/>
      <c r="V35" s="29"/>
      <c r="W35" s="29"/>
      <c r="X35" s="29"/>
    </row>
    <row r="36" spans="1:68" s="27" customFormat="1">
      <c r="C36" s="66"/>
      <c r="D36" s="66"/>
      <c r="E36" s="66"/>
      <c r="Q36" s="29"/>
      <c r="R36" s="29"/>
      <c r="S36" s="29"/>
      <c r="U36" s="29"/>
      <c r="V36" s="29"/>
      <c r="W36" s="29"/>
      <c r="X36" s="29"/>
    </row>
    <row r="37" spans="1:68" s="27" customFormat="1">
      <c r="C37" s="66"/>
      <c r="D37" s="66"/>
      <c r="E37" s="66"/>
      <c r="Q37" s="29"/>
      <c r="R37" s="29"/>
      <c r="S37" s="29"/>
      <c r="U37" s="29"/>
      <c r="V37" s="29"/>
      <c r="W37" s="29"/>
      <c r="X37" s="29"/>
    </row>
    <row r="38" spans="1:68" s="27" customFormat="1">
      <c r="Q38" s="29"/>
      <c r="R38" s="29"/>
      <c r="S38" s="29"/>
      <c r="U38" s="29"/>
      <c r="V38" s="29"/>
      <c r="W38" s="29"/>
      <c r="X38" s="29"/>
    </row>
    <row r="39" spans="1:68" s="27" customFormat="1">
      <c r="Q39" s="29"/>
      <c r="R39" s="29"/>
      <c r="S39" s="29"/>
      <c r="U39" s="29"/>
      <c r="V39" s="29"/>
      <c r="W39" s="29"/>
      <c r="X39" s="29"/>
    </row>
    <row r="40" spans="1:68" s="27" customFormat="1">
      <c r="Q40" s="29"/>
      <c r="R40" s="29"/>
      <c r="S40" s="29"/>
      <c r="U40" s="29"/>
      <c r="V40" s="29"/>
      <c r="W40" s="29"/>
      <c r="X40" s="29"/>
    </row>
    <row r="41" spans="1:68" s="27" customFormat="1">
      <c r="B41" s="49"/>
      <c r="Q41" s="29"/>
      <c r="R41" s="29"/>
      <c r="S41" s="29"/>
      <c r="U41" s="29"/>
      <c r="V41" s="29"/>
      <c r="W41" s="29"/>
      <c r="X41" s="29"/>
    </row>
    <row r="42" spans="1:68" s="27" customFormat="1">
      <c r="B42" s="49"/>
      <c r="C42" s="28"/>
      <c r="D42" s="28"/>
      <c r="E42" s="28"/>
      <c r="Q42" s="29"/>
      <c r="R42" s="29"/>
      <c r="S42" s="29"/>
      <c r="U42" s="29"/>
      <c r="V42" s="29"/>
      <c r="W42" s="29"/>
      <c r="X42" s="29"/>
    </row>
    <row r="43" spans="1:68" s="27" customFormat="1">
      <c r="Q43" s="29"/>
      <c r="R43" s="29"/>
      <c r="S43" s="29"/>
      <c r="U43" s="29"/>
      <c r="V43" s="29"/>
      <c r="W43" s="29"/>
      <c r="X43" s="29"/>
    </row>
    <row r="44" spans="1:68" s="27" customFormat="1">
      <c r="Q44" s="29"/>
      <c r="R44" s="29"/>
      <c r="S44" s="29"/>
      <c r="U44" s="29"/>
      <c r="V44" s="29"/>
      <c r="W44" s="29"/>
      <c r="X44" s="29"/>
    </row>
    <row r="45" spans="1:68" s="27" customFormat="1">
      <c r="Q45" s="29"/>
      <c r="R45" s="29"/>
      <c r="S45" s="29"/>
      <c r="U45" s="29"/>
      <c r="V45" s="29"/>
      <c r="W45" s="29"/>
      <c r="X45" s="29"/>
    </row>
    <row r="46" spans="1:68" s="27" customFormat="1">
      <c r="Q46" s="29"/>
      <c r="R46" s="29"/>
      <c r="S46" s="29"/>
      <c r="U46" s="29"/>
      <c r="V46" s="29"/>
      <c r="W46" s="29"/>
      <c r="X46" s="29"/>
    </row>
    <row r="47" spans="1:68" s="27" customFormat="1">
      <c r="Q47" s="29"/>
      <c r="R47" s="29"/>
      <c r="S47" s="29"/>
      <c r="U47" s="29"/>
      <c r="V47" s="29"/>
      <c r="W47" s="29"/>
      <c r="X47" s="29"/>
    </row>
    <row r="48" spans="1:68" s="27" customFormat="1">
      <c r="Q48" s="29"/>
      <c r="R48" s="29"/>
      <c r="S48" s="29"/>
      <c r="U48" s="29"/>
      <c r="V48" s="29"/>
      <c r="W48" s="29"/>
      <c r="X48" s="29"/>
    </row>
    <row r="49" spans="17:24" s="27" customFormat="1">
      <c r="Q49" s="29"/>
      <c r="R49" s="29"/>
      <c r="S49" s="29"/>
      <c r="U49" s="29"/>
      <c r="V49" s="29"/>
      <c r="W49" s="29"/>
      <c r="X49" s="29"/>
    </row>
    <row r="50" spans="17:24" s="27" customFormat="1">
      <c r="Q50" s="29"/>
      <c r="R50" s="29"/>
      <c r="S50" s="29"/>
      <c r="U50" s="29"/>
      <c r="V50" s="29"/>
      <c r="W50" s="29"/>
      <c r="X50" s="29"/>
    </row>
    <row r="51" spans="17:24" s="27" customFormat="1">
      <c r="Q51" s="29"/>
      <c r="R51" s="29"/>
      <c r="S51" s="29"/>
      <c r="U51" s="29"/>
      <c r="V51" s="29"/>
      <c r="W51" s="29"/>
      <c r="X51" s="29"/>
    </row>
    <row r="52" spans="17:24" s="27" customFormat="1">
      <c r="Q52" s="29"/>
      <c r="R52" s="29"/>
      <c r="S52" s="29"/>
      <c r="U52" s="29"/>
      <c r="V52" s="29"/>
      <c r="W52" s="29"/>
      <c r="X52" s="29"/>
    </row>
    <row r="53" spans="17:24" s="27" customFormat="1">
      <c r="Q53" s="29"/>
      <c r="R53" s="29"/>
      <c r="S53" s="29"/>
      <c r="U53" s="29"/>
      <c r="V53" s="29"/>
      <c r="W53" s="29"/>
      <c r="X53" s="29"/>
    </row>
    <row r="54" spans="17:24" s="27" customFormat="1">
      <c r="Q54" s="29"/>
      <c r="R54" s="29"/>
      <c r="S54" s="29"/>
      <c r="U54" s="29"/>
      <c r="V54" s="29"/>
      <c r="W54" s="29"/>
      <c r="X54" s="29"/>
    </row>
    <row r="55" spans="17:24" s="27" customFormat="1">
      <c r="Q55" s="29"/>
      <c r="R55" s="29"/>
      <c r="S55" s="29"/>
      <c r="U55" s="29"/>
      <c r="V55" s="29"/>
      <c r="W55" s="29"/>
      <c r="X55" s="29"/>
    </row>
    <row r="56" spans="17:24" s="27" customFormat="1">
      <c r="Q56" s="29"/>
      <c r="R56" s="29"/>
      <c r="S56" s="29"/>
      <c r="U56" s="29"/>
      <c r="V56" s="29"/>
      <c r="W56" s="29"/>
      <c r="X56" s="29"/>
    </row>
    <row r="57" spans="17:24" s="27" customFormat="1">
      <c r="Q57" s="29"/>
      <c r="R57" s="29"/>
      <c r="S57" s="29"/>
      <c r="U57" s="29"/>
      <c r="V57" s="29"/>
      <c r="W57" s="29"/>
      <c r="X57" s="29"/>
    </row>
    <row r="58" spans="17:24" s="27" customFormat="1">
      <c r="Q58" s="29"/>
      <c r="R58" s="29"/>
      <c r="S58" s="29"/>
      <c r="U58" s="29"/>
      <c r="V58" s="29"/>
      <c r="W58" s="29"/>
      <c r="X58" s="29"/>
    </row>
    <row r="59" spans="17:24" s="27" customFormat="1">
      <c r="Q59" s="29"/>
      <c r="R59" s="29"/>
      <c r="S59" s="29"/>
      <c r="U59" s="29"/>
      <c r="V59" s="29"/>
      <c r="W59" s="29"/>
      <c r="X59" s="29"/>
    </row>
    <row r="60" spans="17:24" s="27" customFormat="1">
      <c r="Q60" s="29"/>
      <c r="R60" s="29"/>
      <c r="S60" s="29"/>
      <c r="U60" s="29"/>
      <c r="V60" s="29"/>
      <c r="W60" s="29"/>
      <c r="X60" s="29"/>
    </row>
    <row r="61" spans="17:24" s="27" customFormat="1">
      <c r="Q61" s="29"/>
      <c r="R61" s="29"/>
      <c r="S61" s="29"/>
      <c r="U61" s="29"/>
      <c r="V61" s="29"/>
      <c r="W61" s="29"/>
      <c r="X61" s="29"/>
    </row>
    <row r="62" spans="17:24" s="27" customFormat="1">
      <c r="Q62" s="29"/>
      <c r="R62" s="29"/>
      <c r="S62" s="29"/>
      <c r="U62" s="29"/>
      <c r="V62" s="29"/>
      <c r="W62" s="29"/>
      <c r="X62" s="29"/>
    </row>
    <row r="63" spans="17:24" s="27" customFormat="1">
      <c r="Q63" s="29"/>
      <c r="R63" s="29"/>
      <c r="S63" s="29"/>
      <c r="U63" s="29"/>
      <c r="V63" s="29"/>
      <c r="W63" s="29"/>
      <c r="X63" s="29"/>
    </row>
    <row r="64" spans="17:24" s="27" customFormat="1">
      <c r="Q64" s="29"/>
      <c r="R64" s="29"/>
      <c r="S64" s="29"/>
      <c r="U64" s="29"/>
      <c r="V64" s="29"/>
      <c r="W64" s="29"/>
      <c r="X64" s="29"/>
    </row>
    <row r="65" spans="17:24" s="27" customFormat="1">
      <c r="Q65" s="29"/>
      <c r="R65" s="29"/>
      <c r="S65" s="29"/>
      <c r="U65" s="29"/>
      <c r="V65" s="29"/>
      <c r="W65" s="29"/>
      <c r="X65" s="29"/>
    </row>
    <row r="66" spans="17:24" s="27" customFormat="1">
      <c r="Q66" s="29"/>
      <c r="R66" s="29"/>
      <c r="S66" s="29"/>
      <c r="U66" s="29"/>
      <c r="V66" s="29"/>
      <c r="W66" s="29"/>
      <c r="X66" s="29"/>
    </row>
    <row r="67" spans="17:24" s="27" customFormat="1">
      <c r="Q67" s="29"/>
      <c r="R67" s="29"/>
      <c r="S67" s="29"/>
      <c r="U67" s="29"/>
      <c r="V67" s="29"/>
      <c r="W67" s="29"/>
      <c r="X67" s="29"/>
    </row>
    <row r="68" spans="17:24" s="27" customFormat="1">
      <c r="Q68" s="29"/>
      <c r="R68" s="29"/>
      <c r="S68" s="29"/>
      <c r="U68" s="29"/>
      <c r="V68" s="29"/>
      <c r="W68" s="29"/>
      <c r="X68" s="29"/>
    </row>
    <row r="69" spans="17:24" s="27" customFormat="1">
      <c r="Q69" s="29"/>
      <c r="R69" s="29"/>
      <c r="S69" s="29"/>
      <c r="U69" s="29"/>
      <c r="V69" s="29"/>
      <c r="W69" s="29"/>
      <c r="X69" s="29"/>
    </row>
    <row r="70" spans="17:24" s="27" customFormat="1">
      <c r="Q70" s="29"/>
      <c r="R70" s="29"/>
      <c r="S70" s="29"/>
      <c r="U70" s="29"/>
      <c r="V70" s="29"/>
      <c r="W70" s="29"/>
      <c r="X70" s="29"/>
    </row>
    <row r="71" spans="17:24" s="27" customFormat="1">
      <c r="Q71" s="29"/>
      <c r="R71" s="29"/>
      <c r="S71" s="29"/>
      <c r="U71" s="29"/>
      <c r="V71" s="29"/>
      <c r="W71" s="29"/>
      <c r="X71" s="29"/>
    </row>
    <row r="72" spans="17:24" s="27" customFormat="1">
      <c r="Q72" s="29"/>
      <c r="R72" s="29"/>
      <c r="S72" s="29"/>
      <c r="U72" s="29"/>
      <c r="V72" s="29"/>
      <c r="W72" s="29"/>
      <c r="X72" s="29"/>
    </row>
    <row r="73" spans="17:24" s="27" customFormat="1">
      <c r="Q73" s="29"/>
      <c r="R73" s="29"/>
      <c r="S73" s="29"/>
      <c r="U73" s="29"/>
      <c r="V73" s="29"/>
      <c r="W73" s="29"/>
      <c r="X73" s="29"/>
    </row>
    <row r="74" spans="17:24" s="27" customFormat="1">
      <c r="Q74" s="29"/>
      <c r="R74" s="29"/>
      <c r="S74" s="29"/>
      <c r="U74" s="29"/>
      <c r="V74" s="29"/>
      <c r="W74" s="29"/>
      <c r="X74" s="29"/>
    </row>
    <row r="75" spans="17:24" s="27" customFormat="1">
      <c r="Q75" s="29"/>
      <c r="R75" s="29"/>
      <c r="S75" s="29"/>
      <c r="U75" s="29"/>
      <c r="V75" s="29"/>
      <c r="W75" s="29"/>
      <c r="X75" s="29"/>
    </row>
    <row r="76" spans="17:24" s="27" customFormat="1">
      <c r="Q76" s="29"/>
      <c r="R76" s="29"/>
      <c r="S76" s="29"/>
      <c r="U76" s="29"/>
      <c r="V76" s="29"/>
      <c r="W76" s="29"/>
      <c r="X76" s="29"/>
    </row>
    <row r="77" spans="17:24" s="27" customFormat="1">
      <c r="Q77" s="29"/>
      <c r="R77" s="29"/>
      <c r="S77" s="29"/>
      <c r="U77" s="29"/>
      <c r="V77" s="29"/>
      <c r="W77" s="29"/>
      <c r="X77" s="29"/>
    </row>
    <row r="78" spans="17:24" s="27" customFormat="1">
      <c r="Q78" s="29"/>
      <c r="R78" s="29"/>
      <c r="S78" s="29"/>
      <c r="U78" s="29"/>
      <c r="V78" s="29"/>
      <c r="W78" s="29"/>
      <c r="X78" s="29"/>
    </row>
    <row r="79" spans="17:24" s="27" customFormat="1">
      <c r="Q79" s="29"/>
      <c r="R79" s="29"/>
      <c r="S79" s="29"/>
      <c r="U79" s="29"/>
      <c r="V79" s="29"/>
      <c r="W79" s="29"/>
      <c r="X79" s="29"/>
    </row>
    <row r="80" spans="17:24" s="27" customFormat="1">
      <c r="Q80" s="29"/>
      <c r="R80" s="29"/>
      <c r="S80" s="29"/>
      <c r="U80" s="29"/>
      <c r="V80" s="29"/>
      <c r="W80" s="29"/>
      <c r="X80" s="29"/>
    </row>
    <row r="81" spans="17:24" s="27" customFormat="1">
      <c r="Q81" s="29"/>
      <c r="R81" s="29"/>
      <c r="S81" s="29"/>
      <c r="U81" s="29"/>
      <c r="V81" s="29"/>
      <c r="W81" s="29"/>
      <c r="X81" s="29"/>
    </row>
    <row r="82" spans="17:24" s="27" customFormat="1">
      <c r="Q82" s="29"/>
      <c r="R82" s="29"/>
      <c r="S82" s="29"/>
      <c r="U82" s="29"/>
      <c r="V82" s="29"/>
      <c r="W82" s="29"/>
      <c r="X82" s="29"/>
    </row>
    <row r="83" spans="17:24" s="27" customFormat="1">
      <c r="Q83" s="29"/>
      <c r="R83" s="29"/>
      <c r="S83" s="29"/>
      <c r="U83" s="29"/>
      <c r="V83" s="29"/>
      <c r="W83" s="29"/>
      <c r="X83" s="29"/>
    </row>
    <row r="84" spans="17:24" s="27" customFormat="1">
      <c r="Q84" s="29"/>
      <c r="R84" s="29"/>
      <c r="S84" s="29"/>
      <c r="U84" s="29"/>
      <c r="V84" s="29"/>
      <c r="W84" s="29"/>
      <c r="X84" s="29"/>
    </row>
    <row r="85" spans="17:24" s="27" customFormat="1">
      <c r="Q85" s="29"/>
      <c r="R85" s="29"/>
      <c r="S85" s="29"/>
      <c r="U85" s="29"/>
      <c r="V85" s="29"/>
      <c r="W85" s="29"/>
      <c r="X85" s="29"/>
    </row>
    <row r="86" spans="17:24" s="27" customFormat="1">
      <c r="Q86" s="29"/>
      <c r="R86" s="29"/>
      <c r="S86" s="29"/>
      <c r="U86" s="29"/>
      <c r="V86" s="29"/>
      <c r="W86" s="29"/>
      <c r="X86" s="29"/>
    </row>
    <row r="87" spans="17:24" s="27" customFormat="1">
      <c r="Q87" s="29"/>
      <c r="R87" s="29"/>
      <c r="S87" s="29"/>
      <c r="U87" s="29"/>
      <c r="V87" s="29"/>
      <c r="W87" s="29"/>
      <c r="X87" s="29"/>
    </row>
    <row r="88" spans="17:24" s="27" customFormat="1">
      <c r="Q88" s="29"/>
      <c r="R88" s="29"/>
      <c r="S88" s="29"/>
      <c r="U88" s="29"/>
      <c r="V88" s="29"/>
      <c r="W88" s="29"/>
      <c r="X88" s="29"/>
    </row>
    <row r="89" spans="17:24" s="27" customFormat="1">
      <c r="Q89" s="29"/>
      <c r="R89" s="29"/>
      <c r="S89" s="29"/>
      <c r="U89" s="29"/>
      <c r="V89" s="29"/>
      <c r="W89" s="29"/>
      <c r="X89" s="29"/>
    </row>
    <row r="90" spans="17:24" s="27" customFormat="1">
      <c r="Q90" s="29"/>
      <c r="R90" s="29"/>
      <c r="S90" s="29"/>
      <c r="U90" s="29"/>
      <c r="V90" s="29"/>
      <c r="W90" s="29"/>
      <c r="X90" s="29"/>
    </row>
    <row r="91" spans="17:24" s="27" customFormat="1">
      <c r="Q91" s="29"/>
      <c r="R91" s="29"/>
      <c r="S91" s="29"/>
      <c r="U91" s="29"/>
      <c r="V91" s="29"/>
      <c r="W91" s="29"/>
      <c r="X91" s="29"/>
    </row>
    <row r="92" spans="17:24" s="27" customFormat="1">
      <c r="Q92" s="29"/>
      <c r="R92" s="29"/>
      <c r="S92" s="29"/>
      <c r="U92" s="29"/>
      <c r="V92" s="29"/>
      <c r="W92" s="29"/>
      <c r="X92" s="29"/>
    </row>
    <row r="93" spans="17:24" s="27" customFormat="1">
      <c r="Q93" s="29"/>
      <c r="R93" s="29"/>
      <c r="S93" s="29"/>
      <c r="U93" s="29"/>
      <c r="V93" s="29"/>
      <c r="W93" s="29"/>
      <c r="X93" s="29"/>
    </row>
    <row r="94" spans="17:24" s="27" customFormat="1">
      <c r="Q94" s="29"/>
      <c r="R94" s="29"/>
      <c r="S94" s="29"/>
      <c r="U94" s="29"/>
      <c r="V94" s="29"/>
      <c r="W94" s="29"/>
      <c r="X94" s="29"/>
    </row>
    <row r="95" spans="17:24" s="27" customFormat="1">
      <c r="Q95" s="29"/>
      <c r="R95" s="29"/>
      <c r="S95" s="29"/>
      <c r="U95" s="29"/>
      <c r="V95" s="29"/>
      <c r="W95" s="29"/>
      <c r="X95" s="29"/>
    </row>
    <row r="96" spans="17:24" s="27" customFormat="1">
      <c r="Q96" s="29"/>
      <c r="R96" s="29"/>
      <c r="S96" s="29"/>
      <c r="U96" s="29"/>
      <c r="V96" s="29"/>
      <c r="W96" s="29"/>
      <c r="X96" s="29"/>
    </row>
    <row r="97" spans="17:24" s="27" customFormat="1">
      <c r="Q97" s="29"/>
      <c r="R97" s="29"/>
      <c r="S97" s="29"/>
      <c r="U97" s="29"/>
      <c r="V97" s="29"/>
      <c r="W97" s="29"/>
      <c r="X97" s="29"/>
    </row>
    <row r="98" spans="17:24" s="27" customFormat="1">
      <c r="Q98" s="29"/>
      <c r="R98" s="29"/>
      <c r="S98" s="29"/>
      <c r="U98" s="29"/>
      <c r="V98" s="29"/>
      <c r="W98" s="29"/>
      <c r="X98" s="29"/>
    </row>
    <row r="99" spans="17:24" s="27" customFormat="1">
      <c r="Q99" s="29"/>
      <c r="R99" s="29"/>
      <c r="S99" s="29"/>
      <c r="U99" s="29"/>
      <c r="V99" s="29"/>
      <c r="W99" s="29"/>
      <c r="X99" s="29"/>
    </row>
    <row r="100" spans="17:24" s="27" customFormat="1">
      <c r="Q100" s="29"/>
      <c r="R100" s="29"/>
      <c r="S100" s="29"/>
      <c r="U100" s="29"/>
      <c r="V100" s="29"/>
      <c r="W100" s="29"/>
      <c r="X100" s="29"/>
    </row>
    <row r="101" spans="17:24" s="27" customFormat="1">
      <c r="Q101" s="29"/>
      <c r="R101" s="29"/>
      <c r="S101" s="29"/>
      <c r="U101" s="29"/>
      <c r="V101" s="29"/>
      <c r="W101" s="29"/>
      <c r="X101" s="29"/>
    </row>
    <row r="102" spans="17:24" s="27" customFormat="1">
      <c r="Q102" s="29"/>
      <c r="R102" s="29"/>
      <c r="S102" s="29"/>
      <c r="U102" s="29"/>
      <c r="V102" s="29"/>
      <c r="W102" s="29"/>
      <c r="X102" s="29"/>
    </row>
    <row r="103" spans="17:24" s="27" customFormat="1">
      <c r="Q103" s="29"/>
      <c r="R103" s="29"/>
      <c r="S103" s="29"/>
      <c r="U103" s="29"/>
      <c r="V103" s="29"/>
      <c r="W103" s="29"/>
      <c r="X103" s="29"/>
    </row>
    <row r="104" spans="17:24" s="27" customFormat="1">
      <c r="Q104" s="29"/>
      <c r="R104" s="29"/>
      <c r="S104" s="29"/>
      <c r="U104" s="29"/>
      <c r="V104" s="29"/>
      <c r="W104" s="29"/>
      <c r="X104" s="29"/>
    </row>
    <row r="105" spans="17:24" s="27" customFormat="1">
      <c r="Q105" s="29"/>
      <c r="R105" s="29"/>
      <c r="S105" s="29"/>
      <c r="U105" s="29"/>
      <c r="V105" s="29"/>
      <c r="W105" s="29"/>
      <c r="X105" s="29"/>
    </row>
    <row r="106" spans="17:24" s="27" customFormat="1">
      <c r="Q106" s="29"/>
      <c r="R106" s="29"/>
      <c r="S106" s="29"/>
      <c r="U106" s="29"/>
      <c r="V106" s="29"/>
      <c r="W106" s="29"/>
      <c r="X106" s="29"/>
    </row>
    <row r="107" spans="17:24" s="27" customFormat="1">
      <c r="Q107" s="29"/>
      <c r="R107" s="29"/>
      <c r="S107" s="29"/>
      <c r="U107" s="29"/>
      <c r="V107" s="29"/>
      <c r="W107" s="29"/>
      <c r="X107" s="29"/>
    </row>
    <row r="108" spans="17:24" s="27" customFormat="1">
      <c r="Q108" s="29"/>
      <c r="R108" s="29"/>
      <c r="S108" s="29"/>
      <c r="U108" s="29"/>
      <c r="V108" s="29"/>
      <c r="W108" s="29"/>
      <c r="X108" s="29"/>
    </row>
    <row r="109" spans="17:24" s="27" customFormat="1">
      <c r="Q109" s="29"/>
      <c r="R109" s="29"/>
      <c r="S109" s="29"/>
      <c r="U109" s="29"/>
      <c r="V109" s="29"/>
      <c r="W109" s="29"/>
      <c r="X109" s="29"/>
    </row>
    <row r="110" spans="17:24" s="27" customFormat="1">
      <c r="Q110" s="29"/>
      <c r="R110" s="29"/>
      <c r="S110" s="29"/>
      <c r="U110" s="29"/>
      <c r="V110" s="29"/>
      <c r="W110" s="29"/>
      <c r="X110" s="29"/>
    </row>
    <row r="111" spans="17:24" s="27" customFormat="1">
      <c r="Q111" s="29"/>
      <c r="R111" s="29"/>
      <c r="S111" s="29"/>
      <c r="U111" s="29"/>
      <c r="V111" s="29"/>
      <c r="W111" s="29"/>
      <c r="X111" s="29"/>
    </row>
    <row r="112" spans="17:24" s="27" customFormat="1">
      <c r="Q112" s="29"/>
      <c r="R112" s="29"/>
      <c r="S112" s="29"/>
      <c r="U112" s="29"/>
      <c r="V112" s="29"/>
      <c r="W112" s="29"/>
      <c r="X112" s="29"/>
    </row>
    <row r="113" spans="17:24" s="27" customFormat="1">
      <c r="Q113" s="29"/>
      <c r="R113" s="29"/>
      <c r="S113" s="29"/>
      <c r="U113" s="29"/>
      <c r="V113" s="29"/>
      <c r="W113" s="29"/>
      <c r="X113" s="29"/>
    </row>
    <row r="114" spans="17:24" s="27" customFormat="1">
      <c r="Q114" s="29"/>
      <c r="R114" s="29"/>
      <c r="S114" s="29"/>
      <c r="U114" s="29"/>
      <c r="V114" s="29"/>
      <c r="W114" s="29"/>
      <c r="X114" s="29"/>
    </row>
    <row r="115" spans="17:24" s="27" customFormat="1">
      <c r="Q115" s="29"/>
      <c r="R115" s="29"/>
      <c r="S115" s="29"/>
      <c r="U115" s="29"/>
      <c r="V115" s="29"/>
      <c r="W115" s="29"/>
      <c r="X115" s="29"/>
    </row>
    <row r="116" spans="17:24" s="27" customFormat="1">
      <c r="Q116" s="29"/>
      <c r="R116" s="29"/>
      <c r="S116" s="29"/>
      <c r="U116" s="29"/>
      <c r="V116" s="29"/>
      <c r="W116" s="29"/>
      <c r="X116" s="29"/>
    </row>
    <row r="117" spans="17:24" s="27" customFormat="1">
      <c r="Q117" s="29"/>
      <c r="R117" s="29"/>
      <c r="S117" s="29"/>
      <c r="U117" s="29"/>
      <c r="V117" s="29"/>
      <c r="W117" s="29"/>
      <c r="X117" s="29"/>
    </row>
    <row r="118" spans="17:24" s="27" customFormat="1">
      <c r="Q118" s="29"/>
      <c r="R118" s="29"/>
      <c r="S118" s="29"/>
      <c r="U118" s="29"/>
      <c r="V118" s="29"/>
      <c r="W118" s="29"/>
      <c r="X118" s="29"/>
    </row>
    <row r="119" spans="17:24" s="27" customFormat="1">
      <c r="Q119" s="29"/>
      <c r="R119" s="29"/>
      <c r="S119" s="29"/>
      <c r="U119" s="29"/>
      <c r="V119" s="29"/>
      <c r="W119" s="29"/>
      <c r="X119" s="29"/>
    </row>
    <row r="120" spans="17:24" s="27" customFormat="1">
      <c r="Q120" s="29"/>
      <c r="R120" s="29"/>
      <c r="S120" s="29"/>
      <c r="U120" s="29"/>
      <c r="V120" s="29"/>
      <c r="W120" s="29"/>
      <c r="X120" s="29"/>
    </row>
    <row r="121" spans="17:24" s="27" customFormat="1">
      <c r="Q121" s="29"/>
      <c r="R121" s="29"/>
      <c r="S121" s="29"/>
      <c r="U121" s="29"/>
      <c r="V121" s="29"/>
      <c r="W121" s="29"/>
      <c r="X121" s="29"/>
    </row>
    <row r="122" spans="17:24" s="27" customFormat="1">
      <c r="Q122" s="29"/>
      <c r="R122" s="29"/>
      <c r="S122" s="29"/>
      <c r="U122" s="29"/>
      <c r="V122" s="29"/>
      <c r="W122" s="29"/>
      <c r="X122" s="29"/>
    </row>
    <row r="123" spans="17:24" s="27" customFormat="1">
      <c r="Q123" s="29"/>
      <c r="R123" s="29"/>
      <c r="S123" s="29"/>
      <c r="U123" s="29"/>
      <c r="V123" s="29"/>
      <c r="W123" s="29"/>
      <c r="X123" s="29"/>
    </row>
    <row r="124" spans="17:24" s="27" customFormat="1">
      <c r="Q124" s="29"/>
      <c r="R124" s="29"/>
      <c r="S124" s="29"/>
      <c r="U124" s="29"/>
      <c r="V124" s="29"/>
      <c r="W124" s="29"/>
      <c r="X124" s="29"/>
    </row>
    <row r="125" spans="17:24" s="27" customFormat="1">
      <c r="Q125" s="29"/>
      <c r="R125" s="29"/>
      <c r="S125" s="29"/>
      <c r="U125" s="29"/>
      <c r="V125" s="29"/>
      <c r="W125" s="29"/>
      <c r="X125" s="29"/>
    </row>
    <row r="126" spans="17:24" s="27" customFormat="1">
      <c r="Q126" s="29"/>
      <c r="R126" s="29"/>
      <c r="S126" s="29"/>
      <c r="U126" s="29"/>
      <c r="V126" s="29"/>
      <c r="W126" s="29"/>
      <c r="X126" s="29"/>
    </row>
    <row r="127" spans="17:24" s="27" customFormat="1">
      <c r="Q127" s="29"/>
      <c r="R127" s="29"/>
      <c r="S127" s="29"/>
      <c r="U127" s="29"/>
      <c r="V127" s="29"/>
      <c r="W127" s="29"/>
      <c r="X127" s="29"/>
    </row>
    <row r="128" spans="17:24" s="27" customFormat="1">
      <c r="Q128" s="29"/>
      <c r="R128" s="29"/>
      <c r="S128" s="29"/>
      <c r="U128" s="29"/>
      <c r="V128" s="29"/>
      <c r="W128" s="29"/>
      <c r="X128" s="29"/>
    </row>
    <row r="129" spans="17:24" s="27" customFormat="1">
      <c r="Q129" s="29"/>
      <c r="R129" s="29"/>
      <c r="S129" s="29"/>
      <c r="U129" s="29"/>
      <c r="V129" s="29"/>
      <c r="W129" s="29"/>
      <c r="X129" s="29"/>
    </row>
    <row r="130" spans="17:24" s="27" customFormat="1">
      <c r="Q130" s="29"/>
      <c r="R130" s="29"/>
      <c r="S130" s="29"/>
      <c r="U130" s="29"/>
      <c r="V130" s="29"/>
      <c r="W130" s="29"/>
      <c r="X130" s="29"/>
    </row>
    <row r="131" spans="17:24" s="27" customFormat="1">
      <c r="Q131" s="29"/>
      <c r="R131" s="29"/>
      <c r="S131" s="29"/>
      <c r="U131" s="29"/>
      <c r="V131" s="29"/>
      <c r="W131" s="29"/>
      <c r="X131" s="29"/>
    </row>
    <row r="132" spans="17:24" s="27" customFormat="1">
      <c r="Q132" s="29"/>
      <c r="R132" s="29"/>
      <c r="S132" s="29"/>
      <c r="U132" s="29"/>
      <c r="V132" s="29"/>
      <c r="W132" s="29"/>
      <c r="X132" s="29"/>
    </row>
    <row r="133" spans="17:24" s="27" customFormat="1">
      <c r="Q133" s="29"/>
      <c r="R133" s="29"/>
      <c r="S133" s="29"/>
      <c r="U133" s="29"/>
      <c r="V133" s="29"/>
      <c r="W133" s="29"/>
      <c r="X133" s="29"/>
    </row>
    <row r="134" spans="17:24" s="27" customFormat="1">
      <c r="Q134" s="29"/>
      <c r="R134" s="29"/>
      <c r="S134" s="29"/>
      <c r="U134" s="29"/>
      <c r="V134" s="29"/>
      <c r="W134" s="29"/>
      <c r="X134" s="29"/>
    </row>
    <row r="135" spans="17:24" s="27" customFormat="1">
      <c r="Q135" s="29"/>
      <c r="R135" s="29"/>
      <c r="S135" s="29"/>
      <c r="U135" s="29"/>
      <c r="V135" s="29"/>
      <c r="W135" s="29"/>
      <c r="X135" s="29"/>
    </row>
    <row r="136" spans="17:24" s="27" customFormat="1">
      <c r="Q136" s="29"/>
      <c r="R136" s="29"/>
      <c r="S136" s="29"/>
      <c r="U136" s="29"/>
      <c r="V136" s="29"/>
      <c r="W136" s="29"/>
      <c r="X136" s="29"/>
    </row>
    <row r="137" spans="17:24" s="27" customFormat="1">
      <c r="Q137" s="29"/>
      <c r="R137" s="29"/>
      <c r="S137" s="29"/>
      <c r="U137" s="29"/>
      <c r="V137" s="29"/>
      <c r="W137" s="29"/>
      <c r="X137" s="29"/>
    </row>
    <row r="138" spans="17:24" s="27" customFormat="1">
      <c r="Q138" s="29"/>
      <c r="R138" s="29"/>
      <c r="S138" s="29"/>
      <c r="U138" s="29"/>
      <c r="V138" s="29"/>
      <c r="W138" s="29"/>
      <c r="X138" s="29"/>
    </row>
    <row r="139" spans="17:24" s="27" customFormat="1">
      <c r="Q139" s="29"/>
      <c r="R139" s="29"/>
      <c r="S139" s="29"/>
      <c r="U139" s="29"/>
      <c r="V139" s="29"/>
      <c r="W139" s="29"/>
      <c r="X139" s="29"/>
    </row>
    <row r="140" spans="17:24" s="27" customFormat="1">
      <c r="Q140" s="29"/>
      <c r="R140" s="29"/>
      <c r="S140" s="29"/>
      <c r="U140" s="29"/>
      <c r="V140" s="29"/>
      <c r="W140" s="29"/>
      <c r="X140" s="29"/>
    </row>
    <row r="141" spans="17:24" s="27" customFormat="1">
      <c r="Q141" s="29"/>
      <c r="R141" s="29"/>
      <c r="S141" s="29"/>
      <c r="U141" s="29"/>
      <c r="V141" s="29"/>
      <c r="W141" s="29"/>
      <c r="X141" s="29"/>
    </row>
    <row r="142" spans="17:24" s="27" customFormat="1">
      <c r="Q142" s="29"/>
      <c r="R142" s="29"/>
      <c r="S142" s="29"/>
      <c r="U142" s="29"/>
      <c r="V142" s="29"/>
      <c r="W142" s="29"/>
      <c r="X142" s="29"/>
    </row>
    <row r="143" spans="17:24" s="27" customFormat="1">
      <c r="Q143" s="29"/>
      <c r="R143" s="29"/>
      <c r="S143" s="29"/>
      <c r="U143" s="29"/>
      <c r="V143" s="29"/>
      <c r="W143" s="29"/>
      <c r="X143" s="29"/>
    </row>
    <row r="144" spans="17:24" s="27" customFormat="1">
      <c r="Q144" s="29"/>
      <c r="R144" s="29"/>
      <c r="S144" s="29"/>
      <c r="U144" s="29"/>
      <c r="V144" s="29"/>
      <c r="W144" s="29"/>
      <c r="X144" s="29"/>
    </row>
    <row r="145" spans="17:24" s="27" customFormat="1">
      <c r="Q145" s="29"/>
      <c r="R145" s="29"/>
      <c r="S145" s="29"/>
      <c r="U145" s="29"/>
      <c r="V145" s="29"/>
      <c r="W145" s="29"/>
      <c r="X145" s="29"/>
    </row>
    <row r="146" spans="17:24" s="27" customFormat="1">
      <c r="Q146" s="29"/>
      <c r="R146" s="29"/>
      <c r="S146" s="29"/>
      <c r="U146" s="29"/>
      <c r="V146" s="29"/>
      <c r="W146" s="29"/>
      <c r="X146" s="29"/>
    </row>
    <row r="147" spans="17:24" s="27" customFormat="1">
      <c r="Q147" s="29"/>
      <c r="R147" s="29"/>
      <c r="S147" s="29"/>
      <c r="U147" s="29"/>
      <c r="V147" s="29"/>
      <c r="W147" s="29"/>
      <c r="X147" s="29"/>
    </row>
    <row r="148" spans="17:24" s="27" customFormat="1">
      <c r="Q148" s="29"/>
      <c r="R148" s="29"/>
      <c r="S148" s="29"/>
      <c r="U148" s="29"/>
      <c r="V148" s="29"/>
      <c r="W148" s="29"/>
      <c r="X148" s="29"/>
    </row>
    <row r="149" spans="17:24" s="27" customFormat="1">
      <c r="Q149" s="29"/>
      <c r="R149" s="29"/>
      <c r="S149" s="29"/>
      <c r="U149" s="29"/>
      <c r="V149" s="29"/>
      <c r="W149" s="29"/>
      <c r="X149" s="29"/>
    </row>
    <row r="150" spans="17:24" s="27" customFormat="1">
      <c r="Q150" s="29"/>
      <c r="R150" s="29"/>
      <c r="S150" s="29"/>
      <c r="U150" s="29"/>
      <c r="V150" s="29"/>
      <c r="W150" s="29"/>
      <c r="X150" s="29"/>
    </row>
    <row r="151" spans="17:24" s="27" customFormat="1">
      <c r="Q151" s="29"/>
      <c r="R151" s="29"/>
      <c r="S151" s="29"/>
      <c r="U151" s="29"/>
      <c r="V151" s="29"/>
      <c r="W151" s="29"/>
      <c r="X151" s="29"/>
    </row>
    <row r="152" spans="17:24" s="27" customFormat="1">
      <c r="Q152" s="29"/>
      <c r="R152" s="29"/>
      <c r="S152" s="29"/>
      <c r="U152" s="29"/>
      <c r="V152" s="29"/>
      <c r="W152" s="29"/>
      <c r="X152" s="29"/>
    </row>
    <row r="153" spans="17:24" s="27" customFormat="1">
      <c r="Q153" s="29"/>
      <c r="R153" s="29"/>
      <c r="S153" s="29"/>
      <c r="U153" s="29"/>
      <c r="V153" s="29"/>
      <c r="W153" s="29"/>
      <c r="X153" s="29"/>
    </row>
    <row r="154" spans="17:24" s="27" customFormat="1">
      <c r="Q154" s="29"/>
      <c r="R154" s="29"/>
      <c r="S154" s="29"/>
      <c r="U154" s="29"/>
      <c r="V154" s="29"/>
      <c r="W154" s="29"/>
      <c r="X154" s="29"/>
    </row>
    <row r="155" spans="17:24" s="27" customFormat="1">
      <c r="Q155" s="29"/>
      <c r="R155" s="29"/>
      <c r="S155" s="29"/>
      <c r="U155" s="29"/>
      <c r="V155" s="29"/>
      <c r="W155" s="29"/>
      <c r="X155" s="29"/>
    </row>
    <row r="156" spans="17:24" s="27" customFormat="1">
      <c r="Q156" s="29"/>
      <c r="R156" s="29"/>
      <c r="S156" s="29"/>
      <c r="U156" s="29"/>
      <c r="V156" s="29"/>
      <c r="W156" s="29"/>
      <c r="X156" s="29"/>
    </row>
    <row r="157" spans="17:24" s="27" customFormat="1">
      <c r="Q157" s="29"/>
      <c r="R157" s="29"/>
      <c r="S157" s="29"/>
      <c r="U157" s="29"/>
      <c r="V157" s="29"/>
      <c r="W157" s="29"/>
      <c r="X157" s="29"/>
    </row>
    <row r="158" spans="17:24" s="27" customFormat="1">
      <c r="Q158" s="29"/>
      <c r="R158" s="29"/>
      <c r="S158" s="29"/>
      <c r="U158" s="29"/>
      <c r="V158" s="29"/>
      <c r="W158" s="29"/>
      <c r="X158" s="29"/>
    </row>
    <row r="159" spans="17:24" s="27" customFormat="1">
      <c r="Q159" s="29"/>
      <c r="R159" s="29"/>
      <c r="S159" s="29"/>
      <c r="U159" s="29"/>
      <c r="V159" s="29"/>
      <c r="W159" s="29"/>
      <c r="X159" s="29"/>
    </row>
    <row r="160" spans="17:24" s="27" customFormat="1">
      <c r="Q160" s="29"/>
      <c r="R160" s="29"/>
      <c r="S160" s="29"/>
      <c r="U160" s="29"/>
      <c r="V160" s="29"/>
      <c r="W160" s="29"/>
      <c r="X160" s="29"/>
    </row>
    <row r="161" spans="17:24" s="27" customFormat="1">
      <c r="Q161" s="29"/>
      <c r="R161" s="29"/>
      <c r="S161" s="29"/>
      <c r="U161" s="29"/>
      <c r="V161" s="29"/>
      <c r="W161" s="29"/>
      <c r="X161" s="29"/>
    </row>
    <row r="162" spans="17:24" s="27" customFormat="1">
      <c r="Q162" s="29"/>
      <c r="R162" s="29"/>
      <c r="S162" s="29"/>
      <c r="U162" s="29"/>
      <c r="V162" s="29"/>
      <c r="W162" s="29"/>
      <c r="X162" s="29"/>
    </row>
    <row r="163" spans="17:24" s="27" customFormat="1">
      <c r="Q163" s="29"/>
      <c r="R163" s="29"/>
      <c r="S163" s="29"/>
      <c r="U163" s="29"/>
      <c r="V163" s="29"/>
      <c r="W163" s="29"/>
      <c r="X163" s="29"/>
    </row>
    <row r="164" spans="17:24" s="27" customFormat="1">
      <c r="Q164" s="29"/>
      <c r="R164" s="29"/>
      <c r="S164" s="29"/>
      <c r="U164" s="29"/>
      <c r="V164" s="29"/>
      <c r="W164" s="29"/>
      <c r="X164" s="29"/>
    </row>
    <row r="165" spans="17:24" s="27" customFormat="1">
      <c r="Q165" s="29"/>
      <c r="R165" s="29"/>
      <c r="S165" s="29"/>
      <c r="U165" s="29"/>
      <c r="V165" s="29"/>
      <c r="W165" s="29"/>
      <c r="X165" s="29"/>
    </row>
    <row r="166" spans="17:24" s="27" customFormat="1">
      <c r="Q166" s="29"/>
      <c r="R166" s="29"/>
      <c r="S166" s="29"/>
      <c r="U166" s="29"/>
      <c r="V166" s="29"/>
      <c r="W166" s="29"/>
      <c r="X166" s="29"/>
    </row>
    <row r="167" spans="17:24" s="27" customFormat="1">
      <c r="Q167" s="29"/>
      <c r="R167" s="29"/>
      <c r="S167" s="29"/>
      <c r="U167" s="29"/>
      <c r="V167" s="29"/>
      <c r="W167" s="29"/>
      <c r="X167" s="29"/>
    </row>
    <row r="168" spans="17:24" s="27" customFormat="1">
      <c r="Q168" s="29"/>
      <c r="R168" s="29"/>
      <c r="S168" s="29"/>
      <c r="U168" s="29"/>
      <c r="V168" s="29"/>
      <c r="W168" s="29"/>
      <c r="X168" s="29"/>
    </row>
    <row r="169" spans="17:24" s="27" customFormat="1">
      <c r="Q169" s="29"/>
      <c r="R169" s="29"/>
      <c r="S169" s="29"/>
      <c r="U169" s="29"/>
      <c r="V169" s="29"/>
      <c r="W169" s="29"/>
      <c r="X169" s="29"/>
    </row>
    <row r="170" spans="17:24" s="27" customFormat="1">
      <c r="Q170" s="29"/>
      <c r="R170" s="29"/>
      <c r="S170" s="29"/>
      <c r="U170" s="29"/>
      <c r="V170" s="29"/>
      <c r="W170" s="29"/>
      <c r="X170" s="29"/>
    </row>
    <row r="171" spans="17:24" s="27" customFormat="1">
      <c r="Q171" s="29"/>
      <c r="R171" s="29"/>
      <c r="S171" s="29"/>
      <c r="U171" s="29"/>
      <c r="V171" s="29"/>
      <c r="W171" s="29"/>
      <c r="X171" s="29"/>
    </row>
    <row r="172" spans="17:24" s="27" customFormat="1">
      <c r="Q172" s="29"/>
      <c r="R172" s="29"/>
      <c r="S172" s="29"/>
      <c r="U172" s="29"/>
      <c r="V172" s="29"/>
      <c r="W172" s="29"/>
      <c r="X172" s="29"/>
    </row>
    <row r="173" spans="17:24" s="27" customFormat="1">
      <c r="Q173" s="29"/>
      <c r="R173" s="29"/>
      <c r="S173" s="29"/>
      <c r="U173" s="29"/>
      <c r="V173" s="29"/>
      <c r="W173" s="29"/>
      <c r="X173" s="29"/>
    </row>
    <row r="174" spans="17:24" s="27" customFormat="1">
      <c r="Q174" s="29"/>
      <c r="R174" s="29"/>
      <c r="S174" s="29"/>
      <c r="U174" s="29"/>
      <c r="V174" s="29"/>
      <c r="W174" s="29"/>
      <c r="X174" s="29"/>
    </row>
    <row r="175" spans="17:24" s="27" customFormat="1">
      <c r="Q175" s="29"/>
      <c r="R175" s="29"/>
      <c r="S175" s="29"/>
      <c r="U175" s="29"/>
      <c r="V175" s="29"/>
      <c r="W175" s="29"/>
      <c r="X175" s="29"/>
    </row>
    <row r="176" spans="17:24" s="27" customFormat="1">
      <c r="Q176" s="29"/>
      <c r="R176" s="29"/>
      <c r="S176" s="29"/>
      <c r="U176" s="29"/>
      <c r="V176" s="29"/>
      <c r="W176" s="29"/>
      <c r="X176" s="29"/>
    </row>
    <row r="177" spans="17:24" s="27" customFormat="1">
      <c r="Q177" s="29"/>
      <c r="R177" s="29"/>
      <c r="S177" s="29"/>
      <c r="U177" s="29"/>
      <c r="V177" s="29"/>
      <c r="W177" s="29"/>
      <c r="X177" s="29"/>
    </row>
    <row r="178" spans="17:24" s="27" customFormat="1">
      <c r="Q178" s="29"/>
      <c r="R178" s="29"/>
      <c r="S178" s="29"/>
      <c r="U178" s="29"/>
      <c r="V178" s="29"/>
      <c r="W178" s="29"/>
      <c r="X178" s="29"/>
    </row>
    <row r="179" spans="17:24" s="27" customFormat="1">
      <c r="Q179" s="29"/>
      <c r="R179" s="29"/>
      <c r="S179" s="29"/>
      <c r="U179" s="29"/>
      <c r="V179" s="29"/>
      <c r="W179" s="29"/>
      <c r="X179" s="29"/>
    </row>
    <row r="180" spans="17:24" s="27" customFormat="1">
      <c r="Q180" s="29"/>
      <c r="R180" s="29"/>
      <c r="S180" s="29"/>
      <c r="U180" s="29"/>
      <c r="V180" s="29"/>
      <c r="W180" s="29"/>
      <c r="X180" s="29"/>
    </row>
    <row r="181" spans="17:24" s="27" customFormat="1">
      <c r="Q181" s="29"/>
      <c r="R181" s="29"/>
      <c r="S181" s="29"/>
      <c r="U181" s="29"/>
      <c r="V181" s="29"/>
      <c r="W181" s="29"/>
      <c r="X181" s="29"/>
    </row>
    <row r="182" spans="17:24" s="27" customFormat="1">
      <c r="Q182" s="29"/>
      <c r="R182" s="29"/>
      <c r="S182" s="29"/>
      <c r="U182" s="29"/>
      <c r="V182" s="29"/>
      <c r="W182" s="29"/>
      <c r="X182" s="29"/>
    </row>
    <row r="183" spans="17:24" s="27" customFormat="1">
      <c r="Q183" s="29"/>
      <c r="R183" s="29"/>
      <c r="S183" s="29"/>
      <c r="U183" s="29"/>
      <c r="V183" s="29"/>
      <c r="W183" s="29"/>
      <c r="X183" s="29"/>
    </row>
    <row r="184" spans="17:24" s="27" customFormat="1">
      <c r="Q184" s="29"/>
      <c r="R184" s="29"/>
      <c r="S184" s="29"/>
      <c r="U184" s="29"/>
      <c r="V184" s="29"/>
      <c r="W184" s="29"/>
      <c r="X184" s="29"/>
    </row>
    <row r="185" spans="17:24" s="27" customFormat="1">
      <c r="Q185" s="29"/>
      <c r="R185" s="29"/>
      <c r="S185" s="29"/>
      <c r="U185" s="29"/>
      <c r="V185" s="29"/>
      <c r="W185" s="29"/>
      <c r="X185" s="29"/>
    </row>
    <row r="186" spans="17:24" s="27" customFormat="1">
      <c r="Q186" s="29"/>
      <c r="R186" s="29"/>
      <c r="S186" s="29"/>
      <c r="U186" s="29"/>
      <c r="V186" s="29"/>
      <c r="W186" s="29"/>
      <c r="X186" s="29"/>
    </row>
    <row r="187" spans="17:24" s="27" customFormat="1">
      <c r="Q187" s="29"/>
      <c r="R187" s="29"/>
      <c r="S187" s="29"/>
      <c r="U187" s="29"/>
      <c r="V187" s="29"/>
      <c r="W187" s="29"/>
      <c r="X187" s="29"/>
    </row>
    <row r="188" spans="17:24" s="27" customFormat="1">
      <c r="Q188" s="29"/>
      <c r="R188" s="29"/>
      <c r="S188" s="29"/>
      <c r="U188" s="29"/>
      <c r="V188" s="29"/>
      <c r="W188" s="29"/>
      <c r="X188" s="29"/>
    </row>
    <row r="189" spans="17:24" s="27" customFormat="1">
      <c r="Q189" s="29"/>
      <c r="R189" s="29"/>
      <c r="S189" s="29"/>
      <c r="U189" s="29"/>
      <c r="V189" s="29"/>
      <c r="W189" s="29"/>
      <c r="X189" s="29"/>
    </row>
    <row r="190" spans="17:24" s="27" customFormat="1">
      <c r="Q190" s="29"/>
      <c r="R190" s="29"/>
      <c r="S190" s="29"/>
      <c r="U190" s="29"/>
      <c r="V190" s="29"/>
      <c r="W190" s="29"/>
      <c r="X190" s="29"/>
    </row>
    <row r="191" spans="17:24" s="27" customFormat="1">
      <c r="Q191" s="29"/>
      <c r="R191" s="29"/>
      <c r="S191" s="29"/>
      <c r="U191" s="29"/>
      <c r="V191" s="29"/>
      <c r="W191" s="29"/>
      <c r="X191" s="29"/>
    </row>
    <row r="192" spans="17:24" s="27" customFormat="1">
      <c r="Q192" s="29"/>
      <c r="R192" s="29"/>
      <c r="S192" s="29"/>
      <c r="U192" s="29"/>
      <c r="V192" s="29"/>
      <c r="W192" s="29"/>
      <c r="X192" s="29"/>
    </row>
    <row r="193" spans="17:24" s="27" customFormat="1">
      <c r="Q193" s="29"/>
      <c r="R193" s="29"/>
      <c r="S193" s="29"/>
      <c r="U193" s="29"/>
      <c r="V193" s="29"/>
      <c r="W193" s="29"/>
      <c r="X193" s="29"/>
    </row>
    <row r="194" spans="17:24" s="27" customFormat="1">
      <c r="Q194" s="29"/>
      <c r="R194" s="29"/>
      <c r="S194" s="29"/>
      <c r="U194" s="29"/>
      <c r="V194" s="29"/>
      <c r="W194" s="29"/>
      <c r="X194" s="29"/>
    </row>
    <row r="195" spans="17:24" s="27" customFormat="1">
      <c r="Q195" s="29"/>
      <c r="R195" s="29"/>
      <c r="S195" s="29"/>
      <c r="U195" s="29"/>
      <c r="V195" s="29"/>
      <c r="W195" s="29"/>
      <c r="X195" s="29"/>
    </row>
    <row r="196" spans="17:24" s="27" customFormat="1">
      <c r="Q196" s="29"/>
      <c r="R196" s="29"/>
      <c r="S196" s="29"/>
      <c r="U196" s="29"/>
      <c r="V196" s="29"/>
      <c r="W196" s="29"/>
      <c r="X196" s="29"/>
    </row>
    <row r="197" spans="17:24" s="27" customFormat="1">
      <c r="Q197" s="29"/>
      <c r="R197" s="29"/>
      <c r="S197" s="29"/>
      <c r="U197" s="29"/>
      <c r="V197" s="29"/>
      <c r="W197" s="29"/>
      <c r="X197" s="29"/>
    </row>
    <row r="198" spans="17:24" s="27" customFormat="1">
      <c r="Q198" s="29"/>
      <c r="R198" s="29"/>
      <c r="S198" s="29"/>
      <c r="U198" s="29"/>
      <c r="V198" s="29"/>
      <c r="W198" s="29"/>
      <c r="X198" s="29"/>
    </row>
    <row r="199" spans="17:24" s="27" customFormat="1">
      <c r="Q199" s="29"/>
      <c r="R199" s="29"/>
      <c r="S199" s="29"/>
      <c r="U199" s="29"/>
      <c r="V199" s="29"/>
      <c r="W199" s="29"/>
      <c r="X199" s="29"/>
    </row>
    <row r="200" spans="17:24" s="27" customFormat="1">
      <c r="Q200" s="29"/>
      <c r="R200" s="29"/>
      <c r="S200" s="29"/>
      <c r="U200" s="29"/>
      <c r="V200" s="29"/>
      <c r="W200" s="29"/>
      <c r="X200" s="29"/>
    </row>
    <row r="201" spans="17:24" s="27" customFormat="1">
      <c r="Q201" s="29"/>
      <c r="R201" s="29"/>
      <c r="S201" s="29"/>
      <c r="U201" s="29"/>
      <c r="V201" s="29"/>
      <c r="W201" s="29"/>
      <c r="X201" s="29"/>
    </row>
    <row r="202" spans="17:24" s="27" customFormat="1">
      <c r="Q202" s="29"/>
      <c r="R202" s="29"/>
      <c r="S202" s="29"/>
      <c r="U202" s="29"/>
      <c r="V202" s="29"/>
      <c r="W202" s="29"/>
      <c r="X202" s="29"/>
    </row>
    <row r="203" spans="17:24" s="27" customFormat="1">
      <c r="Q203" s="29"/>
      <c r="R203" s="29"/>
      <c r="S203" s="29"/>
      <c r="U203" s="29"/>
      <c r="V203" s="29"/>
      <c r="W203" s="29"/>
      <c r="X203" s="29"/>
    </row>
    <row r="204" spans="17:24" s="27" customFormat="1">
      <c r="Q204" s="29"/>
      <c r="R204" s="29"/>
      <c r="S204" s="29"/>
      <c r="U204" s="29"/>
      <c r="V204" s="29"/>
      <c r="W204" s="29"/>
      <c r="X204" s="29"/>
    </row>
    <row r="205" spans="17:24" s="27" customFormat="1">
      <c r="Q205" s="29"/>
      <c r="R205" s="29"/>
      <c r="S205" s="29"/>
      <c r="U205" s="29"/>
      <c r="V205" s="29"/>
      <c r="W205" s="29"/>
      <c r="X205" s="29"/>
    </row>
    <row r="206" spans="17:24" s="27" customFormat="1">
      <c r="Q206" s="29"/>
      <c r="R206" s="29"/>
      <c r="S206" s="29"/>
      <c r="U206" s="29"/>
      <c r="V206" s="29"/>
      <c r="W206" s="29"/>
      <c r="X206" s="29"/>
    </row>
    <row r="207" spans="17:24" s="27" customFormat="1">
      <c r="Q207" s="29"/>
      <c r="R207" s="29"/>
      <c r="S207" s="29"/>
      <c r="U207" s="29"/>
      <c r="V207" s="29"/>
      <c r="W207" s="29"/>
      <c r="X207" s="29"/>
    </row>
    <row r="208" spans="17:24" s="27" customFormat="1">
      <c r="Q208" s="29"/>
      <c r="R208" s="29"/>
      <c r="S208" s="29"/>
      <c r="U208" s="29"/>
      <c r="V208" s="29"/>
      <c r="W208" s="29"/>
      <c r="X208" s="29"/>
    </row>
    <row r="209" spans="17:24" s="27" customFormat="1">
      <c r="Q209" s="29"/>
      <c r="R209" s="29"/>
      <c r="S209" s="29"/>
      <c r="U209" s="29"/>
      <c r="V209" s="29"/>
      <c r="W209" s="29"/>
      <c r="X209" s="29"/>
    </row>
    <row r="210" spans="17:24" s="27" customFormat="1">
      <c r="Q210" s="29"/>
      <c r="R210" s="29"/>
      <c r="S210" s="29"/>
      <c r="U210" s="29"/>
      <c r="V210" s="29"/>
      <c r="W210" s="29"/>
      <c r="X210" s="29"/>
    </row>
    <row r="211" spans="17:24" s="27" customFormat="1">
      <c r="Q211" s="29"/>
      <c r="R211" s="29"/>
      <c r="S211" s="29"/>
      <c r="U211" s="29"/>
      <c r="V211" s="29"/>
      <c r="W211" s="29"/>
      <c r="X211" s="29"/>
    </row>
    <row r="212" spans="17:24" s="27" customFormat="1">
      <c r="Q212" s="29"/>
      <c r="R212" s="29"/>
      <c r="S212" s="29"/>
      <c r="U212" s="29"/>
      <c r="V212" s="29"/>
      <c r="W212" s="29"/>
      <c r="X212" s="29"/>
    </row>
    <row r="213" spans="17:24" s="27" customFormat="1">
      <c r="Q213" s="29"/>
      <c r="R213" s="29"/>
      <c r="S213" s="29"/>
      <c r="U213" s="29"/>
      <c r="V213" s="29"/>
      <c r="W213" s="29"/>
      <c r="X213" s="29"/>
    </row>
    <row r="214" spans="17:24" s="27" customFormat="1">
      <c r="Q214" s="29"/>
      <c r="R214" s="29"/>
      <c r="S214" s="29"/>
      <c r="U214" s="29"/>
      <c r="V214" s="29"/>
      <c r="W214" s="29"/>
      <c r="X214" s="29"/>
    </row>
    <row r="215" spans="17:24" s="27" customFormat="1">
      <c r="Q215" s="29"/>
      <c r="R215" s="29"/>
      <c r="S215" s="29"/>
      <c r="U215" s="29"/>
      <c r="V215" s="29"/>
      <c r="W215" s="29"/>
      <c r="X215" s="29"/>
    </row>
    <row r="216" spans="17:24" s="27" customFormat="1">
      <c r="Q216" s="29"/>
      <c r="R216" s="29"/>
      <c r="S216" s="29"/>
      <c r="U216" s="29"/>
      <c r="V216" s="29"/>
      <c r="W216" s="29"/>
      <c r="X216" s="29"/>
    </row>
    <row r="217" spans="17:24" s="27" customFormat="1">
      <c r="Q217" s="29"/>
      <c r="R217" s="29"/>
      <c r="S217" s="29"/>
      <c r="U217" s="29"/>
      <c r="V217" s="29"/>
      <c r="W217" s="29"/>
      <c r="X217" s="29"/>
    </row>
    <row r="218" spans="17:24" s="27" customFormat="1">
      <c r="Q218" s="29"/>
      <c r="R218" s="29"/>
      <c r="S218" s="29"/>
      <c r="U218" s="29"/>
      <c r="V218" s="29"/>
      <c r="W218" s="29"/>
      <c r="X218" s="29"/>
    </row>
    <row r="219" spans="17:24" s="27" customFormat="1">
      <c r="Q219" s="29"/>
      <c r="R219" s="29"/>
      <c r="S219" s="29"/>
      <c r="U219" s="29"/>
      <c r="V219" s="29"/>
      <c r="W219" s="29"/>
      <c r="X219" s="29"/>
    </row>
    <row r="220" spans="17:24" s="27" customFormat="1">
      <c r="Q220" s="29"/>
      <c r="R220" s="29"/>
      <c r="S220" s="29"/>
      <c r="U220" s="29"/>
      <c r="V220" s="29"/>
      <c r="W220" s="29"/>
      <c r="X220" s="29"/>
    </row>
    <row r="221" spans="17:24" s="27" customFormat="1">
      <c r="Q221" s="29"/>
      <c r="R221" s="29"/>
      <c r="S221" s="29"/>
      <c r="U221" s="29"/>
      <c r="V221" s="29"/>
      <c r="W221" s="29"/>
      <c r="X221" s="29"/>
    </row>
    <row r="222" spans="17:24" s="27" customFormat="1">
      <c r="Q222" s="29"/>
      <c r="R222" s="29"/>
      <c r="S222" s="29"/>
      <c r="U222" s="29"/>
      <c r="V222" s="29"/>
      <c r="W222" s="29"/>
      <c r="X222" s="29"/>
    </row>
    <row r="223" spans="17:24" s="27" customFormat="1">
      <c r="Q223" s="29"/>
      <c r="R223" s="29"/>
      <c r="S223" s="29"/>
      <c r="U223" s="29"/>
      <c r="V223" s="29"/>
      <c r="W223" s="29"/>
      <c r="X223" s="29"/>
    </row>
    <row r="224" spans="17:24" s="27" customFormat="1">
      <c r="Q224" s="29"/>
      <c r="R224" s="29"/>
      <c r="S224" s="29"/>
      <c r="U224" s="29"/>
      <c r="V224" s="29"/>
      <c r="W224" s="29"/>
      <c r="X224" s="29"/>
    </row>
    <row r="225" spans="17:24" s="27" customFormat="1">
      <c r="Q225" s="29"/>
      <c r="R225" s="29"/>
      <c r="S225" s="29"/>
      <c r="U225" s="29"/>
      <c r="V225" s="29"/>
      <c r="W225" s="29"/>
      <c r="X225" s="29"/>
    </row>
    <row r="226" spans="17:24" s="27" customFormat="1">
      <c r="Q226" s="29"/>
      <c r="R226" s="29"/>
      <c r="S226" s="29"/>
      <c r="U226" s="29"/>
      <c r="V226" s="29"/>
      <c r="W226" s="29"/>
      <c r="X226" s="29"/>
    </row>
    <row r="227" spans="17:24" s="27" customFormat="1">
      <c r="Q227" s="29"/>
      <c r="R227" s="29"/>
      <c r="S227" s="29"/>
      <c r="U227" s="29"/>
      <c r="V227" s="29"/>
      <c r="W227" s="29"/>
      <c r="X227" s="29"/>
    </row>
    <row r="228" spans="17:24" s="27" customFormat="1">
      <c r="Q228" s="29"/>
      <c r="R228" s="29"/>
      <c r="S228" s="29"/>
      <c r="U228" s="29"/>
      <c r="V228" s="29"/>
      <c r="W228" s="29"/>
      <c r="X228" s="29"/>
    </row>
    <row r="229" spans="17:24" s="27" customFormat="1">
      <c r="Q229" s="29"/>
      <c r="R229" s="29"/>
      <c r="S229" s="29"/>
      <c r="U229" s="29"/>
      <c r="V229" s="29"/>
      <c r="W229" s="29"/>
      <c r="X229" s="29"/>
    </row>
    <row r="230" spans="17:24" s="27" customFormat="1">
      <c r="Q230" s="29"/>
      <c r="R230" s="29"/>
      <c r="S230" s="29"/>
      <c r="U230" s="29"/>
      <c r="V230" s="29"/>
      <c r="W230" s="29"/>
      <c r="X230" s="29"/>
    </row>
  </sheetData>
  <mergeCells count="7">
    <mergeCell ref="A1:U1"/>
    <mergeCell ref="A33:B33"/>
    <mergeCell ref="A2:U2"/>
    <mergeCell ref="A29:B29"/>
    <mergeCell ref="A30:B30"/>
    <mergeCell ref="A31:B31"/>
    <mergeCell ref="A32:B32"/>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30A63E"/>
  </sheetPr>
  <dimension ref="A1:BB112"/>
  <sheetViews>
    <sheetView workbookViewId="0">
      <selection sqref="A1:Q1"/>
    </sheetView>
  </sheetViews>
  <sheetFormatPr baseColWidth="10" defaultRowHeight="15"/>
  <cols>
    <col min="2" max="2" width="21.42578125" customWidth="1"/>
    <col min="3" max="3" width="11.140625" customWidth="1"/>
    <col min="4" max="4" width="13.42578125" customWidth="1"/>
    <col min="5" max="5" width="21" customWidth="1"/>
    <col min="6" max="6" width="21.140625" customWidth="1"/>
    <col min="7" max="7" width="22.140625" bestFit="1" customWidth="1"/>
    <col min="8" max="8" width="22.140625" customWidth="1"/>
    <col min="9" max="10" width="23.42578125" customWidth="1"/>
    <col min="11" max="11" width="14.85546875" customWidth="1"/>
    <col min="12" max="12" width="12.28515625" style="4" customWidth="1"/>
    <col min="13" max="16" width="27.28515625" style="4" customWidth="1"/>
    <col min="17" max="17" width="23.42578125" customWidth="1"/>
    <col min="18" max="54" width="10.85546875" style="27"/>
  </cols>
  <sheetData>
    <row r="1" spans="1:54" s="27" customFormat="1" ht="120" customHeight="1" thickBot="1">
      <c r="A1" s="1236" t="s">
        <v>145</v>
      </c>
      <c r="B1" s="1236"/>
      <c r="C1" s="1236"/>
      <c r="D1" s="1236"/>
      <c r="E1" s="1236"/>
      <c r="F1" s="1236"/>
      <c r="G1" s="1236"/>
      <c r="H1" s="1236"/>
      <c r="I1" s="1236"/>
      <c r="J1" s="1236"/>
      <c r="K1" s="1236"/>
      <c r="L1" s="1236"/>
      <c r="M1" s="1236"/>
      <c r="N1" s="1236"/>
      <c r="O1" s="1236"/>
      <c r="P1" s="1236"/>
      <c r="Q1" s="1236"/>
    </row>
    <row r="2" spans="1:54" s="88" customFormat="1" ht="64.5" customHeight="1" thickBot="1">
      <c r="A2" s="1253" t="s">
        <v>147</v>
      </c>
      <c r="B2" s="1253"/>
      <c r="C2" s="1253"/>
      <c r="D2" s="1253"/>
      <c r="E2" s="1253"/>
      <c r="F2" s="1253"/>
      <c r="G2" s="1253"/>
      <c r="H2" s="1253"/>
      <c r="I2" s="1253"/>
      <c r="J2" s="1253"/>
      <c r="K2" s="1253"/>
      <c r="L2" s="1253"/>
      <c r="M2" s="1253"/>
      <c r="N2" s="1253"/>
      <c r="O2" s="1253"/>
      <c r="P2" s="1253"/>
      <c r="Q2" s="1253"/>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row>
    <row r="3" spans="1:54" s="23" customFormat="1" ht="60.75" thickBot="1">
      <c r="A3" s="94" t="s">
        <v>106</v>
      </c>
      <c r="B3" s="95" t="s">
        <v>14</v>
      </c>
      <c r="C3" s="95" t="s">
        <v>17</v>
      </c>
      <c r="D3" s="95" t="s">
        <v>64</v>
      </c>
      <c r="E3" s="95" t="s">
        <v>111</v>
      </c>
      <c r="F3" s="95" t="s">
        <v>128</v>
      </c>
      <c r="G3" s="96" t="s">
        <v>109</v>
      </c>
      <c r="H3" s="96" t="s">
        <v>131</v>
      </c>
      <c r="I3" s="95" t="s">
        <v>134</v>
      </c>
      <c r="J3" s="95" t="s">
        <v>135</v>
      </c>
      <c r="K3" s="95" t="s">
        <v>127</v>
      </c>
      <c r="L3" s="97" t="s">
        <v>112</v>
      </c>
      <c r="M3" s="97" t="s">
        <v>136</v>
      </c>
      <c r="N3" s="97" t="s">
        <v>126</v>
      </c>
      <c r="O3" s="95" t="s">
        <v>117</v>
      </c>
      <c r="P3" s="95" t="s">
        <v>13</v>
      </c>
      <c r="Q3" s="95" t="s">
        <v>119</v>
      </c>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row>
    <row r="4" spans="1:54">
      <c r="A4" s="93" t="s">
        <v>7</v>
      </c>
      <c r="B4" s="93" t="s">
        <v>59</v>
      </c>
      <c r="C4" s="175">
        <f>C26</f>
        <v>8.2400000000000008E-3</v>
      </c>
      <c r="D4" s="175">
        <f>C4*1000</f>
        <v>8.24</v>
      </c>
      <c r="E4" s="176">
        <f>E18/C18</f>
        <v>47137.679991680001</v>
      </c>
      <c r="F4" s="176">
        <v>0</v>
      </c>
      <c r="G4" s="177">
        <f>E4-F4</f>
        <v>47137.679991680001</v>
      </c>
      <c r="H4" s="177">
        <f>E4/3600/1000</f>
        <v>1.3093799997688888E-2</v>
      </c>
      <c r="I4" s="177"/>
      <c r="J4" s="177"/>
      <c r="K4" s="177">
        <f>I4-J4</f>
        <v>0</v>
      </c>
      <c r="L4" s="177" t="e">
        <f>K4*(100/I4)</f>
        <v>#DIV/0!</v>
      </c>
      <c r="M4" s="177">
        <f>I4/0.039</f>
        <v>0</v>
      </c>
      <c r="N4" s="177">
        <f>J4/0.039</f>
        <v>0</v>
      </c>
      <c r="O4" s="175">
        <f>O10/C10</f>
        <v>3.6256000000000007E-5</v>
      </c>
      <c r="P4" s="175">
        <f>P10/C10</f>
        <v>5.8171104000000005E-3</v>
      </c>
      <c r="Q4" s="175"/>
    </row>
    <row r="5" spans="1:54">
      <c r="A5" s="89" t="s">
        <v>7</v>
      </c>
      <c r="B5" s="90" t="s">
        <v>86</v>
      </c>
      <c r="C5" s="178">
        <f>(1000/C11)/1000</f>
        <v>6.6666666666666671E-3</v>
      </c>
      <c r="D5" s="178">
        <f>C5*1000</f>
        <v>6.666666666666667</v>
      </c>
      <c r="E5" s="179"/>
      <c r="F5" s="179"/>
      <c r="G5" s="180"/>
      <c r="H5" s="180"/>
      <c r="I5" s="180">
        <v>0.13700000000000001</v>
      </c>
      <c r="J5" s="180"/>
      <c r="K5" s="180">
        <f>I5-J5</f>
        <v>0.13700000000000001</v>
      </c>
      <c r="L5" s="180">
        <f>K5*(100/I5)</f>
        <v>100</v>
      </c>
      <c r="M5" s="180">
        <f t="shared" ref="M5:M20" si="0">I5/0.039</f>
        <v>3.5128205128205132</v>
      </c>
      <c r="N5" s="180">
        <f t="shared" ref="N5:N21" si="1">J5/0.039</f>
        <v>0</v>
      </c>
      <c r="O5" s="178"/>
      <c r="P5" s="178"/>
      <c r="Q5" s="178">
        <v>0.22</v>
      </c>
    </row>
    <row r="6" spans="1:54">
      <c r="A6" s="89"/>
      <c r="B6" s="90" t="s">
        <v>92</v>
      </c>
      <c r="C6" s="178"/>
      <c r="D6" s="178">
        <f>C6*1000</f>
        <v>0</v>
      </c>
      <c r="E6" s="179"/>
      <c r="F6" s="179"/>
      <c r="G6" s="180"/>
      <c r="H6" s="180">
        <f>E6/3600/1000</f>
        <v>0</v>
      </c>
      <c r="I6" s="180"/>
      <c r="J6" s="180"/>
      <c r="K6" s="180">
        <f>I6-J6</f>
        <v>0</v>
      </c>
      <c r="L6" s="180" t="e">
        <f>K6*(100/I6)</f>
        <v>#DIV/0!</v>
      </c>
      <c r="M6" s="180">
        <f t="shared" si="0"/>
        <v>0</v>
      </c>
      <c r="N6" s="180">
        <f t="shared" si="1"/>
        <v>0</v>
      </c>
      <c r="O6" s="178"/>
      <c r="P6" s="178"/>
      <c r="Q6" s="178"/>
    </row>
    <row r="7" spans="1:54">
      <c r="A7" s="89"/>
      <c r="B7" s="89" t="s">
        <v>93</v>
      </c>
      <c r="C7" s="178"/>
      <c r="D7" s="178">
        <f>C7*1000</f>
        <v>0</v>
      </c>
      <c r="E7" s="179"/>
      <c r="F7" s="179"/>
      <c r="G7" s="180"/>
      <c r="H7" s="180">
        <f>E7/3600/1000</f>
        <v>0</v>
      </c>
      <c r="I7" s="180"/>
      <c r="J7" s="180"/>
      <c r="K7" s="180">
        <f>I7-J7</f>
        <v>0</v>
      </c>
      <c r="L7" s="180" t="e">
        <f>K7*(100/I7)</f>
        <v>#DIV/0!</v>
      </c>
      <c r="M7" s="180">
        <f t="shared" si="0"/>
        <v>0</v>
      </c>
      <c r="N7" s="180">
        <f t="shared" si="1"/>
        <v>0</v>
      </c>
      <c r="O7" s="178"/>
      <c r="P7" s="178"/>
      <c r="Q7" s="178"/>
    </row>
    <row r="8" spans="1:54" s="27" customFormat="1">
      <c r="C8" s="132"/>
      <c r="D8" s="132"/>
      <c r="E8" s="132"/>
      <c r="F8" s="132"/>
      <c r="G8" s="132"/>
      <c r="H8" s="132"/>
      <c r="I8" s="132"/>
      <c r="J8" s="132"/>
      <c r="K8" s="132"/>
      <c r="L8" s="132"/>
      <c r="M8" s="132"/>
      <c r="N8" s="132"/>
      <c r="O8" s="133"/>
      <c r="P8" s="133"/>
      <c r="Q8" s="132"/>
    </row>
    <row r="9" spans="1:54" s="24" customFormat="1">
      <c r="A9" s="31"/>
      <c r="B9" s="31"/>
      <c r="C9" s="172" t="s">
        <v>35</v>
      </c>
      <c r="D9" s="172"/>
      <c r="E9" s="173"/>
      <c r="F9" s="173"/>
      <c r="G9" s="174"/>
      <c r="H9" s="174"/>
      <c r="I9" s="173"/>
      <c r="J9" s="173"/>
      <c r="K9" s="173"/>
      <c r="L9" s="174"/>
      <c r="M9" s="174"/>
      <c r="N9" s="174"/>
      <c r="O9" s="173"/>
      <c r="P9" s="173"/>
      <c r="Q9" s="173"/>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row>
    <row r="10" spans="1:54">
      <c r="A10" s="89" t="s">
        <v>15</v>
      </c>
      <c r="B10" s="89" t="s">
        <v>59</v>
      </c>
      <c r="C10" s="179">
        <f>1/C4</f>
        <v>121.35922330097087</v>
      </c>
      <c r="D10" s="179">
        <f>C10*C4</f>
        <v>1</v>
      </c>
      <c r="E10" s="179">
        <f>E18/1000</f>
        <v>5720592.2319999998</v>
      </c>
      <c r="F10" s="179" t="s">
        <v>33</v>
      </c>
      <c r="G10" s="180" t="e">
        <f>E10-F10</f>
        <v>#VALUE!</v>
      </c>
      <c r="H10" s="180">
        <f>E10/3600/1000</f>
        <v>1.5890533977777777</v>
      </c>
      <c r="I10" s="180"/>
      <c r="J10" s="180"/>
      <c r="K10" s="180">
        <f>I10-J10</f>
        <v>0</v>
      </c>
      <c r="L10" s="180" t="e">
        <f>K10*100/I10</f>
        <v>#DIV/0!</v>
      </c>
      <c r="M10" s="180">
        <f t="shared" si="0"/>
        <v>0</v>
      </c>
      <c r="N10" s="180">
        <f t="shared" si="1"/>
        <v>0</v>
      </c>
      <c r="O10" s="178">
        <f>O18/1000</f>
        <v>4.4000000000000003E-3</v>
      </c>
      <c r="P10" s="178">
        <f>P18/1000</f>
        <v>0.70596000000000003</v>
      </c>
      <c r="Q10" s="178"/>
    </row>
    <row r="11" spans="1:54">
      <c r="A11" s="89" t="s">
        <v>15</v>
      </c>
      <c r="B11" s="90" t="s">
        <v>86</v>
      </c>
      <c r="C11" s="179">
        <v>150</v>
      </c>
      <c r="D11" s="179">
        <f>C11*C5</f>
        <v>1</v>
      </c>
      <c r="E11" s="179">
        <f>H11*3600*1000</f>
        <v>3355200.0000000005</v>
      </c>
      <c r="F11" s="179"/>
      <c r="G11" s="180"/>
      <c r="H11" s="180">
        <v>0.93200000000000005</v>
      </c>
      <c r="I11" s="180">
        <v>2.254</v>
      </c>
      <c r="J11" s="180"/>
      <c r="K11" s="180">
        <f>I11-J11</f>
        <v>2.254</v>
      </c>
      <c r="L11" s="180">
        <f>K11*100/I11</f>
        <v>100</v>
      </c>
      <c r="M11" s="180">
        <f t="shared" si="0"/>
        <v>57.794871794871796</v>
      </c>
      <c r="N11" s="180">
        <f t="shared" si="1"/>
        <v>0</v>
      </c>
      <c r="O11" s="178"/>
      <c r="P11" s="178"/>
      <c r="Q11" s="178">
        <f>Q5*C11</f>
        <v>33</v>
      </c>
    </row>
    <row r="12" spans="1:54">
      <c r="A12" s="89" t="s">
        <v>15</v>
      </c>
      <c r="B12" s="90" t="s">
        <v>92</v>
      </c>
      <c r="C12" s="179"/>
      <c r="D12" s="179">
        <f>C12*C6</f>
        <v>0</v>
      </c>
      <c r="E12" s="179">
        <f>E20/1000</f>
        <v>83600000</v>
      </c>
      <c r="F12" s="179"/>
      <c r="G12" s="180"/>
      <c r="H12" s="180">
        <f>E12/3600/1000</f>
        <v>23.222222222222221</v>
      </c>
      <c r="I12" s="180"/>
      <c r="J12" s="180"/>
      <c r="K12" s="180">
        <f>I12-J12</f>
        <v>0</v>
      </c>
      <c r="L12" s="180" t="e">
        <f>K12*100/I12</f>
        <v>#DIV/0!</v>
      </c>
      <c r="M12" s="180">
        <f t="shared" si="0"/>
        <v>0</v>
      </c>
      <c r="N12" s="180">
        <f t="shared" si="1"/>
        <v>0</v>
      </c>
      <c r="O12" s="178"/>
      <c r="P12" s="178"/>
      <c r="Q12" s="178"/>
    </row>
    <row r="13" spans="1:54">
      <c r="A13" s="89" t="s">
        <v>15</v>
      </c>
      <c r="B13" s="89" t="s">
        <v>93</v>
      </c>
      <c r="C13" s="178"/>
      <c r="D13" s="179">
        <f>C13*C7</f>
        <v>0</v>
      </c>
      <c r="E13" s="179"/>
      <c r="F13" s="178"/>
      <c r="G13" s="178"/>
      <c r="H13" s="180">
        <f>E13/3600/1000</f>
        <v>0</v>
      </c>
      <c r="I13" s="178">
        <v>1.4770000000000001</v>
      </c>
      <c r="J13" s="178">
        <v>0.183</v>
      </c>
      <c r="K13" s="180">
        <f>I13-J13</f>
        <v>1.294</v>
      </c>
      <c r="L13" s="180">
        <f>K13*100/I13</f>
        <v>87.610020311442113</v>
      </c>
      <c r="M13" s="180">
        <f t="shared" si="0"/>
        <v>37.871794871794876</v>
      </c>
      <c r="N13" s="180">
        <f t="shared" si="1"/>
        <v>4.6923076923076925</v>
      </c>
      <c r="O13" s="179"/>
      <c r="P13" s="179"/>
      <c r="Q13" s="178"/>
    </row>
    <row r="14" spans="1:54">
      <c r="A14" s="646"/>
      <c r="B14" s="89" t="s">
        <v>659</v>
      </c>
      <c r="C14" s="649"/>
      <c r="D14" s="647"/>
      <c r="E14" s="647">
        <f>E22/1000</f>
        <v>83600000</v>
      </c>
      <c r="F14" s="649"/>
      <c r="G14" s="649"/>
      <c r="H14" s="180">
        <f>E14/3600/1000</f>
        <v>23.222222222222221</v>
      </c>
      <c r="I14" s="649"/>
      <c r="J14" s="649"/>
      <c r="K14" s="648">
        <f>K22/1000</f>
        <v>1.7330000000000001</v>
      </c>
      <c r="L14" s="648"/>
      <c r="M14" s="648"/>
      <c r="N14" s="648"/>
      <c r="O14" s="647"/>
      <c r="P14" s="647"/>
      <c r="Q14" s="649"/>
    </row>
    <row r="15" spans="1:54">
      <c r="A15" s="646"/>
      <c r="B15" s="89" t="s">
        <v>660</v>
      </c>
      <c r="C15" s="649"/>
      <c r="D15" s="647"/>
      <c r="E15" s="647">
        <f>E23/1000</f>
        <v>78000000</v>
      </c>
      <c r="F15" s="649"/>
      <c r="G15" s="649"/>
      <c r="H15" s="180">
        <f>E15/3600/1000</f>
        <v>21.666666666666668</v>
      </c>
      <c r="I15" s="649">
        <f>I23/1000</f>
        <v>1.4650000000000001</v>
      </c>
      <c r="J15" s="649"/>
      <c r="K15" s="648"/>
      <c r="L15" s="648"/>
      <c r="M15" s="648"/>
      <c r="N15" s="648"/>
      <c r="O15" s="647"/>
      <c r="P15" s="647"/>
      <c r="Q15" s="649"/>
    </row>
    <row r="16" spans="1:54" s="27" customFormat="1">
      <c r="C16" s="132"/>
      <c r="D16" s="132"/>
      <c r="E16" s="133"/>
      <c r="F16" s="132"/>
      <c r="G16" s="132"/>
      <c r="H16" s="132"/>
      <c r="I16" s="132"/>
      <c r="J16" s="132"/>
      <c r="K16" s="132"/>
      <c r="L16" s="132"/>
      <c r="M16" s="132"/>
      <c r="N16" s="132"/>
      <c r="O16" s="133"/>
      <c r="P16" s="133"/>
      <c r="Q16" s="132"/>
    </row>
    <row r="17" spans="1:54" s="24" customFormat="1">
      <c r="A17" s="31"/>
      <c r="B17" s="31"/>
      <c r="C17" s="174"/>
      <c r="D17" s="174"/>
      <c r="E17" s="173"/>
      <c r="F17" s="174"/>
      <c r="G17" s="174"/>
      <c r="H17" s="174"/>
      <c r="I17" s="173"/>
      <c r="J17" s="173"/>
      <c r="K17" s="173"/>
      <c r="L17" s="174"/>
      <c r="M17" s="174"/>
      <c r="N17" s="174"/>
      <c r="O17" s="173"/>
      <c r="P17" s="173"/>
      <c r="Q17" s="173"/>
      <c r="R17" s="92"/>
      <c r="S17" s="92"/>
      <c r="T17" s="92"/>
      <c r="U17" s="92"/>
      <c r="V17" s="92"/>
      <c r="W17" s="92"/>
      <c r="X17" s="92"/>
      <c r="Y17" s="92"/>
      <c r="Z17" s="92"/>
      <c r="AA17" s="92"/>
      <c r="AB17" s="92"/>
      <c r="AC17" s="92"/>
      <c r="AD17" s="92"/>
      <c r="AE17" s="92"/>
      <c r="AF17" s="92"/>
      <c r="AG17" s="92"/>
      <c r="AH17" s="92"/>
      <c r="AI17" s="92"/>
      <c r="AJ17" s="92"/>
      <c r="AK17" s="92"/>
      <c r="AL17" s="92"/>
      <c r="AM17" s="92"/>
      <c r="AN17" s="92"/>
      <c r="AO17" s="92"/>
      <c r="AP17" s="92"/>
      <c r="AQ17" s="92"/>
      <c r="AR17" s="92"/>
      <c r="AS17" s="92"/>
      <c r="AT17" s="92"/>
      <c r="AU17" s="92"/>
      <c r="AV17" s="92"/>
      <c r="AW17" s="92"/>
      <c r="AX17" s="92"/>
      <c r="AY17" s="92"/>
      <c r="AZ17" s="92"/>
      <c r="BA17" s="92"/>
      <c r="BB17" s="92"/>
    </row>
    <row r="18" spans="1:54">
      <c r="A18" s="89" t="s">
        <v>16</v>
      </c>
      <c r="B18" s="89" t="s">
        <v>59</v>
      </c>
      <c r="C18" s="179">
        <f>C10*1000</f>
        <v>121359.22330097087</v>
      </c>
      <c r="D18" s="179">
        <f>C18*C4</f>
        <v>1000.0000000000001</v>
      </c>
      <c r="E18" s="179">
        <v>5720592232</v>
      </c>
      <c r="F18" s="179" t="s">
        <v>33</v>
      </c>
      <c r="G18" s="180" t="e">
        <f>E18-F18</f>
        <v>#VALUE!</v>
      </c>
      <c r="H18" s="180">
        <f>E18/3600/1000</f>
        <v>1589.0533977777779</v>
      </c>
      <c r="I18" s="180"/>
      <c r="J18" s="180"/>
      <c r="K18" s="180">
        <f>I18-J18</f>
        <v>0</v>
      </c>
      <c r="L18" s="180" t="e">
        <f>K18*100/I18</f>
        <v>#DIV/0!</v>
      </c>
      <c r="M18" s="180">
        <f t="shared" si="0"/>
        <v>0</v>
      </c>
      <c r="N18" s="180">
        <f t="shared" si="1"/>
        <v>0</v>
      </c>
      <c r="O18" s="178">
        <v>4.4000000000000004</v>
      </c>
      <c r="P18" s="178">
        <v>705.96</v>
      </c>
      <c r="Q18" s="179">
        <v>33000</v>
      </c>
    </row>
    <row r="19" spans="1:54">
      <c r="A19" s="89" t="s">
        <v>16</v>
      </c>
      <c r="B19" s="90" t="s">
        <v>86</v>
      </c>
      <c r="C19" s="179">
        <f>C11*1000</f>
        <v>150000</v>
      </c>
      <c r="D19" s="179">
        <f>C19*C5</f>
        <v>1000.0000000000001</v>
      </c>
      <c r="E19" s="179">
        <f>E11*1000</f>
        <v>3355200000.0000005</v>
      </c>
      <c r="F19" s="179"/>
      <c r="G19" s="180"/>
      <c r="H19" s="180">
        <f>H11*1000</f>
        <v>932</v>
      </c>
      <c r="I19" s="180">
        <f>I11*1000</f>
        <v>2254</v>
      </c>
      <c r="J19" s="180"/>
      <c r="K19" s="180">
        <f>I19-J19</f>
        <v>2254</v>
      </c>
      <c r="L19" s="180">
        <f>K19*100/I19</f>
        <v>100</v>
      </c>
      <c r="M19" s="180">
        <f t="shared" si="0"/>
        <v>57794.871794871797</v>
      </c>
      <c r="N19" s="180">
        <f t="shared" si="1"/>
        <v>0</v>
      </c>
      <c r="O19" s="178"/>
      <c r="P19" s="178"/>
      <c r="Q19" s="178"/>
    </row>
    <row r="20" spans="1:54">
      <c r="A20" s="89" t="s">
        <v>16</v>
      </c>
      <c r="B20" s="90" t="s">
        <v>92</v>
      </c>
      <c r="C20" s="179"/>
      <c r="D20" s="179">
        <v>1000</v>
      </c>
      <c r="E20" s="179">
        <v>83600000000</v>
      </c>
      <c r="F20" s="179"/>
      <c r="G20" s="180"/>
      <c r="H20" s="180">
        <f>E20/3600/1000</f>
        <v>23222.222222222223</v>
      </c>
      <c r="I20" s="180">
        <v>2201</v>
      </c>
      <c r="J20" s="180"/>
      <c r="K20" s="180">
        <f>I20-J20</f>
        <v>2201</v>
      </c>
      <c r="L20" s="180">
        <f>K20*100/I20</f>
        <v>100</v>
      </c>
      <c r="M20" s="180">
        <f t="shared" si="0"/>
        <v>56435.897435897437</v>
      </c>
      <c r="N20" s="180">
        <f t="shared" si="1"/>
        <v>0</v>
      </c>
      <c r="O20" s="178"/>
      <c r="P20" s="178"/>
      <c r="Q20" s="178"/>
    </row>
    <row r="21" spans="1:54">
      <c r="A21" s="89" t="s">
        <v>16</v>
      </c>
      <c r="B21" s="89" t="s">
        <v>93</v>
      </c>
      <c r="C21" s="179"/>
      <c r="D21" s="179">
        <f>C21*C7</f>
        <v>0</v>
      </c>
      <c r="E21" s="179"/>
      <c r="F21" s="179"/>
      <c r="G21" s="180"/>
      <c r="H21" s="180">
        <f>E21/3600/1000</f>
        <v>0</v>
      </c>
      <c r="I21" s="180">
        <f>I13*1000</f>
        <v>1477</v>
      </c>
      <c r="J21" s="180">
        <f>J13*1000</f>
        <v>183</v>
      </c>
      <c r="K21" s="180">
        <f>I21-J21</f>
        <v>1294</v>
      </c>
      <c r="L21" s="180">
        <f>K21*100/I21</f>
        <v>87.610020311442113</v>
      </c>
      <c r="M21" s="180">
        <f>I21/0.039</f>
        <v>37871.794871794875</v>
      </c>
      <c r="N21" s="180">
        <f t="shared" si="1"/>
        <v>4692.3076923076924</v>
      </c>
      <c r="O21" s="178"/>
      <c r="P21" s="178"/>
      <c r="Q21" s="178"/>
    </row>
    <row r="22" spans="1:54">
      <c r="A22" s="89" t="s">
        <v>16</v>
      </c>
      <c r="B22" s="89" t="s">
        <v>659</v>
      </c>
      <c r="C22" s="179"/>
      <c r="D22" s="179"/>
      <c r="E22" s="179">
        <v>83600000000</v>
      </c>
      <c r="F22" s="179"/>
      <c r="G22" s="180"/>
      <c r="H22" s="180">
        <f>E22/3600/1000</f>
        <v>23222.222222222223</v>
      </c>
      <c r="I22" s="180">
        <f>I16*1000</f>
        <v>0</v>
      </c>
      <c r="J22" s="180">
        <f>J16*1000</f>
        <v>0</v>
      </c>
      <c r="K22" s="180">
        <v>1733</v>
      </c>
      <c r="L22" s="180" t="e">
        <f>K22*100/I22</f>
        <v>#DIV/0!</v>
      </c>
      <c r="M22" s="180">
        <f>I22/0.039</f>
        <v>0</v>
      </c>
      <c r="N22" s="180">
        <f t="shared" ref="N22" si="2">J22/0.039</f>
        <v>0</v>
      </c>
      <c r="O22" s="178"/>
      <c r="P22" s="178"/>
      <c r="Q22" s="178"/>
    </row>
    <row r="23" spans="1:54">
      <c r="A23" s="646" t="s">
        <v>658</v>
      </c>
      <c r="B23" s="89" t="s">
        <v>660</v>
      </c>
      <c r="C23" s="647"/>
      <c r="D23" s="647"/>
      <c r="E23" s="647">
        <v>78000000000</v>
      </c>
      <c r="F23" s="647"/>
      <c r="G23" s="648"/>
      <c r="H23" s="648">
        <f>E23/3600/1000</f>
        <v>21666.666666666668</v>
      </c>
      <c r="I23" s="648">
        <v>1465</v>
      </c>
      <c r="J23" s="648"/>
      <c r="K23" s="180"/>
      <c r="L23" s="648"/>
      <c r="M23" s="648"/>
      <c r="N23" s="648"/>
      <c r="O23" s="649"/>
      <c r="P23" s="649"/>
      <c r="Q23" s="649"/>
    </row>
    <row r="24" spans="1:54" s="27" customFormat="1">
      <c r="F24" s="28"/>
      <c r="G24" s="29"/>
      <c r="H24" s="29"/>
      <c r="L24" s="29"/>
      <c r="M24" s="29"/>
      <c r="N24" s="29"/>
      <c r="O24" s="29"/>
      <c r="P24" s="29"/>
    </row>
    <row r="25" spans="1:54">
      <c r="A25" s="57" t="s">
        <v>5</v>
      </c>
      <c r="B25" s="58"/>
      <c r="C25" s="32" t="s">
        <v>6</v>
      </c>
      <c r="D25" s="32" t="s">
        <v>7</v>
      </c>
      <c r="E25" s="32" t="s">
        <v>6</v>
      </c>
      <c r="F25" s="32" t="s">
        <v>7</v>
      </c>
      <c r="G25" s="27"/>
      <c r="H25" s="27"/>
      <c r="I25" s="27"/>
      <c r="J25" s="27"/>
      <c r="K25" s="27"/>
      <c r="L25" s="29"/>
      <c r="M25" s="29"/>
      <c r="N25" s="29"/>
      <c r="O25" s="27"/>
      <c r="P25" s="27"/>
      <c r="Q25" s="27"/>
    </row>
    <row r="26" spans="1:54">
      <c r="A26" s="61" t="s">
        <v>80</v>
      </c>
      <c r="B26" s="62"/>
      <c r="C26" s="48">
        <v>8.2400000000000008E-3</v>
      </c>
      <c r="D26" s="22" t="s">
        <v>15</v>
      </c>
      <c r="E26" s="21"/>
      <c r="F26" s="22"/>
      <c r="G26" s="27"/>
      <c r="H26" s="27"/>
      <c r="I26" s="27"/>
      <c r="J26" s="27"/>
      <c r="K26" s="27"/>
      <c r="L26" s="29"/>
      <c r="M26" s="29"/>
      <c r="N26" s="29"/>
      <c r="O26" s="27"/>
      <c r="P26" s="27"/>
      <c r="Q26" s="27"/>
    </row>
    <row r="27" spans="1:54">
      <c r="A27" s="59" t="s">
        <v>37</v>
      </c>
      <c r="B27" s="60"/>
      <c r="C27" s="48">
        <v>0.45800000000000002</v>
      </c>
      <c r="D27" s="22" t="s">
        <v>51</v>
      </c>
      <c r="E27" s="19"/>
      <c r="F27" s="22"/>
      <c r="G27" s="27"/>
      <c r="H27" s="27"/>
      <c r="I27" s="27"/>
      <c r="J27" s="27"/>
      <c r="K27" s="27"/>
      <c r="L27" s="29"/>
      <c r="M27" s="29"/>
      <c r="N27" s="29"/>
      <c r="O27" s="27"/>
      <c r="P27" s="27"/>
      <c r="Q27" s="27"/>
    </row>
    <row r="28" spans="1:54" s="27" customFormat="1">
      <c r="G28" s="49"/>
      <c r="H28" s="49"/>
      <c r="L28" s="29"/>
      <c r="M28" s="29"/>
      <c r="N28" s="29"/>
    </row>
    <row r="29" spans="1:54" s="27" customFormat="1">
      <c r="L29" s="29"/>
      <c r="M29" s="29"/>
      <c r="N29" s="29"/>
      <c r="O29" s="29"/>
      <c r="P29" s="29"/>
    </row>
    <row r="30" spans="1:54" s="27" customFormat="1">
      <c r="L30" s="29"/>
      <c r="M30" s="29"/>
      <c r="N30" s="29"/>
      <c r="O30" s="29"/>
      <c r="P30" s="29"/>
    </row>
    <row r="31" spans="1:54" s="27" customFormat="1">
      <c r="L31" s="29"/>
      <c r="M31" s="29"/>
      <c r="N31" s="29"/>
      <c r="O31" s="29"/>
      <c r="P31" s="29"/>
    </row>
    <row r="32" spans="1:54" s="27" customFormat="1">
      <c r="L32" s="29"/>
      <c r="M32" s="29"/>
      <c r="N32" s="29"/>
      <c r="O32" s="29"/>
      <c r="P32" s="29"/>
    </row>
    <row r="33" spans="12:16" s="27" customFormat="1">
      <c r="L33" s="29"/>
      <c r="M33" s="29"/>
      <c r="N33" s="29"/>
      <c r="O33" s="29"/>
      <c r="P33" s="29"/>
    </row>
    <row r="34" spans="12:16" s="27" customFormat="1">
      <c r="L34" s="29"/>
      <c r="M34" s="29"/>
      <c r="N34" s="29"/>
      <c r="O34" s="29"/>
      <c r="P34" s="29"/>
    </row>
    <row r="35" spans="12:16" s="27" customFormat="1">
      <c r="L35" s="29"/>
      <c r="M35" s="29"/>
      <c r="N35" s="29"/>
      <c r="O35" s="29"/>
      <c r="P35" s="29"/>
    </row>
    <row r="36" spans="12:16" s="27" customFormat="1">
      <c r="L36" s="29"/>
      <c r="M36" s="29"/>
      <c r="N36" s="29"/>
      <c r="O36" s="29"/>
      <c r="P36" s="29"/>
    </row>
    <row r="37" spans="12:16" s="27" customFormat="1">
      <c r="L37" s="29"/>
      <c r="M37" s="29"/>
      <c r="N37" s="29"/>
      <c r="O37" s="29"/>
      <c r="P37" s="29"/>
    </row>
    <row r="38" spans="12:16" s="27" customFormat="1">
      <c r="L38" s="29"/>
      <c r="M38" s="29"/>
      <c r="N38" s="29"/>
      <c r="O38" s="29"/>
      <c r="P38" s="29"/>
    </row>
    <row r="39" spans="12:16" s="27" customFormat="1">
      <c r="L39" s="29"/>
      <c r="M39" s="29"/>
      <c r="N39" s="29"/>
      <c r="O39" s="29"/>
      <c r="P39" s="29"/>
    </row>
    <row r="40" spans="12:16" s="27" customFormat="1">
      <c r="L40" s="29"/>
      <c r="M40" s="29"/>
      <c r="N40" s="29"/>
      <c r="O40" s="29"/>
      <c r="P40" s="29"/>
    </row>
    <row r="41" spans="12:16" s="27" customFormat="1">
      <c r="L41" s="29"/>
      <c r="M41" s="29"/>
      <c r="N41" s="29"/>
      <c r="O41" s="29"/>
      <c r="P41" s="29"/>
    </row>
    <row r="42" spans="12:16" s="27" customFormat="1">
      <c r="L42" s="29"/>
      <c r="M42" s="29"/>
      <c r="N42" s="29"/>
      <c r="O42" s="29"/>
      <c r="P42" s="29"/>
    </row>
    <row r="43" spans="12:16" s="27" customFormat="1">
      <c r="L43" s="29"/>
      <c r="M43" s="29"/>
      <c r="N43" s="29"/>
      <c r="O43" s="29"/>
      <c r="P43" s="29"/>
    </row>
    <row r="44" spans="12:16" s="27" customFormat="1">
      <c r="L44" s="29"/>
      <c r="M44" s="29"/>
      <c r="N44" s="29"/>
      <c r="O44" s="29"/>
      <c r="P44" s="29"/>
    </row>
    <row r="45" spans="12:16" s="27" customFormat="1">
      <c r="L45" s="29"/>
      <c r="M45" s="29"/>
      <c r="N45" s="29"/>
      <c r="O45" s="29"/>
      <c r="P45" s="29"/>
    </row>
    <row r="46" spans="12:16" s="27" customFormat="1">
      <c r="L46" s="29"/>
      <c r="M46" s="29"/>
      <c r="N46" s="29"/>
      <c r="O46" s="29"/>
      <c r="P46" s="29"/>
    </row>
    <row r="47" spans="12:16" s="27" customFormat="1">
      <c r="L47" s="29"/>
      <c r="M47" s="29"/>
      <c r="N47" s="29"/>
      <c r="O47" s="29"/>
      <c r="P47" s="29"/>
    </row>
    <row r="48" spans="12:16" s="27" customFormat="1">
      <c r="L48" s="29"/>
      <c r="M48" s="29"/>
      <c r="N48" s="29"/>
      <c r="O48" s="29"/>
      <c r="P48" s="29"/>
    </row>
    <row r="49" spans="12:16" s="27" customFormat="1">
      <c r="L49" s="29"/>
      <c r="M49" s="29"/>
      <c r="N49" s="29"/>
      <c r="O49" s="29"/>
      <c r="P49" s="29"/>
    </row>
    <row r="50" spans="12:16" s="27" customFormat="1">
      <c r="L50" s="29"/>
      <c r="M50" s="29"/>
      <c r="N50" s="29"/>
      <c r="O50" s="29"/>
      <c r="P50" s="29"/>
    </row>
    <row r="51" spans="12:16" s="27" customFormat="1">
      <c r="L51" s="29"/>
      <c r="M51" s="29"/>
      <c r="N51" s="29"/>
      <c r="O51" s="29"/>
      <c r="P51" s="29"/>
    </row>
    <row r="52" spans="12:16" s="27" customFormat="1">
      <c r="L52" s="29"/>
      <c r="M52" s="29"/>
      <c r="N52" s="29"/>
      <c r="O52" s="29"/>
      <c r="P52" s="29"/>
    </row>
    <row r="53" spans="12:16" s="27" customFormat="1">
      <c r="L53" s="29"/>
      <c r="M53" s="29"/>
      <c r="N53" s="29"/>
      <c r="O53" s="29"/>
      <c r="P53" s="29"/>
    </row>
    <row r="54" spans="12:16" s="27" customFormat="1">
      <c r="L54" s="29"/>
      <c r="M54" s="29"/>
      <c r="N54" s="29"/>
      <c r="O54" s="29"/>
      <c r="P54" s="29"/>
    </row>
    <row r="55" spans="12:16" s="27" customFormat="1">
      <c r="L55" s="29"/>
      <c r="M55" s="29"/>
      <c r="N55" s="29"/>
      <c r="O55" s="29"/>
      <c r="P55" s="29"/>
    </row>
    <row r="56" spans="12:16" s="27" customFormat="1">
      <c r="L56" s="29"/>
      <c r="M56" s="29"/>
      <c r="N56" s="29"/>
      <c r="O56" s="29"/>
      <c r="P56" s="29"/>
    </row>
    <row r="57" spans="12:16" s="27" customFormat="1">
      <c r="L57" s="29"/>
      <c r="M57" s="29"/>
      <c r="N57" s="29"/>
      <c r="O57" s="29"/>
      <c r="P57" s="29"/>
    </row>
    <row r="58" spans="12:16" s="27" customFormat="1">
      <c r="L58" s="29"/>
      <c r="M58" s="29"/>
      <c r="N58" s="29"/>
      <c r="O58" s="29"/>
      <c r="P58" s="29"/>
    </row>
    <row r="59" spans="12:16" s="27" customFormat="1">
      <c r="L59" s="29"/>
      <c r="M59" s="29"/>
      <c r="N59" s="29"/>
      <c r="O59" s="29"/>
      <c r="P59" s="29"/>
    </row>
    <row r="60" spans="12:16" s="27" customFormat="1">
      <c r="L60" s="29"/>
      <c r="M60" s="29"/>
      <c r="N60" s="29"/>
      <c r="O60" s="29"/>
      <c r="P60" s="29"/>
    </row>
    <row r="61" spans="12:16" s="27" customFormat="1">
      <c r="L61" s="29"/>
      <c r="M61" s="29"/>
      <c r="N61" s="29"/>
      <c r="O61" s="29"/>
      <c r="P61" s="29"/>
    </row>
    <row r="62" spans="12:16" s="27" customFormat="1">
      <c r="L62" s="29"/>
      <c r="M62" s="29"/>
      <c r="N62" s="29"/>
      <c r="O62" s="29"/>
      <c r="P62" s="29"/>
    </row>
    <row r="63" spans="12:16" s="27" customFormat="1">
      <c r="L63" s="29"/>
      <c r="M63" s="29"/>
      <c r="N63" s="29"/>
      <c r="O63" s="29"/>
      <c r="P63" s="29"/>
    </row>
    <row r="64" spans="12:16" s="27" customFormat="1">
      <c r="L64" s="29"/>
      <c r="M64" s="29"/>
      <c r="N64" s="29"/>
      <c r="O64" s="29"/>
      <c r="P64" s="29"/>
    </row>
    <row r="65" spans="12:16" s="27" customFormat="1">
      <c r="L65" s="29"/>
      <c r="M65" s="29"/>
      <c r="N65" s="29"/>
      <c r="O65" s="29"/>
      <c r="P65" s="29"/>
    </row>
    <row r="66" spans="12:16" s="27" customFormat="1">
      <c r="L66" s="29"/>
      <c r="M66" s="29"/>
      <c r="N66" s="29"/>
      <c r="O66" s="29"/>
      <c r="P66" s="29"/>
    </row>
    <row r="67" spans="12:16" s="27" customFormat="1">
      <c r="L67" s="29"/>
      <c r="M67" s="29"/>
      <c r="N67" s="29"/>
      <c r="O67" s="29"/>
      <c r="P67" s="29"/>
    </row>
    <row r="68" spans="12:16" s="27" customFormat="1">
      <c r="L68" s="29"/>
      <c r="M68" s="29"/>
      <c r="N68" s="29"/>
      <c r="O68" s="29"/>
      <c r="P68" s="29"/>
    </row>
    <row r="69" spans="12:16" s="27" customFormat="1">
      <c r="L69" s="29"/>
      <c r="M69" s="29"/>
      <c r="N69" s="29"/>
      <c r="O69" s="29"/>
      <c r="P69" s="29"/>
    </row>
    <row r="70" spans="12:16" s="27" customFormat="1">
      <c r="L70" s="29"/>
      <c r="M70" s="29"/>
      <c r="N70" s="29"/>
      <c r="O70" s="29"/>
      <c r="P70" s="29"/>
    </row>
    <row r="71" spans="12:16" s="27" customFormat="1">
      <c r="L71" s="29"/>
      <c r="M71" s="29"/>
      <c r="N71" s="29"/>
      <c r="O71" s="29"/>
      <c r="P71" s="29"/>
    </row>
    <row r="72" spans="12:16" s="27" customFormat="1">
      <c r="L72" s="29"/>
      <c r="M72" s="29"/>
      <c r="N72" s="29"/>
      <c r="O72" s="29"/>
      <c r="P72" s="29"/>
    </row>
    <row r="73" spans="12:16" s="27" customFormat="1">
      <c r="L73" s="29"/>
      <c r="M73" s="29"/>
      <c r="N73" s="29"/>
      <c r="O73" s="29"/>
      <c r="P73" s="29"/>
    </row>
    <row r="74" spans="12:16" s="27" customFormat="1">
      <c r="L74" s="29"/>
      <c r="M74" s="29"/>
      <c r="N74" s="29"/>
      <c r="O74" s="29"/>
      <c r="P74" s="29"/>
    </row>
    <row r="75" spans="12:16" s="27" customFormat="1">
      <c r="L75" s="29"/>
      <c r="M75" s="29"/>
      <c r="N75" s="29"/>
      <c r="O75" s="29"/>
      <c r="P75" s="29"/>
    </row>
    <row r="76" spans="12:16" s="27" customFormat="1">
      <c r="L76" s="29"/>
      <c r="M76" s="29"/>
      <c r="N76" s="29"/>
      <c r="O76" s="29"/>
      <c r="P76" s="29"/>
    </row>
    <row r="77" spans="12:16" s="27" customFormat="1">
      <c r="L77" s="29"/>
      <c r="M77" s="29"/>
      <c r="N77" s="29"/>
      <c r="O77" s="29"/>
      <c r="P77" s="29"/>
    </row>
    <row r="78" spans="12:16" s="27" customFormat="1">
      <c r="L78" s="29"/>
      <c r="M78" s="29"/>
      <c r="N78" s="29"/>
      <c r="O78" s="29"/>
      <c r="P78" s="29"/>
    </row>
    <row r="79" spans="12:16" s="27" customFormat="1">
      <c r="L79" s="29"/>
      <c r="M79" s="29"/>
      <c r="N79" s="29"/>
      <c r="O79" s="29"/>
      <c r="P79" s="29"/>
    </row>
    <row r="80" spans="12:16" s="27" customFormat="1">
      <c r="L80" s="29"/>
      <c r="M80" s="29"/>
      <c r="N80" s="29"/>
      <c r="O80" s="29"/>
      <c r="P80" s="29"/>
    </row>
    <row r="81" spans="12:16" s="27" customFormat="1">
      <c r="L81" s="29"/>
      <c r="M81" s="29"/>
      <c r="N81" s="29"/>
      <c r="O81" s="29"/>
      <c r="P81" s="29"/>
    </row>
    <row r="82" spans="12:16" s="27" customFormat="1">
      <c r="L82" s="29"/>
      <c r="M82" s="29"/>
      <c r="N82" s="29"/>
      <c r="O82" s="29"/>
      <c r="P82" s="29"/>
    </row>
    <row r="83" spans="12:16" s="27" customFormat="1">
      <c r="L83" s="29"/>
      <c r="M83" s="29"/>
      <c r="N83" s="29"/>
      <c r="O83" s="29"/>
      <c r="P83" s="29"/>
    </row>
    <row r="84" spans="12:16" s="27" customFormat="1">
      <c r="L84" s="29"/>
      <c r="M84" s="29"/>
      <c r="N84" s="29"/>
      <c r="O84" s="29"/>
      <c r="P84" s="29"/>
    </row>
    <row r="85" spans="12:16" s="27" customFormat="1">
      <c r="L85" s="29"/>
      <c r="M85" s="29"/>
      <c r="N85" s="29"/>
      <c r="O85" s="29"/>
      <c r="P85" s="29"/>
    </row>
    <row r="86" spans="12:16" s="27" customFormat="1">
      <c r="L86" s="29"/>
      <c r="M86" s="29"/>
      <c r="N86" s="29"/>
      <c r="O86" s="29"/>
      <c r="P86" s="29"/>
    </row>
    <row r="87" spans="12:16" s="27" customFormat="1">
      <c r="L87" s="29"/>
      <c r="M87" s="29"/>
      <c r="N87" s="29"/>
      <c r="O87" s="29"/>
      <c r="P87" s="29"/>
    </row>
    <row r="88" spans="12:16" s="27" customFormat="1">
      <c r="L88" s="29"/>
      <c r="M88" s="29"/>
      <c r="N88" s="29"/>
      <c r="O88" s="29"/>
      <c r="P88" s="29"/>
    </row>
    <row r="89" spans="12:16" s="27" customFormat="1">
      <c r="L89" s="29"/>
      <c r="M89" s="29"/>
      <c r="N89" s="29"/>
      <c r="O89" s="29"/>
      <c r="P89" s="29"/>
    </row>
    <row r="90" spans="12:16" s="27" customFormat="1">
      <c r="L90" s="29"/>
      <c r="M90" s="29"/>
      <c r="N90" s="29"/>
      <c r="O90" s="29"/>
      <c r="P90" s="29"/>
    </row>
    <row r="91" spans="12:16" s="27" customFormat="1">
      <c r="L91" s="29"/>
      <c r="M91" s="29"/>
      <c r="N91" s="29"/>
      <c r="O91" s="29"/>
      <c r="P91" s="29"/>
    </row>
    <row r="92" spans="12:16" s="27" customFormat="1">
      <c r="L92" s="29"/>
      <c r="M92" s="29"/>
      <c r="N92" s="29"/>
      <c r="O92" s="29"/>
      <c r="P92" s="29"/>
    </row>
    <row r="93" spans="12:16" s="27" customFormat="1">
      <c r="L93" s="29"/>
      <c r="M93" s="29"/>
      <c r="N93" s="29"/>
      <c r="O93" s="29"/>
      <c r="P93" s="29"/>
    </row>
    <row r="94" spans="12:16" s="27" customFormat="1">
      <c r="L94" s="29"/>
      <c r="M94" s="29"/>
      <c r="N94" s="29"/>
      <c r="O94" s="29"/>
      <c r="P94" s="29"/>
    </row>
    <row r="95" spans="12:16" s="27" customFormat="1">
      <c r="L95" s="29"/>
      <c r="M95" s="29"/>
      <c r="N95" s="29"/>
      <c r="O95" s="29"/>
      <c r="P95" s="29"/>
    </row>
    <row r="96" spans="12:16" s="27" customFormat="1">
      <c r="L96" s="29"/>
      <c r="M96" s="29"/>
      <c r="N96" s="29"/>
      <c r="O96" s="29"/>
      <c r="P96" s="29"/>
    </row>
    <row r="97" spans="12:16" s="27" customFormat="1">
      <c r="L97" s="29"/>
      <c r="M97" s="29"/>
      <c r="N97" s="29"/>
      <c r="O97" s="29"/>
      <c r="P97" s="29"/>
    </row>
    <row r="98" spans="12:16" s="27" customFormat="1">
      <c r="L98" s="29"/>
      <c r="M98" s="29"/>
      <c r="N98" s="29"/>
      <c r="O98" s="29"/>
      <c r="P98" s="29"/>
    </row>
    <row r="99" spans="12:16" s="27" customFormat="1">
      <c r="L99" s="29"/>
      <c r="M99" s="29"/>
      <c r="N99" s="29"/>
      <c r="O99" s="29"/>
      <c r="P99" s="29"/>
    </row>
    <row r="100" spans="12:16" s="27" customFormat="1">
      <c r="L100" s="29"/>
      <c r="M100" s="29"/>
      <c r="N100" s="29"/>
      <c r="O100" s="29"/>
      <c r="P100" s="29"/>
    </row>
    <row r="101" spans="12:16" s="27" customFormat="1">
      <c r="L101" s="29"/>
      <c r="M101" s="29"/>
      <c r="N101" s="29"/>
      <c r="O101" s="29"/>
      <c r="P101" s="29"/>
    </row>
    <row r="102" spans="12:16" s="27" customFormat="1">
      <c r="L102" s="29"/>
      <c r="M102" s="29"/>
      <c r="N102" s="29"/>
      <c r="O102" s="29"/>
      <c r="P102" s="29"/>
    </row>
    <row r="103" spans="12:16" s="27" customFormat="1">
      <c r="L103" s="29"/>
      <c r="M103" s="29"/>
      <c r="N103" s="29"/>
      <c r="O103" s="29"/>
      <c r="P103" s="29"/>
    </row>
    <row r="104" spans="12:16" s="27" customFormat="1">
      <c r="L104" s="29"/>
      <c r="M104" s="29"/>
      <c r="N104" s="29"/>
      <c r="O104" s="29"/>
      <c r="P104" s="29"/>
    </row>
    <row r="105" spans="12:16" s="27" customFormat="1">
      <c r="L105" s="29"/>
      <c r="M105" s="29"/>
      <c r="N105" s="29"/>
      <c r="O105" s="29"/>
      <c r="P105" s="29"/>
    </row>
    <row r="106" spans="12:16" s="27" customFormat="1">
      <c r="L106" s="29"/>
      <c r="M106" s="29"/>
      <c r="N106" s="29"/>
      <c r="O106" s="29"/>
      <c r="P106" s="29"/>
    </row>
    <row r="107" spans="12:16" s="27" customFormat="1">
      <c r="L107" s="29"/>
      <c r="M107" s="29"/>
      <c r="N107" s="29"/>
      <c r="O107" s="29"/>
      <c r="P107" s="29"/>
    </row>
    <row r="108" spans="12:16" s="27" customFormat="1">
      <c r="L108" s="29"/>
      <c r="M108" s="29"/>
      <c r="N108" s="29"/>
      <c r="O108" s="29"/>
      <c r="P108" s="29"/>
    </row>
    <row r="109" spans="12:16" s="27" customFormat="1">
      <c r="L109" s="29"/>
      <c r="M109" s="29"/>
      <c r="N109" s="29"/>
      <c r="O109" s="29"/>
      <c r="P109" s="29"/>
    </row>
    <row r="110" spans="12:16" s="27" customFormat="1">
      <c r="L110" s="29"/>
      <c r="M110" s="29"/>
      <c r="N110" s="29"/>
      <c r="O110" s="29"/>
      <c r="P110" s="29"/>
    </row>
    <row r="111" spans="12:16" s="27" customFormat="1">
      <c r="L111" s="29"/>
      <c r="M111" s="29"/>
      <c r="N111" s="29"/>
      <c r="O111" s="29"/>
      <c r="P111" s="29"/>
    </row>
    <row r="112" spans="12:16" s="27" customFormat="1">
      <c r="L112" s="29"/>
      <c r="M112" s="29"/>
      <c r="N112" s="29"/>
      <c r="O112" s="29"/>
      <c r="P112" s="29"/>
    </row>
  </sheetData>
  <mergeCells count="2">
    <mergeCell ref="A1:Q1"/>
    <mergeCell ref="A2:Q2"/>
  </mergeCell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0" tint="-0.249977111117893"/>
  </sheetPr>
  <dimension ref="A1:BC277"/>
  <sheetViews>
    <sheetView workbookViewId="0">
      <selection sqref="A1:Y1"/>
    </sheetView>
  </sheetViews>
  <sheetFormatPr baseColWidth="10" defaultRowHeight="15"/>
  <cols>
    <col min="2" max="2" width="18.7109375" customWidth="1"/>
    <col min="3" max="3" width="13.7109375" customWidth="1"/>
    <col min="4" max="4" width="14.140625" customWidth="1"/>
    <col min="5" max="5" width="12.42578125" customWidth="1"/>
    <col min="6" max="7" width="21.140625" customWidth="1"/>
    <col min="8" max="8" width="19.140625" customWidth="1"/>
    <col min="9" max="9" width="21" customWidth="1"/>
    <col min="10" max="10" width="20.42578125" customWidth="1"/>
    <col min="11" max="11" width="11.28515625" customWidth="1"/>
    <col min="12" max="12" width="11.7109375" style="4" customWidth="1"/>
    <col min="13" max="14" width="19" style="4" customWidth="1"/>
    <col min="15" max="15" width="16.28515625" style="4" customWidth="1"/>
    <col min="16" max="16" width="23" style="4" customWidth="1"/>
    <col min="17" max="17" width="19.7109375" style="4" customWidth="1"/>
    <col min="18" max="18" width="11.42578125" style="4" customWidth="1"/>
    <col min="19" max="19" width="13.140625" style="4" customWidth="1"/>
    <col min="20" max="20" width="25.7109375" style="4" customWidth="1"/>
    <col min="21" max="21" width="27.28515625" style="4" customWidth="1"/>
    <col min="22" max="22" width="13.28515625" customWidth="1"/>
    <col min="23" max="23" width="23.140625" customWidth="1"/>
    <col min="24" max="24" width="22.7109375" customWidth="1"/>
    <col min="25" max="25" width="12.7109375" customWidth="1"/>
    <col min="26" max="26" width="12.42578125" customWidth="1"/>
    <col min="27" max="51" width="10.85546875" style="27"/>
  </cols>
  <sheetData>
    <row r="1" spans="1:55" s="27" customFormat="1" ht="120" customHeight="1" thickBot="1">
      <c r="A1" s="1236" t="s">
        <v>145</v>
      </c>
      <c r="B1" s="1236"/>
      <c r="C1" s="1236"/>
      <c r="D1" s="1236"/>
      <c r="E1" s="1236"/>
      <c r="F1" s="1236"/>
      <c r="G1" s="1236"/>
      <c r="H1" s="1236"/>
      <c r="I1" s="1236"/>
      <c r="J1" s="1236"/>
      <c r="K1" s="1236"/>
      <c r="L1" s="1236"/>
      <c r="M1" s="1236"/>
      <c r="N1" s="1236"/>
      <c r="O1" s="1236"/>
      <c r="P1" s="1236"/>
      <c r="Q1" s="1236"/>
      <c r="R1" s="1236"/>
      <c r="S1" s="1236"/>
      <c r="T1" s="1236"/>
      <c r="U1" s="1236"/>
      <c r="V1" s="1236"/>
      <c r="W1" s="1236"/>
      <c r="X1" s="1236"/>
      <c r="Y1" s="1236"/>
    </row>
    <row r="2" spans="1:55" ht="70.5" customHeight="1" thickBot="1">
      <c r="A2" s="1258" t="s">
        <v>148</v>
      </c>
      <c r="B2" s="1258"/>
      <c r="C2" s="1258"/>
      <c r="D2" s="1258"/>
      <c r="E2" s="1258"/>
      <c r="F2" s="1258"/>
      <c r="G2" s="1258"/>
      <c r="H2" s="1258"/>
      <c r="I2" s="1258"/>
      <c r="J2" s="1258"/>
      <c r="K2" s="1258"/>
      <c r="L2" s="1258"/>
      <c r="M2" s="1258"/>
      <c r="N2" s="1258"/>
      <c r="O2" s="1258"/>
      <c r="P2" s="1258"/>
      <c r="Q2" s="1258"/>
      <c r="R2" s="1258"/>
      <c r="S2" s="1258"/>
      <c r="T2" s="1258"/>
      <c r="U2" s="1258"/>
      <c r="V2" s="1258"/>
      <c r="W2" s="1258"/>
      <c r="X2" s="1258"/>
      <c r="Y2" s="1258"/>
      <c r="Z2" s="1258"/>
      <c r="AZ2" s="27"/>
      <c r="BA2" s="27"/>
      <c r="BB2" s="27"/>
      <c r="BC2" s="27"/>
    </row>
    <row r="3" spans="1:55" s="5" customFormat="1" ht="60" customHeight="1" thickBot="1">
      <c r="A3" s="112" t="s">
        <v>106</v>
      </c>
      <c r="B3" s="113" t="s">
        <v>14</v>
      </c>
      <c r="C3" s="113" t="s">
        <v>61</v>
      </c>
      <c r="D3" s="113" t="s">
        <v>17</v>
      </c>
      <c r="E3" s="113" t="s">
        <v>64</v>
      </c>
      <c r="F3" s="113" t="s">
        <v>111</v>
      </c>
      <c r="G3" s="113" t="s">
        <v>110</v>
      </c>
      <c r="H3" s="114" t="s">
        <v>109</v>
      </c>
      <c r="I3" s="109" t="s">
        <v>131</v>
      </c>
      <c r="J3" s="109" t="s">
        <v>132</v>
      </c>
      <c r="K3" s="109" t="s">
        <v>324</v>
      </c>
      <c r="L3" s="114" t="s">
        <v>62</v>
      </c>
      <c r="M3" s="109" t="s">
        <v>107</v>
      </c>
      <c r="N3" s="109" t="s">
        <v>108</v>
      </c>
      <c r="O3" s="109" t="s">
        <v>130</v>
      </c>
      <c r="P3" s="109" t="s">
        <v>116</v>
      </c>
      <c r="Q3" s="109" t="s">
        <v>113</v>
      </c>
      <c r="R3" s="109" t="s">
        <v>133</v>
      </c>
      <c r="S3" s="109" t="s">
        <v>112</v>
      </c>
      <c r="T3" s="110" t="s">
        <v>136</v>
      </c>
      <c r="U3" s="110" t="s">
        <v>126</v>
      </c>
      <c r="V3" s="109" t="s">
        <v>121</v>
      </c>
      <c r="W3" s="113" t="s">
        <v>138</v>
      </c>
      <c r="X3" s="113" t="s">
        <v>139</v>
      </c>
      <c r="Y3" s="113" t="s">
        <v>124</v>
      </c>
      <c r="Z3" s="109" t="s">
        <v>125</v>
      </c>
      <c r="AA3" s="30"/>
      <c r="AB3" s="30"/>
      <c r="AC3" s="30"/>
      <c r="AD3" s="30"/>
      <c r="AE3" s="30"/>
      <c r="AF3" s="30"/>
      <c r="AG3" s="30"/>
      <c r="AH3" s="30"/>
      <c r="AI3" s="30"/>
      <c r="AJ3" s="30"/>
      <c r="AK3" s="30"/>
      <c r="AL3" s="30"/>
      <c r="AM3" s="30"/>
      <c r="AN3" s="30"/>
      <c r="AO3" s="30"/>
      <c r="AP3" s="30"/>
      <c r="AQ3" s="30"/>
      <c r="AR3" s="30"/>
      <c r="AS3" s="30"/>
      <c r="AT3" s="30"/>
      <c r="AU3" s="30"/>
      <c r="AV3" s="30"/>
      <c r="AW3" s="30"/>
      <c r="AX3" s="30"/>
      <c r="AY3" s="30"/>
    </row>
    <row r="4" spans="1:55">
      <c r="A4" s="111" t="s">
        <v>7</v>
      </c>
      <c r="B4" s="111" t="s">
        <v>60</v>
      </c>
      <c r="C4" s="181">
        <v>0.35499999999999998</v>
      </c>
      <c r="D4" s="181">
        <v>1.2959999999999999E-2</v>
      </c>
      <c r="E4" s="181">
        <f>D4*1000</f>
        <v>12.959999999999999</v>
      </c>
      <c r="F4" s="181">
        <f>F8/D8</f>
        <v>2021760</v>
      </c>
      <c r="G4" s="182">
        <f>G8/D8</f>
        <v>182217.60000000001</v>
      </c>
      <c r="H4" s="183">
        <f>F4-G4</f>
        <v>1839542.4</v>
      </c>
      <c r="I4" s="183">
        <f>F4/3600/1000</f>
        <v>0.56159999999999999</v>
      </c>
      <c r="J4" s="183">
        <f>G4/3600/1000</f>
        <v>5.0616000000000001E-2</v>
      </c>
      <c r="K4" s="183">
        <f>I4-J4</f>
        <v>0.51098399999999999</v>
      </c>
      <c r="L4" s="183">
        <f>H4*(100/F4)</f>
        <v>90.987179487179475</v>
      </c>
      <c r="M4" s="182">
        <f>F4/3600</f>
        <v>561.6</v>
      </c>
      <c r="N4" s="182">
        <f>G4/3600</f>
        <v>50.616</v>
      </c>
      <c r="O4" s="182">
        <f>M4-N4</f>
        <v>510.98400000000004</v>
      </c>
      <c r="P4" s="182">
        <f>I4*C$23</f>
        <v>0.25721280000000002</v>
      </c>
      <c r="Q4" s="182">
        <f>J4*C$23</f>
        <v>2.3182128000000003E-2</v>
      </c>
      <c r="R4" s="182">
        <f>P4-Q4</f>
        <v>0.23403067200000002</v>
      </c>
      <c r="S4" s="182">
        <f>H4*100/F4</f>
        <v>90.987179487179489</v>
      </c>
      <c r="T4" s="182">
        <f>P4/0.039</f>
        <v>6.5952000000000002</v>
      </c>
      <c r="U4" s="182">
        <f>Q4/0.039</f>
        <v>0.59441353846153855</v>
      </c>
      <c r="V4" s="181"/>
      <c r="W4" s="181"/>
      <c r="X4" s="181"/>
      <c r="Y4" s="181"/>
      <c r="Z4" s="181"/>
    </row>
    <row r="5" spans="1:55">
      <c r="A5" s="8" t="s">
        <v>7</v>
      </c>
      <c r="B5" s="8" t="s">
        <v>50</v>
      </c>
      <c r="C5" s="184"/>
      <c r="D5" s="184">
        <v>1.67E-2</v>
      </c>
      <c r="E5" s="184">
        <f>D5*1000</f>
        <v>16.7</v>
      </c>
      <c r="F5" s="185">
        <f>F14/D14</f>
        <v>1166465.0736</v>
      </c>
      <c r="G5" s="185">
        <f>G14/D14</f>
        <v>80697.873599999992</v>
      </c>
      <c r="H5" s="186">
        <f>F5-G5</f>
        <v>1085767.2</v>
      </c>
      <c r="I5" s="186">
        <f>F5/3600/1000</f>
        <v>0.32401807599999999</v>
      </c>
      <c r="J5" s="186">
        <f>G5/3600/1000</f>
        <v>2.2416075999999997E-2</v>
      </c>
      <c r="K5" s="186">
        <f>I5-J5</f>
        <v>0.30160199999999998</v>
      </c>
      <c r="L5" s="186">
        <f>H5*(100/F5)</f>
        <v>93.081843989469277</v>
      </c>
      <c r="M5" s="185">
        <f>F5/3600</f>
        <v>324.01807600000001</v>
      </c>
      <c r="N5" s="185">
        <f>G5/3600</f>
        <v>22.416075999999997</v>
      </c>
      <c r="O5" s="185">
        <f t="shared" ref="O5:O14" si="0">M5-N5</f>
        <v>301.60200000000003</v>
      </c>
      <c r="P5" s="185">
        <f>I5*C$23</f>
        <v>0.148400278808</v>
      </c>
      <c r="Q5" s="185">
        <f>J5*C$23</f>
        <v>1.0266562807999998E-2</v>
      </c>
      <c r="R5" s="185">
        <f>P5-Q5</f>
        <v>0.13813371599999999</v>
      </c>
      <c r="S5" s="185">
        <f>H5*100/F5</f>
        <v>93.081843989469277</v>
      </c>
      <c r="T5" s="185">
        <f t="shared" ref="T5:T14" si="1">P5/0.039</f>
        <v>3.805135354051282</v>
      </c>
      <c r="U5" s="185">
        <f t="shared" ref="U5:U14" si="2">Q5/0.039</f>
        <v>0.26324520020512815</v>
      </c>
      <c r="V5" s="184"/>
      <c r="W5" s="184"/>
      <c r="X5" s="184"/>
      <c r="Y5" s="184"/>
      <c r="Z5" s="184"/>
    </row>
    <row r="6" spans="1:55" s="27" customFormat="1">
      <c r="C6" s="144"/>
      <c r="D6" s="144"/>
      <c r="E6" s="144"/>
      <c r="F6" s="145"/>
      <c r="G6" s="144"/>
      <c r="H6" s="145"/>
      <c r="I6" s="145"/>
      <c r="J6" s="145"/>
      <c r="K6" s="145"/>
      <c r="L6" s="145"/>
      <c r="M6" s="144"/>
      <c r="N6" s="144"/>
      <c r="O6" s="144"/>
      <c r="P6" s="144"/>
      <c r="Q6" s="144"/>
      <c r="R6" s="144"/>
      <c r="S6" s="144"/>
      <c r="T6" s="145"/>
      <c r="U6" s="145"/>
      <c r="V6" s="144"/>
      <c r="W6" s="144"/>
      <c r="X6" s="144"/>
      <c r="Y6" s="144"/>
      <c r="Z6" s="144"/>
    </row>
    <row r="7" spans="1:55">
      <c r="A7" s="25"/>
      <c r="B7" s="25"/>
      <c r="C7" s="187"/>
      <c r="D7" s="188" t="s">
        <v>35</v>
      </c>
      <c r="E7" s="188"/>
      <c r="F7" s="187"/>
      <c r="G7" s="187"/>
      <c r="H7" s="189"/>
      <c r="I7" s="189"/>
      <c r="J7" s="189"/>
      <c r="K7" s="189"/>
      <c r="L7" s="189"/>
      <c r="M7" s="187"/>
      <c r="N7" s="187"/>
      <c r="O7" s="187"/>
      <c r="P7" s="187"/>
      <c r="Q7" s="187"/>
      <c r="R7" s="187"/>
      <c r="S7" s="187"/>
      <c r="T7" s="189"/>
      <c r="U7" s="189"/>
      <c r="V7" s="187"/>
      <c r="W7" s="187"/>
      <c r="X7" s="187"/>
      <c r="Y7" s="187"/>
      <c r="Z7" s="187"/>
    </row>
    <row r="8" spans="1:55">
      <c r="A8" s="8" t="s">
        <v>15</v>
      </c>
      <c r="B8" s="8" t="s">
        <v>50</v>
      </c>
      <c r="C8" s="184">
        <f>C4*D8</f>
        <v>27.391975308641975</v>
      </c>
      <c r="D8" s="185">
        <f>1/D4</f>
        <v>77.160493827160494</v>
      </c>
      <c r="E8" s="185">
        <f>D8*D4</f>
        <v>0.99999999999999989</v>
      </c>
      <c r="F8" s="184">
        <f>E20</f>
        <v>156000000</v>
      </c>
      <c r="G8" s="185">
        <f>E21</f>
        <v>14060000</v>
      </c>
      <c r="H8" s="184">
        <f>F8-G8</f>
        <v>141940000</v>
      </c>
      <c r="I8" s="412">
        <f>F8/3600/1000</f>
        <v>43.333333333333336</v>
      </c>
      <c r="J8" s="412">
        <f>G8/3600/1000</f>
        <v>3.9055555555555554</v>
      </c>
      <c r="K8" s="393">
        <f>I8-J8</f>
        <v>39.427777777777777</v>
      </c>
      <c r="L8" s="185">
        <f>H8*(100/F8)</f>
        <v>90.987179487179489</v>
      </c>
      <c r="M8" s="185">
        <f>F8/3600</f>
        <v>43333.333333333336</v>
      </c>
      <c r="N8" s="185">
        <f>G8/3600</f>
        <v>3905.5555555555557</v>
      </c>
      <c r="O8" s="185">
        <f t="shared" si="0"/>
        <v>39427.777777777781</v>
      </c>
      <c r="P8" s="185">
        <f>I8*C$23</f>
        <v>19.846666666666668</v>
      </c>
      <c r="Q8" s="185">
        <f>J8*C$23</f>
        <v>1.7887444444444445</v>
      </c>
      <c r="R8" s="185">
        <f>P8-Q8</f>
        <v>18.057922222222224</v>
      </c>
      <c r="S8" s="185">
        <f>H8*100/F8</f>
        <v>90.987179487179489</v>
      </c>
      <c r="T8" s="185">
        <f t="shared" si="1"/>
        <v>508.88888888888891</v>
      </c>
      <c r="U8" s="185">
        <f t="shared" si="2"/>
        <v>45.865242165242165</v>
      </c>
      <c r="V8" s="184"/>
      <c r="W8" s="184"/>
      <c r="X8" s="184"/>
      <c r="Y8" s="184"/>
      <c r="Z8" s="184"/>
    </row>
    <row r="9" spans="1:55">
      <c r="A9" s="8" t="s">
        <v>15</v>
      </c>
      <c r="B9" s="8" t="s">
        <v>50</v>
      </c>
      <c r="C9" s="184"/>
      <c r="D9" s="185">
        <f>1/D5</f>
        <v>59.880239520958085</v>
      </c>
      <c r="E9" s="185">
        <f>D9*D5</f>
        <v>1</v>
      </c>
      <c r="F9" s="184">
        <f>F14/1000</f>
        <v>69848208</v>
      </c>
      <c r="G9" s="185">
        <f>G14/1000</f>
        <v>4832208</v>
      </c>
      <c r="H9" s="186">
        <f>F9-G9</f>
        <v>65016000</v>
      </c>
      <c r="I9" s="186">
        <f>F9/3600/1000</f>
        <v>19.402279999999998</v>
      </c>
      <c r="J9" s="186">
        <f>G9/3600/1000</f>
        <v>1.3422799999999999</v>
      </c>
      <c r="K9" s="186">
        <f>I9-J9</f>
        <v>18.059999999999999</v>
      </c>
      <c r="L9" s="185">
        <f>H9*(100/F9)</f>
        <v>93.081843989469277</v>
      </c>
      <c r="M9" s="185">
        <f>F9/3600</f>
        <v>19402.28</v>
      </c>
      <c r="N9" s="185">
        <f>G9/3600</f>
        <v>1342.28</v>
      </c>
      <c r="O9" s="185">
        <f t="shared" si="0"/>
        <v>18060</v>
      </c>
      <c r="P9" s="185">
        <f>I9*C$23</f>
        <v>8.8862442399999999</v>
      </c>
      <c r="Q9" s="185">
        <f>J9*C$23</f>
        <v>0.61476423999999996</v>
      </c>
      <c r="R9" s="185">
        <f>P9-Q9</f>
        <v>8.2714800000000004</v>
      </c>
      <c r="S9" s="185">
        <f>H9*100/F9</f>
        <v>93.081843989469277</v>
      </c>
      <c r="T9" s="185">
        <f t="shared" si="1"/>
        <v>227.85241641025641</v>
      </c>
      <c r="U9" s="185">
        <f t="shared" si="2"/>
        <v>15.76318564102564</v>
      </c>
      <c r="V9" s="184"/>
      <c r="W9" s="184"/>
      <c r="X9" s="184"/>
      <c r="Y9" s="184"/>
      <c r="Z9" s="184"/>
    </row>
    <row r="10" spans="1:55">
      <c r="A10" s="8"/>
      <c r="B10" s="8" t="s">
        <v>91</v>
      </c>
      <c r="C10" s="184"/>
      <c r="D10" s="184"/>
      <c r="E10" s="184"/>
      <c r="F10" s="185"/>
      <c r="G10" s="185"/>
      <c r="H10" s="186"/>
      <c r="I10" s="186"/>
      <c r="J10" s="186"/>
      <c r="K10" s="186"/>
      <c r="L10" s="186"/>
      <c r="M10" s="185"/>
      <c r="N10" s="185"/>
      <c r="O10" s="185"/>
      <c r="P10" s="185">
        <v>23.446999999999999</v>
      </c>
      <c r="Q10" s="185"/>
      <c r="R10" s="185"/>
      <c r="S10" s="185"/>
      <c r="T10" s="185"/>
      <c r="U10" s="185"/>
      <c r="V10" s="184"/>
      <c r="W10" s="184"/>
      <c r="X10" s="184"/>
      <c r="Y10" s="184"/>
      <c r="Z10" s="184"/>
    </row>
    <row r="11" spans="1:55" s="27" customFormat="1">
      <c r="C11" s="144"/>
      <c r="D11" s="144">
        <f>355/2</f>
        <v>177.5</v>
      </c>
      <c r="E11" s="144"/>
      <c r="F11" s="145"/>
      <c r="G11" s="144"/>
      <c r="H11" s="145"/>
      <c r="I11" s="145"/>
      <c r="J11" s="145"/>
      <c r="K11" s="145"/>
      <c r="L11" s="145"/>
      <c r="M11" s="144"/>
      <c r="N11" s="144"/>
      <c r="O11" s="144"/>
      <c r="P11" s="144"/>
      <c r="Q11" s="144"/>
      <c r="R11" s="144"/>
      <c r="S11" s="144"/>
      <c r="T11" s="145"/>
      <c r="U11" s="145"/>
      <c r="V11" s="144"/>
      <c r="W11" s="144"/>
      <c r="X11" s="144"/>
      <c r="Y11" s="144"/>
      <c r="Z11" s="144"/>
    </row>
    <row r="12" spans="1:55">
      <c r="A12" s="25"/>
      <c r="B12" s="25"/>
      <c r="C12" s="187"/>
      <c r="D12" s="189"/>
      <c r="E12" s="189"/>
      <c r="F12" s="187"/>
      <c r="G12" s="189"/>
      <c r="H12" s="189"/>
      <c r="I12" s="189"/>
      <c r="J12" s="189"/>
      <c r="K12" s="189"/>
      <c r="L12" s="189"/>
      <c r="M12" s="187"/>
      <c r="N12" s="187"/>
      <c r="O12" s="187"/>
      <c r="P12" s="187"/>
      <c r="Q12" s="187"/>
      <c r="R12" s="187"/>
      <c r="S12" s="187"/>
      <c r="T12" s="189"/>
      <c r="U12" s="189"/>
      <c r="V12" s="187"/>
      <c r="W12" s="187"/>
      <c r="X12" s="187"/>
      <c r="Y12" s="187"/>
      <c r="Z12" s="187"/>
    </row>
    <row r="13" spans="1:55">
      <c r="A13" s="8" t="s">
        <v>16</v>
      </c>
      <c r="B13" s="8" t="s">
        <v>50</v>
      </c>
      <c r="C13" s="185">
        <f>C4*D13</f>
        <v>27391.975308641973</v>
      </c>
      <c r="D13" s="185">
        <f>D8*1000</f>
        <v>77160.493827160491</v>
      </c>
      <c r="E13" s="185">
        <f>D13*D4</f>
        <v>999.99999999999989</v>
      </c>
      <c r="F13" s="315">
        <f>F8*1000</f>
        <v>156000000000</v>
      </c>
      <c r="G13" s="185">
        <f>G8*1000</f>
        <v>14060000000</v>
      </c>
      <c r="H13" s="186">
        <f>F13-G13</f>
        <v>141940000000</v>
      </c>
      <c r="I13" s="186">
        <f t="shared" ref="I13:J15" si="3">F13/3600/1000</f>
        <v>43333.333333333336</v>
      </c>
      <c r="J13" s="186">
        <f t="shared" si="3"/>
        <v>3905.5555555555557</v>
      </c>
      <c r="K13" s="186">
        <f>I13-J13</f>
        <v>39427.777777777781</v>
      </c>
      <c r="L13" s="186">
        <f>H13*(100/F13)</f>
        <v>90.987179487179489</v>
      </c>
      <c r="M13" s="185">
        <f>F13/3600</f>
        <v>43333333.333333336</v>
      </c>
      <c r="N13" s="185">
        <f>G13/3600</f>
        <v>3905555.5555555555</v>
      </c>
      <c r="O13" s="185">
        <f t="shared" si="0"/>
        <v>39427777.777777784</v>
      </c>
      <c r="P13" s="185">
        <f>I13*C$23</f>
        <v>19846.666666666668</v>
      </c>
      <c r="Q13" s="185">
        <f>J13*C$23</f>
        <v>1788.7444444444445</v>
      </c>
      <c r="R13" s="185">
        <f>P13-Q13</f>
        <v>18057.922222222223</v>
      </c>
      <c r="S13" s="185">
        <f>H13*100/F13</f>
        <v>90.987179487179489</v>
      </c>
      <c r="T13" s="185">
        <f t="shared" si="1"/>
        <v>508888.88888888893</v>
      </c>
      <c r="U13" s="185">
        <f t="shared" si="2"/>
        <v>45865.242165242169</v>
      </c>
      <c r="V13" s="184"/>
      <c r="W13" s="184"/>
      <c r="X13" s="184"/>
      <c r="Y13" s="184"/>
      <c r="Z13" s="184"/>
    </row>
    <row r="14" spans="1:55" ht="15.75" customHeight="1">
      <c r="A14" s="8" t="s">
        <v>16</v>
      </c>
      <c r="B14" s="8" t="s">
        <v>50</v>
      </c>
      <c r="C14" s="184"/>
      <c r="D14" s="185">
        <f>D9*1000</f>
        <v>59880.239520958086</v>
      </c>
      <c r="E14" s="185">
        <f>D14*D5</f>
        <v>1000</v>
      </c>
      <c r="F14" s="185">
        <v>69848208000</v>
      </c>
      <c r="G14" s="184">
        <v>4832208000</v>
      </c>
      <c r="H14" s="186">
        <f>H9*1000</f>
        <v>65016000000</v>
      </c>
      <c r="I14" s="186">
        <f t="shared" si="3"/>
        <v>19402.28</v>
      </c>
      <c r="J14" s="186">
        <f t="shared" si="3"/>
        <v>1342.28</v>
      </c>
      <c r="K14" s="186">
        <f>I14-J14</f>
        <v>18060</v>
      </c>
      <c r="L14" s="186">
        <f>H14*(100/F14)</f>
        <v>93.081843989469277</v>
      </c>
      <c r="M14" s="185">
        <f>F14/3600</f>
        <v>19402280</v>
      </c>
      <c r="N14" s="185">
        <f>G14/3600</f>
        <v>1342280</v>
      </c>
      <c r="O14" s="185">
        <f t="shared" si="0"/>
        <v>18060000</v>
      </c>
      <c r="P14" s="185">
        <f>I14*C$23</f>
        <v>8886.24424</v>
      </c>
      <c r="Q14" s="185">
        <f>J14*C$23</f>
        <v>614.76423999999997</v>
      </c>
      <c r="R14" s="185">
        <f>P14-Q14</f>
        <v>8271.48</v>
      </c>
      <c r="S14" s="185">
        <f>H14*100/F14</f>
        <v>93.081843989469277</v>
      </c>
      <c r="T14" s="185">
        <f t="shared" si="1"/>
        <v>227852.41641025641</v>
      </c>
      <c r="U14" s="185">
        <f t="shared" si="2"/>
        <v>15763.185641025641</v>
      </c>
      <c r="V14" s="184">
        <v>90000</v>
      </c>
      <c r="W14" s="186">
        <v>4983</v>
      </c>
      <c r="X14" s="184">
        <v>0</v>
      </c>
      <c r="Y14" s="185">
        <f>W14-X14</f>
        <v>4983</v>
      </c>
      <c r="Z14" s="185">
        <f>Y14*100/W14</f>
        <v>100</v>
      </c>
      <c r="AZ14" s="27"/>
      <c r="BA14" s="27"/>
      <c r="BB14" s="27"/>
      <c r="BC14" s="27"/>
    </row>
    <row r="15" spans="1:55">
      <c r="A15" s="8" t="s">
        <v>16</v>
      </c>
      <c r="B15" s="8" t="s">
        <v>91</v>
      </c>
      <c r="C15" s="184"/>
      <c r="D15" s="184">
        <v>1000</v>
      </c>
      <c r="E15" s="184"/>
      <c r="F15" s="315">
        <v>229063176162</v>
      </c>
      <c r="G15" s="185">
        <v>11453158808</v>
      </c>
      <c r="H15" s="186">
        <f>F15-G15</f>
        <v>217610017354</v>
      </c>
      <c r="I15" s="186">
        <f t="shared" si="3"/>
        <v>63628.660045000004</v>
      </c>
      <c r="J15" s="186">
        <f t="shared" si="3"/>
        <v>3181.4330022222221</v>
      </c>
      <c r="K15" s="186">
        <f>I15-J15</f>
        <v>60447.227042777784</v>
      </c>
      <c r="L15" s="186">
        <f>H15*(100/F15)</f>
        <v>95.000000000043656</v>
      </c>
      <c r="M15" s="185"/>
      <c r="N15" s="185"/>
      <c r="O15" s="185"/>
      <c r="P15" s="185">
        <v>23.446999999999999</v>
      </c>
      <c r="Q15" s="185"/>
      <c r="R15" s="185"/>
      <c r="S15" s="185"/>
      <c r="T15" s="185"/>
      <c r="U15" s="185"/>
      <c r="V15" s="184"/>
      <c r="W15" s="184"/>
      <c r="X15" s="184"/>
      <c r="Y15" s="184"/>
      <c r="Z15" s="184"/>
    </row>
    <row r="16" spans="1:55">
      <c r="A16" s="8" t="s">
        <v>16</v>
      </c>
      <c r="B16" s="8" t="s">
        <v>91</v>
      </c>
      <c r="C16" s="184"/>
      <c r="D16" s="184">
        <v>1000</v>
      </c>
      <c r="E16" s="184"/>
      <c r="F16" s="315">
        <v>170000000000</v>
      </c>
      <c r="G16" s="185">
        <v>10000000000</v>
      </c>
      <c r="H16" s="186">
        <f>F16-G16</f>
        <v>160000000000</v>
      </c>
      <c r="I16" s="186">
        <f>F16/3600/1000</f>
        <v>47222.222222222226</v>
      </c>
      <c r="J16" s="186">
        <f>G16/3600/1000</f>
        <v>2777.7777777777778</v>
      </c>
      <c r="K16" s="186">
        <f>I16-J16</f>
        <v>44444.444444444445</v>
      </c>
      <c r="L16" s="186">
        <f>H16*(100/F16)</f>
        <v>94.117647058823522</v>
      </c>
      <c r="M16" s="185">
        <f>F16/3600</f>
        <v>47222222.222222224</v>
      </c>
      <c r="N16" s="185">
        <f>G16/3600</f>
        <v>2777777.777777778</v>
      </c>
      <c r="O16" s="185">
        <f>M16-N16</f>
        <v>44444444.444444448</v>
      </c>
      <c r="P16" s="185">
        <f>I16*C$23</f>
        <v>21627.777777777781</v>
      </c>
      <c r="Q16" s="185">
        <f>J16*C$23</f>
        <v>1272.2222222222224</v>
      </c>
      <c r="R16" s="185">
        <f>P16-Q16</f>
        <v>20355.555555555558</v>
      </c>
      <c r="S16" s="185">
        <f>H16*100/F16</f>
        <v>94.117647058823536</v>
      </c>
      <c r="T16" s="185"/>
      <c r="U16" s="185"/>
      <c r="V16" s="184"/>
      <c r="W16" s="184"/>
      <c r="X16" s="184"/>
      <c r="Y16" s="184"/>
      <c r="Z16" s="184"/>
    </row>
    <row r="17" spans="1:55" s="27" customFormat="1">
      <c r="G17" s="47"/>
      <c r="H17" s="29"/>
      <c r="I17" s="29"/>
      <c r="J17" s="29"/>
      <c r="K17" s="29"/>
      <c r="L17" s="29"/>
      <c r="M17" s="29"/>
      <c r="N17" s="29"/>
      <c r="O17" s="29"/>
      <c r="P17" s="29"/>
      <c r="Q17" s="29"/>
      <c r="R17" s="29"/>
      <c r="S17" s="29"/>
      <c r="T17" s="29"/>
      <c r="U17" s="29"/>
    </row>
    <row r="18" spans="1:55" s="27" customFormat="1">
      <c r="G18" s="47"/>
      <c r="H18" s="29"/>
      <c r="I18" s="29"/>
      <c r="J18" s="29"/>
      <c r="K18" s="29"/>
      <c r="L18" s="29"/>
      <c r="M18" s="29"/>
      <c r="N18" s="29"/>
      <c r="O18" s="29"/>
      <c r="P18" s="29"/>
      <c r="Q18" s="29"/>
      <c r="R18" s="29"/>
      <c r="S18" s="29"/>
      <c r="T18" s="29"/>
      <c r="U18" s="29"/>
    </row>
    <row r="19" spans="1:55">
      <c r="A19" s="1254" t="s">
        <v>5</v>
      </c>
      <c r="B19" s="1255"/>
      <c r="C19" s="26" t="s">
        <v>6</v>
      </c>
      <c r="D19" s="26" t="s">
        <v>7</v>
      </c>
      <c r="E19" s="26" t="s">
        <v>6</v>
      </c>
      <c r="F19" s="26" t="s">
        <v>7</v>
      </c>
      <c r="G19" s="27"/>
      <c r="H19" s="27"/>
      <c r="I19" s="27"/>
      <c r="J19" s="27"/>
      <c r="K19" s="27"/>
      <c r="L19" s="29"/>
      <c r="M19" s="29"/>
      <c r="N19" s="29"/>
      <c r="O19" s="29"/>
      <c r="P19" s="29"/>
      <c r="Q19" s="29"/>
      <c r="R19" s="29"/>
      <c r="S19" s="29"/>
      <c r="T19" s="29"/>
      <c r="U19" s="29"/>
      <c r="V19" s="27"/>
      <c r="W19" s="27"/>
      <c r="X19" s="27"/>
      <c r="Y19" s="27"/>
      <c r="Z19" s="27"/>
      <c r="AZ19" s="27"/>
      <c r="BA19" s="27"/>
      <c r="BB19" s="27"/>
      <c r="BC19" s="27"/>
    </row>
    <row r="20" spans="1:55">
      <c r="A20" s="1254" t="s">
        <v>0</v>
      </c>
      <c r="B20" s="1255"/>
      <c r="C20" s="12">
        <v>156</v>
      </c>
      <c r="D20" s="15" t="s">
        <v>1</v>
      </c>
      <c r="E20" s="13">
        <f>C20*1000000</f>
        <v>156000000</v>
      </c>
      <c r="F20" s="15" t="s">
        <v>19</v>
      </c>
      <c r="G20" s="27"/>
      <c r="H20" s="27"/>
      <c r="I20" s="27"/>
      <c r="J20" s="27"/>
      <c r="K20" s="27"/>
      <c r="L20" s="29"/>
      <c r="M20" s="29"/>
      <c r="N20" s="29"/>
      <c r="O20" s="29"/>
      <c r="P20" s="29"/>
      <c r="Q20" s="29"/>
      <c r="R20" s="29"/>
      <c r="S20" s="29"/>
      <c r="T20" s="29"/>
      <c r="U20" s="29"/>
      <c r="V20" s="27"/>
      <c r="W20" s="27"/>
      <c r="X20" s="27"/>
      <c r="Y20" s="27"/>
      <c r="Z20" s="27"/>
      <c r="AZ20" s="27"/>
      <c r="BA20" s="27"/>
      <c r="BB20" s="27"/>
      <c r="BC20" s="27"/>
    </row>
    <row r="21" spans="1:55">
      <c r="A21" s="1254" t="s">
        <v>2</v>
      </c>
      <c r="B21" s="1255"/>
      <c r="C21" s="12">
        <v>14.06</v>
      </c>
      <c r="D21" s="15" t="s">
        <v>1</v>
      </c>
      <c r="E21" s="13">
        <f>C21*1000000</f>
        <v>14060000</v>
      </c>
      <c r="F21" s="15" t="s">
        <v>19</v>
      </c>
      <c r="G21" s="27"/>
      <c r="H21" s="27">
        <f>F15*0.05</f>
        <v>11453158808.1</v>
      </c>
      <c r="I21" s="27"/>
      <c r="J21" s="27"/>
      <c r="K21" s="27"/>
      <c r="L21" s="29"/>
      <c r="M21" s="29"/>
      <c r="N21" s="29"/>
      <c r="O21" s="29"/>
      <c r="P21" s="29"/>
      <c r="Q21" s="29"/>
      <c r="R21" s="29"/>
      <c r="S21" s="29"/>
      <c r="T21" s="29"/>
      <c r="U21" s="29"/>
      <c r="V21" s="27"/>
      <c r="W21" s="27"/>
      <c r="X21" s="27"/>
      <c r="Y21" s="27"/>
      <c r="Z21" s="27"/>
      <c r="AZ21" s="27"/>
      <c r="BA21" s="27"/>
      <c r="BB21" s="27"/>
      <c r="BC21" s="27"/>
    </row>
    <row r="22" spans="1:55">
      <c r="A22" s="1254" t="s">
        <v>42</v>
      </c>
      <c r="B22" s="1255"/>
      <c r="C22" s="12">
        <v>1.2959999999999999E-2</v>
      </c>
      <c r="D22" s="15" t="s">
        <v>15</v>
      </c>
      <c r="E22" s="14"/>
      <c r="F22" s="15"/>
      <c r="G22" s="27"/>
      <c r="H22" s="230">
        <f>F15-G15</f>
        <v>217610017354</v>
      </c>
      <c r="I22" s="27"/>
      <c r="J22" s="27"/>
      <c r="K22" s="27"/>
      <c r="L22" s="29"/>
      <c r="M22" s="29"/>
      <c r="N22" s="29"/>
      <c r="O22" s="29"/>
      <c r="P22" s="29"/>
      <c r="Q22" s="29"/>
      <c r="R22" s="29"/>
      <c r="S22" s="29"/>
      <c r="T22" s="29"/>
      <c r="U22" s="29"/>
      <c r="V22" s="27"/>
      <c r="W22" s="27"/>
      <c r="X22" s="27"/>
      <c r="Y22" s="27"/>
      <c r="Z22" s="27"/>
      <c r="AZ22" s="27"/>
      <c r="BA22" s="27"/>
      <c r="BB22" s="27"/>
      <c r="BC22" s="27"/>
    </row>
    <row r="23" spans="1:55">
      <c r="A23" s="1256" t="s">
        <v>37</v>
      </c>
      <c r="B23" s="1257"/>
      <c r="C23" s="12">
        <v>0.45800000000000002</v>
      </c>
      <c r="D23" s="15" t="s">
        <v>51</v>
      </c>
      <c r="E23" s="12"/>
      <c r="F23" s="15"/>
      <c r="G23" s="27"/>
      <c r="H23" s="27"/>
      <c r="I23" s="27"/>
      <c r="J23" s="27"/>
      <c r="K23" s="27"/>
      <c r="L23" s="29"/>
      <c r="M23" s="29"/>
      <c r="N23" s="29"/>
      <c r="O23" s="29"/>
      <c r="P23" s="29"/>
      <c r="Q23" s="29"/>
      <c r="R23" s="29"/>
      <c r="S23" s="29"/>
      <c r="T23" s="29"/>
      <c r="U23" s="29"/>
      <c r="V23" s="27"/>
      <c r="W23" s="27"/>
      <c r="X23" s="27"/>
      <c r="Y23" s="27"/>
      <c r="Z23" s="27"/>
      <c r="AZ23" s="27"/>
      <c r="BA23" s="27"/>
      <c r="BB23" s="27"/>
      <c r="BC23" s="27"/>
    </row>
    <row r="24" spans="1:55" s="27" customFormat="1">
      <c r="L24" s="29"/>
      <c r="M24" s="29"/>
      <c r="N24" s="29"/>
      <c r="O24" s="29"/>
      <c r="P24" s="29"/>
      <c r="Q24" s="29"/>
      <c r="R24" s="29"/>
      <c r="S24" s="29"/>
      <c r="T24" s="29"/>
      <c r="U24" s="29"/>
    </row>
    <row r="25" spans="1:55" s="27" customFormat="1">
      <c r="L25" s="29"/>
      <c r="M25" s="29"/>
      <c r="N25" s="29"/>
      <c r="O25" s="29"/>
      <c r="P25" s="29"/>
      <c r="Q25" s="29"/>
      <c r="R25" s="29"/>
      <c r="S25" s="29"/>
      <c r="T25" s="29"/>
      <c r="U25" s="29"/>
    </row>
    <row r="26" spans="1:55" s="27" customFormat="1">
      <c r="L26" s="29"/>
      <c r="M26" s="29"/>
      <c r="N26" s="29"/>
      <c r="O26" s="29"/>
      <c r="P26" s="29"/>
      <c r="Q26" s="29"/>
      <c r="R26" s="29"/>
      <c r="S26" s="29"/>
      <c r="T26" s="29"/>
      <c r="U26" s="29"/>
    </row>
    <row r="27" spans="1:55" s="27" customFormat="1">
      <c r="L27" s="29"/>
      <c r="M27" s="29"/>
      <c r="N27" s="29"/>
      <c r="O27" s="29"/>
      <c r="P27" s="29"/>
      <c r="Q27" s="29"/>
      <c r="R27" s="29"/>
      <c r="S27" s="29"/>
      <c r="T27" s="29"/>
      <c r="U27" s="29"/>
    </row>
    <row r="28" spans="1:55" s="27" customFormat="1">
      <c r="L28" s="29"/>
      <c r="M28" s="29"/>
      <c r="N28" s="29"/>
      <c r="O28" s="29"/>
      <c r="P28" s="29"/>
      <c r="Q28" s="29"/>
      <c r="R28" s="29"/>
      <c r="S28" s="29"/>
      <c r="T28" s="29"/>
      <c r="U28" s="29"/>
    </row>
    <row r="29" spans="1:55" s="27" customFormat="1">
      <c r="L29" s="29"/>
      <c r="M29" s="29"/>
      <c r="N29" s="29"/>
      <c r="O29" s="29"/>
      <c r="P29" s="29"/>
      <c r="Q29" s="29"/>
      <c r="R29" s="29"/>
      <c r="S29" s="29"/>
      <c r="T29" s="29"/>
      <c r="U29" s="29"/>
    </row>
    <row r="30" spans="1:55" s="27" customFormat="1">
      <c r="L30" s="29"/>
      <c r="M30" s="29"/>
      <c r="N30" s="29"/>
      <c r="O30" s="29"/>
      <c r="P30" s="29"/>
      <c r="Q30" s="29"/>
      <c r="R30" s="29"/>
      <c r="S30" s="29"/>
      <c r="T30" s="29"/>
      <c r="U30" s="29"/>
    </row>
    <row r="31" spans="1:55" s="27" customFormat="1">
      <c r="L31" s="29"/>
      <c r="M31" s="29"/>
      <c r="N31" s="29"/>
      <c r="O31" s="29"/>
      <c r="P31" s="29"/>
      <c r="Q31" s="29"/>
      <c r="R31" s="29"/>
      <c r="S31" s="29"/>
      <c r="T31" s="29"/>
      <c r="U31" s="29"/>
    </row>
    <row r="32" spans="1:55" s="27" customFormat="1">
      <c r="L32" s="29"/>
      <c r="M32" s="29"/>
      <c r="N32" s="29"/>
      <c r="O32" s="29"/>
      <c r="P32" s="29"/>
      <c r="Q32" s="29"/>
      <c r="R32" s="29"/>
      <c r="S32" s="29"/>
      <c r="T32" s="29"/>
      <c r="U32" s="29"/>
    </row>
    <row r="33" spans="12:21" s="27" customFormat="1">
      <c r="L33" s="29"/>
      <c r="M33" s="29"/>
      <c r="N33" s="29"/>
      <c r="O33" s="29"/>
      <c r="P33" s="29"/>
      <c r="Q33" s="29"/>
      <c r="R33" s="29"/>
      <c r="S33" s="29"/>
      <c r="T33" s="29"/>
      <c r="U33" s="29"/>
    </row>
    <row r="34" spans="12:21" s="27" customFormat="1">
      <c r="L34" s="29"/>
      <c r="M34" s="29"/>
      <c r="N34" s="29"/>
      <c r="O34" s="29"/>
      <c r="P34" s="29"/>
      <c r="Q34" s="29"/>
      <c r="R34" s="29"/>
      <c r="S34" s="29"/>
      <c r="T34" s="29"/>
      <c r="U34" s="29"/>
    </row>
    <row r="35" spans="12:21" s="27" customFormat="1">
      <c r="L35" s="29"/>
      <c r="M35" s="29"/>
      <c r="N35" s="29"/>
      <c r="O35" s="29"/>
      <c r="P35" s="29"/>
      <c r="Q35" s="29"/>
      <c r="R35" s="29"/>
      <c r="S35" s="29"/>
      <c r="T35" s="29"/>
      <c r="U35" s="29"/>
    </row>
    <row r="36" spans="12:21" s="27" customFormat="1">
      <c r="L36" s="29"/>
      <c r="M36" s="29"/>
      <c r="N36" s="29"/>
      <c r="O36" s="29"/>
      <c r="P36" s="29"/>
      <c r="Q36" s="29"/>
      <c r="R36" s="29"/>
      <c r="S36" s="29"/>
      <c r="T36" s="29"/>
      <c r="U36" s="29"/>
    </row>
    <row r="37" spans="12:21" s="27" customFormat="1">
      <c r="L37" s="29"/>
      <c r="M37" s="29"/>
      <c r="N37" s="29"/>
      <c r="O37" s="29"/>
      <c r="P37" s="29"/>
      <c r="Q37" s="29"/>
      <c r="R37" s="29"/>
      <c r="S37" s="29"/>
      <c r="T37" s="29"/>
      <c r="U37" s="29"/>
    </row>
    <row r="38" spans="12:21" s="27" customFormat="1">
      <c r="L38" s="29"/>
      <c r="M38" s="29"/>
      <c r="N38" s="29"/>
      <c r="O38" s="29"/>
      <c r="P38" s="29"/>
      <c r="Q38" s="29"/>
      <c r="R38" s="29"/>
      <c r="S38" s="29"/>
      <c r="T38" s="29"/>
      <c r="U38" s="29"/>
    </row>
    <row r="39" spans="12:21" s="27" customFormat="1">
      <c r="L39" s="29"/>
      <c r="M39" s="29"/>
      <c r="N39" s="29"/>
      <c r="O39" s="29"/>
      <c r="P39" s="29"/>
      <c r="Q39" s="29"/>
      <c r="R39" s="29"/>
      <c r="S39" s="29"/>
      <c r="T39" s="29"/>
      <c r="U39" s="29"/>
    </row>
    <row r="40" spans="12:21" s="27" customFormat="1">
      <c r="L40" s="29"/>
      <c r="M40" s="29"/>
      <c r="N40" s="29"/>
      <c r="O40" s="29"/>
      <c r="P40" s="29"/>
      <c r="Q40" s="29"/>
      <c r="R40" s="29"/>
      <c r="S40" s="29"/>
      <c r="T40" s="29"/>
      <c r="U40" s="29"/>
    </row>
    <row r="41" spans="12:21" s="27" customFormat="1">
      <c r="L41" s="29"/>
      <c r="M41" s="29"/>
      <c r="N41" s="29"/>
      <c r="O41" s="29"/>
      <c r="P41" s="29"/>
      <c r="Q41" s="29"/>
      <c r="R41" s="29"/>
      <c r="S41" s="29"/>
      <c r="T41" s="29"/>
      <c r="U41" s="29"/>
    </row>
    <row r="42" spans="12:21" s="27" customFormat="1">
      <c r="L42" s="29"/>
      <c r="M42" s="29"/>
      <c r="N42" s="29"/>
      <c r="O42" s="29"/>
      <c r="P42" s="29"/>
      <c r="Q42" s="29"/>
      <c r="R42" s="29"/>
      <c r="S42" s="29"/>
      <c r="T42" s="29"/>
      <c r="U42" s="29"/>
    </row>
    <row r="43" spans="12:21" s="27" customFormat="1">
      <c r="L43" s="29"/>
      <c r="M43" s="29"/>
      <c r="N43" s="29"/>
      <c r="O43" s="29"/>
      <c r="P43" s="29"/>
      <c r="Q43" s="29"/>
      <c r="R43" s="29"/>
      <c r="S43" s="29"/>
      <c r="T43" s="29"/>
      <c r="U43" s="29"/>
    </row>
    <row r="44" spans="12:21" s="27" customFormat="1">
      <c r="L44" s="29"/>
      <c r="M44" s="29"/>
      <c r="N44" s="29"/>
      <c r="O44" s="29"/>
      <c r="P44" s="29"/>
      <c r="Q44" s="29"/>
      <c r="R44" s="29"/>
      <c r="S44" s="29"/>
      <c r="T44" s="29"/>
      <c r="U44" s="29"/>
    </row>
    <row r="45" spans="12:21" s="27" customFormat="1">
      <c r="L45" s="29"/>
      <c r="M45" s="29"/>
      <c r="N45" s="29"/>
      <c r="O45" s="29"/>
      <c r="P45" s="29"/>
      <c r="Q45" s="29"/>
      <c r="R45" s="29"/>
      <c r="S45" s="29"/>
      <c r="T45" s="29"/>
      <c r="U45" s="29"/>
    </row>
    <row r="46" spans="12:21" s="27" customFormat="1">
      <c r="L46" s="29"/>
      <c r="M46" s="29"/>
      <c r="N46" s="29"/>
      <c r="O46" s="29"/>
      <c r="P46" s="29"/>
      <c r="Q46" s="29"/>
      <c r="R46" s="29"/>
      <c r="S46" s="29"/>
      <c r="T46" s="29"/>
      <c r="U46" s="29"/>
    </row>
    <row r="47" spans="12:21" s="27" customFormat="1">
      <c r="L47" s="29"/>
      <c r="M47" s="29"/>
      <c r="N47" s="29"/>
      <c r="O47" s="29"/>
      <c r="P47" s="29"/>
      <c r="Q47" s="29"/>
      <c r="R47" s="29"/>
      <c r="S47" s="29"/>
      <c r="T47" s="29"/>
      <c r="U47" s="29"/>
    </row>
    <row r="48" spans="12:21" s="27" customFormat="1">
      <c r="L48" s="29"/>
      <c r="M48" s="29"/>
      <c r="N48" s="29"/>
      <c r="O48" s="29"/>
      <c r="P48" s="29"/>
      <c r="Q48" s="29"/>
      <c r="R48" s="29"/>
      <c r="S48" s="29"/>
      <c r="T48" s="29"/>
      <c r="U48" s="29"/>
    </row>
    <row r="49" spans="12:21" s="27" customFormat="1">
      <c r="L49" s="29"/>
      <c r="M49" s="29"/>
      <c r="N49" s="29"/>
      <c r="O49" s="29"/>
      <c r="P49" s="29"/>
      <c r="Q49" s="29"/>
      <c r="R49" s="29"/>
      <c r="S49" s="29"/>
      <c r="T49" s="29"/>
      <c r="U49" s="29"/>
    </row>
    <row r="50" spans="12:21" s="27" customFormat="1">
      <c r="L50" s="29"/>
      <c r="M50" s="29"/>
      <c r="N50" s="29"/>
      <c r="O50" s="29"/>
      <c r="P50" s="29"/>
      <c r="Q50" s="29"/>
      <c r="R50" s="29"/>
      <c r="S50" s="29"/>
      <c r="T50" s="29"/>
      <c r="U50" s="29"/>
    </row>
    <row r="51" spans="12:21" s="27" customFormat="1">
      <c r="L51" s="29"/>
      <c r="M51" s="29"/>
      <c r="N51" s="29"/>
      <c r="O51" s="29"/>
      <c r="P51" s="29"/>
      <c r="Q51" s="29"/>
      <c r="R51" s="29"/>
      <c r="S51" s="29"/>
      <c r="T51" s="29"/>
      <c r="U51" s="29"/>
    </row>
    <row r="52" spans="12:21" s="27" customFormat="1">
      <c r="L52" s="29"/>
      <c r="M52" s="29"/>
      <c r="N52" s="29"/>
      <c r="O52" s="29"/>
      <c r="P52" s="29"/>
      <c r="Q52" s="29"/>
      <c r="R52" s="29"/>
      <c r="S52" s="29"/>
      <c r="T52" s="29"/>
      <c r="U52" s="29"/>
    </row>
    <row r="53" spans="12:21" s="27" customFormat="1">
      <c r="L53" s="29"/>
      <c r="M53" s="29"/>
      <c r="N53" s="29"/>
      <c r="O53" s="29"/>
      <c r="P53" s="29"/>
      <c r="Q53" s="29"/>
      <c r="R53" s="29"/>
      <c r="S53" s="29"/>
      <c r="T53" s="29"/>
      <c r="U53" s="29"/>
    </row>
    <row r="54" spans="12:21" s="27" customFormat="1">
      <c r="L54" s="29"/>
      <c r="M54" s="29"/>
      <c r="N54" s="29"/>
      <c r="O54" s="29"/>
      <c r="P54" s="29"/>
      <c r="Q54" s="29"/>
      <c r="R54" s="29"/>
      <c r="S54" s="29"/>
      <c r="T54" s="29"/>
      <c r="U54" s="29"/>
    </row>
    <row r="55" spans="12:21" s="27" customFormat="1">
      <c r="L55" s="29"/>
      <c r="M55" s="29"/>
      <c r="N55" s="29"/>
      <c r="O55" s="29"/>
      <c r="P55" s="29"/>
      <c r="Q55" s="29"/>
      <c r="R55" s="29"/>
      <c r="S55" s="29"/>
      <c r="T55" s="29"/>
      <c r="U55" s="29"/>
    </row>
    <row r="56" spans="12:21" s="27" customFormat="1">
      <c r="L56" s="29"/>
      <c r="M56" s="29"/>
      <c r="N56" s="29"/>
      <c r="O56" s="29"/>
      <c r="P56" s="29"/>
      <c r="Q56" s="29"/>
      <c r="R56" s="29"/>
      <c r="S56" s="29"/>
      <c r="T56" s="29"/>
      <c r="U56" s="29"/>
    </row>
    <row r="57" spans="12:21" s="27" customFormat="1">
      <c r="L57" s="29"/>
      <c r="M57" s="29"/>
      <c r="N57" s="29"/>
      <c r="O57" s="29"/>
      <c r="P57" s="29"/>
      <c r="Q57" s="29"/>
      <c r="R57" s="29"/>
      <c r="S57" s="29"/>
      <c r="T57" s="29"/>
      <c r="U57" s="29"/>
    </row>
    <row r="58" spans="12:21" s="27" customFormat="1">
      <c r="L58" s="29"/>
      <c r="M58" s="29"/>
      <c r="N58" s="29"/>
      <c r="O58" s="29"/>
      <c r="P58" s="29"/>
      <c r="Q58" s="29"/>
      <c r="R58" s="29"/>
      <c r="S58" s="29"/>
      <c r="T58" s="29"/>
      <c r="U58" s="29"/>
    </row>
    <row r="59" spans="12:21" s="27" customFormat="1">
      <c r="L59" s="29"/>
      <c r="M59" s="29"/>
      <c r="N59" s="29"/>
      <c r="O59" s="29"/>
      <c r="P59" s="29"/>
      <c r="Q59" s="29"/>
      <c r="R59" s="29"/>
      <c r="S59" s="29"/>
      <c r="T59" s="29"/>
      <c r="U59" s="29"/>
    </row>
    <row r="60" spans="12:21" s="27" customFormat="1">
      <c r="L60" s="29"/>
      <c r="M60" s="29"/>
      <c r="N60" s="29"/>
      <c r="O60" s="29"/>
      <c r="P60" s="29"/>
      <c r="Q60" s="29"/>
      <c r="R60" s="29"/>
      <c r="S60" s="29"/>
      <c r="T60" s="29"/>
      <c r="U60" s="29"/>
    </row>
    <row r="61" spans="12:21" s="27" customFormat="1">
      <c r="L61" s="29"/>
      <c r="M61" s="29"/>
      <c r="N61" s="29"/>
      <c r="O61" s="29"/>
      <c r="P61" s="29"/>
      <c r="Q61" s="29"/>
      <c r="R61" s="29"/>
      <c r="S61" s="29"/>
      <c r="T61" s="29"/>
      <c r="U61" s="29"/>
    </row>
    <row r="62" spans="12:21" s="27" customFormat="1">
      <c r="L62" s="29"/>
      <c r="M62" s="29"/>
      <c r="N62" s="29"/>
      <c r="O62" s="29"/>
      <c r="P62" s="29"/>
      <c r="Q62" s="29"/>
      <c r="R62" s="29"/>
      <c r="S62" s="29"/>
      <c r="T62" s="29"/>
      <c r="U62" s="29"/>
    </row>
    <row r="63" spans="12:21" s="27" customFormat="1">
      <c r="L63" s="29"/>
      <c r="M63" s="29"/>
      <c r="N63" s="29"/>
      <c r="O63" s="29"/>
      <c r="P63" s="29"/>
      <c r="Q63" s="29"/>
      <c r="R63" s="29"/>
      <c r="S63" s="29"/>
      <c r="T63" s="29"/>
      <c r="U63" s="29"/>
    </row>
    <row r="64" spans="12:21" s="27" customFormat="1">
      <c r="L64" s="29"/>
      <c r="M64" s="29"/>
      <c r="N64" s="29"/>
      <c r="O64" s="29"/>
      <c r="P64" s="29"/>
      <c r="Q64" s="29"/>
      <c r="R64" s="29"/>
      <c r="S64" s="29"/>
      <c r="T64" s="29"/>
      <c r="U64" s="29"/>
    </row>
    <row r="65" spans="12:21" s="27" customFormat="1">
      <c r="L65" s="29"/>
      <c r="M65" s="29"/>
      <c r="N65" s="29"/>
      <c r="O65" s="29"/>
      <c r="P65" s="29"/>
      <c r="Q65" s="29"/>
      <c r="R65" s="29"/>
      <c r="S65" s="29"/>
      <c r="T65" s="29"/>
      <c r="U65" s="29"/>
    </row>
    <row r="66" spans="12:21" s="27" customFormat="1">
      <c r="L66" s="29"/>
      <c r="M66" s="29"/>
      <c r="N66" s="29"/>
      <c r="O66" s="29"/>
      <c r="P66" s="29"/>
      <c r="Q66" s="29"/>
      <c r="R66" s="29"/>
      <c r="S66" s="29"/>
      <c r="T66" s="29"/>
      <c r="U66" s="29"/>
    </row>
    <row r="67" spans="12:21" s="27" customFormat="1">
      <c r="L67" s="29"/>
      <c r="M67" s="29"/>
      <c r="N67" s="29"/>
      <c r="O67" s="29"/>
      <c r="P67" s="29"/>
      <c r="Q67" s="29"/>
      <c r="R67" s="29"/>
      <c r="S67" s="29"/>
      <c r="T67" s="29"/>
      <c r="U67" s="29"/>
    </row>
    <row r="68" spans="12:21" s="27" customFormat="1">
      <c r="L68" s="29"/>
      <c r="M68" s="29"/>
      <c r="N68" s="29"/>
      <c r="O68" s="29"/>
      <c r="P68" s="29"/>
      <c r="Q68" s="29"/>
      <c r="R68" s="29"/>
      <c r="S68" s="29"/>
      <c r="T68" s="29"/>
      <c r="U68" s="29"/>
    </row>
    <row r="69" spans="12:21" s="27" customFormat="1">
      <c r="L69" s="29"/>
      <c r="M69" s="29"/>
      <c r="N69" s="29"/>
      <c r="O69" s="29"/>
      <c r="P69" s="29"/>
      <c r="Q69" s="29"/>
      <c r="R69" s="29"/>
      <c r="S69" s="29"/>
      <c r="T69" s="29"/>
      <c r="U69" s="29"/>
    </row>
    <row r="70" spans="12:21" s="27" customFormat="1">
      <c r="L70" s="29"/>
      <c r="M70" s="29"/>
      <c r="N70" s="29"/>
      <c r="O70" s="29"/>
      <c r="P70" s="29"/>
      <c r="Q70" s="29"/>
      <c r="R70" s="29"/>
      <c r="S70" s="29"/>
      <c r="T70" s="29"/>
      <c r="U70" s="29"/>
    </row>
    <row r="71" spans="12:21" s="27" customFormat="1">
      <c r="L71" s="29"/>
      <c r="M71" s="29"/>
      <c r="N71" s="29"/>
      <c r="O71" s="29"/>
      <c r="P71" s="29"/>
      <c r="Q71" s="29"/>
      <c r="R71" s="29"/>
      <c r="S71" s="29"/>
      <c r="T71" s="29"/>
      <c r="U71" s="29"/>
    </row>
    <row r="72" spans="12:21" s="27" customFormat="1">
      <c r="L72" s="29"/>
      <c r="M72" s="29"/>
      <c r="N72" s="29"/>
      <c r="O72" s="29"/>
      <c r="P72" s="29"/>
      <c r="Q72" s="29"/>
      <c r="R72" s="29"/>
      <c r="S72" s="29"/>
      <c r="T72" s="29"/>
      <c r="U72" s="29"/>
    </row>
    <row r="73" spans="12:21" s="27" customFormat="1">
      <c r="L73" s="29"/>
      <c r="M73" s="29"/>
      <c r="N73" s="29"/>
      <c r="O73" s="29"/>
      <c r="P73" s="29"/>
      <c r="Q73" s="29"/>
      <c r="R73" s="29"/>
      <c r="S73" s="29"/>
      <c r="T73" s="29"/>
      <c r="U73" s="29"/>
    </row>
    <row r="74" spans="12:21" s="27" customFormat="1">
      <c r="L74" s="29"/>
      <c r="M74" s="29"/>
      <c r="N74" s="29"/>
      <c r="O74" s="29"/>
      <c r="P74" s="29"/>
      <c r="Q74" s="29"/>
      <c r="R74" s="29"/>
      <c r="S74" s="29"/>
      <c r="T74" s="29"/>
      <c r="U74" s="29"/>
    </row>
    <row r="75" spans="12:21" s="27" customFormat="1">
      <c r="L75" s="29"/>
      <c r="M75" s="29"/>
      <c r="N75" s="29"/>
      <c r="O75" s="29"/>
      <c r="P75" s="29"/>
      <c r="Q75" s="29"/>
      <c r="R75" s="29"/>
      <c r="S75" s="29"/>
      <c r="T75" s="29"/>
      <c r="U75" s="29"/>
    </row>
    <row r="76" spans="12:21" s="27" customFormat="1">
      <c r="L76" s="29"/>
      <c r="M76" s="29"/>
      <c r="N76" s="29"/>
      <c r="O76" s="29"/>
      <c r="P76" s="29"/>
      <c r="Q76" s="29"/>
      <c r="R76" s="29"/>
      <c r="S76" s="29"/>
      <c r="T76" s="29"/>
      <c r="U76" s="29"/>
    </row>
    <row r="77" spans="12:21" s="27" customFormat="1">
      <c r="L77" s="29"/>
      <c r="M77" s="29"/>
      <c r="N77" s="29"/>
      <c r="O77" s="29"/>
      <c r="P77" s="29"/>
      <c r="Q77" s="29"/>
      <c r="R77" s="29"/>
      <c r="S77" s="29"/>
      <c r="T77" s="29"/>
      <c r="U77" s="29"/>
    </row>
    <row r="78" spans="12:21" s="27" customFormat="1">
      <c r="L78" s="29"/>
      <c r="M78" s="29"/>
      <c r="N78" s="29"/>
      <c r="O78" s="29"/>
      <c r="P78" s="29"/>
      <c r="Q78" s="29"/>
      <c r="R78" s="29"/>
      <c r="S78" s="29"/>
      <c r="T78" s="29"/>
      <c r="U78" s="29"/>
    </row>
    <row r="79" spans="12:21" s="27" customFormat="1">
      <c r="L79" s="29"/>
      <c r="M79" s="29"/>
      <c r="N79" s="29"/>
      <c r="O79" s="29"/>
      <c r="P79" s="29"/>
      <c r="Q79" s="29"/>
      <c r="R79" s="29"/>
      <c r="S79" s="29"/>
      <c r="T79" s="29"/>
      <c r="U79" s="29"/>
    </row>
    <row r="80" spans="12:21" s="27" customFormat="1">
      <c r="L80" s="29"/>
      <c r="M80" s="29"/>
      <c r="N80" s="29"/>
      <c r="O80" s="29"/>
      <c r="P80" s="29"/>
      <c r="Q80" s="29"/>
      <c r="R80" s="29"/>
      <c r="S80" s="29"/>
      <c r="T80" s="29"/>
      <c r="U80" s="29"/>
    </row>
    <row r="81" spans="12:21" s="27" customFormat="1">
      <c r="L81" s="29"/>
      <c r="M81" s="29"/>
      <c r="N81" s="29"/>
      <c r="O81" s="29"/>
      <c r="P81" s="29"/>
      <c r="Q81" s="29"/>
      <c r="R81" s="29"/>
      <c r="S81" s="29"/>
      <c r="T81" s="29"/>
      <c r="U81" s="29"/>
    </row>
    <row r="82" spans="12:21" s="27" customFormat="1">
      <c r="L82" s="29"/>
      <c r="M82" s="29"/>
      <c r="N82" s="29"/>
      <c r="O82" s="29"/>
      <c r="P82" s="29"/>
      <c r="Q82" s="29"/>
      <c r="R82" s="29"/>
      <c r="S82" s="29"/>
      <c r="T82" s="29"/>
      <c r="U82" s="29"/>
    </row>
    <row r="83" spans="12:21" s="27" customFormat="1">
      <c r="L83" s="29"/>
      <c r="M83" s="29"/>
      <c r="N83" s="29"/>
      <c r="O83" s="29"/>
      <c r="P83" s="29"/>
      <c r="Q83" s="29"/>
      <c r="R83" s="29"/>
      <c r="S83" s="29"/>
      <c r="T83" s="29"/>
      <c r="U83" s="29"/>
    </row>
    <row r="84" spans="12:21" s="27" customFormat="1">
      <c r="L84" s="29"/>
      <c r="M84" s="29"/>
      <c r="N84" s="29"/>
      <c r="O84" s="29"/>
      <c r="P84" s="29"/>
      <c r="Q84" s="29"/>
      <c r="R84" s="29"/>
      <c r="S84" s="29"/>
      <c r="T84" s="29"/>
      <c r="U84" s="29"/>
    </row>
    <row r="85" spans="12:21" s="27" customFormat="1">
      <c r="L85" s="29"/>
      <c r="M85" s="29"/>
      <c r="N85" s="29"/>
      <c r="O85" s="29"/>
      <c r="P85" s="29"/>
      <c r="Q85" s="29"/>
      <c r="R85" s="29"/>
      <c r="S85" s="29"/>
      <c r="T85" s="29"/>
      <c r="U85" s="29"/>
    </row>
    <row r="86" spans="12:21" s="27" customFormat="1">
      <c r="L86" s="29"/>
      <c r="M86" s="29"/>
      <c r="N86" s="29"/>
      <c r="O86" s="29"/>
      <c r="P86" s="29"/>
      <c r="Q86" s="29"/>
      <c r="R86" s="29"/>
      <c r="S86" s="29"/>
      <c r="T86" s="29"/>
      <c r="U86" s="29"/>
    </row>
    <row r="87" spans="12:21" s="27" customFormat="1">
      <c r="L87" s="29"/>
      <c r="M87" s="29"/>
      <c r="N87" s="29"/>
      <c r="O87" s="29"/>
      <c r="P87" s="29"/>
      <c r="Q87" s="29"/>
      <c r="R87" s="29"/>
      <c r="S87" s="29"/>
      <c r="T87" s="29"/>
      <c r="U87" s="29"/>
    </row>
    <row r="88" spans="12:21" s="27" customFormat="1">
      <c r="L88" s="29"/>
      <c r="M88" s="29"/>
      <c r="N88" s="29"/>
      <c r="O88" s="29"/>
      <c r="P88" s="29"/>
      <c r="Q88" s="29"/>
      <c r="R88" s="29"/>
      <c r="S88" s="29"/>
      <c r="T88" s="29"/>
      <c r="U88" s="29"/>
    </row>
    <row r="89" spans="12:21" s="27" customFormat="1">
      <c r="L89" s="29"/>
      <c r="M89" s="29"/>
      <c r="N89" s="29"/>
      <c r="O89" s="29"/>
      <c r="P89" s="29"/>
      <c r="Q89" s="29"/>
      <c r="R89" s="29"/>
      <c r="S89" s="29"/>
      <c r="T89" s="29"/>
      <c r="U89" s="29"/>
    </row>
    <row r="90" spans="12:21" s="27" customFormat="1">
      <c r="L90" s="29"/>
      <c r="M90" s="29"/>
      <c r="N90" s="29"/>
      <c r="O90" s="29"/>
      <c r="P90" s="29"/>
      <c r="Q90" s="29"/>
      <c r="R90" s="29"/>
      <c r="S90" s="29"/>
      <c r="T90" s="29"/>
      <c r="U90" s="29"/>
    </row>
    <row r="91" spans="12:21" s="27" customFormat="1">
      <c r="L91" s="29"/>
      <c r="M91" s="29"/>
      <c r="N91" s="29"/>
      <c r="O91" s="29"/>
      <c r="P91" s="29"/>
      <c r="Q91" s="29"/>
      <c r="R91" s="29"/>
      <c r="S91" s="29"/>
      <c r="T91" s="29"/>
      <c r="U91" s="29"/>
    </row>
    <row r="92" spans="12:21" s="27" customFormat="1">
      <c r="L92" s="29"/>
      <c r="M92" s="29"/>
      <c r="N92" s="29"/>
      <c r="O92" s="29"/>
      <c r="P92" s="29"/>
      <c r="Q92" s="29"/>
      <c r="R92" s="29"/>
      <c r="S92" s="29"/>
      <c r="T92" s="29"/>
      <c r="U92" s="29"/>
    </row>
    <row r="93" spans="12:21" s="27" customFormat="1">
      <c r="L93" s="29"/>
      <c r="M93" s="29"/>
      <c r="N93" s="29"/>
      <c r="O93" s="29"/>
      <c r="P93" s="29"/>
      <c r="Q93" s="29"/>
      <c r="R93" s="29"/>
      <c r="S93" s="29"/>
      <c r="T93" s="29"/>
      <c r="U93" s="29"/>
    </row>
    <row r="94" spans="12:21" s="27" customFormat="1">
      <c r="L94" s="29"/>
      <c r="M94" s="29"/>
      <c r="N94" s="29"/>
      <c r="O94" s="29"/>
      <c r="P94" s="29"/>
      <c r="Q94" s="29"/>
      <c r="R94" s="29"/>
      <c r="S94" s="29"/>
      <c r="T94" s="29"/>
      <c r="U94" s="29"/>
    </row>
    <row r="95" spans="12:21" s="27" customFormat="1">
      <c r="L95" s="29"/>
      <c r="M95" s="29"/>
      <c r="N95" s="29"/>
      <c r="O95" s="29"/>
      <c r="P95" s="29"/>
      <c r="Q95" s="29"/>
      <c r="R95" s="29"/>
      <c r="S95" s="29"/>
      <c r="T95" s="29"/>
      <c r="U95" s="29"/>
    </row>
    <row r="96" spans="12:21" s="27" customFormat="1">
      <c r="L96" s="29"/>
      <c r="M96" s="29"/>
      <c r="N96" s="29"/>
      <c r="O96" s="29"/>
      <c r="P96" s="29"/>
      <c r="Q96" s="29"/>
      <c r="R96" s="29"/>
      <c r="S96" s="29"/>
      <c r="T96" s="29"/>
      <c r="U96" s="29"/>
    </row>
    <row r="97" spans="12:21" s="27" customFormat="1">
      <c r="L97" s="29"/>
      <c r="M97" s="29"/>
      <c r="N97" s="29"/>
      <c r="O97" s="29"/>
      <c r="P97" s="29"/>
      <c r="Q97" s="29"/>
      <c r="R97" s="29"/>
      <c r="S97" s="29"/>
      <c r="T97" s="29"/>
      <c r="U97" s="29"/>
    </row>
    <row r="98" spans="12:21" s="27" customFormat="1">
      <c r="L98" s="29"/>
      <c r="M98" s="29"/>
      <c r="N98" s="29"/>
      <c r="O98" s="29"/>
      <c r="P98" s="29"/>
      <c r="Q98" s="29"/>
      <c r="R98" s="29"/>
      <c r="S98" s="29"/>
      <c r="T98" s="29"/>
      <c r="U98" s="29"/>
    </row>
    <row r="99" spans="12:21" s="27" customFormat="1">
      <c r="L99" s="29"/>
      <c r="M99" s="29"/>
      <c r="N99" s="29"/>
      <c r="O99" s="29"/>
      <c r="P99" s="29"/>
      <c r="Q99" s="29"/>
      <c r="R99" s="29"/>
      <c r="S99" s="29"/>
      <c r="T99" s="29"/>
      <c r="U99" s="29"/>
    </row>
    <row r="100" spans="12:21" s="27" customFormat="1">
      <c r="L100" s="29"/>
      <c r="M100" s="29"/>
      <c r="N100" s="29"/>
      <c r="O100" s="29"/>
      <c r="P100" s="29"/>
      <c r="Q100" s="29"/>
      <c r="R100" s="29"/>
      <c r="S100" s="29"/>
      <c r="T100" s="29"/>
      <c r="U100" s="29"/>
    </row>
    <row r="101" spans="12:21" s="27" customFormat="1">
      <c r="L101" s="29"/>
      <c r="M101" s="29"/>
      <c r="N101" s="29"/>
      <c r="O101" s="29"/>
      <c r="P101" s="29"/>
      <c r="Q101" s="29"/>
      <c r="R101" s="29"/>
      <c r="S101" s="29"/>
      <c r="T101" s="29"/>
      <c r="U101" s="29"/>
    </row>
    <row r="102" spans="12:21" s="27" customFormat="1">
      <c r="L102" s="29"/>
      <c r="M102" s="29"/>
      <c r="N102" s="29"/>
      <c r="O102" s="29"/>
      <c r="P102" s="29"/>
      <c r="Q102" s="29"/>
      <c r="R102" s="29"/>
      <c r="S102" s="29"/>
      <c r="T102" s="29"/>
      <c r="U102" s="29"/>
    </row>
    <row r="103" spans="12:21" s="27" customFormat="1">
      <c r="L103" s="29"/>
      <c r="M103" s="29"/>
      <c r="N103" s="29"/>
      <c r="O103" s="29"/>
      <c r="P103" s="29"/>
      <c r="Q103" s="29"/>
      <c r="R103" s="29"/>
      <c r="S103" s="29"/>
      <c r="T103" s="29"/>
      <c r="U103" s="29"/>
    </row>
    <row r="104" spans="12:21" s="27" customFormat="1">
      <c r="L104" s="29"/>
      <c r="M104" s="29"/>
      <c r="N104" s="29"/>
      <c r="O104" s="29"/>
      <c r="P104" s="29"/>
      <c r="Q104" s="29"/>
      <c r="R104" s="29"/>
      <c r="S104" s="29"/>
      <c r="T104" s="29"/>
      <c r="U104" s="29"/>
    </row>
    <row r="105" spans="12:21" s="27" customFormat="1">
      <c r="L105" s="29"/>
      <c r="M105" s="29"/>
      <c r="N105" s="29"/>
      <c r="O105" s="29"/>
      <c r="P105" s="29"/>
      <c r="Q105" s="29"/>
      <c r="R105" s="29"/>
      <c r="S105" s="29"/>
      <c r="T105" s="29"/>
      <c r="U105" s="29"/>
    </row>
    <row r="106" spans="12:21" s="27" customFormat="1">
      <c r="L106" s="29"/>
      <c r="M106" s="29"/>
      <c r="N106" s="29"/>
      <c r="O106" s="29"/>
      <c r="P106" s="29"/>
      <c r="Q106" s="29"/>
      <c r="R106" s="29"/>
      <c r="S106" s="29"/>
      <c r="T106" s="29"/>
      <c r="U106" s="29"/>
    </row>
    <row r="107" spans="12:21" s="27" customFormat="1">
      <c r="L107" s="29"/>
      <c r="M107" s="29"/>
      <c r="N107" s="29"/>
      <c r="O107" s="29"/>
      <c r="P107" s="29"/>
      <c r="Q107" s="29"/>
      <c r="R107" s="29"/>
      <c r="S107" s="29"/>
      <c r="T107" s="29"/>
      <c r="U107" s="29"/>
    </row>
    <row r="108" spans="12:21" s="27" customFormat="1">
      <c r="L108" s="29"/>
      <c r="M108" s="29"/>
      <c r="N108" s="29"/>
      <c r="O108" s="29"/>
      <c r="P108" s="29"/>
      <c r="Q108" s="29"/>
      <c r="R108" s="29"/>
      <c r="S108" s="29"/>
      <c r="T108" s="29"/>
      <c r="U108" s="29"/>
    </row>
    <row r="109" spans="12:21" s="27" customFormat="1">
      <c r="L109" s="29"/>
      <c r="M109" s="29"/>
      <c r="N109" s="29"/>
      <c r="O109" s="29"/>
      <c r="P109" s="29"/>
      <c r="Q109" s="29"/>
      <c r="R109" s="29"/>
      <c r="S109" s="29"/>
      <c r="T109" s="29"/>
      <c r="U109" s="29"/>
    </row>
    <row r="110" spans="12:21" s="27" customFormat="1">
      <c r="L110" s="29"/>
      <c r="M110" s="29"/>
      <c r="N110" s="29"/>
      <c r="O110" s="29"/>
      <c r="P110" s="29"/>
      <c r="Q110" s="29"/>
      <c r="R110" s="29"/>
      <c r="S110" s="29"/>
      <c r="T110" s="29"/>
      <c r="U110" s="29"/>
    </row>
    <row r="111" spans="12:21" s="27" customFormat="1">
      <c r="L111" s="29"/>
      <c r="M111" s="29"/>
      <c r="N111" s="29"/>
      <c r="O111" s="29"/>
      <c r="P111" s="29"/>
      <c r="Q111" s="29"/>
      <c r="R111" s="29"/>
      <c r="S111" s="29"/>
      <c r="T111" s="29"/>
      <c r="U111" s="29"/>
    </row>
    <row r="112" spans="12:21" s="27" customFormat="1">
      <c r="L112" s="29"/>
      <c r="M112" s="29"/>
      <c r="N112" s="29"/>
      <c r="O112" s="29"/>
      <c r="P112" s="29"/>
      <c r="Q112" s="29"/>
      <c r="R112" s="29"/>
      <c r="S112" s="29"/>
      <c r="T112" s="29"/>
      <c r="U112" s="29"/>
    </row>
    <row r="113" spans="12:21" s="27" customFormat="1">
      <c r="L113" s="29"/>
      <c r="M113" s="29"/>
      <c r="N113" s="29"/>
      <c r="O113" s="29"/>
      <c r="P113" s="29"/>
      <c r="Q113" s="29"/>
      <c r="R113" s="29"/>
      <c r="S113" s="29"/>
      <c r="T113" s="29"/>
      <c r="U113" s="29"/>
    </row>
    <row r="114" spans="12:21" s="27" customFormat="1">
      <c r="L114" s="29"/>
      <c r="M114" s="29"/>
      <c r="N114" s="29"/>
      <c r="O114" s="29"/>
      <c r="P114" s="29"/>
      <c r="Q114" s="29"/>
      <c r="R114" s="29"/>
      <c r="S114" s="29"/>
      <c r="T114" s="29"/>
      <c r="U114" s="29"/>
    </row>
    <row r="115" spans="12:21" s="27" customFormat="1">
      <c r="L115" s="29"/>
      <c r="M115" s="29"/>
      <c r="N115" s="29"/>
      <c r="O115" s="29"/>
      <c r="P115" s="29"/>
      <c r="Q115" s="29"/>
      <c r="R115" s="29"/>
      <c r="S115" s="29"/>
      <c r="T115" s="29"/>
      <c r="U115" s="29"/>
    </row>
    <row r="116" spans="12:21" s="27" customFormat="1">
      <c r="L116" s="29"/>
      <c r="M116" s="29"/>
      <c r="N116" s="29"/>
      <c r="O116" s="29"/>
      <c r="P116" s="29"/>
      <c r="Q116" s="29"/>
      <c r="R116" s="29"/>
      <c r="S116" s="29"/>
      <c r="T116" s="29"/>
      <c r="U116" s="29"/>
    </row>
    <row r="117" spans="12:21" s="27" customFormat="1">
      <c r="L117" s="29"/>
      <c r="M117" s="29"/>
      <c r="N117" s="29"/>
      <c r="O117" s="29"/>
      <c r="P117" s="29"/>
      <c r="Q117" s="29"/>
      <c r="R117" s="29"/>
      <c r="S117" s="29"/>
      <c r="T117" s="29"/>
      <c r="U117" s="29"/>
    </row>
    <row r="118" spans="12:21" s="27" customFormat="1">
      <c r="L118" s="29"/>
      <c r="M118" s="29"/>
      <c r="N118" s="29"/>
      <c r="O118" s="29"/>
      <c r="P118" s="29"/>
      <c r="Q118" s="29"/>
      <c r="R118" s="29"/>
      <c r="S118" s="29"/>
      <c r="T118" s="29"/>
      <c r="U118" s="29"/>
    </row>
    <row r="119" spans="12:21" s="27" customFormat="1">
      <c r="L119" s="29"/>
      <c r="M119" s="29"/>
      <c r="N119" s="29"/>
      <c r="O119" s="29"/>
      <c r="P119" s="29"/>
      <c r="Q119" s="29"/>
      <c r="R119" s="29"/>
      <c r="S119" s="29"/>
      <c r="T119" s="29"/>
      <c r="U119" s="29"/>
    </row>
    <row r="120" spans="12:21" s="27" customFormat="1">
      <c r="L120" s="29"/>
      <c r="M120" s="29"/>
      <c r="N120" s="29"/>
      <c r="O120" s="29"/>
      <c r="P120" s="29"/>
      <c r="Q120" s="29"/>
      <c r="R120" s="29"/>
      <c r="S120" s="29"/>
      <c r="T120" s="29"/>
      <c r="U120" s="29"/>
    </row>
    <row r="121" spans="12:21" s="27" customFormat="1">
      <c r="L121" s="29"/>
      <c r="M121" s="29"/>
      <c r="N121" s="29"/>
      <c r="O121" s="29"/>
      <c r="P121" s="29"/>
      <c r="Q121" s="29"/>
      <c r="R121" s="29"/>
      <c r="S121" s="29"/>
      <c r="T121" s="29"/>
      <c r="U121" s="29"/>
    </row>
    <row r="122" spans="12:21" s="27" customFormat="1">
      <c r="L122" s="29"/>
      <c r="M122" s="29"/>
      <c r="N122" s="29"/>
      <c r="O122" s="29"/>
      <c r="P122" s="29"/>
      <c r="Q122" s="29"/>
      <c r="R122" s="29"/>
      <c r="S122" s="29"/>
      <c r="T122" s="29"/>
      <c r="U122" s="29"/>
    </row>
    <row r="123" spans="12:21" s="27" customFormat="1">
      <c r="L123" s="29"/>
      <c r="M123" s="29"/>
      <c r="N123" s="29"/>
      <c r="O123" s="29"/>
      <c r="P123" s="29"/>
      <c r="Q123" s="29"/>
      <c r="R123" s="29"/>
      <c r="S123" s="29"/>
      <c r="T123" s="29"/>
      <c r="U123" s="29"/>
    </row>
    <row r="124" spans="12:21" s="27" customFormat="1">
      <c r="L124" s="29"/>
      <c r="M124" s="29"/>
      <c r="N124" s="29"/>
      <c r="O124" s="29"/>
      <c r="P124" s="29"/>
      <c r="Q124" s="29"/>
      <c r="R124" s="29"/>
      <c r="S124" s="29"/>
      <c r="T124" s="29"/>
      <c r="U124" s="29"/>
    </row>
    <row r="125" spans="12:21" s="27" customFormat="1">
      <c r="L125" s="29"/>
      <c r="M125" s="29"/>
      <c r="N125" s="29"/>
      <c r="O125" s="29"/>
      <c r="P125" s="29"/>
      <c r="Q125" s="29"/>
      <c r="R125" s="29"/>
      <c r="S125" s="29"/>
      <c r="T125" s="29"/>
      <c r="U125" s="29"/>
    </row>
    <row r="126" spans="12:21" s="27" customFormat="1">
      <c r="L126" s="29"/>
      <c r="M126" s="29"/>
      <c r="N126" s="29"/>
      <c r="O126" s="29"/>
      <c r="P126" s="29"/>
      <c r="Q126" s="29"/>
      <c r="R126" s="29"/>
      <c r="S126" s="29"/>
      <c r="T126" s="29"/>
      <c r="U126" s="29"/>
    </row>
    <row r="127" spans="12:21" s="27" customFormat="1">
      <c r="L127" s="29"/>
      <c r="M127" s="29"/>
      <c r="N127" s="29"/>
      <c r="O127" s="29"/>
      <c r="P127" s="29"/>
      <c r="Q127" s="29"/>
      <c r="R127" s="29"/>
      <c r="S127" s="29"/>
      <c r="T127" s="29"/>
      <c r="U127" s="29"/>
    </row>
    <row r="128" spans="12:21" s="27" customFormat="1">
      <c r="L128" s="29"/>
      <c r="M128" s="29"/>
      <c r="N128" s="29"/>
      <c r="O128" s="29"/>
      <c r="P128" s="29"/>
      <c r="Q128" s="29"/>
      <c r="R128" s="29"/>
      <c r="S128" s="29"/>
      <c r="T128" s="29"/>
      <c r="U128" s="29"/>
    </row>
    <row r="129" spans="12:21" s="27" customFormat="1">
      <c r="L129" s="29"/>
      <c r="M129" s="29"/>
      <c r="N129" s="29"/>
      <c r="O129" s="29"/>
      <c r="P129" s="29"/>
      <c r="Q129" s="29"/>
      <c r="R129" s="29"/>
      <c r="S129" s="29"/>
      <c r="T129" s="29"/>
      <c r="U129" s="29"/>
    </row>
    <row r="130" spans="12:21" s="27" customFormat="1">
      <c r="L130" s="29"/>
      <c r="M130" s="29"/>
      <c r="N130" s="29"/>
      <c r="O130" s="29"/>
      <c r="P130" s="29"/>
      <c r="Q130" s="29"/>
      <c r="R130" s="29"/>
      <c r="S130" s="29"/>
      <c r="T130" s="29"/>
      <c r="U130" s="29"/>
    </row>
    <row r="131" spans="12:21" s="27" customFormat="1">
      <c r="L131" s="29"/>
      <c r="M131" s="29"/>
      <c r="N131" s="29"/>
      <c r="O131" s="29"/>
      <c r="P131" s="29"/>
      <c r="Q131" s="29"/>
      <c r="R131" s="29"/>
      <c r="S131" s="29"/>
      <c r="T131" s="29"/>
      <c r="U131" s="29"/>
    </row>
    <row r="132" spans="12:21" s="27" customFormat="1">
      <c r="L132" s="29"/>
      <c r="M132" s="29"/>
      <c r="N132" s="29"/>
      <c r="O132" s="29"/>
      <c r="P132" s="29"/>
      <c r="Q132" s="29"/>
      <c r="R132" s="29"/>
      <c r="S132" s="29"/>
      <c r="T132" s="29"/>
      <c r="U132" s="29"/>
    </row>
    <row r="133" spans="12:21" s="27" customFormat="1">
      <c r="L133" s="29"/>
      <c r="M133" s="29"/>
      <c r="N133" s="29"/>
      <c r="O133" s="29"/>
      <c r="P133" s="29"/>
      <c r="Q133" s="29"/>
      <c r="R133" s="29"/>
      <c r="S133" s="29"/>
      <c r="T133" s="29"/>
      <c r="U133" s="29"/>
    </row>
    <row r="134" spans="12:21" s="27" customFormat="1">
      <c r="L134" s="29"/>
      <c r="M134" s="29"/>
      <c r="N134" s="29"/>
      <c r="O134" s="29"/>
      <c r="P134" s="29"/>
      <c r="Q134" s="29"/>
      <c r="R134" s="29"/>
      <c r="S134" s="29"/>
      <c r="T134" s="29"/>
      <c r="U134" s="29"/>
    </row>
    <row r="135" spans="12:21" s="27" customFormat="1">
      <c r="L135" s="29"/>
      <c r="M135" s="29"/>
      <c r="N135" s="29"/>
      <c r="O135" s="29"/>
      <c r="P135" s="29"/>
      <c r="Q135" s="29"/>
      <c r="R135" s="29"/>
      <c r="S135" s="29"/>
      <c r="T135" s="29"/>
      <c r="U135" s="29"/>
    </row>
    <row r="136" spans="12:21" s="27" customFormat="1">
      <c r="L136" s="29"/>
      <c r="M136" s="29"/>
      <c r="N136" s="29"/>
      <c r="O136" s="29"/>
      <c r="P136" s="29"/>
      <c r="Q136" s="29"/>
      <c r="R136" s="29"/>
      <c r="S136" s="29"/>
      <c r="T136" s="29"/>
      <c r="U136" s="29"/>
    </row>
    <row r="137" spans="12:21" s="27" customFormat="1">
      <c r="L137" s="29"/>
      <c r="M137" s="29"/>
      <c r="N137" s="29"/>
      <c r="O137" s="29"/>
      <c r="P137" s="29"/>
      <c r="Q137" s="29"/>
      <c r="R137" s="29"/>
      <c r="S137" s="29"/>
      <c r="T137" s="29"/>
      <c r="U137" s="29"/>
    </row>
    <row r="138" spans="12:21" s="27" customFormat="1">
      <c r="L138" s="29"/>
      <c r="M138" s="29"/>
      <c r="N138" s="29"/>
      <c r="O138" s="29"/>
      <c r="P138" s="29"/>
      <c r="Q138" s="29"/>
      <c r="R138" s="29"/>
      <c r="S138" s="29"/>
      <c r="T138" s="29"/>
      <c r="U138" s="29"/>
    </row>
    <row r="139" spans="12:21" s="27" customFormat="1">
      <c r="L139" s="29"/>
      <c r="M139" s="29"/>
      <c r="N139" s="29"/>
      <c r="O139" s="29"/>
      <c r="P139" s="29"/>
      <c r="Q139" s="29"/>
      <c r="R139" s="29"/>
      <c r="S139" s="29"/>
      <c r="T139" s="29"/>
      <c r="U139" s="29"/>
    </row>
    <row r="140" spans="12:21" s="27" customFormat="1">
      <c r="L140" s="29"/>
      <c r="M140" s="29"/>
      <c r="N140" s="29"/>
      <c r="O140" s="29"/>
      <c r="P140" s="29"/>
      <c r="Q140" s="29"/>
      <c r="R140" s="29"/>
      <c r="S140" s="29"/>
      <c r="T140" s="29"/>
      <c r="U140" s="29"/>
    </row>
    <row r="141" spans="12:21" s="27" customFormat="1">
      <c r="L141" s="29"/>
      <c r="M141" s="29"/>
      <c r="N141" s="29"/>
      <c r="O141" s="29"/>
      <c r="P141" s="29"/>
      <c r="Q141" s="29"/>
      <c r="R141" s="29"/>
      <c r="S141" s="29"/>
      <c r="T141" s="29"/>
      <c r="U141" s="29"/>
    </row>
    <row r="142" spans="12:21" s="27" customFormat="1">
      <c r="L142" s="29"/>
      <c r="M142" s="29"/>
      <c r="N142" s="29"/>
      <c r="O142" s="29"/>
      <c r="P142" s="29"/>
      <c r="Q142" s="29"/>
      <c r="R142" s="29"/>
      <c r="S142" s="29"/>
      <c r="T142" s="29"/>
      <c r="U142" s="29"/>
    </row>
    <row r="143" spans="12:21" s="27" customFormat="1">
      <c r="L143" s="29"/>
      <c r="M143" s="29"/>
      <c r="N143" s="29"/>
      <c r="O143" s="29"/>
      <c r="P143" s="29"/>
      <c r="Q143" s="29"/>
      <c r="R143" s="29"/>
      <c r="S143" s="29"/>
      <c r="T143" s="29"/>
      <c r="U143" s="29"/>
    </row>
    <row r="144" spans="12:21" s="27" customFormat="1">
      <c r="L144" s="29"/>
      <c r="M144" s="29"/>
      <c r="N144" s="29"/>
      <c r="O144" s="29"/>
      <c r="P144" s="29"/>
      <c r="Q144" s="29"/>
      <c r="R144" s="29"/>
      <c r="S144" s="29"/>
      <c r="T144" s="29"/>
      <c r="U144" s="29"/>
    </row>
    <row r="145" spans="12:21" s="27" customFormat="1">
      <c r="L145" s="29"/>
      <c r="M145" s="29"/>
      <c r="N145" s="29"/>
      <c r="O145" s="29"/>
      <c r="P145" s="29"/>
      <c r="Q145" s="29"/>
      <c r="R145" s="29"/>
      <c r="S145" s="29"/>
      <c r="T145" s="29"/>
      <c r="U145" s="29"/>
    </row>
    <row r="146" spans="12:21" s="27" customFormat="1">
      <c r="L146" s="29"/>
      <c r="M146" s="29"/>
      <c r="N146" s="29"/>
      <c r="O146" s="29"/>
      <c r="P146" s="29"/>
      <c r="Q146" s="29"/>
      <c r="R146" s="29"/>
      <c r="S146" s="29"/>
      <c r="T146" s="29"/>
      <c r="U146" s="29"/>
    </row>
    <row r="147" spans="12:21" s="27" customFormat="1">
      <c r="L147" s="29"/>
      <c r="M147" s="29"/>
      <c r="N147" s="29"/>
      <c r="O147" s="29"/>
      <c r="P147" s="29"/>
      <c r="Q147" s="29"/>
      <c r="R147" s="29"/>
      <c r="S147" s="29"/>
      <c r="T147" s="29"/>
      <c r="U147" s="29"/>
    </row>
    <row r="148" spans="12:21" s="27" customFormat="1">
      <c r="L148" s="29"/>
      <c r="M148" s="29"/>
      <c r="N148" s="29"/>
      <c r="O148" s="29"/>
      <c r="P148" s="29"/>
      <c r="Q148" s="29"/>
      <c r="R148" s="29"/>
      <c r="S148" s="29"/>
      <c r="T148" s="29"/>
      <c r="U148" s="29"/>
    </row>
    <row r="149" spans="12:21" s="27" customFormat="1">
      <c r="L149" s="29"/>
      <c r="M149" s="29"/>
      <c r="N149" s="29"/>
      <c r="O149" s="29"/>
      <c r="P149" s="29"/>
      <c r="Q149" s="29"/>
      <c r="R149" s="29"/>
      <c r="S149" s="29"/>
      <c r="T149" s="29"/>
      <c r="U149" s="29"/>
    </row>
    <row r="150" spans="12:21" s="27" customFormat="1">
      <c r="L150" s="29"/>
      <c r="M150" s="29"/>
      <c r="N150" s="29"/>
      <c r="O150" s="29"/>
      <c r="P150" s="29"/>
      <c r="Q150" s="29"/>
      <c r="R150" s="29"/>
      <c r="S150" s="29"/>
      <c r="T150" s="29"/>
      <c r="U150" s="29"/>
    </row>
    <row r="151" spans="12:21" s="27" customFormat="1">
      <c r="L151" s="29"/>
      <c r="M151" s="29"/>
      <c r="N151" s="29"/>
      <c r="O151" s="29"/>
      <c r="P151" s="29"/>
      <c r="Q151" s="29"/>
      <c r="R151" s="29"/>
      <c r="S151" s="29"/>
      <c r="T151" s="29"/>
      <c r="U151" s="29"/>
    </row>
    <row r="152" spans="12:21" s="27" customFormat="1">
      <c r="L152" s="29"/>
      <c r="M152" s="29"/>
      <c r="N152" s="29"/>
      <c r="O152" s="29"/>
      <c r="P152" s="29"/>
      <c r="Q152" s="29"/>
      <c r="R152" s="29"/>
      <c r="S152" s="29"/>
      <c r="T152" s="29"/>
      <c r="U152" s="29"/>
    </row>
    <row r="153" spans="12:21" s="27" customFormat="1">
      <c r="L153" s="29"/>
      <c r="M153" s="29"/>
      <c r="N153" s="29"/>
      <c r="O153" s="29"/>
      <c r="P153" s="29"/>
      <c r="Q153" s="29"/>
      <c r="R153" s="29"/>
      <c r="S153" s="29"/>
      <c r="T153" s="29"/>
      <c r="U153" s="29"/>
    </row>
    <row r="154" spans="12:21" s="27" customFormat="1">
      <c r="L154" s="29"/>
      <c r="M154" s="29"/>
      <c r="N154" s="29"/>
      <c r="O154" s="29"/>
      <c r="P154" s="29"/>
      <c r="Q154" s="29"/>
      <c r="R154" s="29"/>
      <c r="S154" s="29"/>
      <c r="T154" s="29"/>
      <c r="U154" s="29"/>
    </row>
    <row r="155" spans="12:21" s="27" customFormat="1">
      <c r="L155" s="29"/>
      <c r="M155" s="29"/>
      <c r="N155" s="29"/>
      <c r="O155" s="29"/>
      <c r="P155" s="29"/>
      <c r="Q155" s="29"/>
      <c r="R155" s="29"/>
      <c r="S155" s="29"/>
      <c r="T155" s="29"/>
      <c r="U155" s="29"/>
    </row>
    <row r="156" spans="12:21" s="27" customFormat="1">
      <c r="L156" s="29"/>
      <c r="M156" s="29"/>
      <c r="N156" s="29"/>
      <c r="O156" s="29"/>
      <c r="P156" s="29"/>
      <c r="Q156" s="29"/>
      <c r="R156" s="29"/>
      <c r="S156" s="29"/>
      <c r="T156" s="29"/>
      <c r="U156" s="29"/>
    </row>
    <row r="157" spans="12:21" s="27" customFormat="1">
      <c r="L157" s="29"/>
      <c r="M157" s="29"/>
      <c r="N157" s="29"/>
      <c r="O157" s="29"/>
      <c r="P157" s="29"/>
      <c r="Q157" s="29"/>
      <c r="R157" s="29"/>
      <c r="S157" s="29"/>
      <c r="T157" s="29"/>
      <c r="U157" s="29"/>
    </row>
    <row r="158" spans="12:21" s="27" customFormat="1">
      <c r="L158" s="29"/>
      <c r="M158" s="29"/>
      <c r="N158" s="29"/>
      <c r="O158" s="29"/>
      <c r="P158" s="29"/>
      <c r="Q158" s="29"/>
      <c r="R158" s="29"/>
      <c r="S158" s="29"/>
      <c r="T158" s="29"/>
      <c r="U158" s="29"/>
    </row>
    <row r="159" spans="12:21" s="27" customFormat="1">
      <c r="L159" s="29"/>
      <c r="M159" s="29"/>
      <c r="N159" s="29"/>
      <c r="O159" s="29"/>
      <c r="P159" s="29"/>
      <c r="Q159" s="29"/>
      <c r="R159" s="29"/>
      <c r="S159" s="29"/>
      <c r="T159" s="29"/>
      <c r="U159" s="29"/>
    </row>
    <row r="160" spans="12:21" s="27" customFormat="1">
      <c r="L160" s="29"/>
      <c r="M160" s="29"/>
      <c r="N160" s="29"/>
      <c r="O160" s="29"/>
      <c r="P160" s="29"/>
      <c r="Q160" s="29"/>
      <c r="R160" s="29"/>
      <c r="S160" s="29"/>
      <c r="T160" s="29"/>
      <c r="U160" s="29"/>
    </row>
    <row r="161" spans="12:21" s="27" customFormat="1">
      <c r="L161" s="29"/>
      <c r="M161" s="29"/>
      <c r="N161" s="29"/>
      <c r="O161" s="29"/>
      <c r="P161" s="29"/>
      <c r="Q161" s="29"/>
      <c r="R161" s="29"/>
      <c r="S161" s="29"/>
      <c r="T161" s="29"/>
      <c r="U161" s="29"/>
    </row>
    <row r="162" spans="12:21" s="27" customFormat="1">
      <c r="L162" s="29"/>
      <c r="M162" s="29"/>
      <c r="N162" s="29"/>
      <c r="O162" s="29"/>
      <c r="P162" s="29"/>
      <c r="Q162" s="29"/>
      <c r="R162" s="29"/>
      <c r="S162" s="29"/>
      <c r="T162" s="29"/>
      <c r="U162" s="29"/>
    </row>
    <row r="163" spans="12:21" s="27" customFormat="1">
      <c r="L163" s="29"/>
      <c r="M163" s="29"/>
      <c r="N163" s="29"/>
      <c r="O163" s="29"/>
      <c r="P163" s="29"/>
      <c r="Q163" s="29"/>
      <c r="R163" s="29"/>
      <c r="S163" s="29"/>
      <c r="T163" s="29"/>
      <c r="U163" s="29"/>
    </row>
    <row r="164" spans="12:21" s="27" customFormat="1">
      <c r="L164" s="29"/>
      <c r="M164" s="29"/>
      <c r="N164" s="29"/>
      <c r="O164" s="29"/>
      <c r="P164" s="29"/>
      <c r="Q164" s="29"/>
      <c r="R164" s="29"/>
      <c r="S164" s="29"/>
      <c r="T164" s="29"/>
      <c r="U164" s="29"/>
    </row>
    <row r="165" spans="12:21" s="27" customFormat="1">
      <c r="L165" s="29"/>
      <c r="M165" s="29"/>
      <c r="N165" s="29"/>
      <c r="O165" s="29"/>
      <c r="P165" s="29"/>
      <c r="Q165" s="29"/>
      <c r="R165" s="29"/>
      <c r="S165" s="29"/>
      <c r="T165" s="29"/>
      <c r="U165" s="29"/>
    </row>
    <row r="166" spans="12:21" s="27" customFormat="1">
      <c r="L166" s="29"/>
      <c r="M166" s="29"/>
      <c r="N166" s="29"/>
      <c r="O166" s="29"/>
      <c r="P166" s="29"/>
      <c r="Q166" s="29"/>
      <c r="R166" s="29"/>
      <c r="S166" s="29"/>
      <c r="T166" s="29"/>
      <c r="U166" s="29"/>
    </row>
    <row r="167" spans="12:21" s="27" customFormat="1">
      <c r="L167" s="29"/>
      <c r="M167" s="29"/>
      <c r="N167" s="29"/>
      <c r="O167" s="29"/>
      <c r="P167" s="29"/>
      <c r="Q167" s="29"/>
      <c r="R167" s="29"/>
      <c r="S167" s="29"/>
      <c r="T167" s="29"/>
      <c r="U167" s="29"/>
    </row>
    <row r="168" spans="12:21" s="27" customFormat="1">
      <c r="L168" s="29"/>
      <c r="M168" s="29"/>
      <c r="N168" s="29"/>
      <c r="O168" s="29"/>
      <c r="P168" s="29"/>
      <c r="Q168" s="29"/>
      <c r="R168" s="29"/>
      <c r="S168" s="29"/>
      <c r="T168" s="29"/>
      <c r="U168" s="29"/>
    </row>
    <row r="169" spans="12:21" s="27" customFormat="1">
      <c r="L169" s="29"/>
      <c r="M169" s="29"/>
      <c r="N169" s="29"/>
      <c r="O169" s="29"/>
      <c r="P169" s="29"/>
      <c r="Q169" s="29"/>
      <c r="R169" s="29"/>
      <c r="S169" s="29"/>
      <c r="T169" s="29"/>
      <c r="U169" s="29"/>
    </row>
    <row r="170" spans="12:21" s="27" customFormat="1">
      <c r="L170" s="29"/>
      <c r="M170" s="29"/>
      <c r="N170" s="29"/>
      <c r="O170" s="29"/>
      <c r="P170" s="29"/>
      <c r="Q170" s="29"/>
      <c r="R170" s="29"/>
      <c r="S170" s="29"/>
      <c r="T170" s="29"/>
      <c r="U170" s="29"/>
    </row>
    <row r="171" spans="12:21" s="27" customFormat="1">
      <c r="L171" s="29"/>
      <c r="M171" s="29"/>
      <c r="N171" s="29"/>
      <c r="O171" s="29"/>
      <c r="P171" s="29"/>
      <c r="Q171" s="29"/>
      <c r="R171" s="29"/>
      <c r="S171" s="29"/>
      <c r="T171" s="29"/>
      <c r="U171" s="29"/>
    </row>
    <row r="172" spans="12:21" s="27" customFormat="1">
      <c r="L172" s="29"/>
      <c r="M172" s="29"/>
      <c r="N172" s="29"/>
      <c r="O172" s="29"/>
      <c r="P172" s="29"/>
      <c r="Q172" s="29"/>
      <c r="R172" s="29"/>
      <c r="S172" s="29"/>
      <c r="T172" s="29"/>
      <c r="U172" s="29"/>
    </row>
    <row r="173" spans="12:21" s="27" customFormat="1">
      <c r="L173" s="29"/>
      <c r="M173" s="29"/>
      <c r="N173" s="29"/>
      <c r="O173" s="29"/>
      <c r="P173" s="29"/>
      <c r="Q173" s="29"/>
      <c r="R173" s="29"/>
      <c r="S173" s="29"/>
      <c r="T173" s="29"/>
      <c r="U173" s="29"/>
    </row>
    <row r="174" spans="12:21" s="27" customFormat="1">
      <c r="L174" s="29"/>
      <c r="M174" s="29"/>
      <c r="N174" s="29"/>
      <c r="O174" s="29"/>
      <c r="P174" s="29"/>
      <c r="Q174" s="29"/>
      <c r="R174" s="29"/>
      <c r="S174" s="29"/>
      <c r="T174" s="29"/>
      <c r="U174" s="29"/>
    </row>
    <row r="175" spans="12:21" s="27" customFormat="1">
      <c r="L175" s="29"/>
      <c r="M175" s="29"/>
      <c r="N175" s="29"/>
      <c r="O175" s="29"/>
      <c r="P175" s="29"/>
      <c r="Q175" s="29"/>
      <c r="R175" s="29"/>
      <c r="S175" s="29"/>
      <c r="T175" s="29"/>
      <c r="U175" s="29"/>
    </row>
    <row r="176" spans="12:21" s="27" customFormat="1">
      <c r="L176" s="29"/>
      <c r="M176" s="29"/>
      <c r="N176" s="29"/>
      <c r="O176" s="29"/>
      <c r="P176" s="29"/>
      <c r="Q176" s="29"/>
      <c r="R176" s="29"/>
      <c r="S176" s="29"/>
      <c r="T176" s="29"/>
      <c r="U176" s="29"/>
    </row>
    <row r="177" spans="12:21" s="27" customFormat="1">
      <c r="L177" s="29"/>
      <c r="M177" s="29"/>
      <c r="N177" s="29"/>
      <c r="O177" s="29"/>
      <c r="P177" s="29"/>
      <c r="Q177" s="29"/>
      <c r="R177" s="29"/>
      <c r="S177" s="29"/>
      <c r="T177" s="29"/>
      <c r="U177" s="29"/>
    </row>
    <row r="178" spans="12:21" s="27" customFormat="1">
      <c r="L178" s="29"/>
      <c r="M178" s="29"/>
      <c r="N178" s="29"/>
      <c r="O178" s="29"/>
      <c r="P178" s="29"/>
      <c r="Q178" s="29"/>
      <c r="R178" s="29"/>
      <c r="S178" s="29"/>
      <c r="T178" s="29"/>
      <c r="U178" s="29"/>
    </row>
    <row r="179" spans="12:21" s="27" customFormat="1">
      <c r="L179" s="29"/>
      <c r="M179" s="29"/>
      <c r="N179" s="29"/>
      <c r="O179" s="29"/>
      <c r="P179" s="29"/>
      <c r="Q179" s="29"/>
      <c r="R179" s="29"/>
      <c r="S179" s="29"/>
      <c r="T179" s="29"/>
      <c r="U179" s="29"/>
    </row>
    <row r="180" spans="12:21" s="27" customFormat="1">
      <c r="L180" s="29"/>
      <c r="M180" s="29"/>
      <c r="N180" s="29"/>
      <c r="O180" s="29"/>
      <c r="P180" s="29"/>
      <c r="Q180" s="29"/>
      <c r="R180" s="29"/>
      <c r="S180" s="29"/>
      <c r="T180" s="29"/>
      <c r="U180" s="29"/>
    </row>
    <row r="181" spans="12:21" s="27" customFormat="1">
      <c r="L181" s="29"/>
      <c r="M181" s="29"/>
      <c r="N181" s="29"/>
      <c r="O181" s="29"/>
      <c r="P181" s="29"/>
      <c r="Q181" s="29"/>
      <c r="R181" s="29"/>
      <c r="S181" s="29"/>
      <c r="T181" s="29"/>
      <c r="U181" s="29"/>
    </row>
    <row r="182" spans="12:21" s="27" customFormat="1">
      <c r="L182" s="29"/>
      <c r="M182" s="29"/>
      <c r="N182" s="29"/>
      <c r="O182" s="29"/>
      <c r="P182" s="29"/>
      <c r="Q182" s="29"/>
      <c r="R182" s="29"/>
      <c r="S182" s="29"/>
      <c r="T182" s="29"/>
      <c r="U182" s="29"/>
    </row>
    <row r="183" spans="12:21" s="27" customFormat="1">
      <c r="L183" s="29"/>
      <c r="M183" s="29"/>
      <c r="N183" s="29"/>
      <c r="O183" s="29"/>
      <c r="P183" s="29"/>
      <c r="Q183" s="29"/>
      <c r="R183" s="29"/>
      <c r="S183" s="29"/>
      <c r="T183" s="29"/>
      <c r="U183" s="29"/>
    </row>
    <row r="184" spans="12:21" s="27" customFormat="1">
      <c r="L184" s="29"/>
      <c r="M184" s="29"/>
      <c r="N184" s="29"/>
      <c r="O184" s="29"/>
      <c r="P184" s="29"/>
      <c r="Q184" s="29"/>
      <c r="R184" s="29"/>
      <c r="S184" s="29"/>
      <c r="T184" s="29"/>
      <c r="U184" s="29"/>
    </row>
    <row r="185" spans="12:21" s="27" customFormat="1">
      <c r="L185" s="29"/>
      <c r="M185" s="29"/>
      <c r="N185" s="29"/>
      <c r="O185" s="29"/>
      <c r="P185" s="29"/>
      <c r="Q185" s="29"/>
      <c r="R185" s="29"/>
      <c r="S185" s="29"/>
      <c r="T185" s="29"/>
      <c r="U185" s="29"/>
    </row>
    <row r="186" spans="12:21" s="27" customFormat="1">
      <c r="L186" s="29"/>
      <c r="M186" s="29"/>
      <c r="N186" s="29"/>
      <c r="O186" s="29"/>
      <c r="P186" s="29"/>
      <c r="Q186" s="29"/>
      <c r="R186" s="29"/>
      <c r="S186" s="29"/>
      <c r="T186" s="29"/>
      <c r="U186" s="29"/>
    </row>
    <row r="187" spans="12:21" s="27" customFormat="1">
      <c r="L187" s="29"/>
      <c r="M187" s="29"/>
      <c r="N187" s="29"/>
      <c r="O187" s="29"/>
      <c r="P187" s="29"/>
      <c r="Q187" s="29"/>
      <c r="R187" s="29"/>
      <c r="S187" s="29"/>
      <c r="T187" s="29"/>
      <c r="U187" s="29"/>
    </row>
    <row r="188" spans="12:21" s="27" customFormat="1">
      <c r="L188" s="29"/>
      <c r="M188" s="29"/>
      <c r="N188" s="29"/>
      <c r="O188" s="29"/>
      <c r="P188" s="29"/>
      <c r="Q188" s="29"/>
      <c r="R188" s="29"/>
      <c r="S188" s="29"/>
      <c r="T188" s="29"/>
      <c r="U188" s="29"/>
    </row>
    <row r="189" spans="12:21" s="27" customFormat="1">
      <c r="L189" s="29"/>
      <c r="M189" s="29"/>
      <c r="N189" s="29"/>
      <c r="O189" s="29"/>
      <c r="P189" s="29"/>
      <c r="Q189" s="29"/>
      <c r="R189" s="29"/>
      <c r="S189" s="29"/>
      <c r="T189" s="29"/>
      <c r="U189" s="29"/>
    </row>
    <row r="190" spans="12:21" s="27" customFormat="1">
      <c r="L190" s="29"/>
      <c r="M190" s="29"/>
      <c r="N190" s="29"/>
      <c r="O190" s="29"/>
      <c r="P190" s="29"/>
      <c r="Q190" s="29"/>
      <c r="R190" s="29"/>
      <c r="S190" s="29"/>
      <c r="T190" s="29"/>
      <c r="U190" s="29"/>
    </row>
    <row r="191" spans="12:21" s="27" customFormat="1">
      <c r="L191" s="29"/>
      <c r="M191" s="29"/>
      <c r="N191" s="29"/>
      <c r="O191" s="29"/>
      <c r="P191" s="29"/>
      <c r="Q191" s="29"/>
      <c r="R191" s="29"/>
      <c r="S191" s="29"/>
      <c r="T191" s="29"/>
      <c r="U191" s="29"/>
    </row>
    <row r="192" spans="12:21" s="27" customFormat="1">
      <c r="L192" s="29"/>
      <c r="M192" s="29"/>
      <c r="N192" s="29"/>
      <c r="O192" s="29"/>
      <c r="P192" s="29"/>
      <c r="Q192" s="29"/>
      <c r="R192" s="29"/>
      <c r="S192" s="29"/>
      <c r="T192" s="29"/>
      <c r="U192" s="29"/>
    </row>
    <row r="193" spans="12:21" s="27" customFormat="1">
      <c r="L193" s="29"/>
      <c r="M193" s="29"/>
      <c r="N193" s="29"/>
      <c r="O193" s="29"/>
      <c r="P193" s="29"/>
      <c r="Q193" s="29"/>
      <c r="R193" s="29"/>
      <c r="S193" s="29"/>
      <c r="T193" s="29"/>
      <c r="U193" s="29"/>
    </row>
    <row r="194" spans="12:21" s="27" customFormat="1">
      <c r="L194" s="29"/>
      <c r="M194" s="29"/>
      <c r="N194" s="29"/>
      <c r="O194" s="29"/>
      <c r="P194" s="29"/>
      <c r="Q194" s="29"/>
      <c r="R194" s="29"/>
      <c r="S194" s="29"/>
      <c r="T194" s="29"/>
      <c r="U194" s="29"/>
    </row>
    <row r="195" spans="12:21" s="27" customFormat="1">
      <c r="L195" s="29"/>
      <c r="M195" s="29"/>
      <c r="N195" s="29"/>
      <c r="O195" s="29"/>
      <c r="P195" s="29"/>
      <c r="Q195" s="29"/>
      <c r="R195" s="29"/>
      <c r="S195" s="29"/>
      <c r="T195" s="29"/>
      <c r="U195" s="29"/>
    </row>
    <row r="196" spans="12:21" s="27" customFormat="1">
      <c r="L196" s="29"/>
      <c r="M196" s="29"/>
      <c r="N196" s="29"/>
      <c r="O196" s="29"/>
      <c r="P196" s="29"/>
      <c r="Q196" s="29"/>
      <c r="R196" s="29"/>
      <c r="S196" s="29"/>
      <c r="T196" s="29"/>
      <c r="U196" s="29"/>
    </row>
    <row r="197" spans="12:21" s="27" customFormat="1">
      <c r="L197" s="29"/>
      <c r="M197" s="29"/>
      <c r="N197" s="29"/>
      <c r="O197" s="29"/>
      <c r="P197" s="29"/>
      <c r="Q197" s="29"/>
      <c r="R197" s="29"/>
      <c r="S197" s="29"/>
      <c r="T197" s="29"/>
      <c r="U197" s="29"/>
    </row>
    <row r="198" spans="12:21" s="27" customFormat="1">
      <c r="L198" s="29"/>
      <c r="M198" s="29"/>
      <c r="N198" s="29"/>
      <c r="O198" s="29"/>
      <c r="P198" s="29"/>
      <c r="Q198" s="29"/>
      <c r="R198" s="29"/>
      <c r="S198" s="29"/>
      <c r="T198" s="29"/>
      <c r="U198" s="29"/>
    </row>
    <row r="199" spans="12:21" s="27" customFormat="1">
      <c r="L199" s="29"/>
      <c r="M199" s="29"/>
      <c r="N199" s="29"/>
      <c r="O199" s="29"/>
      <c r="P199" s="29"/>
      <c r="Q199" s="29"/>
      <c r="R199" s="29"/>
      <c r="S199" s="29"/>
      <c r="T199" s="29"/>
      <c r="U199" s="29"/>
    </row>
    <row r="200" spans="12:21" s="27" customFormat="1">
      <c r="L200" s="29"/>
      <c r="M200" s="29"/>
      <c r="N200" s="29"/>
      <c r="O200" s="29"/>
      <c r="P200" s="29"/>
      <c r="Q200" s="29"/>
      <c r="R200" s="29"/>
      <c r="S200" s="29"/>
      <c r="T200" s="29"/>
      <c r="U200" s="29"/>
    </row>
    <row r="201" spans="12:21" s="27" customFormat="1">
      <c r="L201" s="29"/>
      <c r="M201" s="29"/>
      <c r="N201" s="29"/>
      <c r="O201" s="29"/>
      <c r="P201" s="29"/>
      <c r="Q201" s="29"/>
      <c r="R201" s="29"/>
      <c r="S201" s="29"/>
      <c r="T201" s="29"/>
      <c r="U201" s="29"/>
    </row>
    <row r="202" spans="12:21" s="27" customFormat="1">
      <c r="L202" s="29"/>
      <c r="M202" s="29"/>
      <c r="N202" s="29"/>
      <c r="O202" s="29"/>
      <c r="P202" s="29"/>
      <c r="Q202" s="29"/>
      <c r="R202" s="29"/>
      <c r="S202" s="29"/>
      <c r="T202" s="29"/>
      <c r="U202" s="29"/>
    </row>
    <row r="203" spans="12:21" s="27" customFormat="1">
      <c r="L203" s="29"/>
      <c r="M203" s="29"/>
      <c r="N203" s="29"/>
      <c r="O203" s="29"/>
      <c r="P203" s="29"/>
      <c r="Q203" s="29"/>
      <c r="R203" s="29"/>
      <c r="S203" s="29"/>
      <c r="T203" s="29"/>
      <c r="U203" s="29"/>
    </row>
    <row r="204" spans="12:21" s="27" customFormat="1">
      <c r="L204" s="29"/>
      <c r="M204" s="29"/>
      <c r="N204" s="29"/>
      <c r="O204" s="29"/>
      <c r="P204" s="29"/>
      <c r="Q204" s="29"/>
      <c r="R204" s="29"/>
      <c r="S204" s="29"/>
      <c r="T204" s="29"/>
      <c r="U204" s="29"/>
    </row>
    <row r="205" spans="12:21" s="27" customFormat="1">
      <c r="L205" s="29"/>
      <c r="M205" s="29"/>
      <c r="N205" s="29"/>
      <c r="O205" s="29"/>
      <c r="P205" s="29"/>
      <c r="Q205" s="29"/>
      <c r="R205" s="29"/>
      <c r="S205" s="29"/>
      <c r="T205" s="29"/>
      <c r="U205" s="29"/>
    </row>
    <row r="206" spans="12:21" s="27" customFormat="1">
      <c r="L206" s="29"/>
      <c r="M206" s="29"/>
      <c r="N206" s="29"/>
      <c r="O206" s="29"/>
      <c r="P206" s="29"/>
      <c r="Q206" s="29"/>
      <c r="R206" s="29"/>
      <c r="S206" s="29"/>
      <c r="T206" s="29"/>
      <c r="U206" s="29"/>
    </row>
    <row r="207" spans="12:21" s="27" customFormat="1">
      <c r="L207" s="29"/>
      <c r="M207" s="29"/>
      <c r="N207" s="29"/>
      <c r="O207" s="29"/>
      <c r="P207" s="29"/>
      <c r="Q207" s="29"/>
      <c r="R207" s="29"/>
      <c r="S207" s="29"/>
      <c r="T207" s="29"/>
      <c r="U207" s="29"/>
    </row>
    <row r="208" spans="12:21" s="27" customFormat="1">
      <c r="L208" s="29"/>
      <c r="M208" s="29"/>
      <c r="N208" s="29"/>
      <c r="O208" s="29"/>
      <c r="P208" s="29"/>
      <c r="Q208" s="29"/>
      <c r="R208" s="29"/>
      <c r="S208" s="29"/>
      <c r="T208" s="29"/>
      <c r="U208" s="29"/>
    </row>
    <row r="209" spans="12:21" s="27" customFormat="1">
      <c r="L209" s="29"/>
      <c r="M209" s="29"/>
      <c r="N209" s="29"/>
      <c r="O209" s="29"/>
      <c r="P209" s="29"/>
      <c r="Q209" s="29"/>
      <c r="R209" s="29"/>
      <c r="S209" s="29"/>
      <c r="T209" s="29"/>
      <c r="U209" s="29"/>
    </row>
    <row r="210" spans="12:21" s="27" customFormat="1">
      <c r="L210" s="29"/>
      <c r="M210" s="29"/>
      <c r="N210" s="29"/>
      <c r="O210" s="29"/>
      <c r="P210" s="29"/>
      <c r="Q210" s="29"/>
      <c r="R210" s="29"/>
      <c r="S210" s="29"/>
      <c r="T210" s="29"/>
      <c r="U210" s="29"/>
    </row>
    <row r="211" spans="12:21" s="27" customFormat="1">
      <c r="L211" s="29"/>
      <c r="M211" s="29"/>
      <c r="N211" s="29"/>
      <c r="O211" s="29"/>
      <c r="P211" s="29"/>
      <c r="Q211" s="29"/>
      <c r="R211" s="29"/>
      <c r="S211" s="29"/>
      <c r="T211" s="29"/>
      <c r="U211" s="29"/>
    </row>
    <row r="212" spans="12:21" s="27" customFormat="1">
      <c r="L212" s="29"/>
      <c r="M212" s="29"/>
      <c r="N212" s="29"/>
      <c r="O212" s="29"/>
      <c r="P212" s="29"/>
      <c r="Q212" s="29"/>
      <c r="R212" s="29"/>
      <c r="S212" s="29"/>
      <c r="T212" s="29"/>
      <c r="U212" s="29"/>
    </row>
    <row r="213" spans="12:21" s="27" customFormat="1">
      <c r="L213" s="29"/>
      <c r="M213" s="29"/>
      <c r="N213" s="29"/>
      <c r="O213" s="29"/>
      <c r="P213" s="29"/>
      <c r="Q213" s="29"/>
      <c r="R213" s="29"/>
      <c r="S213" s="29"/>
      <c r="T213" s="29"/>
      <c r="U213" s="29"/>
    </row>
    <row r="214" spans="12:21" s="27" customFormat="1">
      <c r="L214" s="29"/>
      <c r="M214" s="29"/>
      <c r="N214" s="29"/>
      <c r="O214" s="29"/>
      <c r="P214" s="29"/>
      <c r="Q214" s="29"/>
      <c r="R214" s="29"/>
      <c r="S214" s="29"/>
      <c r="T214" s="29"/>
      <c r="U214" s="29"/>
    </row>
    <row r="215" spans="12:21" s="27" customFormat="1">
      <c r="L215" s="29"/>
      <c r="M215" s="29"/>
      <c r="N215" s="29"/>
      <c r="O215" s="29"/>
      <c r="P215" s="29"/>
      <c r="Q215" s="29"/>
      <c r="R215" s="29"/>
      <c r="S215" s="29"/>
      <c r="T215" s="29"/>
      <c r="U215" s="29"/>
    </row>
    <row r="216" spans="12:21" s="27" customFormat="1">
      <c r="L216" s="29"/>
      <c r="M216" s="29"/>
      <c r="N216" s="29"/>
      <c r="O216" s="29"/>
      <c r="P216" s="29"/>
      <c r="Q216" s="29"/>
      <c r="R216" s="29"/>
      <c r="S216" s="29"/>
      <c r="T216" s="29"/>
      <c r="U216" s="29"/>
    </row>
    <row r="217" spans="12:21" s="27" customFormat="1">
      <c r="L217" s="29"/>
      <c r="M217" s="29"/>
      <c r="N217" s="29"/>
      <c r="O217" s="29"/>
      <c r="P217" s="29"/>
      <c r="Q217" s="29"/>
      <c r="R217" s="29"/>
      <c r="S217" s="29"/>
      <c r="T217" s="29"/>
      <c r="U217" s="29"/>
    </row>
    <row r="218" spans="12:21" s="27" customFormat="1">
      <c r="L218" s="29"/>
      <c r="M218" s="29"/>
      <c r="N218" s="29"/>
      <c r="O218" s="29"/>
      <c r="P218" s="29"/>
      <c r="Q218" s="29"/>
      <c r="R218" s="29"/>
      <c r="S218" s="29"/>
      <c r="T218" s="29"/>
      <c r="U218" s="29"/>
    </row>
    <row r="219" spans="12:21" s="27" customFormat="1">
      <c r="L219" s="29"/>
      <c r="M219" s="29"/>
      <c r="N219" s="29"/>
      <c r="O219" s="29"/>
      <c r="P219" s="29"/>
      <c r="Q219" s="29"/>
      <c r="R219" s="29"/>
      <c r="S219" s="29"/>
      <c r="T219" s="29"/>
      <c r="U219" s="29"/>
    </row>
    <row r="220" spans="12:21" s="27" customFormat="1">
      <c r="L220" s="29"/>
      <c r="M220" s="29"/>
      <c r="N220" s="29"/>
      <c r="O220" s="29"/>
      <c r="P220" s="29"/>
      <c r="Q220" s="29"/>
      <c r="R220" s="29"/>
      <c r="S220" s="29"/>
      <c r="T220" s="29"/>
      <c r="U220" s="29"/>
    </row>
    <row r="221" spans="12:21" s="27" customFormat="1">
      <c r="L221" s="29"/>
      <c r="M221" s="29"/>
      <c r="N221" s="29"/>
      <c r="O221" s="29"/>
      <c r="P221" s="29"/>
      <c r="Q221" s="29"/>
      <c r="R221" s="29"/>
      <c r="S221" s="29"/>
      <c r="T221" s="29"/>
      <c r="U221" s="29"/>
    </row>
    <row r="222" spans="12:21" s="27" customFormat="1">
      <c r="L222" s="29"/>
      <c r="M222" s="29"/>
      <c r="N222" s="29"/>
      <c r="O222" s="29"/>
      <c r="P222" s="29"/>
      <c r="Q222" s="29"/>
      <c r="R222" s="29"/>
      <c r="S222" s="29"/>
      <c r="T222" s="29"/>
      <c r="U222" s="29"/>
    </row>
    <row r="223" spans="12:21" s="27" customFormat="1">
      <c r="L223" s="29"/>
      <c r="M223" s="29"/>
      <c r="N223" s="29"/>
      <c r="O223" s="29"/>
      <c r="P223" s="29"/>
      <c r="Q223" s="29"/>
      <c r="R223" s="29"/>
      <c r="S223" s="29"/>
      <c r="T223" s="29"/>
      <c r="U223" s="29"/>
    </row>
    <row r="224" spans="12:21" s="27" customFormat="1">
      <c r="L224" s="29"/>
      <c r="M224" s="29"/>
      <c r="N224" s="29"/>
      <c r="O224" s="29"/>
      <c r="P224" s="29"/>
      <c r="Q224" s="29"/>
      <c r="R224" s="29"/>
      <c r="S224" s="29"/>
      <c r="T224" s="29"/>
      <c r="U224" s="29"/>
    </row>
    <row r="225" spans="12:21" s="27" customFormat="1">
      <c r="L225" s="29"/>
      <c r="M225" s="29"/>
      <c r="N225" s="29"/>
      <c r="O225" s="29"/>
      <c r="P225" s="29"/>
      <c r="Q225" s="29"/>
      <c r="R225" s="29"/>
      <c r="S225" s="29"/>
      <c r="T225" s="29"/>
      <c r="U225" s="29"/>
    </row>
    <row r="226" spans="12:21" s="27" customFormat="1">
      <c r="L226" s="29"/>
      <c r="M226" s="29"/>
      <c r="N226" s="29"/>
      <c r="O226" s="29"/>
      <c r="P226" s="29"/>
      <c r="Q226" s="29"/>
      <c r="R226" s="29"/>
      <c r="S226" s="29"/>
      <c r="T226" s="29"/>
      <c r="U226" s="29"/>
    </row>
    <row r="227" spans="12:21" s="27" customFormat="1">
      <c r="L227" s="29"/>
      <c r="M227" s="29"/>
      <c r="N227" s="29"/>
      <c r="O227" s="29"/>
      <c r="P227" s="29"/>
      <c r="Q227" s="29"/>
      <c r="R227" s="29"/>
      <c r="S227" s="29"/>
      <c r="T227" s="29"/>
      <c r="U227" s="29"/>
    </row>
    <row r="228" spans="12:21" s="27" customFormat="1">
      <c r="L228" s="29"/>
      <c r="M228" s="29"/>
      <c r="N228" s="29"/>
      <c r="O228" s="29"/>
      <c r="P228" s="29"/>
      <c r="Q228" s="29"/>
      <c r="R228" s="29"/>
      <c r="S228" s="29"/>
      <c r="T228" s="29"/>
      <c r="U228" s="29"/>
    </row>
    <row r="229" spans="12:21" s="27" customFormat="1">
      <c r="L229" s="29"/>
      <c r="M229" s="29"/>
      <c r="N229" s="29"/>
      <c r="O229" s="29"/>
      <c r="P229" s="29"/>
      <c r="Q229" s="29"/>
      <c r="R229" s="29"/>
      <c r="S229" s="29"/>
      <c r="T229" s="29"/>
      <c r="U229" s="29"/>
    </row>
    <row r="230" spans="12:21" s="27" customFormat="1">
      <c r="L230" s="29"/>
      <c r="M230" s="29"/>
      <c r="N230" s="29"/>
      <c r="O230" s="29"/>
      <c r="P230" s="29"/>
      <c r="Q230" s="29"/>
      <c r="R230" s="29"/>
      <c r="S230" s="29"/>
      <c r="T230" s="29"/>
      <c r="U230" s="29"/>
    </row>
    <row r="231" spans="12:21" s="27" customFormat="1">
      <c r="L231" s="29"/>
      <c r="M231" s="29"/>
      <c r="N231" s="29"/>
      <c r="O231" s="29"/>
      <c r="P231" s="29"/>
      <c r="Q231" s="29"/>
      <c r="R231" s="29"/>
      <c r="S231" s="29"/>
      <c r="T231" s="29"/>
      <c r="U231" s="29"/>
    </row>
    <row r="232" spans="12:21" s="27" customFormat="1">
      <c r="L232" s="29"/>
      <c r="M232" s="29"/>
      <c r="N232" s="29"/>
      <c r="O232" s="29"/>
      <c r="P232" s="29"/>
      <c r="Q232" s="29"/>
      <c r="R232" s="29"/>
      <c r="S232" s="29"/>
      <c r="T232" s="29"/>
      <c r="U232" s="29"/>
    </row>
    <row r="233" spans="12:21" s="27" customFormat="1">
      <c r="L233" s="29"/>
      <c r="M233" s="29"/>
      <c r="N233" s="29"/>
      <c r="O233" s="29"/>
      <c r="P233" s="29"/>
      <c r="Q233" s="29"/>
      <c r="R233" s="29"/>
      <c r="S233" s="29"/>
      <c r="T233" s="29"/>
      <c r="U233" s="29"/>
    </row>
    <row r="234" spans="12:21" s="27" customFormat="1">
      <c r="L234" s="29"/>
      <c r="M234" s="29"/>
      <c r="N234" s="29"/>
      <c r="O234" s="29"/>
      <c r="P234" s="29"/>
      <c r="Q234" s="29"/>
      <c r="R234" s="29"/>
      <c r="S234" s="29"/>
      <c r="T234" s="29"/>
      <c r="U234" s="29"/>
    </row>
    <row r="235" spans="12:21" s="27" customFormat="1">
      <c r="L235" s="29"/>
      <c r="M235" s="29"/>
      <c r="N235" s="29"/>
      <c r="O235" s="29"/>
      <c r="P235" s="29"/>
      <c r="Q235" s="29"/>
      <c r="R235" s="29"/>
      <c r="S235" s="29"/>
      <c r="T235" s="29"/>
      <c r="U235" s="29"/>
    </row>
    <row r="236" spans="12:21" s="27" customFormat="1">
      <c r="L236" s="29"/>
      <c r="M236" s="29"/>
      <c r="N236" s="29"/>
      <c r="O236" s="29"/>
      <c r="P236" s="29"/>
      <c r="Q236" s="29"/>
      <c r="R236" s="29"/>
      <c r="S236" s="29"/>
      <c r="T236" s="29"/>
      <c r="U236" s="29"/>
    </row>
    <row r="237" spans="12:21" s="27" customFormat="1">
      <c r="L237" s="29"/>
      <c r="M237" s="29"/>
      <c r="N237" s="29"/>
      <c r="O237" s="29"/>
      <c r="P237" s="29"/>
      <c r="Q237" s="29"/>
      <c r="R237" s="29"/>
      <c r="S237" s="29"/>
      <c r="T237" s="29"/>
      <c r="U237" s="29"/>
    </row>
    <row r="238" spans="12:21" s="27" customFormat="1">
      <c r="L238" s="29"/>
      <c r="M238" s="29"/>
      <c r="N238" s="29"/>
      <c r="O238" s="29"/>
      <c r="P238" s="29"/>
      <c r="Q238" s="29"/>
      <c r="R238" s="29"/>
      <c r="S238" s="29"/>
      <c r="T238" s="29"/>
      <c r="U238" s="29"/>
    </row>
    <row r="239" spans="12:21" s="27" customFormat="1">
      <c r="L239" s="29"/>
      <c r="M239" s="29"/>
      <c r="N239" s="29"/>
      <c r="O239" s="29"/>
      <c r="P239" s="29"/>
      <c r="Q239" s="29"/>
      <c r="R239" s="29"/>
      <c r="S239" s="29"/>
      <c r="T239" s="29"/>
      <c r="U239" s="29"/>
    </row>
    <row r="240" spans="12:21" s="27" customFormat="1">
      <c r="L240" s="29"/>
      <c r="M240" s="29"/>
      <c r="N240" s="29"/>
      <c r="O240" s="29"/>
      <c r="P240" s="29"/>
      <c r="Q240" s="29"/>
      <c r="R240" s="29"/>
      <c r="S240" s="29"/>
      <c r="T240" s="29"/>
      <c r="U240" s="29"/>
    </row>
    <row r="241" spans="12:21" s="27" customFormat="1">
      <c r="L241" s="29"/>
      <c r="M241" s="29"/>
      <c r="N241" s="29"/>
      <c r="O241" s="29"/>
      <c r="P241" s="29"/>
      <c r="Q241" s="29"/>
      <c r="R241" s="29"/>
      <c r="S241" s="29"/>
      <c r="T241" s="29"/>
      <c r="U241" s="29"/>
    </row>
    <row r="242" spans="12:21" s="27" customFormat="1">
      <c r="L242" s="29"/>
      <c r="M242" s="29"/>
      <c r="N242" s="29"/>
      <c r="O242" s="29"/>
      <c r="P242" s="29"/>
      <c r="Q242" s="29"/>
      <c r="R242" s="29"/>
      <c r="S242" s="29"/>
      <c r="T242" s="29"/>
      <c r="U242" s="29"/>
    </row>
    <row r="243" spans="12:21" s="27" customFormat="1">
      <c r="L243" s="29"/>
      <c r="M243" s="29"/>
      <c r="N243" s="29"/>
      <c r="O243" s="29"/>
      <c r="P243" s="29"/>
      <c r="Q243" s="29"/>
      <c r="R243" s="29"/>
      <c r="S243" s="29"/>
      <c r="T243" s="29"/>
      <c r="U243" s="29"/>
    </row>
    <row r="244" spans="12:21" s="27" customFormat="1">
      <c r="L244" s="29"/>
      <c r="M244" s="29"/>
      <c r="N244" s="29"/>
      <c r="O244" s="29"/>
      <c r="P244" s="29"/>
      <c r="Q244" s="29"/>
      <c r="R244" s="29"/>
      <c r="S244" s="29"/>
      <c r="T244" s="29"/>
      <c r="U244" s="29"/>
    </row>
    <row r="245" spans="12:21" s="27" customFormat="1">
      <c r="L245" s="29"/>
      <c r="M245" s="29"/>
      <c r="N245" s="29"/>
      <c r="O245" s="29"/>
      <c r="P245" s="29"/>
      <c r="Q245" s="29"/>
      <c r="R245" s="29"/>
      <c r="S245" s="29"/>
      <c r="T245" s="29"/>
      <c r="U245" s="29"/>
    </row>
    <row r="246" spans="12:21" s="27" customFormat="1">
      <c r="L246" s="29"/>
      <c r="M246" s="29"/>
      <c r="N246" s="29"/>
      <c r="O246" s="29"/>
      <c r="P246" s="29"/>
      <c r="Q246" s="29"/>
      <c r="R246" s="29"/>
      <c r="S246" s="29"/>
      <c r="T246" s="29"/>
      <c r="U246" s="29"/>
    </row>
    <row r="247" spans="12:21" s="27" customFormat="1">
      <c r="L247" s="29"/>
      <c r="M247" s="29"/>
      <c r="N247" s="29"/>
      <c r="O247" s="29"/>
      <c r="P247" s="29"/>
      <c r="Q247" s="29"/>
      <c r="R247" s="29"/>
      <c r="S247" s="29"/>
      <c r="T247" s="29"/>
      <c r="U247" s="29"/>
    </row>
    <row r="248" spans="12:21" s="27" customFormat="1">
      <c r="L248" s="29"/>
      <c r="M248" s="29"/>
      <c r="N248" s="29"/>
      <c r="O248" s="29"/>
      <c r="P248" s="29"/>
      <c r="Q248" s="29"/>
      <c r="R248" s="29"/>
      <c r="S248" s="29"/>
      <c r="T248" s="29"/>
      <c r="U248" s="29"/>
    </row>
    <row r="249" spans="12:21" s="27" customFormat="1">
      <c r="L249" s="29"/>
      <c r="M249" s="29"/>
      <c r="N249" s="29"/>
      <c r="O249" s="29"/>
      <c r="P249" s="29"/>
      <c r="Q249" s="29"/>
      <c r="R249" s="29"/>
      <c r="S249" s="29"/>
      <c r="T249" s="29"/>
      <c r="U249" s="29"/>
    </row>
    <row r="250" spans="12:21" s="27" customFormat="1">
      <c r="L250" s="29"/>
      <c r="M250" s="29"/>
      <c r="N250" s="29"/>
      <c r="O250" s="29"/>
      <c r="P250" s="29"/>
      <c r="Q250" s="29"/>
      <c r="R250" s="29"/>
      <c r="S250" s="29"/>
      <c r="T250" s="29"/>
      <c r="U250" s="29"/>
    </row>
    <row r="251" spans="12:21" s="27" customFormat="1">
      <c r="L251" s="29"/>
      <c r="M251" s="29"/>
      <c r="N251" s="29"/>
      <c r="O251" s="29"/>
      <c r="P251" s="29"/>
      <c r="Q251" s="29"/>
      <c r="R251" s="29"/>
      <c r="S251" s="29"/>
      <c r="T251" s="29"/>
      <c r="U251" s="29"/>
    </row>
    <row r="252" spans="12:21" s="27" customFormat="1">
      <c r="L252" s="29"/>
      <c r="M252" s="29"/>
      <c r="N252" s="29"/>
      <c r="O252" s="29"/>
      <c r="P252" s="29"/>
      <c r="Q252" s="29"/>
      <c r="R252" s="29"/>
      <c r="S252" s="29"/>
      <c r="T252" s="29"/>
      <c r="U252" s="29"/>
    </row>
    <row r="253" spans="12:21" s="27" customFormat="1">
      <c r="L253" s="29"/>
      <c r="M253" s="29"/>
      <c r="N253" s="29"/>
      <c r="O253" s="29"/>
      <c r="P253" s="29"/>
      <c r="Q253" s="29"/>
      <c r="R253" s="29"/>
      <c r="S253" s="29"/>
      <c r="T253" s="29"/>
      <c r="U253" s="29"/>
    </row>
    <row r="254" spans="12:21" s="27" customFormat="1">
      <c r="L254" s="29"/>
      <c r="M254" s="29"/>
      <c r="N254" s="29"/>
      <c r="O254" s="29"/>
      <c r="P254" s="29"/>
      <c r="Q254" s="29"/>
      <c r="R254" s="29"/>
      <c r="S254" s="29"/>
      <c r="T254" s="29"/>
      <c r="U254" s="29"/>
    </row>
    <row r="255" spans="12:21" s="27" customFormat="1">
      <c r="L255" s="29"/>
      <c r="M255" s="29"/>
      <c r="N255" s="29"/>
      <c r="O255" s="29"/>
      <c r="P255" s="29"/>
      <c r="Q255" s="29"/>
      <c r="R255" s="29"/>
      <c r="S255" s="29"/>
      <c r="T255" s="29"/>
      <c r="U255" s="29"/>
    </row>
    <row r="256" spans="12:21" s="27" customFormat="1">
      <c r="L256" s="29"/>
      <c r="M256" s="29"/>
      <c r="N256" s="29"/>
      <c r="O256" s="29"/>
      <c r="P256" s="29"/>
      <c r="Q256" s="29"/>
      <c r="R256" s="29"/>
      <c r="S256" s="29"/>
      <c r="T256" s="29"/>
      <c r="U256" s="29"/>
    </row>
    <row r="257" spans="12:21" s="27" customFormat="1">
      <c r="L257" s="29"/>
      <c r="M257" s="29"/>
      <c r="N257" s="29"/>
      <c r="O257" s="29"/>
      <c r="P257" s="29"/>
      <c r="Q257" s="29"/>
      <c r="R257" s="29"/>
      <c r="S257" s="29"/>
      <c r="T257" s="29"/>
      <c r="U257" s="29"/>
    </row>
    <row r="258" spans="12:21" s="27" customFormat="1">
      <c r="L258" s="29"/>
      <c r="M258" s="29"/>
      <c r="N258" s="29"/>
      <c r="O258" s="29"/>
      <c r="P258" s="29"/>
      <c r="Q258" s="29"/>
      <c r="R258" s="29"/>
      <c r="S258" s="29"/>
      <c r="T258" s="29"/>
      <c r="U258" s="29"/>
    </row>
    <row r="259" spans="12:21" s="27" customFormat="1">
      <c r="L259" s="29"/>
      <c r="M259" s="29"/>
      <c r="N259" s="29"/>
      <c r="O259" s="29"/>
      <c r="P259" s="29"/>
      <c r="Q259" s="29"/>
      <c r="R259" s="29"/>
      <c r="S259" s="29"/>
      <c r="T259" s="29"/>
      <c r="U259" s="29"/>
    </row>
    <row r="260" spans="12:21" s="27" customFormat="1">
      <c r="L260" s="29"/>
      <c r="M260" s="29"/>
      <c r="N260" s="29"/>
      <c r="O260" s="29"/>
      <c r="P260" s="29"/>
      <c r="Q260" s="29"/>
      <c r="R260" s="29"/>
      <c r="S260" s="29"/>
      <c r="T260" s="29"/>
      <c r="U260" s="29"/>
    </row>
    <row r="261" spans="12:21" s="27" customFormat="1">
      <c r="L261" s="29"/>
      <c r="M261" s="29"/>
      <c r="N261" s="29"/>
      <c r="O261" s="29"/>
      <c r="P261" s="29"/>
      <c r="Q261" s="29"/>
      <c r="R261" s="29"/>
      <c r="S261" s="29"/>
      <c r="T261" s="29"/>
      <c r="U261" s="29"/>
    </row>
    <row r="262" spans="12:21" s="27" customFormat="1">
      <c r="L262" s="29"/>
      <c r="M262" s="29"/>
      <c r="N262" s="29"/>
      <c r="O262" s="29"/>
      <c r="P262" s="29"/>
      <c r="Q262" s="29"/>
      <c r="R262" s="29"/>
      <c r="S262" s="29"/>
      <c r="T262" s="29"/>
      <c r="U262" s="29"/>
    </row>
    <row r="263" spans="12:21" s="27" customFormat="1">
      <c r="L263" s="29"/>
      <c r="M263" s="29"/>
      <c r="N263" s="29"/>
      <c r="O263" s="29"/>
      <c r="P263" s="29"/>
      <c r="Q263" s="29"/>
      <c r="R263" s="29"/>
      <c r="S263" s="29"/>
      <c r="T263" s="29"/>
      <c r="U263" s="29"/>
    </row>
    <row r="264" spans="12:21" s="27" customFormat="1">
      <c r="L264" s="29"/>
      <c r="M264" s="29"/>
      <c r="N264" s="29"/>
      <c r="O264" s="29"/>
      <c r="P264" s="29"/>
      <c r="Q264" s="29"/>
      <c r="R264" s="29"/>
      <c r="S264" s="29"/>
      <c r="T264" s="29"/>
      <c r="U264" s="29"/>
    </row>
    <row r="265" spans="12:21" s="27" customFormat="1">
      <c r="L265" s="29"/>
      <c r="M265" s="29"/>
      <c r="N265" s="29"/>
      <c r="O265" s="29"/>
      <c r="P265" s="29"/>
      <c r="Q265" s="29"/>
      <c r="R265" s="29"/>
      <c r="S265" s="29"/>
      <c r="T265" s="29"/>
      <c r="U265" s="29"/>
    </row>
    <row r="266" spans="12:21" s="27" customFormat="1">
      <c r="L266" s="29"/>
      <c r="M266" s="29"/>
      <c r="N266" s="29"/>
      <c r="O266" s="29"/>
      <c r="P266" s="29"/>
      <c r="Q266" s="29"/>
      <c r="R266" s="29"/>
      <c r="S266" s="29"/>
      <c r="T266" s="29"/>
      <c r="U266" s="29"/>
    </row>
    <row r="267" spans="12:21" s="27" customFormat="1">
      <c r="L267" s="29"/>
      <c r="M267" s="29"/>
      <c r="N267" s="29"/>
      <c r="O267" s="29"/>
      <c r="P267" s="29"/>
      <c r="Q267" s="29"/>
      <c r="R267" s="29"/>
      <c r="S267" s="29"/>
      <c r="T267" s="29"/>
      <c r="U267" s="29"/>
    </row>
    <row r="268" spans="12:21" s="27" customFormat="1">
      <c r="L268" s="29"/>
      <c r="M268" s="29"/>
      <c r="N268" s="29"/>
      <c r="O268" s="29"/>
      <c r="P268" s="29"/>
      <c r="Q268" s="29"/>
      <c r="R268" s="29"/>
      <c r="S268" s="29"/>
      <c r="T268" s="29"/>
      <c r="U268" s="29"/>
    </row>
    <row r="269" spans="12:21" s="27" customFormat="1">
      <c r="L269" s="29"/>
      <c r="M269" s="29"/>
      <c r="N269" s="29"/>
      <c r="O269" s="29"/>
      <c r="P269" s="29"/>
      <c r="Q269" s="29"/>
      <c r="R269" s="29"/>
      <c r="S269" s="29"/>
      <c r="T269" s="29"/>
      <c r="U269" s="29"/>
    </row>
    <row r="270" spans="12:21" s="27" customFormat="1">
      <c r="L270" s="29"/>
      <c r="M270" s="29"/>
      <c r="N270" s="29"/>
      <c r="O270" s="29"/>
      <c r="P270" s="29"/>
      <c r="Q270" s="29"/>
      <c r="R270" s="29"/>
      <c r="S270" s="29"/>
      <c r="T270" s="29"/>
      <c r="U270" s="29"/>
    </row>
    <row r="271" spans="12:21" s="27" customFormat="1">
      <c r="L271" s="29"/>
      <c r="M271" s="29"/>
      <c r="N271" s="29"/>
      <c r="O271" s="29"/>
      <c r="P271" s="29"/>
      <c r="Q271" s="29"/>
      <c r="R271" s="29"/>
      <c r="S271" s="29"/>
      <c r="T271" s="29"/>
      <c r="U271" s="29"/>
    </row>
    <row r="272" spans="12:21" s="27" customFormat="1">
      <c r="L272" s="29"/>
      <c r="M272" s="29"/>
      <c r="N272" s="29"/>
      <c r="O272" s="29"/>
      <c r="P272" s="29"/>
      <c r="Q272" s="29"/>
      <c r="R272" s="29"/>
      <c r="S272" s="29"/>
      <c r="T272" s="29"/>
      <c r="U272" s="29"/>
    </row>
    <row r="273" spans="12:21" s="27" customFormat="1">
      <c r="L273" s="29"/>
      <c r="M273" s="29"/>
      <c r="N273" s="29"/>
      <c r="O273" s="29"/>
      <c r="P273" s="29"/>
      <c r="Q273" s="29"/>
      <c r="R273" s="29"/>
      <c r="S273" s="29"/>
      <c r="T273" s="29"/>
      <c r="U273" s="29"/>
    </row>
    <row r="274" spans="12:21" s="27" customFormat="1">
      <c r="L274" s="29"/>
      <c r="M274" s="29"/>
      <c r="N274" s="29"/>
      <c r="O274" s="29"/>
      <c r="P274" s="29"/>
      <c r="Q274" s="29"/>
      <c r="R274" s="29"/>
      <c r="S274" s="29"/>
      <c r="T274" s="29"/>
      <c r="U274" s="29"/>
    </row>
    <row r="275" spans="12:21" s="27" customFormat="1">
      <c r="L275" s="29"/>
      <c r="M275" s="29"/>
      <c r="N275" s="29"/>
      <c r="O275" s="29"/>
      <c r="P275" s="29"/>
      <c r="Q275" s="29"/>
      <c r="R275" s="29"/>
      <c r="S275" s="29"/>
      <c r="T275" s="29"/>
      <c r="U275" s="29"/>
    </row>
    <row r="276" spans="12:21" s="27" customFormat="1">
      <c r="L276" s="29"/>
      <c r="M276" s="29"/>
      <c r="N276" s="29"/>
      <c r="O276" s="29"/>
      <c r="P276" s="29"/>
      <c r="Q276" s="29"/>
      <c r="R276" s="29"/>
      <c r="S276" s="29"/>
      <c r="T276" s="29"/>
      <c r="U276" s="29"/>
    </row>
    <row r="277" spans="12:21" s="27" customFormat="1">
      <c r="L277" s="29"/>
      <c r="M277" s="29"/>
      <c r="N277" s="29"/>
      <c r="O277" s="29"/>
      <c r="P277" s="29"/>
      <c r="Q277" s="29"/>
      <c r="R277" s="29"/>
      <c r="S277" s="29"/>
      <c r="T277" s="29"/>
      <c r="U277" s="29"/>
    </row>
  </sheetData>
  <mergeCells count="7">
    <mergeCell ref="A1:Y1"/>
    <mergeCell ref="A22:B22"/>
    <mergeCell ref="A23:B23"/>
    <mergeCell ref="A19:B19"/>
    <mergeCell ref="A2:Z2"/>
    <mergeCell ref="A20:B20"/>
    <mergeCell ref="A21:B21"/>
  </mergeCell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7" tint="-0.249977111117893"/>
  </sheetPr>
  <dimension ref="A1:BJ212"/>
  <sheetViews>
    <sheetView workbookViewId="0">
      <selection sqref="A1:Y1"/>
    </sheetView>
  </sheetViews>
  <sheetFormatPr baseColWidth="10" defaultRowHeight="15"/>
  <cols>
    <col min="1" max="1" width="9.140625" customWidth="1"/>
    <col min="2" max="2" width="17.7109375" customWidth="1"/>
    <col min="3" max="4" width="11.85546875" customWidth="1"/>
    <col min="5" max="5" width="24.28515625" customWidth="1"/>
    <col min="6" max="6" width="26.7109375" customWidth="1"/>
    <col min="7" max="7" width="18.7109375" customWidth="1"/>
    <col min="8" max="8" width="25.42578125" style="4" customWidth="1"/>
    <col min="9" max="9" width="23.7109375" style="4" customWidth="1"/>
    <col min="10" max="10" width="12.42578125" style="4" customWidth="1"/>
    <col min="11" max="11" width="21.7109375" style="4" customWidth="1"/>
    <col min="12" max="12" width="24.140625" style="4" customWidth="1"/>
    <col min="13" max="13" width="16.28515625" style="4" customWidth="1"/>
    <col min="14" max="14" width="26.140625" style="4" customWidth="1"/>
    <col min="15" max="15" width="22.42578125" style="4" customWidth="1"/>
    <col min="16" max="16" width="15.42578125" style="4" customWidth="1"/>
    <col min="17" max="17" width="11.7109375" customWidth="1"/>
    <col min="18" max="18" width="29.28515625" customWidth="1"/>
    <col min="19" max="19" width="32.42578125" customWidth="1"/>
    <col min="20" max="20" width="30.7109375" customWidth="1"/>
    <col min="21" max="21" width="32.28515625" customWidth="1"/>
    <col min="22" max="22" width="29.7109375" customWidth="1"/>
    <col min="23" max="23" width="33.7109375" customWidth="1"/>
    <col min="24" max="24" width="16.85546875" customWidth="1"/>
    <col min="25" max="25" width="15.140625" customWidth="1"/>
    <col min="26" max="60" width="10.85546875" style="27"/>
  </cols>
  <sheetData>
    <row r="1" spans="1:62" s="27" customFormat="1" ht="120" customHeight="1" thickBot="1">
      <c r="A1" s="1236" t="s">
        <v>145</v>
      </c>
      <c r="B1" s="1236"/>
      <c r="C1" s="1236"/>
      <c r="D1" s="1236"/>
      <c r="E1" s="1236"/>
      <c r="F1" s="1236"/>
      <c r="G1" s="1236"/>
      <c r="H1" s="1236"/>
      <c r="I1" s="1236"/>
      <c r="J1" s="1236"/>
      <c r="K1" s="1236"/>
      <c r="L1" s="1236"/>
      <c r="M1" s="1236"/>
      <c r="N1" s="1236"/>
      <c r="O1" s="1236"/>
      <c r="P1" s="1236"/>
      <c r="Q1" s="1236"/>
      <c r="R1" s="1236"/>
      <c r="S1" s="1236"/>
      <c r="T1" s="1236"/>
      <c r="U1" s="1236"/>
      <c r="V1" s="1236"/>
      <c r="W1" s="1236"/>
      <c r="X1" s="1236"/>
      <c r="Y1" s="1236"/>
    </row>
    <row r="2" spans="1:62" s="86" customFormat="1" ht="67.5" customHeight="1" thickBot="1">
      <c r="A2" s="1261" t="s">
        <v>140</v>
      </c>
      <c r="B2" s="1262"/>
      <c r="C2" s="1262"/>
      <c r="D2" s="1262"/>
      <c r="E2" s="1262"/>
      <c r="F2" s="1262"/>
      <c r="G2" s="1262"/>
      <c r="H2" s="1262"/>
      <c r="I2" s="1262"/>
      <c r="J2" s="1262"/>
      <c r="K2" s="1262"/>
      <c r="L2" s="1262"/>
      <c r="M2" s="1262"/>
      <c r="N2" s="1262"/>
      <c r="O2" s="1262"/>
      <c r="P2" s="1262"/>
      <c r="Q2" s="1262"/>
      <c r="R2" s="1262"/>
      <c r="S2" s="1262"/>
      <c r="T2" s="1262"/>
      <c r="U2" s="1262"/>
      <c r="V2" s="1262"/>
      <c r="W2" s="1262"/>
      <c r="X2" s="1262"/>
      <c r="Y2" s="1262"/>
    </row>
    <row r="3" spans="1:62" s="5" customFormat="1" ht="53.1" customHeight="1" thickBot="1">
      <c r="A3" s="119" t="s">
        <v>106</v>
      </c>
      <c r="B3" s="120" t="s">
        <v>14</v>
      </c>
      <c r="C3" s="120" t="s">
        <v>17</v>
      </c>
      <c r="D3" s="120" t="s">
        <v>49</v>
      </c>
      <c r="E3" s="120" t="s">
        <v>111</v>
      </c>
      <c r="F3" s="120" t="s">
        <v>128</v>
      </c>
      <c r="G3" s="121" t="s">
        <v>109</v>
      </c>
      <c r="H3" s="120" t="s">
        <v>131</v>
      </c>
      <c r="I3" s="120" t="s">
        <v>132</v>
      </c>
      <c r="J3" s="120" t="s">
        <v>52</v>
      </c>
      <c r="K3" s="120" t="s">
        <v>107</v>
      </c>
      <c r="L3" s="120" t="s">
        <v>108</v>
      </c>
      <c r="M3" s="120" t="s">
        <v>130</v>
      </c>
      <c r="N3" s="120" t="s">
        <v>116</v>
      </c>
      <c r="O3" s="120" t="s">
        <v>113</v>
      </c>
      <c r="P3" s="120" t="s">
        <v>133</v>
      </c>
      <c r="Q3" s="121" t="s">
        <v>112</v>
      </c>
      <c r="R3" s="120" t="s">
        <v>114</v>
      </c>
      <c r="S3" s="120" t="s">
        <v>115</v>
      </c>
      <c r="T3" s="120" t="s">
        <v>136</v>
      </c>
      <c r="U3" s="120" t="s">
        <v>126</v>
      </c>
      <c r="V3" s="120" t="s">
        <v>184</v>
      </c>
      <c r="W3" s="120" t="s">
        <v>143</v>
      </c>
      <c r="X3" s="120" t="s">
        <v>124</v>
      </c>
      <c r="Y3" s="120" t="s">
        <v>125</v>
      </c>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row>
    <row r="4" spans="1:62" s="5" customFormat="1" ht="30" customHeight="1">
      <c r="A4" s="118" t="s">
        <v>7</v>
      </c>
      <c r="B4" s="118" t="s">
        <v>47</v>
      </c>
      <c r="C4" s="190">
        <f>C14</f>
        <v>4.4699999999999997E-2</v>
      </c>
      <c r="D4" s="190">
        <f>C4*1000</f>
        <v>44.699999999999996</v>
      </c>
      <c r="E4" s="190">
        <f>E7/C7</f>
        <v>107977.31999999999</v>
      </c>
      <c r="F4" s="191">
        <f>F7/C7</f>
        <v>29126.52</v>
      </c>
      <c r="G4" s="190">
        <f>E4-F4</f>
        <v>78850.799999999988</v>
      </c>
      <c r="H4" s="190">
        <f>E4/3600/1000</f>
        <v>2.9993699999999998E-2</v>
      </c>
      <c r="I4" s="190">
        <f>F4/3600/1000</f>
        <v>8.0906999999999993E-3</v>
      </c>
      <c r="J4" s="190">
        <f>H4-I4</f>
        <v>2.1902999999999999E-2</v>
      </c>
      <c r="K4" s="190">
        <f>E4/3600</f>
        <v>29.993699999999997</v>
      </c>
      <c r="L4" s="190">
        <f>F4/3600</f>
        <v>8.0907</v>
      </c>
      <c r="M4" s="190">
        <f>K4-L4</f>
        <v>21.902999999999999</v>
      </c>
      <c r="N4" s="190">
        <f>H4*$C$15</f>
        <v>1.3737114599999999E-2</v>
      </c>
      <c r="O4" s="190">
        <f>I4*$C$15</f>
        <v>3.7055406E-3</v>
      </c>
      <c r="P4" s="190">
        <f>N4-O4</f>
        <v>1.0031574E-2</v>
      </c>
      <c r="Q4" s="191">
        <f>P4*100/N4</f>
        <v>73.025335320417284</v>
      </c>
      <c r="R4" s="190">
        <f>N4/0.1235</f>
        <v>0.11123169716599189</v>
      </c>
      <c r="S4" s="190">
        <f>O4/0.1235</f>
        <v>3.0004377327935223E-2</v>
      </c>
      <c r="T4" s="190">
        <f>N4/0.039</f>
        <v>0.35223370769230766</v>
      </c>
      <c r="U4" s="190">
        <f>O4/0.039</f>
        <v>9.5013861538461544E-2</v>
      </c>
      <c r="V4" s="191">
        <f>V10/C10</f>
        <v>0.1561371</v>
      </c>
      <c r="W4" s="191">
        <f>W10/C10</f>
        <v>9.71331E-2</v>
      </c>
      <c r="X4" s="191">
        <f>V4-W4</f>
        <v>5.9004000000000001E-2</v>
      </c>
      <c r="Y4" s="190">
        <f>X4*(100/V4)</f>
        <v>37.789865445176069</v>
      </c>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row>
    <row r="5" spans="1:62" s="27" customFormat="1">
      <c r="C5" s="144"/>
      <c r="D5" s="144"/>
      <c r="E5" s="144"/>
      <c r="F5" s="144"/>
      <c r="G5" s="144"/>
      <c r="H5" s="144"/>
      <c r="I5" s="144"/>
      <c r="J5" s="144"/>
      <c r="K5" s="144"/>
      <c r="L5" s="144"/>
      <c r="M5" s="144"/>
      <c r="N5" s="144"/>
      <c r="O5" s="144"/>
      <c r="P5" s="144"/>
      <c r="Q5" s="144"/>
      <c r="R5" s="144"/>
      <c r="S5" s="144"/>
      <c r="T5" s="144"/>
      <c r="U5" s="144"/>
      <c r="V5" s="144"/>
      <c r="W5" s="144"/>
      <c r="X5" s="144"/>
      <c r="Y5" s="144"/>
    </row>
    <row r="6" spans="1:62" s="27" customFormat="1">
      <c r="A6" s="116"/>
      <c r="B6" s="116"/>
      <c r="C6" s="192" t="s">
        <v>66</v>
      </c>
      <c r="D6" s="193"/>
      <c r="E6" s="194"/>
      <c r="F6" s="194"/>
      <c r="G6" s="194"/>
      <c r="H6" s="194"/>
      <c r="I6" s="194"/>
      <c r="J6" s="194"/>
      <c r="K6" s="194"/>
      <c r="L6" s="194"/>
      <c r="M6" s="194"/>
      <c r="N6" s="194"/>
      <c r="O6" s="194"/>
      <c r="P6" s="194"/>
      <c r="Q6" s="194"/>
      <c r="R6" s="194"/>
      <c r="S6" s="194"/>
      <c r="T6" s="194"/>
      <c r="U6" s="194"/>
      <c r="V6" s="194"/>
      <c r="W6" s="194"/>
      <c r="X6" s="194"/>
      <c r="Y6" s="194"/>
    </row>
    <row r="7" spans="1:62">
      <c r="A7" s="115" t="s">
        <v>15</v>
      </c>
      <c r="B7" s="115" t="s">
        <v>47</v>
      </c>
      <c r="C7" s="195">
        <f>1/C4</f>
        <v>22.371364653243848</v>
      </c>
      <c r="D7" s="195">
        <f>C7*C4</f>
        <v>0.99999999999999989</v>
      </c>
      <c r="E7" s="196">
        <f>E10/1000</f>
        <v>2415600</v>
      </c>
      <c r="F7" s="195">
        <f>F10/1000</f>
        <v>651600</v>
      </c>
      <c r="G7" s="196">
        <f>G4*C7</f>
        <v>1763999.9999999998</v>
      </c>
      <c r="H7" s="196">
        <f>E7/3600/1000</f>
        <v>0.67100000000000004</v>
      </c>
      <c r="I7" s="196">
        <f>F7/3600/1000</f>
        <v>0.18099999999999999</v>
      </c>
      <c r="J7" s="196">
        <f>H7-I7</f>
        <v>0.49000000000000005</v>
      </c>
      <c r="K7" s="196">
        <f>E7/3600</f>
        <v>671</v>
      </c>
      <c r="L7" s="196">
        <f>F7/3600</f>
        <v>181</v>
      </c>
      <c r="M7" s="196">
        <f>K7-L7</f>
        <v>490</v>
      </c>
      <c r="N7" s="196">
        <f>H7*$C$15</f>
        <v>0.30731800000000004</v>
      </c>
      <c r="O7" s="196">
        <f>I7*$C$15</f>
        <v>8.2897999999999999E-2</v>
      </c>
      <c r="P7" s="196">
        <f>N7-O7</f>
        <v>0.22442000000000004</v>
      </c>
      <c r="Q7" s="195">
        <f>P7*100/N7</f>
        <v>73.025335320417298</v>
      </c>
      <c r="R7" s="196">
        <f>N7/0.1235</f>
        <v>2.4884048582995955</v>
      </c>
      <c r="S7" s="196">
        <f>O7/0.1235</f>
        <v>0.67123886639676111</v>
      </c>
      <c r="T7" s="196">
        <f>N7/0.039</f>
        <v>7.8799487179487189</v>
      </c>
      <c r="U7" s="196">
        <f>O7/0.039</f>
        <v>2.1255897435897437</v>
      </c>
      <c r="V7" s="196">
        <f>V10/1000</f>
        <v>3.4929999999999999</v>
      </c>
      <c r="W7" s="196">
        <f>W10/1000</f>
        <v>2.173</v>
      </c>
      <c r="X7" s="196">
        <f>V7-W7</f>
        <v>1.3199999999999998</v>
      </c>
      <c r="Y7" s="196">
        <f>X7*(100/V7)</f>
        <v>37.789865445176062</v>
      </c>
    </row>
    <row r="8" spans="1:62" s="27" customFormat="1">
      <c r="C8" s="145"/>
      <c r="D8" s="144"/>
      <c r="E8" s="144"/>
      <c r="F8" s="144"/>
      <c r="G8" s="144"/>
      <c r="H8" s="144"/>
      <c r="I8" s="144"/>
      <c r="J8" s="144"/>
      <c r="K8" s="144"/>
      <c r="L8" s="144"/>
      <c r="M8" s="144"/>
      <c r="N8" s="144"/>
      <c r="O8" s="144"/>
      <c r="P8" s="144"/>
      <c r="Q8" s="144"/>
      <c r="R8" s="144"/>
      <c r="S8" s="144"/>
      <c r="T8" s="144"/>
      <c r="U8" s="144"/>
      <c r="V8" s="144"/>
      <c r="W8" s="144"/>
      <c r="X8" s="144"/>
      <c r="Y8" s="144"/>
    </row>
    <row r="9" spans="1:62" s="27" customFormat="1">
      <c r="A9" s="117"/>
      <c r="B9" s="117"/>
      <c r="C9" s="197"/>
      <c r="D9" s="194"/>
      <c r="E9" s="194"/>
      <c r="F9" s="194"/>
      <c r="G9" s="194"/>
      <c r="H9" s="194"/>
      <c r="I9" s="194"/>
      <c r="J9" s="194"/>
      <c r="K9" s="194"/>
      <c r="L9" s="194"/>
      <c r="M9" s="194"/>
      <c r="N9" s="194"/>
      <c r="O9" s="194"/>
      <c r="P9" s="194"/>
      <c r="Q9" s="194"/>
      <c r="R9" s="194"/>
      <c r="S9" s="194"/>
      <c r="T9" s="194"/>
      <c r="U9" s="194"/>
      <c r="V9" s="194"/>
      <c r="W9" s="194"/>
      <c r="X9" s="194"/>
      <c r="Y9" s="194"/>
    </row>
    <row r="10" spans="1:62">
      <c r="A10" s="115" t="s">
        <v>28</v>
      </c>
      <c r="B10" s="115" t="s">
        <v>47</v>
      </c>
      <c r="C10" s="195">
        <f>C7*1000</f>
        <v>22371.364653243847</v>
      </c>
      <c r="D10" s="195">
        <f>C10*C4</f>
        <v>999.99999999999989</v>
      </c>
      <c r="E10" s="195">
        <v>2415600000</v>
      </c>
      <c r="F10" s="195">
        <v>651600000</v>
      </c>
      <c r="G10" s="196">
        <f>G7*1000</f>
        <v>1763999999.9999998</v>
      </c>
      <c r="H10" s="196">
        <f>E10/3600/1000</f>
        <v>671</v>
      </c>
      <c r="I10" s="196">
        <f>F10/3600/1000</f>
        <v>181</v>
      </c>
      <c r="J10" s="196">
        <f>H10-I10</f>
        <v>490</v>
      </c>
      <c r="K10" s="196">
        <f>E10/3600</f>
        <v>671000</v>
      </c>
      <c r="L10" s="196">
        <f>F10/3600</f>
        <v>181000</v>
      </c>
      <c r="M10" s="196">
        <f>K10-L10</f>
        <v>490000</v>
      </c>
      <c r="N10" s="196">
        <f>H10*$C$15</f>
        <v>307.31800000000004</v>
      </c>
      <c r="O10" s="196">
        <f>I10*$C$15</f>
        <v>82.89800000000001</v>
      </c>
      <c r="P10" s="196">
        <f>N10-O10</f>
        <v>224.42000000000002</v>
      </c>
      <c r="Q10" s="195">
        <f>P10*100/N10</f>
        <v>73.025335320417284</v>
      </c>
      <c r="R10" s="196">
        <f>N10/0.1235</f>
        <v>2488.4048582995956</v>
      </c>
      <c r="S10" s="196">
        <f>O10/0.1235</f>
        <v>671.23886639676118</v>
      </c>
      <c r="T10" s="196">
        <f>N10/0.039</f>
        <v>7879.9487179487187</v>
      </c>
      <c r="U10" s="196">
        <f>O10/0.039</f>
        <v>2125.5897435897436</v>
      </c>
      <c r="V10" s="196">
        <v>3493</v>
      </c>
      <c r="W10" s="196">
        <v>2173</v>
      </c>
      <c r="X10" s="196">
        <f>V10-W10</f>
        <v>1320</v>
      </c>
      <c r="Y10" s="196">
        <f>X10*(100/V10)</f>
        <v>37.789865445176062</v>
      </c>
    </row>
    <row r="11" spans="1:62">
      <c r="A11" s="115" t="s">
        <v>28</v>
      </c>
      <c r="B11" s="688" t="s">
        <v>729</v>
      </c>
      <c r="C11" s="669">
        <v>1000</v>
      </c>
      <c r="D11" s="669"/>
      <c r="E11" s="669">
        <v>15300000000</v>
      </c>
      <c r="F11" s="669"/>
      <c r="G11" s="665"/>
      <c r="H11" s="665"/>
      <c r="I11" s="665"/>
      <c r="J11" s="665"/>
      <c r="K11" s="665"/>
      <c r="L11" s="665"/>
      <c r="M11" s="665"/>
      <c r="N11" s="665">
        <v>1044</v>
      </c>
      <c r="O11" s="665"/>
      <c r="P11" s="665"/>
      <c r="Q11" s="669"/>
      <c r="R11" s="665"/>
      <c r="S11" s="665"/>
      <c r="T11" s="665"/>
      <c r="U11" s="665"/>
      <c r="V11" s="665"/>
      <c r="W11" s="665"/>
      <c r="X11" s="665"/>
      <c r="Y11" s="665"/>
    </row>
    <row r="12" spans="1:62" s="27" customFormat="1">
      <c r="E12" s="49"/>
      <c r="G12" s="230"/>
    </row>
    <row r="13" spans="1:62">
      <c r="A13" s="1259" t="s">
        <v>5</v>
      </c>
      <c r="B13" s="1260"/>
      <c r="C13" s="33" t="s">
        <v>6</v>
      </c>
      <c r="D13" s="33" t="s">
        <v>7</v>
      </c>
      <c r="E13" s="33" t="s">
        <v>6</v>
      </c>
      <c r="F13" s="33" t="s">
        <v>7</v>
      </c>
      <c r="G13" s="27"/>
      <c r="H13" s="29"/>
      <c r="I13" s="29"/>
      <c r="J13" s="29"/>
      <c r="K13" s="29"/>
      <c r="L13" s="29"/>
      <c r="M13" s="29"/>
      <c r="N13" s="29"/>
      <c r="O13" s="29"/>
      <c r="P13" s="29"/>
      <c r="Q13" s="27"/>
      <c r="R13" s="27"/>
      <c r="S13" s="27"/>
      <c r="T13" s="27"/>
      <c r="U13" s="27"/>
      <c r="V13" s="27"/>
      <c r="W13" s="27"/>
      <c r="X13" s="27"/>
      <c r="Y13" s="27"/>
    </row>
    <row r="14" spans="1:62">
      <c r="A14" s="1263" t="s">
        <v>42</v>
      </c>
      <c r="B14" s="1264"/>
      <c r="C14" s="34">
        <v>4.4699999999999997E-2</v>
      </c>
      <c r="D14" s="35" t="s">
        <v>15</v>
      </c>
      <c r="E14" s="36"/>
      <c r="F14" s="35"/>
      <c r="G14" s="27"/>
      <c r="H14" s="29"/>
      <c r="I14" s="29"/>
      <c r="J14" s="29"/>
      <c r="K14" s="29"/>
      <c r="L14" s="29"/>
      <c r="M14" s="29"/>
      <c r="N14" s="29"/>
      <c r="O14" s="29"/>
      <c r="P14" s="29"/>
      <c r="Q14" s="27"/>
      <c r="R14" s="27"/>
      <c r="S14" s="27"/>
      <c r="T14" s="27"/>
      <c r="U14" s="27"/>
      <c r="V14" s="27"/>
      <c r="W14" s="27"/>
      <c r="X14" s="27"/>
      <c r="Y14" s="27"/>
    </row>
    <row r="15" spans="1:62">
      <c r="A15" s="1259" t="s">
        <v>37</v>
      </c>
      <c r="B15" s="1260"/>
      <c r="C15" s="34">
        <v>0.45800000000000002</v>
      </c>
      <c r="D15" s="35" t="s">
        <v>51</v>
      </c>
      <c r="E15" s="34"/>
      <c r="F15" s="35"/>
      <c r="G15" s="27"/>
      <c r="H15" s="29"/>
      <c r="I15" s="29"/>
      <c r="J15" s="29"/>
      <c r="K15" s="29"/>
      <c r="L15" s="29"/>
      <c r="M15" s="29"/>
      <c r="N15" s="29"/>
      <c r="O15" s="29"/>
      <c r="P15" s="29"/>
      <c r="Q15" s="27"/>
      <c r="R15" s="27"/>
      <c r="S15" s="27"/>
      <c r="T15" s="27"/>
      <c r="U15" s="27"/>
      <c r="V15" s="27"/>
      <c r="W15" s="27"/>
      <c r="X15" s="27"/>
      <c r="Y15" s="27"/>
    </row>
    <row r="16" spans="1:62" s="27" customFormat="1">
      <c r="G16" s="49"/>
      <c r="H16" s="29"/>
      <c r="I16" s="29"/>
      <c r="J16" s="29"/>
      <c r="K16" s="29"/>
      <c r="L16" s="29"/>
      <c r="M16" s="29"/>
      <c r="N16" s="29"/>
      <c r="O16" s="29"/>
      <c r="P16" s="29"/>
    </row>
    <row r="17" spans="1:16" s="27" customFormat="1">
      <c r="B17" s="122"/>
      <c r="G17" s="49"/>
      <c r="H17" s="29"/>
      <c r="I17" s="29"/>
      <c r="J17" s="29"/>
      <c r="K17" s="29"/>
      <c r="L17" s="29"/>
      <c r="M17" s="29"/>
      <c r="N17" s="29"/>
      <c r="O17" s="29"/>
      <c r="P17" s="29"/>
    </row>
    <row r="18" spans="1:16" s="27" customFormat="1">
      <c r="A18" s="85"/>
      <c r="G18" s="49"/>
      <c r="H18" s="29"/>
      <c r="I18" s="29"/>
      <c r="J18" s="29"/>
      <c r="K18" s="29"/>
      <c r="L18" s="29"/>
      <c r="M18" s="29"/>
      <c r="N18" s="29"/>
      <c r="O18" s="29"/>
      <c r="P18" s="29"/>
    </row>
    <row r="19" spans="1:16" s="27" customFormat="1">
      <c r="G19" s="49"/>
      <c r="H19" s="29"/>
      <c r="I19" s="29"/>
      <c r="J19" s="29"/>
      <c r="K19" s="29"/>
      <c r="L19" s="29"/>
      <c r="M19" s="29"/>
      <c r="N19" s="29"/>
      <c r="O19" s="29"/>
      <c r="P19" s="29"/>
    </row>
    <row r="20" spans="1:16" s="27" customFormat="1">
      <c r="G20" s="49"/>
      <c r="H20" s="29"/>
      <c r="I20" s="29"/>
      <c r="J20" s="29"/>
      <c r="K20" s="29"/>
      <c r="L20" s="29"/>
      <c r="M20" s="29"/>
      <c r="N20" s="29"/>
      <c r="O20" s="29"/>
      <c r="P20" s="29"/>
    </row>
    <row r="21" spans="1:16" s="27" customFormat="1">
      <c r="G21" s="49"/>
      <c r="H21" s="29"/>
      <c r="I21" s="29"/>
      <c r="J21" s="29"/>
      <c r="K21" s="29"/>
      <c r="L21" s="29"/>
      <c r="M21" s="29"/>
      <c r="N21" s="29"/>
      <c r="O21" s="29"/>
      <c r="P21" s="29"/>
    </row>
    <row r="22" spans="1:16" s="27" customFormat="1">
      <c r="G22" s="49"/>
      <c r="H22" s="29"/>
      <c r="I22" s="29"/>
      <c r="J22" s="29"/>
      <c r="K22" s="29"/>
      <c r="L22" s="29"/>
      <c r="M22" s="29"/>
      <c r="N22" s="29"/>
      <c r="O22" s="29"/>
      <c r="P22" s="29"/>
    </row>
    <row r="23" spans="1:16" s="27" customFormat="1">
      <c r="G23" s="49"/>
      <c r="H23" s="29"/>
      <c r="I23" s="29"/>
      <c r="J23" s="29"/>
      <c r="K23" s="29"/>
      <c r="L23" s="29"/>
      <c r="M23" s="29"/>
      <c r="N23" s="29"/>
      <c r="O23" s="29"/>
      <c r="P23" s="29"/>
    </row>
    <row r="24" spans="1:16" s="27" customFormat="1">
      <c r="H24" s="29"/>
      <c r="I24" s="29"/>
      <c r="J24" s="29"/>
      <c r="K24" s="29"/>
      <c r="L24" s="29"/>
      <c r="M24" s="29"/>
      <c r="N24" s="29"/>
      <c r="O24" s="29"/>
      <c r="P24" s="29"/>
    </row>
    <row r="25" spans="1:16" s="27" customFormat="1">
      <c r="H25" s="29"/>
      <c r="I25" s="29"/>
      <c r="J25" s="29"/>
      <c r="K25" s="29"/>
      <c r="L25" s="29"/>
      <c r="M25" s="29"/>
      <c r="N25" s="29"/>
      <c r="O25" s="29"/>
      <c r="P25" s="29"/>
    </row>
    <row r="26" spans="1:16" s="27" customFormat="1">
      <c r="H26" s="29"/>
      <c r="I26" s="29"/>
      <c r="J26" s="29"/>
      <c r="K26" s="29"/>
      <c r="L26" s="29"/>
      <c r="M26" s="29"/>
      <c r="N26" s="29"/>
      <c r="O26" s="29"/>
      <c r="P26" s="29"/>
    </row>
    <row r="27" spans="1:16" s="27" customFormat="1">
      <c r="H27" s="29"/>
      <c r="I27" s="29"/>
      <c r="J27" s="29"/>
      <c r="K27" s="29"/>
      <c r="L27" s="29"/>
      <c r="M27" s="29"/>
      <c r="N27" s="29"/>
      <c r="O27" s="29"/>
      <c r="P27" s="29"/>
    </row>
    <row r="28" spans="1:16" s="27" customFormat="1">
      <c r="H28" s="29"/>
      <c r="I28" s="29"/>
      <c r="J28" s="29"/>
      <c r="K28" s="29"/>
      <c r="L28" s="29"/>
      <c r="M28" s="29"/>
      <c r="N28" s="29"/>
      <c r="O28" s="29"/>
      <c r="P28" s="29"/>
    </row>
    <row r="29" spans="1:16" s="27" customFormat="1">
      <c r="H29" s="29"/>
      <c r="I29" s="29"/>
      <c r="J29" s="29"/>
      <c r="K29" s="29"/>
      <c r="L29" s="29"/>
      <c r="M29" s="29"/>
      <c r="N29" s="29"/>
      <c r="O29" s="29"/>
      <c r="P29" s="29"/>
    </row>
    <row r="30" spans="1:16" s="27" customFormat="1">
      <c r="H30" s="29"/>
      <c r="I30" s="29"/>
      <c r="J30" s="29"/>
      <c r="K30" s="29"/>
      <c r="L30" s="29"/>
      <c r="M30" s="29"/>
      <c r="N30" s="29"/>
      <c r="O30" s="29"/>
      <c r="P30" s="29"/>
    </row>
    <row r="31" spans="1:16" s="27" customFormat="1">
      <c r="H31" s="29"/>
      <c r="I31" s="29"/>
      <c r="J31" s="29"/>
      <c r="K31" s="29"/>
      <c r="L31" s="29"/>
      <c r="M31" s="29"/>
      <c r="N31" s="29"/>
      <c r="O31" s="29"/>
      <c r="P31" s="29"/>
    </row>
    <row r="32" spans="1:16" s="27" customFormat="1">
      <c r="H32" s="29"/>
      <c r="I32" s="29"/>
      <c r="J32" s="29"/>
      <c r="K32" s="29"/>
      <c r="L32" s="29"/>
      <c r="M32" s="29"/>
      <c r="N32" s="29"/>
      <c r="O32" s="29"/>
      <c r="P32" s="29"/>
    </row>
    <row r="33" spans="8:16" s="27" customFormat="1">
      <c r="H33" s="29"/>
      <c r="I33" s="29"/>
      <c r="J33" s="29"/>
      <c r="K33" s="29"/>
      <c r="L33" s="29"/>
      <c r="M33" s="29"/>
      <c r="N33" s="29"/>
      <c r="O33" s="29"/>
      <c r="P33" s="29"/>
    </row>
    <row r="34" spans="8:16" s="27" customFormat="1">
      <c r="H34" s="29"/>
      <c r="I34" s="29"/>
      <c r="J34" s="29"/>
      <c r="K34" s="29"/>
      <c r="L34" s="29"/>
      <c r="M34" s="29"/>
      <c r="N34" s="29"/>
      <c r="O34" s="29"/>
      <c r="P34" s="29"/>
    </row>
    <row r="35" spans="8:16" s="27" customFormat="1">
      <c r="H35" s="29"/>
      <c r="I35" s="29"/>
      <c r="J35" s="29"/>
      <c r="K35" s="29"/>
      <c r="L35" s="29"/>
      <c r="M35" s="29"/>
      <c r="N35" s="29"/>
      <c r="O35" s="29"/>
      <c r="P35" s="29"/>
    </row>
    <row r="36" spans="8:16" s="27" customFormat="1">
      <c r="H36" s="29"/>
      <c r="I36" s="29"/>
      <c r="J36" s="29"/>
      <c r="K36" s="29"/>
      <c r="L36" s="29"/>
      <c r="M36" s="29"/>
      <c r="N36" s="29"/>
      <c r="O36" s="29"/>
      <c r="P36" s="29"/>
    </row>
    <row r="37" spans="8:16" s="27" customFormat="1">
      <c r="H37" s="29"/>
      <c r="I37" s="29"/>
      <c r="J37" s="29"/>
      <c r="K37" s="29"/>
      <c r="L37" s="29"/>
      <c r="M37" s="29"/>
      <c r="N37" s="29"/>
      <c r="O37" s="29"/>
      <c r="P37" s="29"/>
    </row>
    <row r="38" spans="8:16" s="27" customFormat="1">
      <c r="H38" s="29"/>
      <c r="I38" s="29"/>
      <c r="J38" s="29"/>
      <c r="K38" s="29"/>
      <c r="L38" s="29"/>
      <c r="M38" s="29"/>
      <c r="N38" s="29"/>
      <c r="O38" s="29"/>
      <c r="P38" s="29"/>
    </row>
    <row r="39" spans="8:16" s="27" customFormat="1">
      <c r="H39" s="29"/>
      <c r="I39" s="29"/>
      <c r="J39" s="29"/>
      <c r="K39" s="29"/>
      <c r="L39" s="29"/>
      <c r="M39" s="29"/>
      <c r="N39" s="29"/>
      <c r="O39" s="29"/>
      <c r="P39" s="29"/>
    </row>
    <row r="40" spans="8:16" s="27" customFormat="1">
      <c r="H40" s="29"/>
      <c r="I40" s="29"/>
      <c r="J40" s="29"/>
      <c r="K40" s="29"/>
      <c r="L40" s="29"/>
      <c r="M40" s="29"/>
      <c r="N40" s="29"/>
      <c r="O40" s="29"/>
      <c r="P40" s="29"/>
    </row>
    <row r="41" spans="8:16" s="27" customFormat="1">
      <c r="H41" s="29"/>
      <c r="I41" s="29"/>
      <c r="J41" s="29"/>
      <c r="K41" s="29"/>
      <c r="L41" s="29"/>
      <c r="M41" s="29"/>
      <c r="N41" s="29"/>
      <c r="O41" s="29"/>
      <c r="P41" s="29"/>
    </row>
    <row r="42" spans="8:16" s="27" customFormat="1">
      <c r="H42" s="29"/>
      <c r="I42" s="29"/>
      <c r="J42" s="29"/>
      <c r="K42" s="29"/>
      <c r="L42" s="29"/>
      <c r="M42" s="29"/>
      <c r="N42" s="29"/>
      <c r="O42" s="29"/>
      <c r="P42" s="29"/>
    </row>
    <row r="43" spans="8:16" s="27" customFormat="1">
      <c r="H43" s="29"/>
      <c r="I43" s="29"/>
      <c r="J43" s="29"/>
      <c r="K43" s="29"/>
      <c r="L43" s="29"/>
      <c r="M43" s="29"/>
      <c r="N43" s="29"/>
      <c r="O43" s="29"/>
      <c r="P43" s="29"/>
    </row>
    <row r="44" spans="8:16" s="27" customFormat="1">
      <c r="H44" s="29"/>
      <c r="I44" s="29"/>
      <c r="J44" s="29"/>
      <c r="K44" s="29"/>
      <c r="L44" s="29"/>
      <c r="M44" s="29"/>
      <c r="N44" s="29"/>
      <c r="O44" s="29"/>
      <c r="P44" s="29"/>
    </row>
    <row r="45" spans="8:16" s="27" customFormat="1">
      <c r="H45" s="29"/>
      <c r="I45" s="29"/>
      <c r="J45" s="29"/>
      <c r="K45" s="29"/>
      <c r="L45" s="29"/>
      <c r="M45" s="29"/>
      <c r="N45" s="29"/>
      <c r="O45" s="29"/>
      <c r="P45" s="29"/>
    </row>
    <row r="46" spans="8:16" s="27" customFormat="1">
      <c r="H46" s="29"/>
      <c r="I46" s="29"/>
      <c r="J46" s="29"/>
      <c r="K46" s="29"/>
      <c r="L46" s="29"/>
      <c r="M46" s="29"/>
      <c r="N46" s="29"/>
      <c r="O46" s="29"/>
      <c r="P46" s="29"/>
    </row>
    <row r="47" spans="8:16" s="27" customFormat="1">
      <c r="H47" s="29"/>
      <c r="I47" s="29"/>
      <c r="J47" s="29"/>
      <c r="K47" s="29"/>
      <c r="L47" s="29"/>
      <c r="M47" s="29"/>
      <c r="N47" s="29"/>
      <c r="O47" s="29"/>
      <c r="P47" s="29"/>
    </row>
    <row r="48" spans="8:16" s="27" customFormat="1">
      <c r="H48" s="29"/>
      <c r="I48" s="29"/>
      <c r="J48" s="29"/>
      <c r="K48" s="29"/>
      <c r="L48" s="29"/>
      <c r="M48" s="29"/>
      <c r="N48" s="29"/>
      <c r="O48" s="29"/>
      <c r="P48" s="29"/>
    </row>
    <row r="49" spans="8:16" s="27" customFormat="1">
      <c r="H49" s="29"/>
      <c r="I49" s="29"/>
      <c r="J49" s="29"/>
      <c r="K49" s="29"/>
      <c r="L49" s="29"/>
      <c r="M49" s="29"/>
      <c r="N49" s="29"/>
      <c r="O49" s="29"/>
      <c r="P49" s="29"/>
    </row>
    <row r="50" spans="8:16" s="27" customFormat="1">
      <c r="H50" s="29"/>
      <c r="I50" s="29"/>
      <c r="J50" s="29"/>
      <c r="K50" s="29"/>
      <c r="L50" s="29"/>
      <c r="M50" s="29"/>
      <c r="N50" s="29"/>
      <c r="O50" s="29"/>
      <c r="P50" s="29"/>
    </row>
    <row r="51" spans="8:16" s="27" customFormat="1">
      <c r="H51" s="29"/>
      <c r="I51" s="29"/>
      <c r="J51" s="29"/>
      <c r="K51" s="29"/>
      <c r="L51" s="29"/>
      <c r="M51" s="29"/>
      <c r="N51" s="29"/>
      <c r="O51" s="29"/>
      <c r="P51" s="29"/>
    </row>
    <row r="52" spans="8:16" s="27" customFormat="1">
      <c r="H52" s="29"/>
      <c r="I52" s="29"/>
      <c r="J52" s="29"/>
      <c r="K52" s="29"/>
      <c r="L52" s="29"/>
      <c r="M52" s="29"/>
      <c r="N52" s="29"/>
      <c r="O52" s="29"/>
      <c r="P52" s="29"/>
    </row>
    <row r="53" spans="8:16" s="27" customFormat="1">
      <c r="H53" s="29"/>
      <c r="I53" s="29"/>
      <c r="J53" s="29"/>
      <c r="K53" s="29"/>
      <c r="L53" s="29"/>
      <c r="M53" s="29"/>
      <c r="N53" s="29"/>
      <c r="O53" s="29"/>
      <c r="P53" s="29"/>
    </row>
    <row r="54" spans="8:16" s="27" customFormat="1">
      <c r="H54" s="29"/>
      <c r="I54" s="29"/>
      <c r="J54" s="29"/>
      <c r="K54" s="29"/>
      <c r="L54" s="29"/>
      <c r="M54" s="29"/>
      <c r="N54" s="29"/>
      <c r="O54" s="29"/>
      <c r="P54" s="29"/>
    </row>
    <row r="55" spans="8:16" s="27" customFormat="1">
      <c r="H55" s="29"/>
      <c r="I55" s="29"/>
      <c r="J55" s="29"/>
      <c r="K55" s="29"/>
      <c r="L55" s="29"/>
      <c r="M55" s="29"/>
      <c r="N55" s="29"/>
      <c r="O55" s="29"/>
      <c r="P55" s="29"/>
    </row>
    <row r="56" spans="8:16" s="27" customFormat="1">
      <c r="H56" s="29"/>
      <c r="I56" s="29"/>
      <c r="J56" s="29"/>
      <c r="K56" s="29"/>
      <c r="L56" s="29"/>
      <c r="M56" s="29"/>
      <c r="N56" s="29"/>
      <c r="O56" s="29"/>
      <c r="P56" s="29"/>
    </row>
    <row r="57" spans="8:16" s="27" customFormat="1">
      <c r="H57" s="29"/>
      <c r="I57" s="29"/>
      <c r="J57" s="29"/>
      <c r="K57" s="29"/>
      <c r="L57" s="29"/>
      <c r="M57" s="29"/>
      <c r="N57" s="29"/>
      <c r="O57" s="29"/>
      <c r="P57" s="29"/>
    </row>
    <row r="58" spans="8:16" s="27" customFormat="1">
      <c r="H58" s="29"/>
      <c r="I58" s="29"/>
      <c r="J58" s="29"/>
      <c r="K58" s="29"/>
      <c r="L58" s="29"/>
      <c r="M58" s="29"/>
      <c r="N58" s="29"/>
      <c r="O58" s="29"/>
      <c r="P58" s="29"/>
    </row>
    <row r="59" spans="8:16" s="27" customFormat="1">
      <c r="H59" s="29"/>
      <c r="I59" s="29"/>
      <c r="J59" s="29"/>
      <c r="K59" s="29"/>
      <c r="L59" s="29"/>
      <c r="M59" s="29"/>
      <c r="N59" s="29"/>
      <c r="O59" s="29"/>
      <c r="P59" s="29"/>
    </row>
    <row r="60" spans="8:16" s="27" customFormat="1">
      <c r="H60" s="29"/>
      <c r="I60" s="29"/>
      <c r="J60" s="29"/>
      <c r="K60" s="29"/>
      <c r="L60" s="29"/>
      <c r="M60" s="29"/>
      <c r="N60" s="29"/>
      <c r="O60" s="29"/>
      <c r="P60" s="29"/>
    </row>
    <row r="61" spans="8:16" s="27" customFormat="1">
      <c r="H61" s="29"/>
      <c r="I61" s="29"/>
      <c r="J61" s="29"/>
      <c r="K61" s="29"/>
      <c r="L61" s="29"/>
      <c r="M61" s="29"/>
      <c r="N61" s="29"/>
      <c r="O61" s="29"/>
      <c r="P61" s="29"/>
    </row>
    <row r="62" spans="8:16" s="27" customFormat="1">
      <c r="H62" s="29"/>
      <c r="I62" s="29"/>
      <c r="J62" s="29"/>
      <c r="K62" s="29"/>
      <c r="L62" s="29"/>
      <c r="M62" s="29"/>
      <c r="N62" s="29"/>
      <c r="O62" s="29"/>
      <c r="P62" s="29"/>
    </row>
    <row r="63" spans="8:16" s="27" customFormat="1">
      <c r="H63" s="29"/>
      <c r="I63" s="29"/>
      <c r="J63" s="29"/>
      <c r="K63" s="29"/>
      <c r="L63" s="29"/>
      <c r="M63" s="29"/>
      <c r="N63" s="29"/>
      <c r="O63" s="29"/>
      <c r="P63" s="29"/>
    </row>
    <row r="64" spans="8:16" s="27" customFormat="1">
      <c r="H64" s="29"/>
      <c r="I64" s="29"/>
      <c r="J64" s="29"/>
      <c r="K64" s="29"/>
      <c r="L64" s="29"/>
      <c r="M64" s="29"/>
      <c r="N64" s="29"/>
      <c r="O64" s="29"/>
      <c r="P64" s="29"/>
    </row>
    <row r="65" spans="8:16" s="27" customFormat="1">
      <c r="H65" s="29"/>
      <c r="I65" s="29"/>
      <c r="J65" s="29"/>
      <c r="K65" s="29"/>
      <c r="L65" s="29"/>
      <c r="M65" s="29"/>
      <c r="N65" s="29"/>
      <c r="O65" s="29"/>
      <c r="P65" s="29"/>
    </row>
    <row r="66" spans="8:16" s="27" customFormat="1">
      <c r="H66" s="29"/>
      <c r="I66" s="29"/>
      <c r="J66" s="29"/>
      <c r="K66" s="29"/>
      <c r="L66" s="29"/>
      <c r="M66" s="29"/>
      <c r="N66" s="29"/>
      <c r="O66" s="29"/>
      <c r="P66" s="29"/>
    </row>
    <row r="67" spans="8:16" s="27" customFormat="1">
      <c r="H67" s="29"/>
      <c r="I67" s="29"/>
      <c r="J67" s="29"/>
      <c r="K67" s="29"/>
      <c r="L67" s="29"/>
      <c r="M67" s="29"/>
      <c r="N67" s="29"/>
      <c r="O67" s="29"/>
      <c r="P67" s="29"/>
    </row>
    <row r="68" spans="8:16" s="27" customFormat="1">
      <c r="H68" s="29"/>
      <c r="I68" s="29"/>
      <c r="J68" s="29"/>
      <c r="K68" s="29"/>
      <c r="L68" s="29"/>
      <c r="M68" s="29"/>
      <c r="N68" s="29"/>
      <c r="O68" s="29"/>
      <c r="P68" s="29"/>
    </row>
    <row r="69" spans="8:16" s="27" customFormat="1">
      <c r="H69" s="29"/>
      <c r="I69" s="29"/>
      <c r="J69" s="29"/>
      <c r="K69" s="29"/>
      <c r="L69" s="29"/>
      <c r="M69" s="29"/>
      <c r="N69" s="29"/>
      <c r="O69" s="29"/>
      <c r="P69" s="29"/>
    </row>
    <row r="70" spans="8:16" s="27" customFormat="1">
      <c r="H70" s="29"/>
      <c r="I70" s="29"/>
      <c r="J70" s="29"/>
      <c r="K70" s="29"/>
      <c r="L70" s="29"/>
      <c r="M70" s="29"/>
      <c r="N70" s="29"/>
      <c r="O70" s="29"/>
      <c r="P70" s="29"/>
    </row>
    <row r="71" spans="8:16" s="27" customFormat="1">
      <c r="H71" s="29"/>
      <c r="I71" s="29"/>
      <c r="J71" s="29"/>
      <c r="K71" s="29"/>
      <c r="L71" s="29"/>
      <c r="M71" s="29"/>
      <c r="N71" s="29"/>
      <c r="O71" s="29"/>
      <c r="P71" s="29"/>
    </row>
    <row r="72" spans="8:16" s="27" customFormat="1">
      <c r="H72" s="29"/>
      <c r="I72" s="29"/>
      <c r="J72" s="29"/>
      <c r="K72" s="29"/>
      <c r="L72" s="29"/>
      <c r="M72" s="29"/>
      <c r="N72" s="29"/>
      <c r="O72" s="29"/>
      <c r="P72" s="29"/>
    </row>
    <row r="73" spans="8:16" s="27" customFormat="1">
      <c r="H73" s="29"/>
      <c r="I73" s="29"/>
      <c r="J73" s="29"/>
      <c r="K73" s="29"/>
      <c r="L73" s="29"/>
      <c r="M73" s="29"/>
      <c r="N73" s="29"/>
      <c r="O73" s="29"/>
      <c r="P73" s="29"/>
    </row>
    <row r="74" spans="8:16" s="27" customFormat="1">
      <c r="H74" s="29"/>
      <c r="I74" s="29"/>
      <c r="J74" s="29"/>
      <c r="K74" s="29"/>
      <c r="L74" s="29"/>
      <c r="M74" s="29"/>
      <c r="N74" s="29"/>
      <c r="O74" s="29"/>
      <c r="P74" s="29"/>
    </row>
    <row r="75" spans="8:16" s="27" customFormat="1">
      <c r="H75" s="29"/>
      <c r="I75" s="29"/>
      <c r="J75" s="29"/>
      <c r="K75" s="29"/>
      <c r="L75" s="29"/>
      <c r="M75" s="29"/>
      <c r="N75" s="29"/>
      <c r="O75" s="29"/>
      <c r="P75" s="29"/>
    </row>
    <row r="76" spans="8:16" s="27" customFormat="1">
      <c r="H76" s="29"/>
      <c r="I76" s="29"/>
      <c r="J76" s="29"/>
      <c r="K76" s="29"/>
      <c r="L76" s="29"/>
      <c r="M76" s="29"/>
      <c r="N76" s="29"/>
      <c r="O76" s="29"/>
      <c r="P76" s="29"/>
    </row>
    <row r="77" spans="8:16" s="27" customFormat="1">
      <c r="H77" s="29"/>
      <c r="I77" s="29"/>
      <c r="J77" s="29"/>
      <c r="K77" s="29"/>
      <c r="L77" s="29"/>
      <c r="M77" s="29"/>
      <c r="N77" s="29"/>
      <c r="O77" s="29"/>
      <c r="P77" s="29"/>
    </row>
    <row r="78" spans="8:16" s="27" customFormat="1">
      <c r="H78" s="29"/>
      <c r="I78" s="29"/>
      <c r="J78" s="29"/>
      <c r="K78" s="29"/>
      <c r="L78" s="29"/>
      <c r="M78" s="29"/>
      <c r="N78" s="29"/>
      <c r="O78" s="29"/>
      <c r="P78" s="29"/>
    </row>
    <row r="79" spans="8:16" s="27" customFormat="1">
      <c r="H79" s="29"/>
      <c r="I79" s="29"/>
      <c r="J79" s="29"/>
      <c r="K79" s="29"/>
      <c r="L79" s="29"/>
      <c r="M79" s="29"/>
      <c r="N79" s="29"/>
      <c r="O79" s="29"/>
      <c r="P79" s="29"/>
    </row>
    <row r="80" spans="8:16" s="27" customFormat="1">
      <c r="H80" s="29"/>
      <c r="I80" s="29"/>
      <c r="J80" s="29"/>
      <c r="K80" s="29"/>
      <c r="L80" s="29"/>
      <c r="M80" s="29"/>
      <c r="N80" s="29"/>
      <c r="O80" s="29"/>
      <c r="P80" s="29"/>
    </row>
    <row r="81" spans="8:16" s="27" customFormat="1">
      <c r="H81" s="29"/>
      <c r="I81" s="29"/>
      <c r="J81" s="29"/>
      <c r="K81" s="29"/>
      <c r="L81" s="29"/>
      <c r="M81" s="29"/>
      <c r="N81" s="29"/>
      <c r="O81" s="29"/>
      <c r="P81" s="29"/>
    </row>
    <row r="82" spans="8:16" s="27" customFormat="1">
      <c r="H82" s="29"/>
      <c r="I82" s="29"/>
      <c r="J82" s="29"/>
      <c r="K82" s="29"/>
      <c r="L82" s="29"/>
      <c r="M82" s="29"/>
      <c r="N82" s="29"/>
      <c r="O82" s="29"/>
      <c r="P82" s="29"/>
    </row>
    <row r="83" spans="8:16" s="27" customFormat="1">
      <c r="H83" s="29"/>
      <c r="I83" s="29"/>
      <c r="J83" s="29"/>
      <c r="K83" s="29"/>
      <c r="L83" s="29"/>
      <c r="M83" s="29"/>
      <c r="N83" s="29"/>
      <c r="O83" s="29"/>
      <c r="P83" s="29"/>
    </row>
    <row r="84" spans="8:16" s="27" customFormat="1">
      <c r="H84" s="29"/>
      <c r="I84" s="29"/>
      <c r="J84" s="29"/>
      <c r="K84" s="29"/>
      <c r="L84" s="29"/>
      <c r="M84" s="29"/>
      <c r="N84" s="29"/>
      <c r="O84" s="29"/>
      <c r="P84" s="29"/>
    </row>
    <row r="85" spans="8:16" s="27" customFormat="1">
      <c r="H85" s="29"/>
      <c r="I85" s="29"/>
      <c r="J85" s="29"/>
      <c r="K85" s="29"/>
      <c r="L85" s="29"/>
      <c r="M85" s="29"/>
      <c r="N85" s="29"/>
      <c r="O85" s="29"/>
      <c r="P85" s="29"/>
    </row>
    <row r="86" spans="8:16" s="27" customFormat="1">
      <c r="H86" s="29"/>
      <c r="I86" s="29"/>
      <c r="J86" s="29"/>
      <c r="K86" s="29"/>
      <c r="L86" s="29"/>
      <c r="M86" s="29"/>
      <c r="N86" s="29"/>
      <c r="O86" s="29"/>
      <c r="P86" s="29"/>
    </row>
    <row r="87" spans="8:16" s="27" customFormat="1">
      <c r="H87" s="29"/>
      <c r="I87" s="29"/>
      <c r="J87" s="29"/>
      <c r="K87" s="29"/>
      <c r="L87" s="29"/>
      <c r="M87" s="29"/>
      <c r="N87" s="29"/>
      <c r="O87" s="29"/>
      <c r="P87" s="29"/>
    </row>
    <row r="88" spans="8:16" s="27" customFormat="1">
      <c r="H88" s="29"/>
      <c r="I88" s="29"/>
      <c r="J88" s="29"/>
      <c r="K88" s="29"/>
      <c r="L88" s="29"/>
      <c r="M88" s="29"/>
      <c r="N88" s="29"/>
      <c r="O88" s="29"/>
      <c r="P88" s="29"/>
    </row>
    <row r="89" spans="8:16" s="27" customFormat="1">
      <c r="H89" s="29"/>
      <c r="I89" s="29"/>
      <c r="J89" s="29"/>
      <c r="K89" s="29"/>
      <c r="L89" s="29"/>
      <c r="M89" s="29"/>
      <c r="N89" s="29"/>
      <c r="O89" s="29"/>
      <c r="P89" s="29"/>
    </row>
    <row r="90" spans="8:16" s="27" customFormat="1">
      <c r="H90" s="29"/>
      <c r="I90" s="29"/>
      <c r="J90" s="29"/>
      <c r="K90" s="29"/>
      <c r="L90" s="29"/>
      <c r="M90" s="29"/>
      <c r="N90" s="29"/>
      <c r="O90" s="29"/>
      <c r="P90" s="29"/>
    </row>
    <row r="91" spans="8:16" s="27" customFormat="1">
      <c r="H91" s="29"/>
      <c r="I91" s="29"/>
      <c r="J91" s="29"/>
      <c r="K91" s="29"/>
      <c r="L91" s="29"/>
      <c r="M91" s="29"/>
      <c r="N91" s="29"/>
      <c r="O91" s="29"/>
      <c r="P91" s="29"/>
    </row>
    <row r="92" spans="8:16" s="27" customFormat="1">
      <c r="H92" s="29"/>
      <c r="I92" s="29"/>
      <c r="J92" s="29"/>
      <c r="K92" s="29"/>
      <c r="L92" s="29"/>
      <c r="M92" s="29"/>
      <c r="N92" s="29"/>
      <c r="O92" s="29"/>
      <c r="P92" s="29"/>
    </row>
    <row r="93" spans="8:16" s="27" customFormat="1">
      <c r="H93" s="29"/>
      <c r="I93" s="29"/>
      <c r="J93" s="29"/>
      <c r="K93" s="29"/>
      <c r="L93" s="29"/>
      <c r="M93" s="29"/>
      <c r="N93" s="29"/>
      <c r="O93" s="29"/>
      <c r="P93" s="29"/>
    </row>
    <row r="94" spans="8:16" s="27" customFormat="1">
      <c r="H94" s="29"/>
      <c r="I94" s="29"/>
      <c r="J94" s="29"/>
      <c r="K94" s="29"/>
      <c r="L94" s="29"/>
      <c r="M94" s="29"/>
      <c r="N94" s="29"/>
      <c r="O94" s="29"/>
      <c r="P94" s="29"/>
    </row>
    <row r="95" spans="8:16" s="27" customFormat="1">
      <c r="H95" s="29"/>
      <c r="I95" s="29"/>
      <c r="J95" s="29"/>
      <c r="K95" s="29"/>
      <c r="L95" s="29"/>
      <c r="M95" s="29"/>
      <c r="N95" s="29"/>
      <c r="O95" s="29"/>
      <c r="P95" s="29"/>
    </row>
    <row r="96" spans="8:16" s="27" customFormat="1">
      <c r="H96" s="29"/>
      <c r="I96" s="29"/>
      <c r="J96" s="29"/>
      <c r="K96" s="29"/>
      <c r="L96" s="29"/>
      <c r="M96" s="29"/>
      <c r="N96" s="29"/>
      <c r="O96" s="29"/>
      <c r="P96" s="29"/>
    </row>
    <row r="97" spans="8:16" s="27" customFormat="1">
      <c r="H97" s="29"/>
      <c r="I97" s="29"/>
      <c r="J97" s="29"/>
      <c r="K97" s="29"/>
      <c r="L97" s="29"/>
      <c r="M97" s="29"/>
      <c r="N97" s="29"/>
      <c r="O97" s="29"/>
      <c r="P97" s="29"/>
    </row>
    <row r="98" spans="8:16" s="27" customFormat="1">
      <c r="H98" s="29"/>
      <c r="I98" s="29"/>
      <c r="J98" s="29"/>
      <c r="K98" s="29"/>
      <c r="L98" s="29"/>
      <c r="M98" s="29"/>
      <c r="N98" s="29"/>
      <c r="O98" s="29"/>
      <c r="P98" s="29"/>
    </row>
    <row r="99" spans="8:16" s="27" customFormat="1">
      <c r="H99" s="29"/>
      <c r="I99" s="29"/>
      <c r="J99" s="29"/>
      <c r="K99" s="29"/>
      <c r="L99" s="29"/>
      <c r="M99" s="29"/>
      <c r="N99" s="29"/>
      <c r="O99" s="29"/>
      <c r="P99" s="29"/>
    </row>
    <row r="100" spans="8:16" s="27" customFormat="1">
      <c r="H100" s="29"/>
      <c r="I100" s="29"/>
      <c r="J100" s="29"/>
      <c r="K100" s="29"/>
      <c r="L100" s="29"/>
      <c r="M100" s="29"/>
      <c r="N100" s="29"/>
      <c r="O100" s="29"/>
      <c r="P100" s="29"/>
    </row>
    <row r="101" spans="8:16" s="27" customFormat="1">
      <c r="H101" s="29"/>
      <c r="I101" s="29"/>
      <c r="J101" s="29"/>
      <c r="K101" s="29"/>
      <c r="L101" s="29"/>
      <c r="M101" s="29"/>
      <c r="N101" s="29"/>
      <c r="O101" s="29"/>
      <c r="P101" s="29"/>
    </row>
    <row r="102" spans="8:16" s="27" customFormat="1">
      <c r="H102" s="29"/>
      <c r="I102" s="29"/>
      <c r="J102" s="29"/>
      <c r="K102" s="29"/>
      <c r="L102" s="29"/>
      <c r="M102" s="29"/>
      <c r="N102" s="29"/>
      <c r="O102" s="29"/>
      <c r="P102" s="29"/>
    </row>
    <row r="103" spans="8:16" s="27" customFormat="1">
      <c r="H103" s="29"/>
      <c r="I103" s="29"/>
      <c r="J103" s="29"/>
      <c r="K103" s="29"/>
      <c r="L103" s="29"/>
      <c r="M103" s="29"/>
      <c r="N103" s="29"/>
      <c r="O103" s="29"/>
      <c r="P103" s="29"/>
    </row>
    <row r="104" spans="8:16" s="27" customFormat="1">
      <c r="H104" s="29"/>
      <c r="I104" s="29"/>
      <c r="J104" s="29"/>
      <c r="K104" s="29"/>
      <c r="L104" s="29"/>
      <c r="M104" s="29"/>
      <c r="N104" s="29"/>
      <c r="O104" s="29"/>
      <c r="P104" s="29"/>
    </row>
    <row r="105" spans="8:16" s="27" customFormat="1">
      <c r="H105" s="29"/>
      <c r="I105" s="29"/>
      <c r="J105" s="29"/>
      <c r="K105" s="29"/>
      <c r="L105" s="29"/>
      <c r="M105" s="29"/>
      <c r="N105" s="29"/>
      <c r="O105" s="29"/>
      <c r="P105" s="29"/>
    </row>
    <row r="106" spans="8:16" s="27" customFormat="1">
      <c r="H106" s="29"/>
      <c r="I106" s="29"/>
      <c r="J106" s="29"/>
      <c r="K106" s="29"/>
      <c r="L106" s="29"/>
      <c r="M106" s="29"/>
      <c r="N106" s="29"/>
      <c r="O106" s="29"/>
      <c r="P106" s="29"/>
    </row>
    <row r="107" spans="8:16" s="27" customFormat="1">
      <c r="H107" s="29"/>
      <c r="I107" s="29"/>
      <c r="J107" s="29"/>
      <c r="K107" s="29"/>
      <c r="L107" s="29"/>
      <c r="M107" s="29"/>
      <c r="N107" s="29"/>
      <c r="O107" s="29"/>
      <c r="P107" s="29"/>
    </row>
    <row r="108" spans="8:16" s="27" customFormat="1">
      <c r="H108" s="29"/>
      <c r="I108" s="29"/>
      <c r="J108" s="29"/>
      <c r="K108" s="29"/>
      <c r="L108" s="29"/>
      <c r="M108" s="29"/>
      <c r="N108" s="29"/>
      <c r="O108" s="29"/>
      <c r="P108" s="29"/>
    </row>
    <row r="109" spans="8:16" s="27" customFormat="1">
      <c r="H109" s="29"/>
      <c r="I109" s="29"/>
      <c r="J109" s="29"/>
      <c r="K109" s="29"/>
      <c r="L109" s="29"/>
      <c r="M109" s="29"/>
      <c r="N109" s="29"/>
      <c r="O109" s="29"/>
      <c r="P109" s="29"/>
    </row>
    <row r="110" spans="8:16" s="27" customFormat="1">
      <c r="H110" s="29"/>
      <c r="I110" s="29"/>
      <c r="J110" s="29"/>
      <c r="K110" s="29"/>
      <c r="L110" s="29"/>
      <c r="M110" s="29"/>
      <c r="N110" s="29"/>
      <c r="O110" s="29"/>
      <c r="P110" s="29"/>
    </row>
    <row r="111" spans="8:16" s="27" customFormat="1">
      <c r="H111" s="29"/>
      <c r="I111" s="29"/>
      <c r="J111" s="29"/>
      <c r="K111" s="29"/>
      <c r="L111" s="29"/>
      <c r="M111" s="29"/>
      <c r="N111" s="29"/>
      <c r="O111" s="29"/>
      <c r="P111" s="29"/>
    </row>
    <row r="112" spans="8:16" s="27" customFormat="1">
      <c r="H112" s="29"/>
      <c r="I112" s="29"/>
      <c r="J112" s="29"/>
      <c r="K112" s="29"/>
      <c r="L112" s="29"/>
      <c r="M112" s="29"/>
      <c r="N112" s="29"/>
      <c r="O112" s="29"/>
      <c r="P112" s="29"/>
    </row>
    <row r="113" spans="8:16" s="27" customFormat="1">
      <c r="H113" s="29"/>
      <c r="I113" s="29"/>
      <c r="J113" s="29"/>
      <c r="K113" s="29"/>
      <c r="L113" s="29"/>
      <c r="M113" s="29"/>
      <c r="N113" s="29"/>
      <c r="O113" s="29"/>
      <c r="P113" s="29"/>
    </row>
    <row r="114" spans="8:16" s="27" customFormat="1">
      <c r="H114" s="29"/>
      <c r="I114" s="29"/>
      <c r="J114" s="29"/>
      <c r="K114" s="29"/>
      <c r="L114" s="29"/>
      <c r="M114" s="29"/>
      <c r="N114" s="29"/>
      <c r="O114" s="29"/>
      <c r="P114" s="29"/>
    </row>
    <row r="115" spans="8:16" s="27" customFormat="1">
      <c r="H115" s="29"/>
      <c r="I115" s="29"/>
      <c r="J115" s="29"/>
      <c r="K115" s="29"/>
      <c r="L115" s="29"/>
      <c r="M115" s="29"/>
      <c r="N115" s="29"/>
      <c r="O115" s="29"/>
      <c r="P115" s="29"/>
    </row>
    <row r="116" spans="8:16" s="27" customFormat="1">
      <c r="H116" s="29"/>
      <c r="I116" s="29"/>
      <c r="J116" s="29"/>
      <c r="K116" s="29"/>
      <c r="L116" s="29"/>
      <c r="M116" s="29"/>
      <c r="N116" s="29"/>
      <c r="O116" s="29"/>
      <c r="P116" s="29"/>
    </row>
    <row r="117" spans="8:16" s="27" customFormat="1">
      <c r="H117" s="29"/>
      <c r="I117" s="29"/>
      <c r="J117" s="29"/>
      <c r="K117" s="29"/>
      <c r="L117" s="29"/>
      <c r="M117" s="29"/>
      <c r="N117" s="29"/>
      <c r="O117" s="29"/>
      <c r="P117" s="29"/>
    </row>
    <row r="118" spans="8:16" s="27" customFormat="1">
      <c r="H118" s="29"/>
      <c r="I118" s="29"/>
      <c r="J118" s="29"/>
      <c r="K118" s="29"/>
      <c r="L118" s="29"/>
      <c r="M118" s="29"/>
      <c r="N118" s="29"/>
      <c r="O118" s="29"/>
      <c r="P118" s="29"/>
    </row>
    <row r="119" spans="8:16" s="27" customFormat="1">
      <c r="H119" s="29"/>
      <c r="I119" s="29"/>
      <c r="J119" s="29"/>
      <c r="K119" s="29"/>
      <c r="L119" s="29"/>
      <c r="M119" s="29"/>
      <c r="N119" s="29"/>
      <c r="O119" s="29"/>
      <c r="P119" s="29"/>
    </row>
    <row r="120" spans="8:16" s="27" customFormat="1">
      <c r="H120" s="29"/>
      <c r="I120" s="29"/>
      <c r="J120" s="29"/>
      <c r="K120" s="29"/>
      <c r="L120" s="29"/>
      <c r="M120" s="29"/>
      <c r="N120" s="29"/>
      <c r="O120" s="29"/>
      <c r="P120" s="29"/>
    </row>
    <row r="121" spans="8:16" s="27" customFormat="1">
      <c r="H121" s="29"/>
      <c r="I121" s="29"/>
      <c r="J121" s="29"/>
      <c r="K121" s="29"/>
      <c r="L121" s="29"/>
      <c r="M121" s="29"/>
      <c r="N121" s="29"/>
      <c r="O121" s="29"/>
      <c r="P121" s="29"/>
    </row>
    <row r="122" spans="8:16" s="27" customFormat="1">
      <c r="H122" s="29"/>
      <c r="I122" s="29"/>
      <c r="J122" s="29"/>
      <c r="K122" s="29"/>
      <c r="L122" s="29"/>
      <c r="M122" s="29"/>
      <c r="N122" s="29"/>
      <c r="O122" s="29"/>
      <c r="P122" s="29"/>
    </row>
    <row r="123" spans="8:16" s="27" customFormat="1">
      <c r="H123" s="29"/>
      <c r="I123" s="29"/>
      <c r="J123" s="29"/>
      <c r="K123" s="29"/>
      <c r="L123" s="29"/>
      <c r="M123" s="29"/>
      <c r="N123" s="29"/>
      <c r="O123" s="29"/>
      <c r="P123" s="29"/>
    </row>
    <row r="124" spans="8:16" s="27" customFormat="1">
      <c r="H124" s="29"/>
      <c r="I124" s="29"/>
      <c r="J124" s="29"/>
      <c r="K124" s="29"/>
      <c r="L124" s="29"/>
      <c r="M124" s="29"/>
      <c r="N124" s="29"/>
      <c r="O124" s="29"/>
      <c r="P124" s="29"/>
    </row>
    <row r="125" spans="8:16" s="27" customFormat="1">
      <c r="H125" s="29"/>
      <c r="I125" s="29"/>
      <c r="J125" s="29"/>
      <c r="K125" s="29"/>
      <c r="L125" s="29"/>
      <c r="M125" s="29"/>
      <c r="N125" s="29"/>
      <c r="O125" s="29"/>
      <c r="P125" s="29"/>
    </row>
    <row r="126" spans="8:16" s="27" customFormat="1">
      <c r="H126" s="29"/>
      <c r="I126" s="29"/>
      <c r="J126" s="29"/>
      <c r="K126" s="29"/>
      <c r="L126" s="29"/>
      <c r="M126" s="29"/>
      <c r="N126" s="29"/>
      <c r="O126" s="29"/>
      <c r="P126" s="29"/>
    </row>
    <row r="127" spans="8:16" s="27" customFormat="1">
      <c r="H127" s="29"/>
      <c r="I127" s="29"/>
      <c r="J127" s="29"/>
      <c r="K127" s="29"/>
      <c r="L127" s="29"/>
      <c r="M127" s="29"/>
      <c r="N127" s="29"/>
      <c r="O127" s="29"/>
      <c r="P127" s="29"/>
    </row>
    <row r="128" spans="8:16" s="27" customFormat="1">
      <c r="H128" s="29"/>
      <c r="I128" s="29"/>
      <c r="J128" s="29"/>
      <c r="K128" s="29"/>
      <c r="L128" s="29"/>
      <c r="M128" s="29"/>
      <c r="N128" s="29"/>
      <c r="O128" s="29"/>
      <c r="P128" s="29"/>
    </row>
    <row r="129" spans="8:16" s="27" customFormat="1">
      <c r="H129" s="29"/>
      <c r="I129" s="29"/>
      <c r="J129" s="29"/>
      <c r="K129" s="29"/>
      <c r="L129" s="29"/>
      <c r="M129" s="29"/>
      <c r="N129" s="29"/>
      <c r="O129" s="29"/>
      <c r="P129" s="29"/>
    </row>
    <row r="130" spans="8:16" s="27" customFormat="1">
      <c r="H130" s="29"/>
      <c r="I130" s="29"/>
      <c r="J130" s="29"/>
      <c r="K130" s="29"/>
      <c r="L130" s="29"/>
      <c r="M130" s="29"/>
      <c r="N130" s="29"/>
      <c r="O130" s="29"/>
      <c r="P130" s="29"/>
    </row>
    <row r="131" spans="8:16" s="27" customFormat="1">
      <c r="H131" s="29"/>
      <c r="I131" s="29"/>
      <c r="J131" s="29"/>
      <c r="K131" s="29"/>
      <c r="L131" s="29"/>
      <c r="M131" s="29"/>
      <c r="N131" s="29"/>
      <c r="O131" s="29"/>
      <c r="P131" s="29"/>
    </row>
    <row r="132" spans="8:16" s="27" customFormat="1">
      <c r="H132" s="29"/>
      <c r="I132" s="29"/>
      <c r="J132" s="29"/>
      <c r="K132" s="29"/>
      <c r="L132" s="29"/>
      <c r="M132" s="29"/>
      <c r="N132" s="29"/>
      <c r="O132" s="29"/>
      <c r="P132" s="29"/>
    </row>
    <row r="133" spans="8:16" s="27" customFormat="1">
      <c r="H133" s="29"/>
      <c r="I133" s="29"/>
      <c r="J133" s="29"/>
      <c r="K133" s="29"/>
      <c r="L133" s="29"/>
      <c r="M133" s="29"/>
      <c r="N133" s="29"/>
      <c r="O133" s="29"/>
      <c r="P133" s="29"/>
    </row>
    <row r="134" spans="8:16" s="27" customFormat="1">
      <c r="H134" s="29"/>
      <c r="I134" s="29"/>
      <c r="J134" s="29"/>
      <c r="K134" s="29"/>
      <c r="L134" s="29"/>
      <c r="M134" s="29"/>
      <c r="N134" s="29"/>
      <c r="O134" s="29"/>
      <c r="P134" s="29"/>
    </row>
    <row r="135" spans="8:16" s="27" customFormat="1">
      <c r="H135" s="29"/>
      <c r="I135" s="29"/>
      <c r="J135" s="29"/>
      <c r="K135" s="29"/>
      <c r="L135" s="29"/>
      <c r="M135" s="29"/>
      <c r="N135" s="29"/>
      <c r="O135" s="29"/>
      <c r="P135" s="29"/>
    </row>
    <row r="136" spans="8:16" s="27" customFormat="1">
      <c r="H136" s="29"/>
      <c r="I136" s="29"/>
      <c r="J136" s="29"/>
      <c r="K136" s="29"/>
      <c r="L136" s="29"/>
      <c r="M136" s="29"/>
      <c r="N136" s="29"/>
      <c r="O136" s="29"/>
      <c r="P136" s="29"/>
    </row>
    <row r="137" spans="8:16" s="27" customFormat="1">
      <c r="H137" s="29"/>
      <c r="I137" s="29"/>
      <c r="J137" s="29"/>
      <c r="K137" s="29"/>
      <c r="L137" s="29"/>
      <c r="M137" s="29"/>
      <c r="N137" s="29"/>
      <c r="O137" s="29"/>
      <c r="P137" s="29"/>
    </row>
    <row r="138" spans="8:16" s="27" customFormat="1">
      <c r="H138" s="29"/>
      <c r="I138" s="29"/>
      <c r="J138" s="29"/>
      <c r="K138" s="29"/>
      <c r="L138" s="29"/>
      <c r="M138" s="29"/>
      <c r="N138" s="29"/>
      <c r="O138" s="29"/>
      <c r="P138" s="29"/>
    </row>
    <row r="139" spans="8:16" s="27" customFormat="1">
      <c r="H139" s="29"/>
      <c r="I139" s="29"/>
      <c r="J139" s="29"/>
      <c r="K139" s="29"/>
      <c r="L139" s="29"/>
      <c r="M139" s="29"/>
      <c r="N139" s="29"/>
      <c r="O139" s="29"/>
      <c r="P139" s="29"/>
    </row>
    <row r="140" spans="8:16" s="27" customFormat="1">
      <c r="H140" s="29"/>
      <c r="I140" s="29"/>
      <c r="J140" s="29"/>
      <c r="K140" s="29"/>
      <c r="L140" s="29"/>
      <c r="M140" s="29"/>
      <c r="N140" s="29"/>
      <c r="O140" s="29"/>
      <c r="P140" s="29"/>
    </row>
    <row r="141" spans="8:16" s="27" customFormat="1">
      <c r="H141" s="29"/>
      <c r="I141" s="29"/>
      <c r="J141" s="29"/>
      <c r="K141" s="29"/>
      <c r="L141" s="29"/>
      <c r="M141" s="29"/>
      <c r="N141" s="29"/>
      <c r="O141" s="29"/>
      <c r="P141" s="29"/>
    </row>
    <row r="142" spans="8:16" s="27" customFormat="1">
      <c r="H142" s="29"/>
      <c r="I142" s="29"/>
      <c r="J142" s="29"/>
      <c r="K142" s="29"/>
      <c r="L142" s="29"/>
      <c r="M142" s="29"/>
      <c r="N142" s="29"/>
      <c r="O142" s="29"/>
      <c r="P142" s="29"/>
    </row>
    <row r="143" spans="8:16" s="27" customFormat="1">
      <c r="H143" s="29"/>
      <c r="I143" s="29"/>
      <c r="J143" s="29"/>
      <c r="K143" s="29"/>
      <c r="L143" s="29"/>
      <c r="M143" s="29"/>
      <c r="N143" s="29"/>
      <c r="O143" s="29"/>
      <c r="P143" s="29"/>
    </row>
    <row r="144" spans="8:16" s="27" customFormat="1">
      <c r="H144" s="29"/>
      <c r="I144" s="29"/>
      <c r="J144" s="29"/>
      <c r="K144" s="29"/>
      <c r="L144" s="29"/>
      <c r="M144" s="29"/>
      <c r="N144" s="29"/>
      <c r="O144" s="29"/>
      <c r="P144" s="29"/>
    </row>
    <row r="145" spans="8:16" s="27" customFormat="1">
      <c r="H145" s="29"/>
      <c r="I145" s="29"/>
      <c r="J145" s="29"/>
      <c r="K145" s="29"/>
      <c r="L145" s="29"/>
      <c r="M145" s="29"/>
      <c r="N145" s="29"/>
      <c r="O145" s="29"/>
      <c r="P145" s="29"/>
    </row>
    <row r="146" spans="8:16" s="27" customFormat="1">
      <c r="H146" s="29"/>
      <c r="I146" s="29"/>
      <c r="J146" s="29"/>
      <c r="K146" s="29"/>
      <c r="L146" s="29"/>
      <c r="M146" s="29"/>
      <c r="N146" s="29"/>
      <c r="O146" s="29"/>
      <c r="P146" s="29"/>
    </row>
    <row r="147" spans="8:16" s="27" customFormat="1">
      <c r="H147" s="29"/>
      <c r="I147" s="29"/>
      <c r="J147" s="29"/>
      <c r="K147" s="29"/>
      <c r="L147" s="29"/>
      <c r="M147" s="29"/>
      <c r="N147" s="29"/>
      <c r="O147" s="29"/>
      <c r="P147" s="29"/>
    </row>
    <row r="148" spans="8:16" s="27" customFormat="1">
      <c r="H148" s="29"/>
      <c r="I148" s="29"/>
      <c r="J148" s="29"/>
      <c r="K148" s="29"/>
      <c r="L148" s="29"/>
      <c r="M148" s="29"/>
      <c r="N148" s="29"/>
      <c r="O148" s="29"/>
      <c r="P148" s="29"/>
    </row>
    <row r="149" spans="8:16" s="27" customFormat="1">
      <c r="H149" s="29"/>
      <c r="I149" s="29"/>
      <c r="J149" s="29"/>
      <c r="K149" s="29"/>
      <c r="L149" s="29"/>
      <c r="M149" s="29"/>
      <c r="N149" s="29"/>
      <c r="O149" s="29"/>
      <c r="P149" s="29"/>
    </row>
    <row r="150" spans="8:16" s="27" customFormat="1">
      <c r="H150" s="29"/>
      <c r="I150" s="29"/>
      <c r="J150" s="29"/>
      <c r="K150" s="29"/>
      <c r="L150" s="29"/>
      <c r="M150" s="29"/>
      <c r="N150" s="29"/>
      <c r="O150" s="29"/>
      <c r="P150" s="29"/>
    </row>
    <row r="151" spans="8:16" s="27" customFormat="1">
      <c r="H151" s="29"/>
      <c r="I151" s="29"/>
      <c r="J151" s="29"/>
      <c r="K151" s="29"/>
      <c r="L151" s="29"/>
      <c r="M151" s="29"/>
      <c r="N151" s="29"/>
      <c r="O151" s="29"/>
      <c r="P151" s="29"/>
    </row>
    <row r="152" spans="8:16" s="27" customFormat="1">
      <c r="H152" s="29"/>
      <c r="I152" s="29"/>
      <c r="J152" s="29"/>
      <c r="K152" s="29"/>
      <c r="L152" s="29"/>
      <c r="M152" s="29"/>
      <c r="N152" s="29"/>
      <c r="O152" s="29"/>
      <c r="P152" s="29"/>
    </row>
    <row r="153" spans="8:16" s="27" customFormat="1">
      <c r="H153" s="29"/>
      <c r="I153" s="29"/>
      <c r="J153" s="29"/>
      <c r="K153" s="29"/>
      <c r="L153" s="29"/>
      <c r="M153" s="29"/>
      <c r="N153" s="29"/>
      <c r="O153" s="29"/>
      <c r="P153" s="29"/>
    </row>
    <row r="154" spans="8:16" s="27" customFormat="1">
      <c r="H154" s="29"/>
      <c r="I154" s="29"/>
      <c r="J154" s="29"/>
      <c r="K154" s="29"/>
      <c r="L154" s="29"/>
      <c r="M154" s="29"/>
      <c r="N154" s="29"/>
      <c r="O154" s="29"/>
      <c r="P154" s="29"/>
    </row>
    <row r="155" spans="8:16" s="27" customFormat="1">
      <c r="H155" s="29"/>
      <c r="I155" s="29"/>
      <c r="J155" s="29"/>
      <c r="K155" s="29"/>
      <c r="L155" s="29"/>
      <c r="M155" s="29"/>
      <c r="N155" s="29"/>
      <c r="O155" s="29"/>
      <c r="P155" s="29"/>
    </row>
    <row r="156" spans="8:16" s="27" customFormat="1">
      <c r="H156" s="29"/>
      <c r="I156" s="29"/>
      <c r="J156" s="29"/>
      <c r="K156" s="29"/>
      <c r="L156" s="29"/>
      <c r="M156" s="29"/>
      <c r="N156" s="29"/>
      <c r="O156" s="29"/>
      <c r="P156" s="29"/>
    </row>
    <row r="157" spans="8:16" s="27" customFormat="1">
      <c r="H157" s="29"/>
      <c r="I157" s="29"/>
      <c r="J157" s="29"/>
      <c r="K157" s="29"/>
      <c r="L157" s="29"/>
      <c r="M157" s="29"/>
      <c r="N157" s="29"/>
      <c r="O157" s="29"/>
      <c r="P157" s="29"/>
    </row>
    <row r="158" spans="8:16" s="27" customFormat="1">
      <c r="H158" s="29"/>
      <c r="I158" s="29"/>
      <c r="J158" s="29"/>
      <c r="K158" s="29"/>
      <c r="L158" s="29"/>
      <c r="M158" s="29"/>
      <c r="N158" s="29"/>
      <c r="O158" s="29"/>
      <c r="P158" s="29"/>
    </row>
    <row r="159" spans="8:16" s="27" customFormat="1">
      <c r="H159" s="29"/>
      <c r="I159" s="29"/>
      <c r="J159" s="29"/>
      <c r="K159" s="29"/>
      <c r="L159" s="29"/>
      <c r="M159" s="29"/>
      <c r="N159" s="29"/>
      <c r="O159" s="29"/>
      <c r="P159" s="29"/>
    </row>
    <row r="160" spans="8:16" s="27" customFormat="1">
      <c r="H160" s="29"/>
      <c r="I160" s="29"/>
      <c r="J160" s="29"/>
      <c r="K160" s="29"/>
      <c r="L160" s="29"/>
      <c r="M160" s="29"/>
      <c r="N160" s="29"/>
      <c r="O160" s="29"/>
      <c r="P160" s="29"/>
    </row>
    <row r="161" spans="8:16" s="27" customFormat="1">
      <c r="H161" s="29"/>
      <c r="I161" s="29"/>
      <c r="J161" s="29"/>
      <c r="K161" s="29"/>
      <c r="L161" s="29"/>
      <c r="M161" s="29"/>
      <c r="N161" s="29"/>
      <c r="O161" s="29"/>
      <c r="P161" s="29"/>
    </row>
    <row r="162" spans="8:16" s="27" customFormat="1">
      <c r="H162" s="29"/>
      <c r="I162" s="29"/>
      <c r="J162" s="29"/>
      <c r="K162" s="29"/>
      <c r="L162" s="29"/>
      <c r="M162" s="29"/>
      <c r="N162" s="29"/>
      <c r="O162" s="29"/>
      <c r="P162" s="29"/>
    </row>
    <row r="163" spans="8:16" s="27" customFormat="1">
      <c r="H163" s="29"/>
      <c r="I163" s="29"/>
      <c r="J163" s="29"/>
      <c r="K163" s="29"/>
      <c r="L163" s="29"/>
      <c r="M163" s="29"/>
      <c r="N163" s="29"/>
      <c r="O163" s="29"/>
      <c r="P163" s="29"/>
    </row>
    <row r="164" spans="8:16" s="27" customFormat="1">
      <c r="H164" s="29"/>
      <c r="I164" s="29"/>
      <c r="J164" s="29"/>
      <c r="K164" s="29"/>
      <c r="L164" s="29"/>
      <c r="M164" s="29"/>
      <c r="N164" s="29"/>
      <c r="O164" s="29"/>
      <c r="P164" s="29"/>
    </row>
    <row r="165" spans="8:16" s="27" customFormat="1">
      <c r="H165" s="29"/>
      <c r="I165" s="29"/>
      <c r="J165" s="29"/>
      <c r="K165" s="29"/>
      <c r="L165" s="29"/>
      <c r="M165" s="29"/>
      <c r="N165" s="29"/>
      <c r="O165" s="29"/>
      <c r="P165" s="29"/>
    </row>
    <row r="166" spans="8:16" s="27" customFormat="1">
      <c r="H166" s="29"/>
      <c r="I166" s="29"/>
      <c r="J166" s="29"/>
      <c r="K166" s="29"/>
      <c r="L166" s="29"/>
      <c r="M166" s="29"/>
      <c r="N166" s="29"/>
      <c r="O166" s="29"/>
      <c r="P166" s="29"/>
    </row>
    <row r="167" spans="8:16" s="27" customFormat="1">
      <c r="H167" s="29"/>
      <c r="I167" s="29"/>
      <c r="J167" s="29"/>
      <c r="K167" s="29"/>
      <c r="L167" s="29"/>
      <c r="M167" s="29"/>
      <c r="N167" s="29"/>
      <c r="O167" s="29"/>
      <c r="P167" s="29"/>
    </row>
    <row r="168" spans="8:16" s="27" customFormat="1">
      <c r="H168" s="29"/>
      <c r="I168" s="29"/>
      <c r="J168" s="29"/>
      <c r="K168" s="29"/>
      <c r="L168" s="29"/>
      <c r="M168" s="29"/>
      <c r="N168" s="29"/>
      <c r="O168" s="29"/>
      <c r="P168" s="29"/>
    </row>
    <row r="169" spans="8:16" s="27" customFormat="1">
      <c r="H169" s="29"/>
      <c r="I169" s="29"/>
      <c r="J169" s="29"/>
      <c r="K169" s="29"/>
      <c r="L169" s="29"/>
      <c r="M169" s="29"/>
      <c r="N169" s="29"/>
      <c r="O169" s="29"/>
      <c r="P169" s="29"/>
    </row>
    <row r="170" spans="8:16" s="27" customFormat="1">
      <c r="H170" s="29"/>
      <c r="I170" s="29"/>
      <c r="J170" s="29"/>
      <c r="K170" s="29"/>
      <c r="L170" s="29"/>
      <c r="M170" s="29"/>
      <c r="N170" s="29"/>
      <c r="O170" s="29"/>
      <c r="P170" s="29"/>
    </row>
    <row r="171" spans="8:16" s="27" customFormat="1">
      <c r="H171" s="29"/>
      <c r="I171" s="29"/>
      <c r="J171" s="29"/>
      <c r="K171" s="29"/>
      <c r="L171" s="29"/>
      <c r="M171" s="29"/>
      <c r="N171" s="29"/>
      <c r="O171" s="29"/>
      <c r="P171" s="29"/>
    </row>
    <row r="172" spans="8:16" s="27" customFormat="1">
      <c r="H172" s="29"/>
      <c r="I172" s="29"/>
      <c r="J172" s="29"/>
      <c r="K172" s="29"/>
      <c r="L172" s="29"/>
      <c r="M172" s="29"/>
      <c r="N172" s="29"/>
      <c r="O172" s="29"/>
      <c r="P172" s="29"/>
    </row>
    <row r="173" spans="8:16" s="27" customFormat="1">
      <c r="H173" s="29"/>
      <c r="I173" s="29"/>
      <c r="J173" s="29"/>
      <c r="K173" s="29"/>
      <c r="L173" s="29"/>
      <c r="M173" s="29"/>
      <c r="N173" s="29"/>
      <c r="O173" s="29"/>
      <c r="P173" s="29"/>
    </row>
    <row r="174" spans="8:16" s="27" customFormat="1">
      <c r="H174" s="29"/>
      <c r="I174" s="29"/>
      <c r="J174" s="29"/>
      <c r="K174" s="29"/>
      <c r="L174" s="29"/>
      <c r="M174" s="29"/>
      <c r="N174" s="29"/>
      <c r="O174" s="29"/>
      <c r="P174" s="29"/>
    </row>
    <row r="175" spans="8:16" s="27" customFormat="1">
      <c r="H175" s="29"/>
      <c r="I175" s="29"/>
      <c r="J175" s="29"/>
      <c r="K175" s="29"/>
      <c r="L175" s="29"/>
      <c r="M175" s="29"/>
      <c r="N175" s="29"/>
      <c r="O175" s="29"/>
      <c r="P175" s="29"/>
    </row>
    <row r="176" spans="8:16" s="27" customFormat="1">
      <c r="H176" s="29"/>
      <c r="I176" s="29"/>
      <c r="J176" s="29"/>
      <c r="K176" s="29"/>
      <c r="L176" s="29"/>
      <c r="M176" s="29"/>
      <c r="N176" s="29"/>
      <c r="O176" s="29"/>
      <c r="P176" s="29"/>
    </row>
    <row r="177" spans="8:16" s="27" customFormat="1">
      <c r="H177" s="29"/>
      <c r="I177" s="29"/>
      <c r="J177" s="29"/>
      <c r="K177" s="29"/>
      <c r="L177" s="29"/>
      <c r="M177" s="29"/>
      <c r="N177" s="29"/>
      <c r="O177" s="29"/>
      <c r="P177" s="29"/>
    </row>
    <row r="178" spans="8:16" s="27" customFormat="1">
      <c r="H178" s="29"/>
      <c r="I178" s="29"/>
      <c r="J178" s="29"/>
      <c r="K178" s="29"/>
      <c r="L178" s="29"/>
      <c r="M178" s="29"/>
      <c r="N178" s="29"/>
      <c r="O178" s="29"/>
      <c r="P178" s="29"/>
    </row>
    <row r="179" spans="8:16" s="27" customFormat="1">
      <c r="H179" s="29"/>
      <c r="I179" s="29"/>
      <c r="J179" s="29"/>
      <c r="K179" s="29"/>
      <c r="L179" s="29"/>
      <c r="M179" s="29"/>
      <c r="N179" s="29"/>
      <c r="O179" s="29"/>
      <c r="P179" s="29"/>
    </row>
    <row r="180" spans="8:16" s="27" customFormat="1">
      <c r="H180" s="29"/>
      <c r="I180" s="29"/>
      <c r="J180" s="29"/>
      <c r="K180" s="29"/>
      <c r="L180" s="29"/>
      <c r="M180" s="29"/>
      <c r="N180" s="29"/>
      <c r="O180" s="29"/>
      <c r="P180" s="29"/>
    </row>
    <row r="181" spans="8:16" s="27" customFormat="1">
      <c r="H181" s="29"/>
      <c r="I181" s="29"/>
      <c r="J181" s="29"/>
      <c r="K181" s="29"/>
      <c r="L181" s="29"/>
      <c r="M181" s="29"/>
      <c r="N181" s="29"/>
      <c r="O181" s="29"/>
      <c r="P181" s="29"/>
    </row>
    <row r="182" spans="8:16" s="27" customFormat="1">
      <c r="H182" s="29"/>
      <c r="I182" s="29"/>
      <c r="J182" s="29"/>
      <c r="K182" s="29"/>
      <c r="L182" s="29"/>
      <c r="M182" s="29"/>
      <c r="N182" s="29"/>
      <c r="O182" s="29"/>
      <c r="P182" s="29"/>
    </row>
    <row r="183" spans="8:16" s="27" customFormat="1">
      <c r="H183" s="29"/>
      <c r="I183" s="29"/>
      <c r="J183" s="29"/>
      <c r="K183" s="29"/>
      <c r="L183" s="29"/>
      <c r="M183" s="29"/>
      <c r="N183" s="29"/>
      <c r="O183" s="29"/>
      <c r="P183" s="29"/>
    </row>
    <row r="184" spans="8:16" s="27" customFormat="1">
      <c r="H184" s="29"/>
      <c r="I184" s="29"/>
      <c r="J184" s="29"/>
      <c r="K184" s="29"/>
      <c r="L184" s="29"/>
      <c r="M184" s="29"/>
      <c r="N184" s="29"/>
      <c r="O184" s="29"/>
      <c r="P184" s="29"/>
    </row>
    <row r="185" spans="8:16" s="27" customFormat="1">
      <c r="H185" s="29"/>
      <c r="I185" s="29"/>
      <c r="J185" s="29"/>
      <c r="K185" s="29"/>
      <c r="L185" s="29"/>
      <c r="M185" s="29"/>
      <c r="N185" s="29"/>
      <c r="O185" s="29"/>
      <c r="P185" s="29"/>
    </row>
    <row r="186" spans="8:16" s="27" customFormat="1">
      <c r="H186" s="29"/>
      <c r="I186" s="29"/>
      <c r="J186" s="29"/>
      <c r="K186" s="29"/>
      <c r="L186" s="29"/>
      <c r="M186" s="29"/>
      <c r="N186" s="29"/>
      <c r="O186" s="29"/>
      <c r="P186" s="29"/>
    </row>
    <row r="187" spans="8:16" s="27" customFormat="1">
      <c r="H187" s="29"/>
      <c r="I187" s="29"/>
      <c r="J187" s="29"/>
      <c r="K187" s="29"/>
      <c r="L187" s="29"/>
      <c r="M187" s="29"/>
      <c r="N187" s="29"/>
      <c r="O187" s="29"/>
      <c r="P187" s="29"/>
    </row>
    <row r="188" spans="8:16" s="27" customFormat="1">
      <c r="H188" s="29"/>
      <c r="I188" s="29"/>
      <c r="J188" s="29"/>
      <c r="K188" s="29"/>
      <c r="L188" s="29"/>
      <c r="M188" s="29"/>
      <c r="N188" s="29"/>
      <c r="O188" s="29"/>
      <c r="P188" s="29"/>
    </row>
    <row r="189" spans="8:16" s="27" customFormat="1">
      <c r="H189" s="29"/>
      <c r="I189" s="29"/>
      <c r="J189" s="29"/>
      <c r="K189" s="29"/>
      <c r="L189" s="29"/>
      <c r="M189" s="29"/>
      <c r="N189" s="29"/>
      <c r="O189" s="29"/>
      <c r="P189" s="29"/>
    </row>
    <row r="190" spans="8:16" s="27" customFormat="1">
      <c r="H190" s="29"/>
      <c r="I190" s="29"/>
      <c r="J190" s="29"/>
      <c r="K190" s="29"/>
      <c r="L190" s="29"/>
      <c r="M190" s="29"/>
      <c r="N190" s="29"/>
      <c r="O190" s="29"/>
      <c r="P190" s="29"/>
    </row>
    <row r="191" spans="8:16" s="27" customFormat="1">
      <c r="H191" s="29"/>
      <c r="I191" s="29"/>
      <c r="J191" s="29"/>
      <c r="K191" s="29"/>
      <c r="L191" s="29"/>
      <c r="M191" s="29"/>
      <c r="N191" s="29"/>
      <c r="O191" s="29"/>
      <c r="P191" s="29"/>
    </row>
    <row r="192" spans="8:16" s="27" customFormat="1">
      <c r="H192" s="29"/>
      <c r="I192" s="29"/>
      <c r="J192" s="29"/>
      <c r="K192" s="29"/>
      <c r="L192" s="29"/>
      <c r="M192" s="29"/>
      <c r="N192" s="29"/>
      <c r="O192" s="29"/>
      <c r="P192" s="29"/>
    </row>
    <row r="193" spans="8:16" s="27" customFormat="1">
      <c r="H193" s="29"/>
      <c r="I193" s="29"/>
      <c r="J193" s="29"/>
      <c r="K193" s="29"/>
      <c r="L193" s="29"/>
      <c r="M193" s="29"/>
      <c r="N193" s="29"/>
      <c r="O193" s="29"/>
      <c r="P193" s="29"/>
    </row>
    <row r="194" spans="8:16" s="27" customFormat="1">
      <c r="H194" s="29"/>
      <c r="I194" s="29"/>
      <c r="J194" s="29"/>
      <c r="K194" s="29"/>
      <c r="L194" s="29"/>
      <c r="M194" s="29"/>
      <c r="N194" s="29"/>
      <c r="O194" s="29"/>
      <c r="P194" s="29"/>
    </row>
    <row r="195" spans="8:16" s="27" customFormat="1">
      <c r="H195" s="29"/>
      <c r="I195" s="29"/>
      <c r="J195" s="29"/>
      <c r="K195" s="29"/>
      <c r="L195" s="29"/>
      <c r="M195" s="29"/>
      <c r="N195" s="29"/>
      <c r="O195" s="29"/>
      <c r="P195" s="29"/>
    </row>
    <row r="196" spans="8:16" s="27" customFormat="1">
      <c r="H196" s="29"/>
      <c r="I196" s="29"/>
      <c r="J196" s="29"/>
      <c r="K196" s="29"/>
      <c r="L196" s="29"/>
      <c r="M196" s="29"/>
      <c r="N196" s="29"/>
      <c r="O196" s="29"/>
      <c r="P196" s="29"/>
    </row>
    <row r="197" spans="8:16" s="27" customFormat="1">
      <c r="H197" s="29"/>
      <c r="I197" s="29"/>
      <c r="J197" s="29"/>
      <c r="K197" s="29"/>
      <c r="L197" s="29"/>
      <c r="M197" s="29"/>
      <c r="N197" s="29"/>
      <c r="O197" s="29"/>
      <c r="P197" s="29"/>
    </row>
    <row r="198" spans="8:16" s="27" customFormat="1">
      <c r="H198" s="29"/>
      <c r="I198" s="29"/>
      <c r="J198" s="29"/>
      <c r="K198" s="29"/>
      <c r="L198" s="29"/>
      <c r="M198" s="29"/>
      <c r="N198" s="29"/>
      <c r="O198" s="29"/>
      <c r="P198" s="29"/>
    </row>
    <row r="199" spans="8:16" s="27" customFormat="1">
      <c r="H199" s="29"/>
      <c r="I199" s="29"/>
      <c r="J199" s="29"/>
      <c r="K199" s="29"/>
      <c r="L199" s="29"/>
      <c r="M199" s="29"/>
      <c r="N199" s="29"/>
      <c r="O199" s="29"/>
      <c r="P199" s="29"/>
    </row>
    <row r="200" spans="8:16" s="27" customFormat="1">
      <c r="H200" s="29"/>
      <c r="I200" s="29"/>
      <c r="J200" s="29"/>
      <c r="K200" s="29"/>
      <c r="L200" s="29"/>
      <c r="M200" s="29"/>
      <c r="N200" s="29"/>
      <c r="O200" s="29"/>
      <c r="P200" s="29"/>
    </row>
    <row r="201" spans="8:16" s="27" customFormat="1">
      <c r="H201" s="29"/>
      <c r="I201" s="29"/>
      <c r="J201" s="29"/>
      <c r="K201" s="29"/>
      <c r="L201" s="29"/>
      <c r="M201" s="29"/>
      <c r="N201" s="29"/>
      <c r="O201" s="29"/>
      <c r="P201" s="29"/>
    </row>
    <row r="202" spans="8:16" s="27" customFormat="1">
      <c r="H202" s="29"/>
      <c r="I202" s="29"/>
      <c r="J202" s="29"/>
      <c r="K202" s="29"/>
      <c r="L202" s="29"/>
      <c r="M202" s="29"/>
      <c r="N202" s="29"/>
      <c r="O202" s="29"/>
      <c r="P202" s="29"/>
    </row>
    <row r="203" spans="8:16" s="27" customFormat="1">
      <c r="H203" s="29"/>
      <c r="I203" s="29"/>
      <c r="J203" s="29"/>
      <c r="K203" s="29"/>
      <c r="L203" s="29"/>
      <c r="M203" s="29"/>
      <c r="N203" s="29"/>
      <c r="O203" s="29"/>
      <c r="P203" s="29"/>
    </row>
    <row r="204" spans="8:16" s="27" customFormat="1">
      <c r="H204" s="29"/>
      <c r="I204" s="29"/>
      <c r="J204" s="29"/>
      <c r="K204" s="29"/>
      <c r="L204" s="29"/>
      <c r="M204" s="29"/>
      <c r="N204" s="29"/>
      <c r="O204" s="29"/>
      <c r="P204" s="29"/>
    </row>
    <row r="205" spans="8:16" s="27" customFormat="1">
      <c r="H205" s="29"/>
      <c r="I205" s="29"/>
      <c r="J205" s="29"/>
      <c r="K205" s="29"/>
      <c r="L205" s="29"/>
      <c r="M205" s="29"/>
      <c r="N205" s="29"/>
      <c r="O205" s="29"/>
      <c r="P205" s="29"/>
    </row>
    <row r="206" spans="8:16" s="27" customFormat="1">
      <c r="H206" s="29"/>
      <c r="I206" s="29"/>
      <c r="J206" s="29"/>
      <c r="K206" s="29"/>
      <c r="L206" s="29"/>
      <c r="M206" s="29"/>
      <c r="N206" s="29"/>
      <c r="O206" s="29"/>
      <c r="P206" s="29"/>
    </row>
    <row r="207" spans="8:16" s="27" customFormat="1">
      <c r="H207" s="29"/>
      <c r="I207" s="29"/>
      <c r="J207" s="29"/>
      <c r="K207" s="29"/>
      <c r="L207" s="29"/>
      <c r="M207" s="29"/>
      <c r="N207" s="29"/>
      <c r="O207" s="29"/>
      <c r="P207" s="29"/>
    </row>
    <row r="208" spans="8:16" s="27" customFormat="1">
      <c r="H208" s="29"/>
      <c r="I208" s="29"/>
      <c r="J208" s="29"/>
      <c r="K208" s="29"/>
      <c r="L208" s="29"/>
      <c r="M208" s="29"/>
      <c r="N208" s="29"/>
      <c r="O208" s="29"/>
      <c r="P208" s="29"/>
    </row>
    <row r="209" spans="8:16" s="27" customFormat="1">
      <c r="H209" s="29"/>
      <c r="I209" s="29"/>
      <c r="J209" s="29"/>
      <c r="K209" s="29"/>
      <c r="L209" s="29"/>
      <c r="M209" s="29"/>
      <c r="N209" s="29"/>
      <c r="O209" s="29"/>
      <c r="P209" s="29"/>
    </row>
    <row r="210" spans="8:16" s="27" customFormat="1">
      <c r="H210" s="29"/>
      <c r="I210" s="29"/>
      <c r="J210" s="29"/>
      <c r="K210" s="29"/>
      <c r="L210" s="29"/>
      <c r="M210" s="29"/>
      <c r="N210" s="29"/>
      <c r="O210" s="29"/>
      <c r="P210" s="29"/>
    </row>
    <row r="211" spans="8:16" s="27" customFormat="1">
      <c r="H211" s="29"/>
      <c r="I211" s="29"/>
      <c r="J211" s="29"/>
      <c r="K211" s="29"/>
      <c r="L211" s="29"/>
      <c r="M211" s="29"/>
      <c r="N211" s="29"/>
      <c r="O211" s="29"/>
      <c r="P211" s="29"/>
    </row>
    <row r="212" spans="8:16" s="27" customFormat="1">
      <c r="H212" s="29"/>
      <c r="I212" s="29"/>
      <c r="J212" s="29"/>
      <c r="K212" s="29"/>
      <c r="L212" s="29"/>
      <c r="M212" s="29"/>
      <c r="N212" s="29"/>
      <c r="O212" s="29"/>
      <c r="P212" s="29"/>
    </row>
  </sheetData>
  <mergeCells count="5">
    <mergeCell ref="A1:Y1"/>
    <mergeCell ref="A15:B15"/>
    <mergeCell ref="A13:B13"/>
    <mergeCell ref="A2:Y2"/>
    <mergeCell ref="A14:B14"/>
  </mergeCell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89B0"/>
  </sheetPr>
  <dimension ref="A1:BD44"/>
  <sheetViews>
    <sheetView workbookViewId="0">
      <selection sqref="A1:AC1"/>
    </sheetView>
  </sheetViews>
  <sheetFormatPr baseColWidth="10" defaultRowHeight="15"/>
  <cols>
    <col min="1" max="1" width="9.7109375" customWidth="1"/>
    <col min="2" max="2" width="17.7109375" customWidth="1"/>
    <col min="3" max="3" width="9.28515625" customWidth="1"/>
    <col min="4" max="4" width="15.28515625" customWidth="1"/>
    <col min="5" max="5" width="21.28515625" customWidth="1"/>
    <col min="6" max="6" width="21.140625" customWidth="1"/>
    <col min="7" max="7" width="19.42578125" customWidth="1"/>
    <col min="8" max="8" width="22.140625" customWidth="1"/>
    <col min="9" max="9" width="21" customWidth="1"/>
    <col min="10" max="10" width="12.7109375" customWidth="1"/>
    <col min="11" max="11" width="22.140625" customWidth="1"/>
    <col min="12" max="12" width="21.140625" customWidth="1"/>
    <col min="13" max="13" width="14.28515625" customWidth="1"/>
    <col min="14" max="15" width="22.140625" customWidth="1"/>
    <col min="16" max="16" width="12.42578125" customWidth="1"/>
    <col min="17" max="17" width="10.7109375" customWidth="1"/>
    <col min="18" max="18" width="24.85546875" style="4" customWidth="1"/>
    <col min="19" max="19" width="27.42578125" customWidth="1"/>
    <col min="20" max="20" width="25.7109375" customWidth="1"/>
    <col min="21" max="21" width="26.7109375" customWidth="1"/>
    <col min="22" max="22" width="16.85546875" customWidth="1"/>
    <col min="23" max="23" width="17.42578125" customWidth="1"/>
    <col min="24" max="24" width="15.28515625" customWidth="1"/>
    <col min="25" max="25" width="13.28515625" customWidth="1"/>
    <col min="26" max="26" width="25.85546875" customWidth="1"/>
    <col min="27" max="27" width="29.28515625" customWidth="1"/>
    <col min="28" max="28" width="13.7109375" customWidth="1"/>
    <col min="29" max="31" width="13.140625" customWidth="1"/>
  </cols>
  <sheetData>
    <row r="1" spans="1:56" s="27" customFormat="1" ht="9.75" customHeight="1" thickBot="1">
      <c r="A1" s="1236" t="s">
        <v>145</v>
      </c>
      <c r="B1" s="1236"/>
      <c r="C1" s="1236"/>
      <c r="D1" s="1236"/>
      <c r="E1" s="1236"/>
      <c r="F1" s="1236"/>
      <c r="G1" s="1236"/>
      <c r="H1" s="1236"/>
      <c r="I1" s="1236"/>
      <c r="J1" s="1236"/>
      <c r="K1" s="1236"/>
      <c r="L1" s="1236"/>
      <c r="M1" s="1236"/>
      <c r="N1" s="1236"/>
      <c r="O1" s="1236"/>
      <c r="P1" s="1236"/>
      <c r="Q1" s="1236"/>
      <c r="R1" s="1236"/>
      <c r="S1" s="1236"/>
      <c r="T1" s="1236"/>
      <c r="U1" s="1236"/>
      <c r="V1" s="1236"/>
      <c r="W1" s="1236"/>
      <c r="X1" s="1236"/>
      <c r="Y1" s="1236"/>
      <c r="Z1" s="1236"/>
      <c r="AA1" s="1236"/>
      <c r="AB1" s="1236"/>
      <c r="AC1" s="1236"/>
    </row>
    <row r="2" spans="1:56" s="86" customFormat="1" ht="67.5" customHeight="1" thickBot="1">
      <c r="A2" s="1269" t="s">
        <v>142</v>
      </c>
      <c r="B2" s="1270"/>
      <c r="C2" s="1270"/>
      <c r="D2" s="1270"/>
      <c r="E2" s="1270"/>
      <c r="F2" s="1270"/>
      <c r="G2" s="1270"/>
      <c r="H2" s="1270"/>
      <c r="I2" s="1270"/>
      <c r="J2" s="1270"/>
      <c r="K2" s="1270"/>
      <c r="L2" s="1270"/>
      <c r="M2" s="1270"/>
      <c r="N2" s="1270"/>
      <c r="O2" s="1270"/>
      <c r="P2" s="1270"/>
      <c r="Q2" s="1270"/>
      <c r="R2" s="1270"/>
      <c r="S2" s="1270"/>
      <c r="T2" s="1270"/>
      <c r="U2" s="1270"/>
      <c r="V2" s="1270"/>
      <c r="W2" s="1270"/>
      <c r="X2" s="1270"/>
      <c r="Y2" s="1270"/>
      <c r="Z2" s="1270"/>
      <c r="AA2" s="1270"/>
      <c r="AB2" s="1270"/>
      <c r="AC2" s="1270"/>
    </row>
    <row r="3" spans="1:56" s="5" customFormat="1" ht="51.75" customHeight="1">
      <c r="A3" s="126" t="s">
        <v>106</v>
      </c>
      <c r="B3" s="127" t="s">
        <v>14</v>
      </c>
      <c r="C3" s="127" t="s">
        <v>17</v>
      </c>
      <c r="D3" s="127" t="s">
        <v>49</v>
      </c>
      <c r="E3" s="127" t="s">
        <v>111</v>
      </c>
      <c r="F3" s="127" t="s">
        <v>128</v>
      </c>
      <c r="G3" s="128" t="s">
        <v>109</v>
      </c>
      <c r="H3" s="127" t="s">
        <v>131</v>
      </c>
      <c r="I3" s="127" t="s">
        <v>132</v>
      </c>
      <c r="J3" s="127" t="s">
        <v>52</v>
      </c>
      <c r="K3" s="127" t="s">
        <v>107</v>
      </c>
      <c r="L3" s="127" t="s">
        <v>108</v>
      </c>
      <c r="M3" s="127" t="s">
        <v>130</v>
      </c>
      <c r="N3" s="127" t="s">
        <v>116</v>
      </c>
      <c r="O3" s="127" t="s">
        <v>113</v>
      </c>
      <c r="P3" s="127" t="s">
        <v>133</v>
      </c>
      <c r="Q3" s="128" t="s">
        <v>112</v>
      </c>
      <c r="R3" s="127" t="s">
        <v>114</v>
      </c>
      <c r="S3" s="127" t="s">
        <v>115</v>
      </c>
      <c r="T3" s="127" t="s">
        <v>136</v>
      </c>
      <c r="U3" s="127" t="s">
        <v>126</v>
      </c>
      <c r="V3" s="127" t="s">
        <v>119</v>
      </c>
      <c r="W3" s="127" t="s">
        <v>120</v>
      </c>
      <c r="X3" s="127" t="s">
        <v>121</v>
      </c>
      <c r="Y3" s="127" t="s">
        <v>122</v>
      </c>
      <c r="Z3" s="127" t="s">
        <v>144</v>
      </c>
      <c r="AA3" s="127" t="s">
        <v>151</v>
      </c>
      <c r="AB3" s="127" t="s">
        <v>124</v>
      </c>
      <c r="AC3" s="127" t="s">
        <v>125</v>
      </c>
      <c r="AD3" s="127" t="s">
        <v>239</v>
      </c>
      <c r="AE3" s="127" t="s">
        <v>238</v>
      </c>
      <c r="AF3" s="30"/>
      <c r="AG3" s="30"/>
      <c r="AH3" s="30"/>
      <c r="AI3" s="30"/>
      <c r="AJ3" s="30"/>
      <c r="AK3" s="30"/>
      <c r="AL3" s="30"/>
      <c r="AM3" s="30"/>
      <c r="AN3" s="30"/>
      <c r="AO3" s="30"/>
      <c r="AP3" s="30"/>
      <c r="AQ3" s="30"/>
      <c r="AR3" s="30"/>
      <c r="AS3" s="30"/>
      <c r="AT3" s="30"/>
      <c r="AU3" s="30"/>
      <c r="AV3" s="30"/>
      <c r="AW3" s="30"/>
      <c r="AX3" s="30"/>
      <c r="AY3" s="30"/>
      <c r="AZ3" s="30"/>
      <c r="BA3" s="30"/>
      <c r="BB3" s="30"/>
      <c r="BC3" s="30"/>
      <c r="BD3" s="30"/>
    </row>
    <row r="4" spans="1:56">
      <c r="A4" s="125" t="s">
        <v>7</v>
      </c>
      <c r="B4" s="125" t="s">
        <v>63</v>
      </c>
      <c r="C4" s="198">
        <f>C23</f>
        <v>2.666E-2</v>
      </c>
      <c r="D4" s="198">
        <f>C4*1000</f>
        <v>26.66</v>
      </c>
      <c r="E4" s="198">
        <f>E10/C10</f>
        <v>1535615.9999999998</v>
      </c>
      <c r="F4" s="198">
        <f>F10/C10</f>
        <v>614246.39999999991</v>
      </c>
      <c r="G4" s="199">
        <f>E4-F4</f>
        <v>921369.59999999986</v>
      </c>
      <c r="H4" s="199">
        <f>E4/3600/1000</f>
        <v>0.42655999999999994</v>
      </c>
      <c r="I4" s="199">
        <f>F4/3600/1000</f>
        <v>0.17062399999999997</v>
      </c>
      <c r="J4" s="199">
        <f>H4-I4</f>
        <v>0.25593599999999994</v>
      </c>
      <c r="K4" s="199">
        <f>E4/3600</f>
        <v>426.55999999999995</v>
      </c>
      <c r="L4" s="199">
        <f>F4/3600</f>
        <v>170.62399999999997</v>
      </c>
      <c r="M4" s="199">
        <f>K4-L4</f>
        <v>255.93599999999998</v>
      </c>
      <c r="N4" s="199">
        <f>H4*$C$24</f>
        <v>0.19536447999999998</v>
      </c>
      <c r="O4" s="199">
        <f>I4</f>
        <v>0.17062399999999997</v>
      </c>
      <c r="P4" s="199">
        <f>N4-O4</f>
        <v>2.4740480000000009E-2</v>
      </c>
      <c r="Q4" s="199">
        <f>G4*(100/E4)</f>
        <v>60</v>
      </c>
      <c r="R4" s="199">
        <f>N4/0.1235</f>
        <v>1.5818986234817811</v>
      </c>
      <c r="S4" s="199">
        <f>O4/0.1235</f>
        <v>1.3815708502024289</v>
      </c>
      <c r="T4" s="199">
        <f>N4/0.039</f>
        <v>5.0093456410256403</v>
      </c>
      <c r="U4" s="199">
        <f>O4/0.039</f>
        <v>4.3749743589743586</v>
      </c>
      <c r="V4" s="199">
        <f>V16/C16</f>
        <v>2.6659999999999999</v>
      </c>
      <c r="W4" s="198">
        <f>W16/C16</f>
        <v>1.5995999999999999</v>
      </c>
      <c r="X4" s="198">
        <f>V4-W4</f>
        <v>1.0664</v>
      </c>
      <c r="Y4" s="198">
        <f>X4*(100/V4)</f>
        <v>40.000000000000007</v>
      </c>
      <c r="Z4" s="198">
        <f>Z16/C16</f>
        <v>4.5322E-4</v>
      </c>
      <c r="AA4" s="198">
        <f>Z4</f>
        <v>4.5322E-4</v>
      </c>
      <c r="AB4" s="198">
        <f>Z4-AA4</f>
        <v>0</v>
      </c>
      <c r="AC4" s="198">
        <f>AA4*(100/Z4)</f>
        <v>100</v>
      </c>
      <c r="AD4" s="198">
        <f>AB4*(100/AA4)</f>
        <v>0</v>
      </c>
      <c r="AE4" s="198" t="e">
        <f>AC4*(100/AB4)</f>
        <v>#DIV/0!</v>
      </c>
    </row>
    <row r="5" spans="1:56">
      <c r="A5" s="125" t="s">
        <v>7</v>
      </c>
      <c r="B5" s="125" t="s">
        <v>85</v>
      </c>
      <c r="C5" s="199">
        <v>6.3560000000000005E-2</v>
      </c>
      <c r="D5" s="198"/>
      <c r="E5" s="198">
        <v>12000000</v>
      </c>
      <c r="F5" s="198"/>
      <c r="G5" s="198"/>
      <c r="H5" s="199">
        <f>E5/3600/1000</f>
        <v>3.3333333333333335</v>
      </c>
      <c r="I5" s="199">
        <f>F5/3600/1000</f>
        <v>0</v>
      </c>
      <c r="J5" s="199">
        <f t="shared" ref="J5:J17" si="0">H5-I5</f>
        <v>3.3333333333333335</v>
      </c>
      <c r="K5" s="199">
        <f t="shared" ref="K5:K17" si="1">E5/3600</f>
        <v>3333.3333333333335</v>
      </c>
      <c r="L5" s="199">
        <f t="shared" ref="L5:L18" si="2">F5/3600</f>
        <v>0</v>
      </c>
      <c r="M5" s="199">
        <f>K5-L5</f>
        <v>3333.3333333333335</v>
      </c>
      <c r="N5" s="199">
        <f>H5*$C$24</f>
        <v>1.5266666666666668</v>
      </c>
      <c r="O5" s="199">
        <f>I5</f>
        <v>0</v>
      </c>
      <c r="P5" s="199">
        <f>N5-O5</f>
        <v>1.5266666666666668</v>
      </c>
      <c r="Q5" s="199">
        <f>G5*(100/E5)</f>
        <v>0</v>
      </c>
      <c r="R5" s="199">
        <f t="shared" ref="R5:R18" si="3">N5/0.1235</f>
        <v>12.361673414304995</v>
      </c>
      <c r="S5" s="199">
        <f t="shared" ref="S5:S18" si="4">O5/0.1235</f>
        <v>0</v>
      </c>
      <c r="T5" s="199">
        <f t="shared" ref="T5:T18" si="5">N5/0.039</f>
        <v>39.145299145299148</v>
      </c>
      <c r="U5" s="199">
        <f t="shared" ref="U5:U18" si="6">O5/0.039</f>
        <v>0</v>
      </c>
      <c r="V5" s="198">
        <v>3.8</v>
      </c>
      <c r="W5" s="198"/>
      <c r="X5" s="198"/>
      <c r="Y5" s="198"/>
      <c r="Z5" s="198"/>
      <c r="AA5" s="198"/>
      <c r="AB5" s="198">
        <f>Z5-AA5</f>
        <v>0</v>
      </c>
      <c r="AC5" s="198"/>
      <c r="AD5" s="198"/>
      <c r="AE5" s="198"/>
    </row>
    <row r="6" spans="1:56">
      <c r="A6" s="125"/>
      <c r="B6" s="125" t="s">
        <v>90</v>
      </c>
      <c r="C6" s="199"/>
      <c r="D6" s="198"/>
      <c r="E6" s="198"/>
      <c r="F6" s="198"/>
      <c r="G6" s="198"/>
      <c r="H6" s="199"/>
      <c r="I6" s="199"/>
      <c r="J6" s="199"/>
      <c r="K6" s="199"/>
      <c r="L6" s="199"/>
      <c r="M6" s="199"/>
      <c r="N6" s="199"/>
      <c r="O6" s="199"/>
      <c r="P6" s="199"/>
      <c r="Q6" s="199" t="e">
        <f>G6*(100/E6)</f>
        <v>#DIV/0!</v>
      </c>
      <c r="R6" s="199">
        <f t="shared" si="3"/>
        <v>0</v>
      </c>
      <c r="S6" s="199">
        <f t="shared" si="4"/>
        <v>0</v>
      </c>
      <c r="T6" s="199">
        <f t="shared" si="5"/>
        <v>0</v>
      </c>
      <c r="U6" s="199">
        <f t="shared" si="6"/>
        <v>0</v>
      </c>
      <c r="V6" s="198"/>
      <c r="W6" s="198"/>
      <c r="X6" s="198"/>
      <c r="Y6" s="198"/>
      <c r="Z6" s="198"/>
      <c r="AA6" s="198"/>
      <c r="AB6" s="198"/>
      <c r="AC6" s="198"/>
      <c r="AD6" s="198"/>
      <c r="AE6" s="198"/>
    </row>
    <row r="7" spans="1:56">
      <c r="A7" s="125"/>
      <c r="B7" s="125" t="s">
        <v>186</v>
      </c>
      <c r="C7" s="199"/>
      <c r="D7" s="198"/>
      <c r="E7" s="198"/>
      <c r="F7" s="198"/>
      <c r="G7" s="198"/>
      <c r="H7" s="199"/>
      <c r="I7" s="199"/>
      <c r="J7" s="199"/>
      <c r="K7" s="199"/>
      <c r="L7" s="199"/>
      <c r="M7" s="199"/>
      <c r="N7" s="199"/>
      <c r="O7" s="199"/>
      <c r="P7" s="199"/>
      <c r="Q7" s="199" t="e">
        <f>G7*(100/E7)</f>
        <v>#DIV/0!</v>
      </c>
      <c r="R7" s="199"/>
      <c r="S7" s="199"/>
      <c r="T7" s="199"/>
      <c r="U7" s="199"/>
      <c r="V7" s="198"/>
      <c r="W7" s="198"/>
      <c r="X7" s="198"/>
      <c r="Y7" s="198"/>
      <c r="Z7" s="198"/>
      <c r="AA7" s="198"/>
      <c r="AB7" s="198"/>
      <c r="AC7" s="198"/>
      <c r="AD7" s="198"/>
      <c r="AE7" s="198"/>
    </row>
    <row r="8" spans="1:56" s="27" customFormat="1">
      <c r="C8" s="145"/>
      <c r="D8" s="144"/>
      <c r="E8" s="144"/>
      <c r="F8" s="144"/>
      <c r="G8" s="144"/>
      <c r="H8" s="145"/>
      <c r="I8" s="145"/>
      <c r="J8" s="145"/>
      <c r="K8" s="145"/>
      <c r="L8" s="145"/>
      <c r="M8" s="145"/>
      <c r="N8" s="145"/>
      <c r="O8" s="145"/>
      <c r="P8" s="145"/>
      <c r="Q8" s="145"/>
      <c r="R8" s="145"/>
      <c r="S8" s="145"/>
      <c r="T8" s="145"/>
      <c r="U8" s="145"/>
      <c r="V8" s="144"/>
      <c r="W8" s="144"/>
      <c r="X8" s="144"/>
      <c r="Y8" s="144"/>
      <c r="Z8" s="144"/>
      <c r="AA8" s="144"/>
      <c r="AB8" s="144"/>
      <c r="AC8" s="144"/>
      <c r="AD8" s="144"/>
      <c r="AE8" s="144"/>
    </row>
    <row r="9" spans="1:56">
      <c r="A9" s="40"/>
      <c r="B9" s="40"/>
      <c r="C9" s="200" t="s">
        <v>43</v>
      </c>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row>
    <row r="10" spans="1:56">
      <c r="A10" s="125" t="s">
        <v>15</v>
      </c>
      <c r="B10" s="125" t="s">
        <v>63</v>
      </c>
      <c r="C10" s="199">
        <f>1/C4</f>
        <v>37.509377344336087</v>
      </c>
      <c r="D10" s="199">
        <f>C10*C4</f>
        <v>1</v>
      </c>
      <c r="E10" s="198">
        <f>E16/1000</f>
        <v>57600000</v>
      </c>
      <c r="F10" s="199">
        <f>F16/1000</f>
        <v>23040000</v>
      </c>
      <c r="G10" s="199">
        <f>G16/1000</f>
        <v>34560000</v>
      </c>
      <c r="H10" s="199">
        <f>E10/3600/1000</f>
        <v>16</v>
      </c>
      <c r="I10" s="199">
        <f>F10/3600/1000</f>
        <v>6.4</v>
      </c>
      <c r="J10" s="199">
        <f t="shared" si="0"/>
        <v>9.6</v>
      </c>
      <c r="K10" s="199">
        <f t="shared" si="1"/>
        <v>16000</v>
      </c>
      <c r="L10" s="199">
        <f t="shared" si="2"/>
        <v>6400</v>
      </c>
      <c r="M10" s="199">
        <f>K10-L10</f>
        <v>9600</v>
      </c>
      <c r="N10" s="199">
        <f>H10*$C$24</f>
        <v>7.3280000000000003</v>
      </c>
      <c r="O10" s="199">
        <f>I10</f>
        <v>6.4</v>
      </c>
      <c r="P10" s="199">
        <f>N10-O10</f>
        <v>0.92799999999999994</v>
      </c>
      <c r="Q10" s="199">
        <f>G10*(100/E10)</f>
        <v>60</v>
      </c>
      <c r="R10" s="199">
        <f t="shared" si="3"/>
        <v>59.336032388663973</v>
      </c>
      <c r="S10" s="199">
        <f t="shared" si="4"/>
        <v>51.821862348178144</v>
      </c>
      <c r="T10" s="199">
        <f t="shared" si="5"/>
        <v>187.89743589743591</v>
      </c>
      <c r="U10" s="199">
        <f t="shared" si="6"/>
        <v>164.10256410256412</v>
      </c>
      <c r="V10" s="199">
        <f>V16/1000</f>
        <v>100</v>
      </c>
      <c r="W10" s="199">
        <f>W16/1000</f>
        <v>60</v>
      </c>
      <c r="X10" s="199">
        <f>V10-W10</f>
        <v>40</v>
      </c>
      <c r="Y10" s="199">
        <f>X10*(100/V10)</f>
        <v>40</v>
      </c>
      <c r="Z10" s="198">
        <f>Z16/1000</f>
        <v>1.7000000000000001E-2</v>
      </c>
      <c r="AA10" s="198">
        <f>Z10</f>
        <v>1.7000000000000001E-2</v>
      </c>
      <c r="AB10" s="198">
        <f>Z10-AA10</f>
        <v>0</v>
      </c>
      <c r="AC10" s="199">
        <f>AA10*(100/Z10)</f>
        <v>100</v>
      </c>
      <c r="AD10" s="199">
        <f>AB10*(100/AA10)</f>
        <v>0</v>
      </c>
      <c r="AE10" s="199" t="e">
        <f>AC10*(100/AB10)</f>
        <v>#DIV/0!</v>
      </c>
    </row>
    <row r="11" spans="1:56">
      <c r="A11" s="125"/>
      <c r="B11" s="125" t="s">
        <v>85</v>
      </c>
      <c r="C11" s="198">
        <f>1/C5</f>
        <v>15.733165512901195</v>
      </c>
      <c r="D11" s="198"/>
      <c r="E11" s="198"/>
      <c r="F11" s="198"/>
      <c r="G11" s="198"/>
      <c r="H11" s="199">
        <f t="shared" ref="H11:H17" si="7">E11/3600/1000</f>
        <v>0</v>
      </c>
      <c r="I11" s="199">
        <f>F11/3600/1000</f>
        <v>0</v>
      </c>
      <c r="J11" s="199">
        <f t="shared" si="0"/>
        <v>0</v>
      </c>
      <c r="K11" s="199">
        <f t="shared" si="1"/>
        <v>0</v>
      </c>
      <c r="L11" s="199">
        <f t="shared" si="2"/>
        <v>0</v>
      </c>
      <c r="M11" s="199">
        <f>K11-L11</f>
        <v>0</v>
      </c>
      <c r="N11" s="199">
        <f>H11*$C$24</f>
        <v>0</v>
      </c>
      <c r="O11" s="199">
        <f>I11</f>
        <v>0</v>
      </c>
      <c r="P11" s="199">
        <f>N11-O11</f>
        <v>0</v>
      </c>
      <c r="Q11" s="199" t="e">
        <f>G11*(100/E11)</f>
        <v>#DIV/0!</v>
      </c>
      <c r="R11" s="199">
        <f t="shared" si="3"/>
        <v>0</v>
      </c>
      <c r="S11" s="199">
        <f t="shared" si="4"/>
        <v>0</v>
      </c>
      <c r="T11" s="199">
        <f t="shared" si="5"/>
        <v>0</v>
      </c>
      <c r="U11" s="199">
        <f t="shared" si="6"/>
        <v>0</v>
      </c>
      <c r="V11" s="198">
        <f>V5*C11</f>
        <v>59.786028949024541</v>
      </c>
      <c r="W11" s="198"/>
      <c r="X11" s="198"/>
      <c r="Y11" s="198"/>
      <c r="Z11" s="198"/>
      <c r="AA11" s="198"/>
      <c r="AB11" s="198">
        <f>Z11-AA11</f>
        <v>0</v>
      </c>
      <c r="AC11" s="198"/>
      <c r="AD11" s="198"/>
      <c r="AE11" s="198"/>
    </row>
    <row r="12" spans="1:56">
      <c r="A12" s="125"/>
      <c r="B12" s="125" t="s">
        <v>90</v>
      </c>
      <c r="C12" s="198"/>
      <c r="D12" s="198"/>
      <c r="E12" s="198"/>
      <c r="F12" s="198"/>
      <c r="G12" s="198"/>
      <c r="H12" s="199">
        <f t="shared" si="7"/>
        <v>0</v>
      </c>
      <c r="I12" s="199">
        <f>F12/3600/1000</f>
        <v>0</v>
      </c>
      <c r="J12" s="199">
        <f t="shared" si="0"/>
        <v>0</v>
      </c>
      <c r="K12" s="199">
        <f t="shared" si="1"/>
        <v>0</v>
      </c>
      <c r="L12" s="199">
        <f t="shared" si="2"/>
        <v>0</v>
      </c>
      <c r="M12" s="199">
        <f>K12-L12</f>
        <v>0</v>
      </c>
      <c r="N12" s="199">
        <v>1.5760000000000001</v>
      </c>
      <c r="O12" s="199">
        <v>0.78</v>
      </c>
      <c r="P12" s="199">
        <f>N12-O12</f>
        <v>0.79600000000000004</v>
      </c>
      <c r="Q12" s="199" t="e">
        <f>G12*(100/E12)</f>
        <v>#DIV/0!</v>
      </c>
      <c r="R12" s="199">
        <f t="shared" si="3"/>
        <v>12.761133603238868</v>
      </c>
      <c r="S12" s="199">
        <f t="shared" si="4"/>
        <v>6.3157894736842106</v>
      </c>
      <c r="T12" s="199">
        <f t="shared" si="5"/>
        <v>40.410256410256409</v>
      </c>
      <c r="U12" s="199">
        <f t="shared" si="6"/>
        <v>20</v>
      </c>
      <c r="V12" s="198"/>
      <c r="W12" s="198"/>
      <c r="X12" s="198"/>
      <c r="Y12" s="198"/>
      <c r="Z12" s="198"/>
      <c r="AA12" s="198"/>
      <c r="AB12" s="198">
        <f>Z12-AA12</f>
        <v>0</v>
      </c>
      <c r="AC12" s="198"/>
      <c r="AD12" s="198"/>
      <c r="AE12" s="198"/>
    </row>
    <row r="13" spans="1:56">
      <c r="A13" s="231"/>
      <c r="B13" s="125" t="s">
        <v>186</v>
      </c>
      <c r="C13" s="233"/>
      <c r="D13" s="233"/>
      <c r="E13" s="233"/>
      <c r="F13" s="233"/>
      <c r="G13" s="233"/>
      <c r="H13" s="232"/>
      <c r="I13" s="232"/>
      <c r="J13" s="232"/>
      <c r="K13" s="232"/>
      <c r="L13" s="232"/>
      <c r="M13" s="232"/>
      <c r="N13" s="232"/>
      <c r="O13" s="232"/>
      <c r="P13" s="232"/>
      <c r="Q13" s="232"/>
      <c r="R13" s="232"/>
      <c r="S13" s="232"/>
      <c r="T13" s="232"/>
      <c r="U13" s="232"/>
      <c r="V13" s="233"/>
      <c r="W13" s="233"/>
      <c r="X13" s="233"/>
      <c r="Y13" s="233"/>
      <c r="Z13" s="233"/>
      <c r="AA13" s="233"/>
      <c r="AB13" s="233"/>
      <c r="AC13" s="233"/>
      <c r="AD13" s="233"/>
      <c r="AE13" s="233"/>
    </row>
    <row r="14" spans="1:56" s="27" customFormat="1">
      <c r="C14" s="144"/>
      <c r="D14" s="144"/>
      <c r="E14" s="144"/>
      <c r="F14" s="144"/>
      <c r="G14" s="144"/>
      <c r="H14" s="145"/>
      <c r="I14" s="145"/>
      <c r="J14" s="145"/>
      <c r="K14" s="145"/>
      <c r="L14" s="145"/>
      <c r="M14" s="145"/>
      <c r="N14" s="145"/>
      <c r="O14" s="145"/>
      <c r="P14" s="145"/>
      <c r="Q14" s="145"/>
      <c r="R14" s="145"/>
      <c r="S14" s="145"/>
      <c r="T14" s="145"/>
      <c r="U14" s="145"/>
      <c r="V14" s="144"/>
      <c r="W14" s="144"/>
      <c r="X14" s="144"/>
      <c r="Y14" s="144"/>
      <c r="Z14" s="144"/>
      <c r="AA14" s="144"/>
      <c r="AB14" s="144"/>
      <c r="AC14" s="144"/>
      <c r="AD14" s="144"/>
      <c r="AE14" s="144"/>
    </row>
    <row r="15" spans="1:56">
      <c r="A15" s="41"/>
      <c r="B15" s="41"/>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row>
    <row r="16" spans="1:56">
      <c r="A16" s="125" t="s">
        <v>28</v>
      </c>
      <c r="B16" s="125" t="s">
        <v>63</v>
      </c>
      <c r="C16" s="199">
        <f>C10*1000</f>
        <v>37509.377344336084</v>
      </c>
      <c r="D16" s="199">
        <f>C16*C4</f>
        <v>1000</v>
      </c>
      <c r="E16" s="199">
        <v>57600000000</v>
      </c>
      <c r="F16" s="199">
        <v>23040000000</v>
      </c>
      <c r="G16" s="199">
        <f>E16-F16</f>
        <v>34560000000</v>
      </c>
      <c r="H16" s="199">
        <f>E16/3600/1000</f>
        <v>16000</v>
      </c>
      <c r="I16" s="199">
        <f>F16/3600/1000</f>
        <v>6400</v>
      </c>
      <c r="J16" s="199">
        <f t="shared" si="0"/>
        <v>9600</v>
      </c>
      <c r="K16" s="199">
        <f t="shared" si="1"/>
        <v>16000000</v>
      </c>
      <c r="L16" s="199">
        <f t="shared" si="2"/>
        <v>6400000</v>
      </c>
      <c r="M16" s="199">
        <f>K16-L16</f>
        <v>9600000</v>
      </c>
      <c r="N16" s="199">
        <f>H16*$C$24</f>
        <v>7328</v>
      </c>
      <c r="O16" s="199">
        <f>I16</f>
        <v>6400</v>
      </c>
      <c r="P16" s="199">
        <f>N16-O16</f>
        <v>928</v>
      </c>
      <c r="Q16" s="199">
        <f>G16*(100/E16)</f>
        <v>60</v>
      </c>
      <c r="R16" s="199">
        <f t="shared" si="3"/>
        <v>59336.032388663967</v>
      </c>
      <c r="S16" s="199">
        <f t="shared" si="4"/>
        <v>51821.86234817814</v>
      </c>
      <c r="T16" s="199">
        <f t="shared" si="5"/>
        <v>187897.43589743591</v>
      </c>
      <c r="U16" s="199">
        <f t="shared" si="6"/>
        <v>164102.56410256409</v>
      </c>
      <c r="V16" s="198">
        <v>100000</v>
      </c>
      <c r="W16" s="198">
        <v>60000</v>
      </c>
      <c r="X16" s="198">
        <f>V16-W16</f>
        <v>40000</v>
      </c>
      <c r="Y16" s="198">
        <f>X16*(100/V16)</f>
        <v>40</v>
      </c>
      <c r="Z16" s="198">
        <v>17</v>
      </c>
      <c r="AA16" s="198">
        <v>0</v>
      </c>
      <c r="AB16" s="198">
        <f>Z16-AA16</f>
        <v>17</v>
      </c>
      <c r="AC16" s="198">
        <v>100</v>
      </c>
      <c r="AD16" s="198">
        <v>100</v>
      </c>
      <c r="AE16" s="198">
        <v>100</v>
      </c>
    </row>
    <row r="17" spans="1:31">
      <c r="A17" s="125"/>
      <c r="B17" s="125" t="s">
        <v>85</v>
      </c>
      <c r="C17" s="199">
        <f>C11*1000</f>
        <v>15733.165512901194</v>
      </c>
      <c r="D17" s="199"/>
      <c r="E17" s="199"/>
      <c r="F17" s="199"/>
      <c r="G17" s="199"/>
      <c r="H17" s="199">
        <f t="shared" si="7"/>
        <v>0</v>
      </c>
      <c r="I17" s="199">
        <f>F17/3600/1000</f>
        <v>0</v>
      </c>
      <c r="J17" s="199">
        <f t="shared" si="0"/>
        <v>0</v>
      </c>
      <c r="K17" s="199">
        <f t="shared" si="1"/>
        <v>0</v>
      </c>
      <c r="L17" s="199">
        <f t="shared" si="2"/>
        <v>0</v>
      </c>
      <c r="M17" s="199">
        <f>K17-L17</f>
        <v>0</v>
      </c>
      <c r="N17" s="199">
        <f>H17*$C$24</f>
        <v>0</v>
      </c>
      <c r="O17" s="199">
        <f>I17</f>
        <v>0</v>
      </c>
      <c r="P17" s="199">
        <f>N17-O17</f>
        <v>0</v>
      </c>
      <c r="Q17" s="199" t="e">
        <f>G17*(100/E17)</f>
        <v>#DIV/0!</v>
      </c>
      <c r="R17" s="199">
        <f t="shared" si="3"/>
        <v>0</v>
      </c>
      <c r="S17" s="199">
        <f t="shared" si="4"/>
        <v>0</v>
      </c>
      <c r="T17" s="199">
        <f t="shared" si="5"/>
        <v>0</v>
      </c>
      <c r="U17" s="199">
        <f t="shared" si="6"/>
        <v>0</v>
      </c>
      <c r="V17" s="198">
        <f>V11*1000</f>
        <v>59786.028949024541</v>
      </c>
      <c r="W17" s="198"/>
      <c r="X17" s="198"/>
      <c r="Y17" s="198"/>
      <c r="Z17" s="198"/>
      <c r="AA17" s="198"/>
      <c r="AB17" s="198">
        <f>Z17-AA17</f>
        <v>0</v>
      </c>
      <c r="AC17" s="198"/>
      <c r="AD17" s="198"/>
      <c r="AE17" s="198"/>
    </row>
    <row r="18" spans="1:31">
      <c r="A18" s="440"/>
      <c r="B18" s="440" t="s">
        <v>90</v>
      </c>
      <c r="C18" s="441"/>
      <c r="D18" s="441"/>
      <c r="E18" s="441">
        <v>32559023612</v>
      </c>
      <c r="F18" s="441">
        <v>13674789917</v>
      </c>
      <c r="G18" s="441">
        <f>E18-F18</f>
        <v>18884233695</v>
      </c>
      <c r="H18" s="442">
        <f>E18/3600/1000</f>
        <v>9044.1732255555562</v>
      </c>
      <c r="I18" s="441">
        <f>F18/3600/1000</f>
        <v>3798.5527547222223</v>
      </c>
      <c r="J18" s="443">
        <f>H18-I18</f>
        <v>5245.6204708333335</v>
      </c>
      <c r="K18" s="444">
        <f>E18/3600</f>
        <v>9044173.2255555559</v>
      </c>
      <c r="L18" s="441">
        <f t="shared" si="2"/>
        <v>3798552.7547222222</v>
      </c>
      <c r="M18" s="441">
        <f>K18-L18</f>
        <v>5245620.4708333332</v>
      </c>
      <c r="N18" s="441">
        <f>H18*$C$24</f>
        <v>4142.2313373044453</v>
      </c>
      <c r="O18" s="441">
        <f>I18</f>
        <v>3798.5527547222223</v>
      </c>
      <c r="P18" s="441">
        <f>N18-O18</f>
        <v>343.67858258222304</v>
      </c>
      <c r="Q18" s="441">
        <f>G18*(100/E18)</f>
        <v>58.000000000122853</v>
      </c>
      <c r="R18" s="441">
        <f t="shared" si="3"/>
        <v>33540.33471501575</v>
      </c>
      <c r="S18" s="441">
        <f t="shared" si="4"/>
        <v>30757.512183985607</v>
      </c>
      <c r="T18" s="441">
        <f t="shared" si="5"/>
        <v>106211.05993088322</v>
      </c>
      <c r="U18" s="441">
        <f t="shared" si="6"/>
        <v>97398.788582621084</v>
      </c>
      <c r="V18" s="445">
        <v>100114.76</v>
      </c>
      <c r="W18" s="445"/>
      <c r="X18" s="445">
        <v>7000</v>
      </c>
      <c r="Y18" s="445"/>
      <c r="Z18" s="445">
        <v>17</v>
      </c>
      <c r="AA18" s="445"/>
      <c r="AB18" s="445">
        <f>Z18-AA18</f>
        <v>17</v>
      </c>
      <c r="AC18" s="445"/>
      <c r="AD18" s="445">
        <v>1845.1</v>
      </c>
      <c r="AE18" s="445"/>
    </row>
    <row r="19" spans="1:31">
      <c r="A19" s="446"/>
      <c r="B19" s="446" t="s">
        <v>186</v>
      </c>
      <c r="C19" s="447"/>
      <c r="D19" s="447"/>
      <c r="E19" s="447">
        <v>2602800000</v>
      </c>
      <c r="F19" s="447"/>
      <c r="G19" s="447"/>
      <c r="H19" s="447"/>
      <c r="I19" s="447"/>
      <c r="J19" s="447"/>
      <c r="K19" s="447"/>
      <c r="L19" s="447"/>
      <c r="M19" s="447"/>
      <c r="N19" s="447"/>
      <c r="O19" s="447"/>
      <c r="P19" s="441">
        <f>N19-O19</f>
        <v>0</v>
      </c>
      <c r="Q19" s="447"/>
      <c r="R19" s="447"/>
      <c r="S19" s="447"/>
      <c r="T19" s="447"/>
      <c r="U19" s="447"/>
      <c r="V19" s="448"/>
      <c r="W19" s="448"/>
      <c r="X19" s="448"/>
      <c r="Y19" s="448"/>
      <c r="Z19" s="448"/>
      <c r="AA19" s="448"/>
      <c r="AB19" s="448"/>
      <c r="AC19" s="448"/>
      <c r="AD19" s="448"/>
      <c r="AE19" s="448"/>
    </row>
    <row r="20" spans="1:31">
      <c r="A20" s="446"/>
      <c r="B20" s="446" t="s">
        <v>370</v>
      </c>
      <c r="C20" s="447"/>
      <c r="D20" s="447"/>
      <c r="E20" s="447">
        <v>260000000000</v>
      </c>
      <c r="F20" s="447">
        <v>140000000000</v>
      </c>
      <c r="G20" s="447">
        <f>E20-F20</f>
        <v>120000000000</v>
      </c>
      <c r="H20" s="447"/>
      <c r="I20" s="447"/>
      <c r="J20" s="447"/>
      <c r="K20" s="447"/>
      <c r="L20" s="447"/>
      <c r="M20" s="447"/>
      <c r="N20" s="447">
        <v>2404</v>
      </c>
      <c r="O20" s="447">
        <v>1454</v>
      </c>
      <c r="P20" s="441">
        <f>N20-O20</f>
        <v>950</v>
      </c>
      <c r="Q20" s="447"/>
      <c r="R20" s="447"/>
      <c r="S20" s="447"/>
      <c r="T20" s="447"/>
      <c r="U20" s="447"/>
      <c r="V20" s="448">
        <v>38965</v>
      </c>
      <c r="W20" s="448">
        <v>5303</v>
      </c>
      <c r="X20" s="448">
        <f>V20-W20</f>
        <v>33662</v>
      </c>
      <c r="Y20" s="448"/>
      <c r="Z20" s="448">
        <v>17</v>
      </c>
      <c r="AA20" s="448">
        <v>0</v>
      </c>
      <c r="AB20" s="448">
        <v>17</v>
      </c>
      <c r="AC20" s="448"/>
      <c r="AD20" s="448"/>
      <c r="AE20" s="448"/>
    </row>
    <row r="21" spans="1:31" s="27" customFormat="1">
      <c r="C21" s="29"/>
      <c r="D21" s="29"/>
      <c r="E21" s="29"/>
      <c r="F21" s="29"/>
      <c r="G21" s="29"/>
      <c r="H21" s="29"/>
      <c r="I21" s="29"/>
      <c r="J21" s="29"/>
      <c r="K21" s="29"/>
      <c r="L21" s="29"/>
      <c r="M21" s="29"/>
      <c r="N21" s="29"/>
      <c r="O21" s="29"/>
      <c r="P21" s="29"/>
      <c r="Q21" s="29"/>
      <c r="R21" s="29"/>
      <c r="V21" s="47"/>
      <c r="W21" s="47"/>
      <c r="X21" s="47"/>
      <c r="Y21" s="47"/>
      <c r="Z21" s="47"/>
      <c r="AA21" s="47"/>
      <c r="AB21" s="63"/>
      <c r="AC21" s="47"/>
      <c r="AD21" s="47"/>
      <c r="AE21" s="47"/>
    </row>
    <row r="22" spans="1:31">
      <c r="A22" s="1265" t="s">
        <v>5</v>
      </c>
      <c r="B22" s="1266"/>
      <c r="C22" s="124" t="s">
        <v>6</v>
      </c>
      <c r="D22" s="124" t="s">
        <v>7</v>
      </c>
      <c r="E22" s="124" t="s">
        <v>6</v>
      </c>
      <c r="F22" s="124" t="s">
        <v>7</v>
      </c>
      <c r="AB22" s="123"/>
    </row>
    <row r="23" spans="1:31">
      <c r="A23" s="1271" t="s">
        <v>42</v>
      </c>
      <c r="B23" s="1272"/>
      <c r="C23" s="42">
        <v>2.666E-2</v>
      </c>
      <c r="D23" s="43" t="s">
        <v>15</v>
      </c>
      <c r="E23" s="44">
        <f>C23*100</f>
        <v>2.6659999999999999</v>
      </c>
      <c r="F23" s="43" t="s">
        <v>44</v>
      </c>
      <c r="H23">
        <f>42*E18/100</f>
        <v>13674789917.040001</v>
      </c>
    </row>
    <row r="24" spans="1:31">
      <c r="A24" s="1271" t="s">
        <v>37</v>
      </c>
      <c r="B24" s="1272"/>
      <c r="C24" s="42">
        <v>0.45800000000000002</v>
      </c>
      <c r="D24" s="43" t="s">
        <v>51</v>
      </c>
      <c r="E24" s="45"/>
      <c r="F24" s="43"/>
    </row>
    <row r="25" spans="1:31" ht="44.25" customHeight="1">
      <c r="A25" s="1267" t="s">
        <v>45</v>
      </c>
      <c r="B25" s="1268"/>
      <c r="C25" s="46" t="s">
        <v>46</v>
      </c>
      <c r="D25" s="43" t="s">
        <v>44</v>
      </c>
      <c r="E25" s="44"/>
      <c r="F25" s="43"/>
    </row>
    <row r="26" spans="1:31">
      <c r="G26" s="2"/>
      <c r="H26" s="2"/>
      <c r="I26" s="2"/>
      <c r="J26" s="2"/>
      <c r="K26" s="2"/>
      <c r="L26" s="2"/>
      <c r="M26" s="2"/>
      <c r="N26" s="2"/>
      <c r="O26" s="2"/>
      <c r="P26" s="2"/>
      <c r="Q26" s="2"/>
    </row>
    <row r="27" spans="1:31">
      <c r="G27" s="2"/>
      <c r="H27" s="2"/>
      <c r="I27" s="2"/>
      <c r="J27" s="2"/>
      <c r="K27" s="2"/>
      <c r="L27" s="2"/>
      <c r="M27" s="2"/>
      <c r="N27" s="2"/>
      <c r="O27" s="2"/>
      <c r="P27" s="2"/>
      <c r="Q27" s="2"/>
    </row>
    <row r="28" spans="1:31">
      <c r="G28" s="2"/>
      <c r="H28" s="2"/>
      <c r="I28" s="2"/>
      <c r="J28" s="2"/>
      <c r="K28" s="2"/>
      <c r="L28" s="2"/>
      <c r="M28" s="2"/>
      <c r="N28" s="2"/>
      <c r="O28" s="2"/>
      <c r="P28" s="2"/>
      <c r="Q28" s="2"/>
    </row>
    <row r="29" spans="1:31">
      <c r="G29" s="2"/>
      <c r="H29" s="2"/>
      <c r="I29" s="2"/>
      <c r="J29" s="2"/>
      <c r="K29" s="2"/>
      <c r="L29" s="2"/>
      <c r="M29" s="2"/>
      <c r="N29" s="2"/>
      <c r="O29" s="2"/>
      <c r="P29" s="2"/>
      <c r="Q29" s="2"/>
    </row>
    <row r="30" spans="1:31">
      <c r="G30" s="2"/>
      <c r="H30" s="2"/>
      <c r="I30" s="2"/>
      <c r="J30" s="2"/>
      <c r="K30" s="2"/>
      <c r="L30" s="2"/>
      <c r="M30" s="2"/>
      <c r="N30" s="2"/>
      <c r="O30" s="2"/>
      <c r="P30" s="2"/>
      <c r="Q30" s="2"/>
    </row>
    <row r="31" spans="1:31">
      <c r="G31" s="2"/>
      <c r="H31" s="2"/>
      <c r="I31" s="2"/>
      <c r="J31" s="2"/>
      <c r="K31" s="2"/>
      <c r="L31" s="2"/>
      <c r="M31" s="2"/>
      <c r="N31" s="2"/>
      <c r="O31" s="2"/>
      <c r="P31" s="2"/>
      <c r="Q31" s="2"/>
    </row>
    <row r="32" spans="1:31">
      <c r="G32" s="2"/>
      <c r="H32" s="2"/>
      <c r="I32" s="2"/>
      <c r="J32" s="2"/>
      <c r="K32" s="2"/>
      <c r="L32" s="2"/>
      <c r="M32" s="2"/>
      <c r="N32" s="2"/>
      <c r="O32" s="2"/>
      <c r="P32" s="2"/>
      <c r="Q32" s="2"/>
    </row>
    <row r="34" spans="1:5">
      <c r="A34" t="s">
        <v>8</v>
      </c>
      <c r="C34" t="s">
        <v>12</v>
      </c>
    </row>
    <row r="35" spans="1:5">
      <c r="A35" t="s">
        <v>9</v>
      </c>
      <c r="C35" s="1">
        <v>0.23</v>
      </c>
      <c r="D35" s="1"/>
      <c r="E35" s="1"/>
    </row>
    <row r="36" spans="1:5">
      <c r="A36" t="s">
        <v>10</v>
      </c>
      <c r="C36" s="1">
        <v>0.32700000000000001</v>
      </c>
      <c r="D36" s="1"/>
      <c r="E36" s="1"/>
    </row>
    <row r="37" spans="1:5">
      <c r="A37" t="s">
        <v>11</v>
      </c>
      <c r="C37" s="1">
        <v>0.218</v>
      </c>
      <c r="D37" s="1"/>
      <c r="E37" s="1"/>
    </row>
    <row r="38" spans="1:5">
      <c r="A38" t="s">
        <v>34</v>
      </c>
      <c r="C38" s="1">
        <v>0.1186</v>
      </c>
      <c r="D38" s="1"/>
      <c r="E38" s="1"/>
    </row>
    <row r="42" spans="1:5">
      <c r="B42" s="2"/>
    </row>
    <row r="43" spans="1:5">
      <c r="B43" s="2" t="e">
        <f>#REF!*#REF!</f>
        <v>#REF!</v>
      </c>
      <c r="C43" s="3" t="e">
        <f>B43/1000000</f>
        <v>#REF!</v>
      </c>
      <c r="D43" s="3"/>
      <c r="E43" s="3"/>
    </row>
    <row r="44" spans="1:5">
      <c r="B44">
        <f>17</f>
        <v>17</v>
      </c>
    </row>
  </sheetData>
  <mergeCells count="6">
    <mergeCell ref="A1:AC1"/>
    <mergeCell ref="A22:B22"/>
    <mergeCell ref="A25:B25"/>
    <mergeCell ref="A2:AC2"/>
    <mergeCell ref="A23:B23"/>
    <mergeCell ref="A24:B24"/>
  </mergeCell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478E00"/>
  </sheetPr>
  <dimension ref="A1:AZ113"/>
  <sheetViews>
    <sheetView workbookViewId="0">
      <selection sqref="A1:K1"/>
    </sheetView>
  </sheetViews>
  <sheetFormatPr baseColWidth="10" defaultRowHeight="15"/>
  <cols>
    <col min="1" max="1" width="11.7109375" customWidth="1"/>
    <col min="2" max="2" width="17" customWidth="1"/>
    <col min="3" max="3" width="9.42578125" customWidth="1"/>
    <col min="4" max="4" width="10.28515625" customWidth="1"/>
    <col min="5" max="5" width="17.42578125" customWidth="1"/>
    <col min="6" max="6" width="18.7109375" customWidth="1"/>
    <col min="7" max="7" width="15.7109375" customWidth="1"/>
    <col min="8" max="8" width="11.28515625" customWidth="1"/>
    <col min="9" max="9" width="18.7109375" customWidth="1"/>
    <col min="10" max="10" width="19.28515625" customWidth="1"/>
    <col min="11" max="11" width="13.85546875" customWidth="1"/>
    <col min="12" max="52" width="10.85546875" style="27"/>
  </cols>
  <sheetData>
    <row r="1" spans="1:52" s="27" customFormat="1" ht="120" customHeight="1" thickBot="1">
      <c r="A1" s="1236" t="s">
        <v>145</v>
      </c>
      <c r="B1" s="1236"/>
      <c r="C1" s="1236"/>
      <c r="D1" s="1236"/>
      <c r="E1" s="1236"/>
      <c r="F1" s="1236"/>
      <c r="G1" s="1236"/>
      <c r="H1" s="1236"/>
      <c r="I1" s="1236"/>
      <c r="J1" s="1236"/>
      <c r="K1" s="1236"/>
    </row>
    <row r="2" spans="1:52" s="86" customFormat="1" ht="67.5" customHeight="1" thickBot="1">
      <c r="A2" s="1273" t="s">
        <v>141</v>
      </c>
      <c r="B2" s="1274"/>
      <c r="C2" s="1274"/>
      <c r="D2" s="1274"/>
      <c r="E2" s="1274"/>
      <c r="F2" s="1274"/>
      <c r="G2" s="1274"/>
      <c r="H2" s="1274"/>
      <c r="I2" s="1274"/>
      <c r="J2" s="1274"/>
      <c r="K2" s="1274"/>
    </row>
    <row r="3" spans="1:52" s="5" customFormat="1" ht="56.1" customHeight="1" thickBot="1">
      <c r="A3" s="129" t="s">
        <v>106</v>
      </c>
      <c r="B3" s="130" t="s">
        <v>14</v>
      </c>
      <c r="C3" s="130" t="s">
        <v>17</v>
      </c>
      <c r="D3" s="130" t="s">
        <v>49</v>
      </c>
      <c r="E3" s="130" t="s">
        <v>52</v>
      </c>
      <c r="F3" s="130" t="s">
        <v>130</v>
      </c>
      <c r="G3" s="130" t="s">
        <v>133</v>
      </c>
      <c r="H3" s="131" t="s">
        <v>112</v>
      </c>
      <c r="I3" s="130" t="s">
        <v>117</v>
      </c>
      <c r="J3" s="130" t="s">
        <v>118</v>
      </c>
      <c r="K3" s="130" t="s">
        <v>124</v>
      </c>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row>
    <row r="4" spans="1:52">
      <c r="A4" s="7" t="s">
        <v>7</v>
      </c>
      <c r="B4" s="7" t="s">
        <v>82</v>
      </c>
      <c r="C4" s="39">
        <v>0.33300000000000002</v>
      </c>
      <c r="D4" s="39">
        <f>C4*1000</f>
        <v>333</v>
      </c>
      <c r="E4" s="234">
        <f>F4/1000</f>
        <v>0.44</v>
      </c>
      <c r="F4" s="39">
        <v>440</v>
      </c>
      <c r="G4" s="39">
        <f>G10/C10</f>
        <v>0.60060060060060061</v>
      </c>
      <c r="H4" s="39"/>
      <c r="I4" s="39"/>
      <c r="J4" s="39"/>
      <c r="K4" s="39">
        <f>K7/C7</f>
        <v>0.39960000000000001</v>
      </c>
    </row>
    <row r="5" spans="1:52" s="27" customFormat="1">
      <c r="C5" s="29"/>
      <c r="D5" s="29"/>
      <c r="E5" s="29"/>
      <c r="F5" s="29"/>
      <c r="G5" s="29"/>
      <c r="H5" s="29"/>
      <c r="I5" s="29"/>
      <c r="J5" s="29"/>
      <c r="K5" s="29"/>
    </row>
    <row r="6" spans="1:52">
      <c r="A6" s="37"/>
      <c r="B6" s="37"/>
      <c r="C6" s="38" t="s">
        <v>35</v>
      </c>
      <c r="D6" s="38"/>
      <c r="E6" s="38"/>
      <c r="F6" s="38"/>
      <c r="G6" s="38"/>
      <c r="H6" s="38"/>
      <c r="I6" s="38"/>
      <c r="J6" s="38"/>
      <c r="K6" s="38"/>
    </row>
    <row r="7" spans="1:52">
      <c r="A7" s="7" t="s">
        <v>15</v>
      </c>
      <c r="B7" s="7" t="s">
        <v>82</v>
      </c>
      <c r="C7" s="39">
        <f>1/C4</f>
        <v>3.0030030030030028</v>
      </c>
      <c r="D7" s="39">
        <f>C7*1000</f>
        <v>3003.003003003003</v>
      </c>
      <c r="E7" s="39">
        <f>F7/1000</f>
        <v>1.3213213213213213</v>
      </c>
      <c r="F7" s="39">
        <f>F4*C7</f>
        <v>1321.3213213213212</v>
      </c>
      <c r="G7" s="39">
        <f>G10/1000</f>
        <v>0.2</v>
      </c>
      <c r="H7" s="39"/>
      <c r="I7" s="39"/>
      <c r="J7" s="39"/>
      <c r="K7" s="39">
        <v>1.2</v>
      </c>
    </row>
    <row r="8" spans="1:52" s="27" customFormat="1">
      <c r="C8" s="29"/>
      <c r="D8" s="29"/>
      <c r="E8" s="29"/>
      <c r="F8" s="29"/>
      <c r="G8" s="29"/>
      <c r="H8" s="29"/>
      <c r="I8" s="29"/>
      <c r="J8" s="29"/>
      <c r="K8" s="29"/>
    </row>
    <row r="9" spans="1:52">
      <c r="A9" s="37"/>
      <c r="B9" s="37"/>
      <c r="C9" s="38"/>
      <c r="D9" s="38"/>
      <c r="E9" s="38"/>
      <c r="F9" s="38"/>
      <c r="G9" s="38"/>
      <c r="H9" s="38"/>
      <c r="I9" s="38"/>
      <c r="J9" s="38"/>
      <c r="K9" s="38"/>
    </row>
    <row r="10" spans="1:52">
      <c r="A10" s="7" t="s">
        <v>28</v>
      </c>
      <c r="B10" s="7" t="s">
        <v>82</v>
      </c>
      <c r="C10" s="39">
        <f>1000/C7</f>
        <v>333</v>
      </c>
      <c r="D10" s="39">
        <f>C10*1000</f>
        <v>333000</v>
      </c>
      <c r="E10" s="234">
        <f>F10/1000</f>
        <v>1321.3213213213212</v>
      </c>
      <c r="F10" s="234">
        <f>F7*1000</f>
        <v>1321321.3213213212</v>
      </c>
      <c r="G10" s="39">
        <v>200</v>
      </c>
      <c r="H10" s="39">
        <v>75</v>
      </c>
      <c r="I10" s="39">
        <f>J10*(1/159)</f>
        <v>0.85534591194968557</v>
      </c>
      <c r="J10" s="39">
        <v>136</v>
      </c>
      <c r="K10" s="39">
        <f>K7*1000</f>
        <v>1200</v>
      </c>
    </row>
    <row r="11" spans="1:52">
      <c r="A11" s="7" t="s">
        <v>28</v>
      </c>
      <c r="B11" s="312" t="s">
        <v>240</v>
      </c>
      <c r="C11" s="313">
        <v>1000</v>
      </c>
      <c r="D11" s="313"/>
      <c r="E11" s="314"/>
      <c r="F11" s="314"/>
      <c r="G11" s="313"/>
      <c r="H11" s="313"/>
      <c r="I11" s="313"/>
      <c r="J11" s="313"/>
      <c r="K11" s="313"/>
    </row>
    <row r="12" spans="1:52" s="27" customFormat="1">
      <c r="E12" s="49"/>
      <c r="F12" s="49"/>
      <c r="G12" s="49"/>
      <c r="H12" s="49"/>
      <c r="I12" s="49"/>
      <c r="J12" s="49"/>
      <c r="K12" s="49"/>
    </row>
    <row r="13" spans="1:52" s="27" customFormat="1">
      <c r="E13" s="49"/>
      <c r="F13" s="49"/>
      <c r="G13" s="49"/>
      <c r="H13" s="49"/>
      <c r="I13" s="49"/>
      <c r="J13" s="49"/>
      <c r="K13" s="49"/>
    </row>
    <row r="14" spans="1:52" s="27" customFormat="1">
      <c r="E14" s="49"/>
      <c r="F14" s="49"/>
      <c r="G14" s="49"/>
      <c r="H14" s="49"/>
      <c r="I14" s="49"/>
      <c r="J14" s="49"/>
      <c r="K14" s="49"/>
    </row>
    <row r="15" spans="1:52" s="27" customFormat="1">
      <c r="E15" s="49"/>
      <c r="F15" s="49"/>
      <c r="G15" s="49"/>
      <c r="H15" s="49"/>
      <c r="I15" s="49"/>
      <c r="J15" s="49"/>
      <c r="K15" s="49"/>
    </row>
    <row r="16" spans="1:52" s="27" customFormat="1">
      <c r="E16" s="49"/>
      <c r="F16" s="49"/>
      <c r="G16" s="49"/>
      <c r="H16" s="49"/>
      <c r="I16" s="49"/>
      <c r="J16" s="49"/>
      <c r="K16" s="49"/>
    </row>
    <row r="17" spans="5:11" s="27" customFormat="1">
      <c r="E17" s="49"/>
      <c r="F17" s="49"/>
      <c r="G17" s="49"/>
      <c r="H17" s="49"/>
      <c r="I17" s="49"/>
      <c r="J17" s="49"/>
      <c r="K17" s="49"/>
    </row>
    <row r="18" spans="5:11" s="27" customFormat="1">
      <c r="E18" s="49"/>
      <c r="F18" s="49"/>
      <c r="G18" s="49"/>
      <c r="H18" s="49"/>
      <c r="I18" s="49"/>
      <c r="J18" s="49"/>
      <c r="K18" s="49"/>
    </row>
    <row r="19" spans="5:11" s="27" customFormat="1">
      <c r="E19" s="49"/>
      <c r="F19" s="49"/>
      <c r="G19" s="49"/>
      <c r="H19" s="49"/>
      <c r="I19" s="49"/>
      <c r="J19" s="49"/>
      <c r="K19" s="49"/>
    </row>
    <row r="20" spans="5:11" s="27" customFormat="1"/>
    <row r="21" spans="5:11" s="27" customFormat="1"/>
    <row r="22" spans="5:11" s="27" customFormat="1"/>
    <row r="23" spans="5:11" s="27" customFormat="1"/>
    <row r="24" spans="5:11" s="27" customFormat="1"/>
    <row r="25" spans="5:11" s="27" customFormat="1"/>
    <row r="26" spans="5:11" s="27" customFormat="1"/>
    <row r="27" spans="5:11" s="27" customFormat="1"/>
    <row r="28" spans="5:11" s="27" customFormat="1"/>
    <row r="29" spans="5:11" s="27" customFormat="1"/>
    <row r="30" spans="5:11" s="27" customFormat="1"/>
    <row r="31" spans="5:11" s="27" customFormat="1"/>
    <row r="32" spans="5:11" s="27" customFormat="1"/>
    <row r="33" s="27" customFormat="1"/>
    <row r="34" s="27" customFormat="1"/>
    <row r="35" s="27" customFormat="1"/>
    <row r="36" s="27" customFormat="1"/>
    <row r="37" s="27" customFormat="1"/>
    <row r="38" s="27" customFormat="1"/>
    <row r="39" s="27" customFormat="1"/>
    <row r="40" s="27" customFormat="1"/>
    <row r="41" s="27" customFormat="1"/>
    <row r="42" s="27" customFormat="1"/>
    <row r="43" s="27" customFormat="1"/>
    <row r="44" s="27" customFormat="1"/>
    <row r="45" s="27" customFormat="1"/>
    <row r="46" s="27" customFormat="1"/>
    <row r="47" s="27" customFormat="1"/>
    <row r="48" s="27" customFormat="1"/>
    <row r="49" s="27" customFormat="1"/>
    <row r="50" s="27" customFormat="1"/>
    <row r="51" s="27" customFormat="1"/>
    <row r="52" s="27" customFormat="1"/>
    <row r="53" s="27" customFormat="1"/>
    <row r="54" s="27" customFormat="1"/>
    <row r="55" s="27" customFormat="1"/>
    <row r="56" s="27" customFormat="1"/>
    <row r="57" s="27" customFormat="1"/>
    <row r="58" s="27" customFormat="1"/>
    <row r="59" s="27" customFormat="1"/>
    <row r="60" s="27" customFormat="1"/>
    <row r="61" s="27" customFormat="1"/>
    <row r="62" s="27" customFormat="1"/>
    <row r="63" s="27" customFormat="1"/>
    <row r="64" s="27" customFormat="1"/>
    <row r="65" s="27" customFormat="1"/>
    <row r="66" s="27" customFormat="1"/>
    <row r="67" s="27" customFormat="1"/>
    <row r="68" s="27" customFormat="1"/>
    <row r="69" s="27" customFormat="1"/>
    <row r="70" s="27" customFormat="1"/>
    <row r="71" s="27" customFormat="1"/>
    <row r="72" s="27" customFormat="1"/>
    <row r="73" s="27" customFormat="1"/>
    <row r="74" s="27" customFormat="1"/>
    <row r="75" s="27" customFormat="1"/>
    <row r="76" s="27" customFormat="1"/>
    <row r="77" s="27" customFormat="1"/>
    <row r="78" s="27" customFormat="1"/>
    <row r="79" s="27" customFormat="1"/>
    <row r="80" s="27" customFormat="1"/>
    <row r="81" s="27" customFormat="1"/>
    <row r="82" s="27" customFormat="1"/>
    <row r="83" s="27" customFormat="1"/>
    <row r="84" s="27" customFormat="1"/>
    <row r="85" s="27" customFormat="1"/>
    <row r="86" s="27" customFormat="1"/>
    <row r="87" s="27" customFormat="1"/>
    <row r="88" s="27" customFormat="1"/>
    <row r="89" s="27" customFormat="1"/>
    <row r="90" s="27" customFormat="1"/>
    <row r="91" s="27" customFormat="1"/>
    <row r="92" s="27" customFormat="1"/>
    <row r="93" s="27" customFormat="1"/>
    <row r="94" s="27" customFormat="1"/>
    <row r="95" s="27" customFormat="1"/>
    <row r="96" s="27" customFormat="1"/>
    <row r="97" s="27" customFormat="1"/>
    <row r="98" s="27" customFormat="1"/>
    <row r="99" s="27" customFormat="1"/>
    <row r="100" s="27" customFormat="1"/>
    <row r="101" s="27" customFormat="1"/>
    <row r="102" s="27" customFormat="1"/>
    <row r="103" s="27" customFormat="1"/>
    <row r="104" s="27" customFormat="1"/>
    <row r="105" s="27" customFormat="1"/>
    <row r="106" s="27" customFormat="1"/>
    <row r="107" s="27" customFormat="1"/>
    <row r="108" s="27" customFormat="1"/>
    <row r="109" s="27" customFormat="1"/>
    <row r="110" s="27" customFormat="1"/>
    <row r="111" s="27" customFormat="1"/>
    <row r="112" s="27" customFormat="1"/>
    <row r="113" s="27" customFormat="1"/>
  </sheetData>
  <mergeCells count="2">
    <mergeCell ref="A2:K2"/>
    <mergeCell ref="A1:K1"/>
  </mergeCell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4A11"/>
  </sheetPr>
  <dimension ref="A1:AV305"/>
  <sheetViews>
    <sheetView workbookViewId="0">
      <selection sqref="A1:Q1"/>
    </sheetView>
  </sheetViews>
  <sheetFormatPr baseColWidth="10" defaultRowHeight="15"/>
  <cols>
    <col min="2" max="2" width="22.42578125" customWidth="1"/>
    <col min="3" max="4" width="21" customWidth="1"/>
    <col min="5" max="5" width="22.140625" bestFit="1" customWidth="1"/>
    <col min="6" max="10" width="25.7109375" customWidth="1"/>
    <col min="11" max="14" width="23.42578125" customWidth="1"/>
    <col min="15" max="17" width="20" customWidth="1"/>
    <col min="18" max="48" width="10.85546875" style="27"/>
  </cols>
  <sheetData>
    <row r="1" spans="1:48" s="27" customFormat="1" ht="120" customHeight="1" thickBot="1">
      <c r="A1" s="1236" t="s">
        <v>145</v>
      </c>
      <c r="B1" s="1236"/>
      <c r="C1" s="1236"/>
      <c r="D1" s="1236"/>
      <c r="E1" s="1236"/>
      <c r="F1" s="1236"/>
      <c r="G1" s="1236"/>
      <c r="H1" s="1236"/>
      <c r="I1" s="1236"/>
      <c r="J1" s="1236"/>
      <c r="K1" s="1236"/>
      <c r="L1" s="1236"/>
      <c r="M1" s="1236"/>
      <c r="N1" s="1236"/>
      <c r="O1" s="1236"/>
      <c r="P1" s="1236"/>
      <c r="Q1" s="1236"/>
    </row>
    <row r="2" spans="1:48" ht="57" customHeight="1">
      <c r="A2" s="1275" t="s">
        <v>137</v>
      </c>
      <c r="B2" s="1275"/>
      <c r="C2" s="1275"/>
      <c r="D2" s="1275"/>
      <c r="E2" s="1275"/>
      <c r="F2" s="1275"/>
      <c r="G2" s="1275"/>
      <c r="H2" s="1275"/>
      <c r="I2" s="1275"/>
      <c r="J2" s="1275"/>
      <c r="K2" s="1275"/>
      <c r="L2" s="1275"/>
      <c r="M2" s="1275"/>
      <c r="N2" s="1275"/>
      <c r="O2" s="1275"/>
      <c r="P2" s="1275"/>
      <c r="Q2" s="27"/>
    </row>
    <row r="3" spans="1:48" s="5" customFormat="1" ht="45">
      <c r="A3" s="98" t="s">
        <v>106</v>
      </c>
      <c r="B3" s="99" t="s">
        <v>14</v>
      </c>
      <c r="C3" s="100" t="s">
        <v>17</v>
      </c>
      <c r="D3" s="100" t="s">
        <v>49</v>
      </c>
      <c r="E3" s="100" t="s">
        <v>111</v>
      </c>
      <c r="F3" s="100" t="s">
        <v>128</v>
      </c>
      <c r="G3" s="100" t="s">
        <v>131</v>
      </c>
      <c r="H3" s="100" t="s">
        <v>132</v>
      </c>
      <c r="I3" s="100" t="s">
        <v>8</v>
      </c>
      <c r="J3" s="100" t="s">
        <v>108</v>
      </c>
      <c r="K3" s="100" t="s">
        <v>116</v>
      </c>
      <c r="L3" s="100" t="s">
        <v>113</v>
      </c>
      <c r="M3" s="100" t="s">
        <v>133</v>
      </c>
      <c r="N3" s="100" t="s">
        <v>112</v>
      </c>
      <c r="O3" s="100" t="s">
        <v>117</v>
      </c>
      <c r="P3" s="100" t="s">
        <v>118</v>
      </c>
      <c r="Q3" s="100" t="s">
        <v>675</v>
      </c>
      <c r="R3" s="100" t="s">
        <v>676</v>
      </c>
      <c r="S3" s="100" t="s">
        <v>677</v>
      </c>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row>
    <row r="4" spans="1:48">
      <c r="A4" s="105" t="s">
        <v>7</v>
      </c>
      <c r="B4" s="105" t="s">
        <v>86</v>
      </c>
      <c r="C4" s="201">
        <v>7.9000000000000008E-3</v>
      </c>
      <c r="D4" s="201">
        <f>C4*1000</f>
        <v>7.9</v>
      </c>
      <c r="E4" s="201"/>
      <c r="F4" s="202"/>
      <c r="G4" s="202"/>
      <c r="H4" s="202"/>
      <c r="I4" s="202"/>
      <c r="J4" s="202"/>
      <c r="K4" s="201"/>
      <c r="L4" s="201"/>
      <c r="M4" s="201"/>
      <c r="N4" s="201"/>
      <c r="O4" s="201" t="e">
        <f>O8/C8</f>
        <v>#DIV/0!</v>
      </c>
      <c r="P4" s="202" t="e">
        <f>P17/C17</f>
        <v>#DIV/0!</v>
      </c>
      <c r="Q4" s="202"/>
      <c r="R4" s="202"/>
      <c r="S4" s="202"/>
    </row>
    <row r="5" spans="1:48">
      <c r="A5" s="105"/>
      <c r="B5" s="105" t="s">
        <v>87</v>
      </c>
      <c r="C5" s="201"/>
      <c r="D5" s="201"/>
      <c r="E5" s="201"/>
      <c r="F5" s="202"/>
      <c r="G5" s="202"/>
      <c r="H5" s="202"/>
      <c r="I5" s="202"/>
      <c r="J5" s="202"/>
      <c r="K5" s="201"/>
      <c r="L5" s="201"/>
      <c r="M5" s="201"/>
      <c r="N5" s="201"/>
      <c r="O5" s="201"/>
      <c r="P5" s="202"/>
      <c r="Q5" s="202"/>
      <c r="R5" s="202"/>
      <c r="S5" s="202"/>
    </row>
    <row r="6" spans="1:48" s="27" customFormat="1">
      <c r="C6" s="203"/>
      <c r="D6" s="203"/>
      <c r="E6" s="204"/>
      <c r="F6" s="203"/>
      <c r="G6" s="203"/>
      <c r="H6" s="203"/>
      <c r="I6" s="203"/>
      <c r="J6" s="203"/>
      <c r="K6" s="203"/>
      <c r="L6" s="203"/>
      <c r="M6" s="203"/>
      <c r="N6" s="203"/>
      <c r="O6" s="203"/>
      <c r="P6" s="203"/>
      <c r="Q6" s="203"/>
      <c r="R6" s="203"/>
      <c r="S6" s="203"/>
    </row>
    <row r="7" spans="1:48">
      <c r="A7" s="50"/>
      <c r="B7" s="50"/>
      <c r="C7" s="205" t="s">
        <v>35</v>
      </c>
      <c r="D7" s="205"/>
      <c r="E7" s="206"/>
      <c r="F7" s="206"/>
      <c r="G7" s="206"/>
      <c r="H7" s="206"/>
      <c r="I7" s="206"/>
      <c r="J7" s="206"/>
      <c r="K7" s="206"/>
      <c r="L7" s="206"/>
      <c r="M7" s="206"/>
      <c r="N7" s="206"/>
      <c r="O7" s="206"/>
      <c r="P7" s="206"/>
      <c r="Q7" s="206"/>
      <c r="R7" s="206"/>
      <c r="S7" s="206"/>
    </row>
    <row r="8" spans="1:48">
      <c r="A8" s="105" t="s">
        <v>15</v>
      </c>
      <c r="B8" s="105" t="s">
        <v>86</v>
      </c>
      <c r="C8" s="202"/>
      <c r="D8" s="202">
        <f>C8*C4</f>
        <v>0</v>
      </c>
      <c r="E8" s="201"/>
      <c r="F8" s="202"/>
      <c r="G8" s="202"/>
      <c r="H8" s="202"/>
      <c r="I8" s="202"/>
      <c r="J8" s="202"/>
      <c r="K8" s="201"/>
      <c r="L8" s="201"/>
      <c r="M8" s="201"/>
      <c r="N8" s="201"/>
      <c r="O8" s="201">
        <f>O17/1000</f>
        <v>4.4000000000000003E-3</v>
      </c>
      <c r="P8" s="201">
        <f>P17/1000</f>
        <v>0.70596000000000003</v>
      </c>
      <c r="Q8" s="201"/>
      <c r="R8" s="201"/>
      <c r="S8" s="201"/>
    </row>
    <row r="9" spans="1:48">
      <c r="A9" s="105"/>
      <c r="B9" s="105" t="s">
        <v>87</v>
      </c>
      <c r="C9" s="201"/>
      <c r="D9" s="201"/>
      <c r="E9" s="201"/>
      <c r="F9" s="201"/>
      <c r="G9" s="201">
        <f>G18/1000</f>
        <v>21.388888888888886</v>
      </c>
      <c r="H9" s="201"/>
      <c r="I9" s="201"/>
      <c r="J9" s="201"/>
      <c r="K9" s="235">
        <v>1.343</v>
      </c>
      <c r="L9" s="235">
        <v>0.67200000000000004</v>
      </c>
      <c r="M9" s="670">
        <f>K9-L9</f>
        <v>0.67099999999999993</v>
      </c>
      <c r="N9" s="201"/>
      <c r="O9" s="201"/>
      <c r="P9" s="201"/>
      <c r="Q9" s="201"/>
      <c r="R9" s="201"/>
      <c r="S9" s="201"/>
    </row>
    <row r="10" spans="1:48">
      <c r="A10" s="650"/>
      <c r="B10" s="650"/>
      <c r="C10" s="651"/>
      <c r="D10" s="651"/>
      <c r="E10" s="651">
        <f>E19/1000</f>
        <v>77000000</v>
      </c>
      <c r="F10" s="651"/>
      <c r="G10" s="651">
        <f>G19/1000</f>
        <v>21.388888888888886</v>
      </c>
      <c r="H10" s="651"/>
      <c r="I10" s="651"/>
      <c r="J10" s="651"/>
      <c r="K10" s="652">
        <f>K19/1000</f>
        <v>1.4690000000000001</v>
      </c>
      <c r="L10" s="652"/>
      <c r="M10" s="652"/>
      <c r="N10" s="651"/>
      <c r="O10" s="651"/>
      <c r="P10" s="651"/>
      <c r="Q10" s="651"/>
      <c r="R10" s="651"/>
      <c r="S10" s="651"/>
    </row>
    <row r="11" spans="1:48">
      <c r="A11" s="650" t="s">
        <v>669</v>
      </c>
      <c r="B11" s="650" t="s">
        <v>668</v>
      </c>
      <c r="C11" s="651"/>
      <c r="D11" s="651"/>
      <c r="E11" s="651">
        <v>74400000</v>
      </c>
      <c r="F11" s="651">
        <v>8890000</v>
      </c>
      <c r="G11" s="651">
        <f>E11/3600/1000</f>
        <v>20.666666666666668</v>
      </c>
      <c r="H11" s="651">
        <f>F11/3600/1000</f>
        <v>2.4694444444444446</v>
      </c>
      <c r="I11" s="651">
        <f>G11-H11</f>
        <v>18.197222222222223</v>
      </c>
      <c r="J11" s="651"/>
      <c r="K11" s="652">
        <v>1.84</v>
      </c>
      <c r="L11" s="652">
        <v>0.53</v>
      </c>
      <c r="M11" s="652">
        <f>K11-L11</f>
        <v>1.31</v>
      </c>
      <c r="N11" s="651"/>
      <c r="O11" s="651"/>
      <c r="P11" s="651"/>
      <c r="Q11" s="651">
        <v>8.58</v>
      </c>
      <c r="R11" s="651">
        <v>4.6500000000000004</v>
      </c>
      <c r="S11" s="651">
        <f>Q11-R11</f>
        <v>3.9299999999999997</v>
      </c>
    </row>
    <row r="12" spans="1:48">
      <c r="A12" s="650" t="s">
        <v>666</v>
      </c>
      <c r="B12" s="650" t="s">
        <v>668</v>
      </c>
      <c r="C12" s="651"/>
      <c r="D12" s="651"/>
      <c r="E12" s="651">
        <v>74400000</v>
      </c>
      <c r="F12" s="651">
        <v>41600000</v>
      </c>
      <c r="G12" s="651">
        <f>E12/3600/1000</f>
        <v>20.666666666666668</v>
      </c>
      <c r="H12" s="651">
        <f>F12/3600/1000</f>
        <v>11.555555555555555</v>
      </c>
      <c r="I12" s="651">
        <f>G12-H12</f>
        <v>9.1111111111111125</v>
      </c>
      <c r="J12" s="651"/>
      <c r="K12" s="652">
        <v>1.84</v>
      </c>
      <c r="L12" s="652">
        <v>1.18</v>
      </c>
      <c r="M12" s="652">
        <f>K12-L12</f>
        <v>0.66000000000000014</v>
      </c>
      <c r="N12" s="651"/>
      <c r="O12" s="651"/>
      <c r="P12" s="651"/>
      <c r="Q12" s="651">
        <v>8.58</v>
      </c>
      <c r="R12" s="651">
        <v>6.62</v>
      </c>
      <c r="S12" s="651">
        <f>Q12-R12</f>
        <v>1.96</v>
      </c>
    </row>
    <row r="13" spans="1:48">
      <c r="A13" s="650"/>
      <c r="B13" s="650" t="s">
        <v>662</v>
      </c>
      <c r="C13" s="651"/>
      <c r="D13" s="651"/>
      <c r="E13" s="651">
        <f>E22/1000</f>
        <v>95100000</v>
      </c>
      <c r="F13" s="651"/>
      <c r="G13" s="651">
        <f>G22/1000</f>
        <v>26.416666666666668</v>
      </c>
      <c r="H13" s="651"/>
      <c r="I13" s="651"/>
      <c r="J13" s="651"/>
      <c r="K13" s="652"/>
      <c r="L13" s="652">
        <f>L22/1000</f>
        <v>2.7869999999999999</v>
      </c>
      <c r="M13" s="652"/>
      <c r="N13" s="651"/>
      <c r="O13" s="651"/>
      <c r="P13" s="651"/>
      <c r="Q13" s="651"/>
      <c r="R13" s="651"/>
      <c r="S13" s="651"/>
    </row>
    <row r="14" spans="1:48">
      <c r="A14" s="650"/>
      <c r="B14" s="650" t="s">
        <v>458</v>
      </c>
      <c r="C14" s="651"/>
      <c r="D14" s="651"/>
      <c r="E14" s="651">
        <f>E23/1000</f>
        <v>139000000</v>
      </c>
      <c r="F14" s="651"/>
      <c r="G14" s="651">
        <f>G23/1000</f>
        <v>38.611111111111107</v>
      </c>
      <c r="H14" s="651"/>
      <c r="I14" s="651"/>
      <c r="J14" s="651"/>
      <c r="K14" s="652">
        <f>K23/1000</f>
        <v>2.0920000000000001</v>
      </c>
      <c r="L14" s="652"/>
      <c r="M14" s="652"/>
      <c r="N14" s="651"/>
      <c r="O14" s="651"/>
      <c r="P14" s="651"/>
      <c r="Q14" s="651"/>
      <c r="R14" s="651"/>
      <c r="S14" s="651"/>
    </row>
    <row r="15" spans="1:48" s="27" customFormat="1">
      <c r="C15" s="203"/>
      <c r="D15" s="203"/>
      <c r="E15" s="203"/>
      <c r="F15" s="203"/>
      <c r="G15" s="203"/>
      <c r="H15" s="203"/>
      <c r="I15" s="203"/>
      <c r="J15" s="203"/>
      <c r="K15" s="203"/>
      <c r="L15" s="203"/>
      <c r="M15" s="203"/>
      <c r="N15" s="203"/>
      <c r="O15" s="203"/>
      <c r="P15" s="203"/>
      <c r="Q15" s="203"/>
      <c r="R15" s="203"/>
      <c r="S15" s="203"/>
    </row>
    <row r="16" spans="1:48">
      <c r="A16" s="50"/>
      <c r="B16" s="50"/>
      <c r="C16" s="207"/>
      <c r="D16" s="207"/>
      <c r="E16" s="206"/>
      <c r="F16" s="207"/>
      <c r="G16" s="207"/>
      <c r="H16" s="207"/>
      <c r="I16" s="207"/>
      <c r="J16" s="207"/>
      <c r="K16" s="206"/>
      <c r="L16" s="206"/>
      <c r="M16" s="206"/>
      <c r="N16" s="206"/>
      <c r="O16" s="206"/>
      <c r="P16" s="206"/>
      <c r="Q16" s="206"/>
      <c r="R16" s="206"/>
      <c r="S16" s="206"/>
    </row>
    <row r="17" spans="1:19">
      <c r="A17" s="101" t="s">
        <v>16</v>
      </c>
      <c r="B17" s="106" t="s">
        <v>86</v>
      </c>
      <c r="C17" s="208"/>
      <c r="D17" s="208">
        <f>C17*C4</f>
        <v>0</v>
      </c>
      <c r="E17" s="208"/>
      <c r="F17" s="208"/>
      <c r="G17" s="208"/>
      <c r="H17" s="208"/>
      <c r="I17" s="208"/>
      <c r="J17" s="208"/>
      <c r="K17" s="209"/>
      <c r="L17" s="209"/>
      <c r="M17" s="209"/>
      <c r="N17" s="209"/>
      <c r="O17" s="209">
        <v>4.4000000000000004</v>
      </c>
      <c r="P17" s="209">
        <v>705.96</v>
      </c>
      <c r="Q17" s="209"/>
      <c r="R17" s="209"/>
      <c r="S17" s="209"/>
    </row>
    <row r="18" spans="1:19">
      <c r="A18" s="105"/>
      <c r="B18" s="105" t="s">
        <v>87</v>
      </c>
      <c r="C18" s="202"/>
      <c r="D18" s="202"/>
      <c r="E18" s="202">
        <v>77000000000</v>
      </c>
      <c r="F18" s="202"/>
      <c r="G18" s="202">
        <f t="shared" ref="G18:G23" si="0">E18/3600/1000</f>
        <v>21388.888888888887</v>
      </c>
      <c r="H18" s="202"/>
      <c r="I18" s="202"/>
      <c r="J18" s="202">
        <f>E18/3600</f>
        <v>21388888.888888888</v>
      </c>
      <c r="K18" s="201">
        <f>K9*1000</f>
        <v>1343</v>
      </c>
      <c r="L18" s="201">
        <f>L9*1000</f>
        <v>672</v>
      </c>
      <c r="M18" s="201">
        <f>K18-L18</f>
        <v>671</v>
      </c>
      <c r="N18" s="201">
        <f>M18/K18*100</f>
        <v>49.962769918093819</v>
      </c>
      <c r="O18" s="201"/>
      <c r="P18" s="201"/>
      <c r="Q18" s="201"/>
      <c r="R18" s="201"/>
      <c r="S18" s="201"/>
    </row>
    <row r="19" spans="1:19">
      <c r="A19" s="650"/>
      <c r="B19" s="650"/>
      <c r="C19" s="653"/>
      <c r="D19" s="653"/>
      <c r="E19" s="202">
        <v>77000000000</v>
      </c>
      <c r="F19" s="653"/>
      <c r="G19" s="202">
        <f t="shared" si="0"/>
        <v>21388.888888888887</v>
      </c>
      <c r="H19" s="653"/>
      <c r="I19" s="653"/>
      <c r="J19" s="653"/>
      <c r="K19" s="651">
        <v>1469</v>
      </c>
      <c r="L19" s="651"/>
      <c r="M19" s="651"/>
      <c r="N19" s="651"/>
      <c r="O19" s="651"/>
      <c r="P19" s="651"/>
      <c r="Q19" s="651"/>
      <c r="R19" s="651"/>
      <c r="S19" s="651"/>
    </row>
    <row r="20" spans="1:19">
      <c r="A20" s="650" t="s">
        <v>669</v>
      </c>
      <c r="B20" s="650" t="s">
        <v>668</v>
      </c>
      <c r="C20" s="653"/>
      <c r="D20" s="653"/>
      <c r="E20" s="653">
        <f>E11*1000</f>
        <v>74400000000</v>
      </c>
      <c r="F20" s="653">
        <f>F11*1000</f>
        <v>8890000000</v>
      </c>
      <c r="G20" s="202">
        <f t="shared" si="0"/>
        <v>20666.666666666668</v>
      </c>
      <c r="H20" s="651">
        <f>F20/3600/1000</f>
        <v>2469.4444444444443</v>
      </c>
      <c r="I20" s="664">
        <f>G20-H20</f>
        <v>18197.222222222223</v>
      </c>
      <c r="J20" s="653"/>
      <c r="K20" s="651">
        <f>K11*1000</f>
        <v>1840</v>
      </c>
      <c r="L20" s="651">
        <f t="shared" ref="L20:M20" si="1">L11*1000</f>
        <v>530</v>
      </c>
      <c r="M20" s="664">
        <f t="shared" si="1"/>
        <v>1310</v>
      </c>
      <c r="N20" s="651"/>
      <c r="O20" s="651"/>
      <c r="P20" s="651"/>
      <c r="Q20" s="651">
        <f>Q11*1000</f>
        <v>8580</v>
      </c>
      <c r="R20" s="651">
        <f t="shared" ref="R20" si="2">R11*1000</f>
        <v>4650</v>
      </c>
      <c r="S20" s="664">
        <f>S11*1000</f>
        <v>3929.9999999999995</v>
      </c>
    </row>
    <row r="21" spans="1:19">
      <c r="A21" s="650" t="s">
        <v>666</v>
      </c>
      <c r="B21" s="650" t="s">
        <v>668</v>
      </c>
      <c r="C21" s="653"/>
      <c r="D21" s="653"/>
      <c r="E21" s="653">
        <f>E12*1000</f>
        <v>74400000000</v>
      </c>
      <c r="F21" s="653">
        <f>F12*1000</f>
        <v>41600000000</v>
      </c>
      <c r="G21" s="202">
        <f t="shared" si="0"/>
        <v>20666.666666666668</v>
      </c>
      <c r="H21" s="651">
        <f>F21/3600/1000</f>
        <v>11555.555555555557</v>
      </c>
      <c r="I21" s="664">
        <f>G21-H21</f>
        <v>9111.1111111111113</v>
      </c>
      <c r="J21" s="653"/>
      <c r="K21" s="651">
        <f>K12*1000</f>
        <v>1840</v>
      </c>
      <c r="L21" s="651">
        <f t="shared" ref="L21:M21" si="3">L12*1000</f>
        <v>1180</v>
      </c>
      <c r="M21" s="664">
        <f t="shared" si="3"/>
        <v>660.00000000000011</v>
      </c>
      <c r="N21" s="651"/>
      <c r="O21" s="651"/>
      <c r="P21" s="651"/>
      <c r="Q21" s="651">
        <f>Q12*1000</f>
        <v>8580</v>
      </c>
      <c r="R21" s="651">
        <f t="shared" ref="R21:S21" si="4">R12*1000</f>
        <v>6620</v>
      </c>
      <c r="S21" s="664">
        <f t="shared" si="4"/>
        <v>1960</v>
      </c>
    </row>
    <row r="22" spans="1:19">
      <c r="A22" s="650"/>
      <c r="B22" s="650" t="s">
        <v>663</v>
      </c>
      <c r="C22" s="653"/>
      <c r="D22" s="653"/>
      <c r="E22" s="653">
        <v>95100000000</v>
      </c>
      <c r="F22" s="653"/>
      <c r="G22" s="202">
        <f t="shared" si="0"/>
        <v>26416.666666666668</v>
      </c>
      <c r="H22" s="653"/>
      <c r="I22" s="653"/>
      <c r="J22" s="653"/>
      <c r="K22" s="651"/>
      <c r="L22" s="651">
        <v>2787</v>
      </c>
      <c r="M22" s="651"/>
      <c r="N22" s="651"/>
      <c r="O22" s="651"/>
      <c r="P22" s="651"/>
      <c r="Q22" s="651"/>
      <c r="R22" s="651"/>
      <c r="S22" s="651"/>
    </row>
    <row r="23" spans="1:19">
      <c r="A23" s="650"/>
      <c r="B23" s="650" t="s">
        <v>458</v>
      </c>
      <c r="C23" s="653"/>
      <c r="D23" s="653"/>
      <c r="E23" s="653">
        <v>139000000000</v>
      </c>
      <c r="F23" s="653"/>
      <c r="G23" s="202">
        <f t="shared" si="0"/>
        <v>38611.111111111109</v>
      </c>
      <c r="H23" s="653"/>
      <c r="I23" s="653"/>
      <c r="J23" s="653"/>
      <c r="K23" s="651">
        <v>2092</v>
      </c>
      <c r="L23" s="651"/>
      <c r="M23" s="651"/>
      <c r="N23" s="651"/>
      <c r="O23" s="651"/>
      <c r="P23" s="651"/>
      <c r="Q23" s="651"/>
      <c r="R23" s="651"/>
      <c r="S23" s="651"/>
    </row>
    <row r="24" spans="1:19" s="27" customFormat="1">
      <c r="D24" s="63"/>
      <c r="E24" s="29"/>
      <c r="O24" s="64"/>
    </row>
    <row r="25" spans="1:19">
      <c r="A25" s="102" t="s">
        <v>5</v>
      </c>
      <c r="B25" s="103"/>
      <c r="C25" s="104" t="s">
        <v>6</v>
      </c>
      <c r="D25" s="104" t="s">
        <v>7</v>
      </c>
      <c r="E25" s="104" t="s">
        <v>6</v>
      </c>
      <c r="F25" s="104" t="s">
        <v>7</v>
      </c>
      <c r="G25" s="107"/>
      <c r="H25" s="107"/>
      <c r="I25" s="107"/>
      <c r="J25" s="107"/>
      <c r="K25" s="27"/>
      <c r="L25" s="27"/>
      <c r="M25" s="27"/>
      <c r="N25" s="27"/>
      <c r="O25" s="28"/>
      <c r="P25" s="28"/>
      <c r="Q25" s="28"/>
    </row>
    <row r="26" spans="1:19">
      <c r="A26" s="51" t="s">
        <v>3</v>
      </c>
      <c r="B26" s="51"/>
      <c r="C26" s="54">
        <v>80.400000000000006</v>
      </c>
      <c r="D26" s="55" t="s">
        <v>1</v>
      </c>
      <c r="E26" s="56">
        <f>C26*1000000</f>
        <v>80400000</v>
      </c>
      <c r="F26" s="55" t="s">
        <v>19</v>
      </c>
      <c r="G26" s="108"/>
      <c r="H26" s="108"/>
      <c r="I26" s="108"/>
      <c r="J26" s="108"/>
      <c r="K26" s="27"/>
      <c r="L26" s="27"/>
      <c r="M26" s="27"/>
      <c r="N26" s="27"/>
      <c r="O26" s="47"/>
      <c r="P26" s="47"/>
      <c r="Q26" s="47"/>
    </row>
    <row r="27" spans="1:19">
      <c r="A27" s="51" t="s">
        <v>4</v>
      </c>
      <c r="B27" s="51"/>
      <c r="C27" s="54">
        <v>6.5</v>
      </c>
      <c r="D27" s="55" t="s">
        <v>1</v>
      </c>
      <c r="E27" s="56">
        <f>C27*1000000</f>
        <v>6500000</v>
      </c>
      <c r="F27" s="55" t="s">
        <v>19</v>
      </c>
      <c r="G27" s="108"/>
      <c r="H27" s="108"/>
      <c r="I27" s="108"/>
      <c r="J27" s="108"/>
      <c r="K27" s="27"/>
      <c r="L27" s="27"/>
      <c r="M27" s="27"/>
      <c r="N27" s="27"/>
      <c r="O27" s="28"/>
      <c r="P27" s="28"/>
      <c r="Q27" s="28"/>
    </row>
    <row r="28" spans="1:19">
      <c r="A28" s="52" t="s">
        <v>37</v>
      </c>
      <c r="B28" s="53"/>
      <c r="C28" s="54">
        <v>0.45800000000000002</v>
      </c>
      <c r="D28" s="55" t="s">
        <v>51</v>
      </c>
      <c r="E28" s="54"/>
      <c r="F28" s="55"/>
      <c r="G28" s="108"/>
      <c r="H28" s="108"/>
      <c r="I28" s="108"/>
      <c r="J28" s="108"/>
      <c r="K28" s="27"/>
      <c r="L28" s="27"/>
      <c r="M28" s="27"/>
      <c r="N28" s="27"/>
      <c r="O28" s="27"/>
      <c r="P28" s="27"/>
      <c r="Q28" s="27"/>
    </row>
    <row r="29" spans="1:19" s="27" customFormat="1"/>
    <row r="30" spans="1:19" s="27" customFormat="1"/>
    <row r="31" spans="1:19" s="27" customFormat="1"/>
    <row r="32" spans="1:19" s="27" customFormat="1"/>
    <row r="33" s="27" customFormat="1"/>
    <row r="34" s="27" customFormat="1"/>
    <row r="35" s="27" customFormat="1"/>
    <row r="36" s="27" customFormat="1"/>
    <row r="37" s="27" customFormat="1"/>
    <row r="38" s="27" customFormat="1"/>
    <row r="39" s="27" customFormat="1"/>
    <row r="40" s="27" customFormat="1"/>
    <row r="41" s="27" customFormat="1"/>
    <row r="42" s="27" customFormat="1"/>
    <row r="43" s="27" customFormat="1"/>
    <row r="44" s="27" customFormat="1"/>
    <row r="45" s="27" customFormat="1"/>
    <row r="46" s="27" customFormat="1"/>
    <row r="47" s="27" customFormat="1"/>
    <row r="48" s="27" customFormat="1"/>
    <row r="49" s="27" customFormat="1"/>
    <row r="50" s="27" customFormat="1"/>
    <row r="51" s="27" customFormat="1"/>
    <row r="52" s="27" customFormat="1"/>
    <row r="53" s="27" customFormat="1"/>
    <row r="54" s="27" customFormat="1"/>
    <row r="55" s="27" customFormat="1"/>
    <row r="56" s="27" customFormat="1"/>
    <row r="57" s="27" customFormat="1"/>
    <row r="58" s="27" customFormat="1"/>
    <row r="59" s="27" customFormat="1"/>
    <row r="60" s="27" customFormat="1"/>
    <row r="61" s="27" customFormat="1"/>
    <row r="62" s="27" customFormat="1"/>
    <row r="63" s="27" customFormat="1"/>
    <row r="64" s="27" customFormat="1"/>
    <row r="65" s="27" customFormat="1"/>
    <row r="66" s="27" customFormat="1"/>
    <row r="67" s="27" customFormat="1"/>
    <row r="68" s="27" customFormat="1"/>
    <row r="69" s="27" customFormat="1"/>
    <row r="70" s="27" customFormat="1"/>
    <row r="71" s="27" customFormat="1"/>
    <row r="72" s="27" customFormat="1"/>
    <row r="73" s="27" customFormat="1"/>
    <row r="74" s="27" customFormat="1"/>
    <row r="75" s="27" customFormat="1"/>
    <row r="76" s="27" customFormat="1"/>
    <row r="77" s="27" customFormat="1"/>
    <row r="78" s="27" customFormat="1"/>
    <row r="79" s="27" customFormat="1"/>
    <row r="80" s="27" customFormat="1"/>
    <row r="81" s="27" customFormat="1"/>
    <row r="82" s="27" customFormat="1"/>
    <row r="83" s="27" customFormat="1"/>
    <row r="84" s="27" customFormat="1"/>
    <row r="85" s="27" customFormat="1"/>
    <row r="86" s="27" customFormat="1"/>
    <row r="87" s="27" customFormat="1"/>
    <row r="88" s="27" customFormat="1"/>
    <row r="89" s="27" customFormat="1"/>
    <row r="90" s="27" customFormat="1"/>
    <row r="91" s="27" customFormat="1"/>
    <row r="92" s="27" customFormat="1"/>
    <row r="93" s="27" customFormat="1"/>
    <row r="94" s="27" customFormat="1"/>
    <row r="95" s="27" customFormat="1"/>
    <row r="96" s="27" customFormat="1"/>
    <row r="97" s="27" customFormat="1"/>
    <row r="98" s="27" customFormat="1"/>
    <row r="99" s="27" customFormat="1"/>
    <row r="100" s="27" customFormat="1"/>
    <row r="101" s="27" customFormat="1"/>
    <row r="102" s="27" customFormat="1"/>
    <row r="103" s="27" customFormat="1"/>
    <row r="104" s="27" customFormat="1"/>
    <row r="105" s="27" customFormat="1"/>
    <row r="106" s="27" customFormat="1"/>
    <row r="107" s="27" customFormat="1"/>
    <row r="108" s="27" customFormat="1"/>
    <row r="109" s="27" customFormat="1"/>
    <row r="110" s="27" customFormat="1"/>
    <row r="111" s="27" customFormat="1"/>
    <row r="112" s="27" customFormat="1"/>
    <row r="113" s="27" customFormat="1"/>
    <row r="114" s="27" customFormat="1"/>
    <row r="115" s="27" customFormat="1"/>
    <row r="116" s="27" customFormat="1"/>
    <row r="117" s="27" customFormat="1"/>
    <row r="118" s="27" customFormat="1"/>
    <row r="119" s="27" customFormat="1"/>
    <row r="120" s="27" customFormat="1"/>
    <row r="121" s="27" customFormat="1"/>
    <row r="122" s="27" customFormat="1"/>
    <row r="123" s="27" customFormat="1"/>
    <row r="124" s="27" customFormat="1"/>
    <row r="125" s="27" customFormat="1"/>
    <row r="126" s="27" customFormat="1"/>
    <row r="127" s="27" customFormat="1"/>
    <row r="128" s="27" customFormat="1"/>
    <row r="129" s="27" customFormat="1"/>
    <row r="130" s="27" customFormat="1"/>
    <row r="131" s="27" customFormat="1"/>
    <row r="132" s="27" customFormat="1"/>
    <row r="133" s="27" customFormat="1"/>
    <row r="134" s="27" customFormat="1"/>
    <row r="135" s="27" customFormat="1"/>
    <row r="136" s="27" customFormat="1"/>
    <row r="137" s="27" customFormat="1"/>
    <row r="138" s="27" customFormat="1"/>
    <row r="139" s="27" customFormat="1"/>
    <row r="140" s="27" customFormat="1"/>
    <row r="141" s="27" customFormat="1"/>
    <row r="142" s="27" customFormat="1"/>
    <row r="143" s="27" customFormat="1"/>
    <row r="144" s="27" customFormat="1"/>
    <row r="145" s="27" customFormat="1"/>
    <row r="146" s="27" customFormat="1"/>
    <row r="147" s="27" customFormat="1"/>
    <row r="148" s="27" customFormat="1"/>
    <row r="149" s="27" customFormat="1"/>
    <row r="150" s="27" customFormat="1"/>
    <row r="151" s="27" customFormat="1"/>
    <row r="152" s="27" customFormat="1"/>
    <row r="153" s="27" customFormat="1"/>
    <row r="154" s="27" customFormat="1"/>
    <row r="155" s="27" customFormat="1"/>
    <row r="156" s="27" customFormat="1"/>
    <row r="157" s="27" customFormat="1"/>
    <row r="158" s="27" customFormat="1"/>
    <row r="159" s="27" customFormat="1"/>
    <row r="160" s="27" customFormat="1"/>
    <row r="161" s="27" customFormat="1"/>
    <row r="162" s="27" customFormat="1"/>
    <row r="163" s="27" customFormat="1"/>
    <row r="164" s="27" customFormat="1"/>
    <row r="165" s="27" customFormat="1"/>
    <row r="166" s="27" customFormat="1"/>
    <row r="167" s="27" customFormat="1"/>
    <row r="168" s="27" customFormat="1"/>
    <row r="169" s="27" customFormat="1"/>
    <row r="170" s="27" customFormat="1"/>
    <row r="171" s="27" customFormat="1"/>
    <row r="172" s="27" customFormat="1"/>
    <row r="173" s="27" customFormat="1"/>
    <row r="174" s="27" customFormat="1"/>
    <row r="175" s="27" customFormat="1"/>
    <row r="176" s="27" customFormat="1"/>
    <row r="177" s="27" customFormat="1"/>
    <row r="178" s="27" customFormat="1"/>
    <row r="179" s="27" customFormat="1"/>
    <row r="180" s="27" customFormat="1"/>
    <row r="181" s="27" customFormat="1"/>
    <row r="182" s="27" customFormat="1"/>
    <row r="183" s="27" customFormat="1"/>
    <row r="184" s="27" customFormat="1"/>
    <row r="185" s="27" customFormat="1"/>
    <row r="186" s="27" customFormat="1"/>
    <row r="187" s="27" customFormat="1"/>
    <row r="188" s="27" customFormat="1"/>
    <row r="189" s="27" customFormat="1"/>
    <row r="190" s="27" customFormat="1"/>
    <row r="191" s="27" customFormat="1"/>
    <row r="192" s="27" customFormat="1"/>
    <row r="193" s="27" customFormat="1"/>
    <row r="194" s="27" customFormat="1"/>
    <row r="195" s="27" customFormat="1"/>
    <row r="196" s="27" customFormat="1"/>
    <row r="197" s="27" customFormat="1"/>
    <row r="198" s="27" customFormat="1"/>
    <row r="199" s="27" customFormat="1"/>
    <row r="200" s="27" customFormat="1"/>
    <row r="201" s="27" customFormat="1"/>
    <row r="202" s="27" customFormat="1"/>
    <row r="203" s="27" customFormat="1"/>
    <row r="204" s="27" customFormat="1"/>
    <row r="205" s="27" customFormat="1"/>
    <row r="206" s="27" customFormat="1"/>
    <row r="207" s="27" customFormat="1"/>
    <row r="208" s="27" customFormat="1"/>
    <row r="209" s="27" customFormat="1"/>
    <row r="210" s="27" customFormat="1"/>
    <row r="211" s="27" customFormat="1"/>
    <row r="212" s="27" customFormat="1"/>
    <row r="213" s="27" customFormat="1"/>
    <row r="214" s="27" customFormat="1"/>
    <row r="215" s="27" customFormat="1"/>
    <row r="216" s="27" customFormat="1"/>
    <row r="217" s="27" customFormat="1"/>
    <row r="218" s="27" customFormat="1"/>
    <row r="219" s="27" customFormat="1"/>
    <row r="220" s="27" customFormat="1"/>
    <row r="221" s="27" customFormat="1"/>
    <row r="222" s="27" customFormat="1"/>
    <row r="223" s="27" customFormat="1"/>
    <row r="224" s="27" customFormat="1"/>
    <row r="225" s="27" customFormat="1"/>
    <row r="226" s="27" customFormat="1"/>
    <row r="227" s="27" customFormat="1"/>
    <row r="228" s="27" customFormat="1"/>
    <row r="229" s="27" customFormat="1"/>
    <row r="230" s="27" customFormat="1"/>
    <row r="231" s="27" customFormat="1"/>
    <row r="232" s="27" customFormat="1"/>
    <row r="233" s="27" customFormat="1"/>
    <row r="234" s="27" customFormat="1"/>
    <row r="235" s="27" customFormat="1"/>
    <row r="236" s="27" customFormat="1"/>
    <row r="237" s="27" customFormat="1"/>
    <row r="238" s="27" customFormat="1"/>
    <row r="239" s="27" customFormat="1"/>
    <row r="240" s="27" customFormat="1"/>
    <row r="241" s="27" customFormat="1"/>
    <row r="242" s="27" customFormat="1"/>
    <row r="243" s="27" customFormat="1"/>
    <row r="244" s="27" customFormat="1"/>
    <row r="245" s="27" customFormat="1"/>
    <row r="246" s="27" customFormat="1"/>
    <row r="247" s="27" customFormat="1"/>
    <row r="248" s="27" customFormat="1"/>
    <row r="249" s="27" customFormat="1"/>
    <row r="250" s="27" customFormat="1"/>
    <row r="251" s="27" customFormat="1"/>
    <row r="252" s="27" customFormat="1"/>
    <row r="253" s="27" customFormat="1"/>
    <row r="254" s="27" customFormat="1"/>
    <row r="255" s="27" customFormat="1"/>
    <row r="256" s="27" customFormat="1"/>
    <row r="257" spans="7:17" s="27" customFormat="1"/>
    <row r="258" spans="7:17" s="27" customFormat="1"/>
    <row r="259" spans="7:17" s="27" customFormat="1"/>
    <row r="260" spans="7:17" s="27" customFormat="1"/>
    <row r="261" spans="7:17">
      <c r="G261" s="27"/>
      <c r="H261" s="27"/>
      <c r="I261" s="27"/>
      <c r="J261" s="27"/>
      <c r="K261" s="27"/>
      <c r="L261" s="27"/>
      <c r="M261" s="27"/>
      <c r="N261" s="27"/>
      <c r="O261" s="27"/>
      <c r="P261" s="27"/>
      <c r="Q261" s="27"/>
    </row>
    <row r="262" spans="7:17">
      <c r="G262" s="27"/>
      <c r="H262" s="27"/>
      <c r="I262" s="27"/>
      <c r="J262" s="27"/>
      <c r="K262" s="27"/>
      <c r="L262" s="27"/>
      <c r="M262" s="27"/>
      <c r="N262" s="27"/>
      <c r="O262" s="27"/>
      <c r="P262" s="27"/>
      <c r="Q262" s="27"/>
    </row>
    <row r="263" spans="7:17">
      <c r="G263" s="27"/>
      <c r="H263" s="27"/>
      <c r="I263" s="27"/>
      <c r="J263" s="27"/>
      <c r="K263" s="27"/>
      <c r="L263" s="27"/>
      <c r="M263" s="27"/>
      <c r="N263" s="27"/>
      <c r="O263" s="27"/>
      <c r="P263" s="27"/>
      <c r="Q263" s="27"/>
    </row>
    <row r="264" spans="7:17">
      <c r="G264" s="27"/>
      <c r="H264" s="27"/>
      <c r="I264" s="27"/>
      <c r="J264" s="27"/>
      <c r="K264" s="27"/>
      <c r="L264" s="27"/>
      <c r="M264" s="27"/>
      <c r="N264" s="27"/>
      <c r="O264" s="27"/>
      <c r="P264" s="27"/>
      <c r="Q264" s="27"/>
    </row>
    <row r="265" spans="7:17">
      <c r="G265" s="27"/>
      <c r="H265" s="27"/>
      <c r="I265" s="27"/>
      <c r="J265" s="27"/>
      <c r="K265" s="27"/>
      <c r="L265" s="27"/>
      <c r="M265" s="27"/>
      <c r="N265" s="27"/>
      <c r="O265" s="27"/>
      <c r="P265" s="27"/>
      <c r="Q265" s="27"/>
    </row>
    <row r="266" spans="7:17">
      <c r="G266" s="27"/>
      <c r="H266" s="27"/>
      <c r="I266" s="27"/>
      <c r="J266" s="27"/>
      <c r="K266" s="27"/>
      <c r="L266" s="27"/>
      <c r="M266" s="27"/>
      <c r="N266" s="27"/>
      <c r="O266" s="27"/>
      <c r="P266" s="27"/>
      <c r="Q266" s="27"/>
    </row>
    <row r="267" spans="7:17">
      <c r="G267" s="27"/>
      <c r="H267" s="27"/>
      <c r="I267" s="27"/>
      <c r="J267" s="27"/>
      <c r="K267" s="27"/>
      <c r="L267" s="27"/>
      <c r="M267" s="27"/>
      <c r="N267" s="27"/>
      <c r="O267" s="27"/>
      <c r="P267" s="27"/>
      <c r="Q267" s="27"/>
    </row>
    <row r="268" spans="7:17">
      <c r="G268" s="27"/>
      <c r="H268" s="27"/>
      <c r="I268" s="27"/>
      <c r="J268" s="27"/>
      <c r="K268" s="27"/>
      <c r="L268" s="27"/>
      <c r="M268" s="27"/>
      <c r="N268" s="27"/>
      <c r="O268" s="27"/>
      <c r="P268" s="27"/>
      <c r="Q268" s="27"/>
    </row>
    <row r="269" spans="7:17">
      <c r="G269" s="27"/>
      <c r="H269" s="27"/>
      <c r="I269" s="27"/>
      <c r="J269" s="27"/>
      <c r="K269" s="27"/>
      <c r="L269" s="27"/>
      <c r="M269" s="27"/>
      <c r="N269" s="27"/>
      <c r="O269" s="27"/>
      <c r="P269" s="27"/>
      <c r="Q269" s="27"/>
    </row>
    <row r="270" spans="7:17">
      <c r="G270" s="27"/>
      <c r="H270" s="27"/>
      <c r="I270" s="27"/>
      <c r="J270" s="27"/>
      <c r="K270" s="27"/>
      <c r="L270" s="27"/>
      <c r="M270" s="27"/>
      <c r="N270" s="27"/>
      <c r="O270" s="27"/>
      <c r="P270" s="27"/>
      <c r="Q270" s="27"/>
    </row>
    <row r="271" spans="7:17">
      <c r="G271" s="27"/>
      <c r="H271" s="27"/>
      <c r="I271" s="27"/>
      <c r="J271" s="27"/>
      <c r="K271" s="27"/>
      <c r="L271" s="27"/>
      <c r="M271" s="27"/>
      <c r="N271" s="27"/>
      <c r="O271" s="27"/>
      <c r="P271" s="27"/>
      <c r="Q271" s="27"/>
    </row>
    <row r="272" spans="7:17">
      <c r="G272" s="27"/>
      <c r="H272" s="27"/>
      <c r="I272" s="27"/>
      <c r="J272" s="27"/>
      <c r="K272" s="27"/>
      <c r="L272" s="27"/>
      <c r="M272" s="27"/>
      <c r="N272" s="27"/>
      <c r="O272" s="27"/>
      <c r="P272" s="27"/>
      <c r="Q272" s="27"/>
    </row>
    <row r="273" spans="7:17">
      <c r="G273" s="27"/>
      <c r="H273" s="27"/>
      <c r="I273" s="27"/>
      <c r="J273" s="27"/>
      <c r="K273" s="27"/>
      <c r="L273" s="27"/>
      <c r="M273" s="27"/>
      <c r="N273" s="27"/>
      <c r="O273" s="27"/>
      <c r="P273" s="27"/>
      <c r="Q273" s="27"/>
    </row>
    <row r="274" spans="7:17">
      <c r="G274" s="27"/>
      <c r="H274" s="27"/>
      <c r="I274" s="27"/>
      <c r="J274" s="27"/>
      <c r="K274" s="27"/>
      <c r="L274" s="27"/>
      <c r="M274" s="27"/>
      <c r="N274" s="27"/>
      <c r="O274" s="27"/>
      <c r="P274" s="27"/>
      <c r="Q274" s="27"/>
    </row>
    <row r="275" spans="7:17">
      <c r="G275" s="27"/>
      <c r="H275" s="27"/>
      <c r="I275" s="27"/>
      <c r="J275" s="27"/>
      <c r="K275" s="27"/>
      <c r="L275" s="27"/>
      <c r="M275" s="27"/>
      <c r="N275" s="27"/>
      <c r="O275" s="27"/>
      <c r="P275" s="27"/>
      <c r="Q275" s="27"/>
    </row>
    <row r="276" spans="7:17">
      <c r="G276" s="27"/>
      <c r="H276" s="27"/>
      <c r="I276" s="27"/>
      <c r="J276" s="27"/>
      <c r="K276" s="27"/>
      <c r="L276" s="27"/>
      <c r="M276" s="27"/>
      <c r="N276" s="27"/>
      <c r="O276" s="27"/>
      <c r="P276" s="27"/>
      <c r="Q276" s="27"/>
    </row>
    <row r="277" spans="7:17">
      <c r="G277" s="27"/>
      <c r="H277" s="27"/>
      <c r="I277" s="27"/>
      <c r="J277" s="27"/>
      <c r="K277" s="27"/>
      <c r="L277" s="27"/>
      <c r="M277" s="27"/>
      <c r="N277" s="27"/>
      <c r="O277" s="27"/>
      <c r="P277" s="27"/>
      <c r="Q277" s="27"/>
    </row>
    <row r="278" spans="7:17">
      <c r="G278" s="27"/>
      <c r="H278" s="27"/>
      <c r="I278" s="27"/>
      <c r="J278" s="27"/>
      <c r="K278" s="27"/>
      <c r="L278" s="27"/>
      <c r="M278" s="27"/>
      <c r="N278" s="27"/>
      <c r="O278" s="27"/>
      <c r="P278" s="27"/>
      <c r="Q278" s="27"/>
    </row>
    <row r="279" spans="7:17">
      <c r="G279" s="27"/>
      <c r="H279" s="27"/>
      <c r="I279" s="27"/>
      <c r="J279" s="27"/>
      <c r="K279" s="27"/>
      <c r="L279" s="27"/>
      <c r="M279" s="27"/>
      <c r="N279" s="27"/>
      <c r="O279" s="27"/>
      <c r="P279" s="27"/>
      <c r="Q279" s="27"/>
    </row>
    <row r="280" spans="7:17">
      <c r="G280" s="27"/>
      <c r="H280" s="27"/>
      <c r="I280" s="27"/>
      <c r="J280" s="27"/>
      <c r="K280" s="27"/>
      <c r="L280" s="27"/>
      <c r="M280" s="27"/>
      <c r="N280" s="27"/>
      <c r="O280" s="27"/>
      <c r="P280" s="27"/>
      <c r="Q280" s="27"/>
    </row>
    <row r="281" spans="7:17">
      <c r="G281" s="27"/>
      <c r="H281" s="27"/>
      <c r="I281" s="27"/>
      <c r="J281" s="27"/>
      <c r="K281" s="27"/>
      <c r="L281" s="27"/>
      <c r="M281" s="27"/>
      <c r="N281" s="27"/>
      <c r="O281" s="27"/>
      <c r="P281" s="27"/>
      <c r="Q281" s="27"/>
    </row>
    <row r="282" spans="7:17">
      <c r="G282" s="27"/>
      <c r="H282" s="27"/>
      <c r="I282" s="27"/>
      <c r="J282" s="27"/>
      <c r="K282" s="27"/>
      <c r="L282" s="27"/>
      <c r="M282" s="27"/>
      <c r="N282" s="27"/>
      <c r="O282" s="27"/>
      <c r="P282" s="27"/>
      <c r="Q282" s="27"/>
    </row>
    <row r="283" spans="7:17">
      <c r="G283" s="27"/>
      <c r="H283" s="27"/>
      <c r="I283" s="27"/>
      <c r="J283" s="27"/>
      <c r="K283" s="27"/>
      <c r="L283" s="27"/>
      <c r="M283" s="27"/>
      <c r="N283" s="27"/>
      <c r="O283" s="27"/>
      <c r="P283" s="27"/>
      <c r="Q283" s="27"/>
    </row>
    <row r="284" spans="7:17">
      <c r="G284" s="27"/>
      <c r="H284" s="27"/>
      <c r="I284" s="27"/>
      <c r="J284" s="27"/>
      <c r="K284" s="27"/>
      <c r="L284" s="27"/>
      <c r="M284" s="27"/>
      <c r="N284" s="27"/>
      <c r="O284" s="27"/>
      <c r="P284" s="27"/>
      <c r="Q284" s="27"/>
    </row>
    <row r="285" spans="7:17">
      <c r="G285" s="27"/>
      <c r="H285" s="27"/>
      <c r="I285" s="27"/>
      <c r="J285" s="27"/>
      <c r="K285" s="27"/>
      <c r="L285" s="27"/>
      <c r="M285" s="27"/>
      <c r="N285" s="27"/>
      <c r="O285" s="27"/>
      <c r="P285" s="27"/>
      <c r="Q285" s="27"/>
    </row>
    <row r="286" spans="7:17">
      <c r="G286" s="27"/>
      <c r="H286" s="27"/>
      <c r="I286" s="27"/>
      <c r="J286" s="27"/>
      <c r="K286" s="27"/>
      <c r="L286" s="27"/>
      <c r="M286" s="27"/>
      <c r="N286" s="27"/>
      <c r="O286" s="27"/>
      <c r="P286" s="27"/>
      <c r="Q286" s="27"/>
    </row>
    <row r="287" spans="7:17">
      <c r="G287" s="27"/>
      <c r="H287" s="27"/>
      <c r="I287" s="27"/>
      <c r="J287" s="27"/>
      <c r="K287" s="27"/>
      <c r="L287" s="27"/>
      <c r="M287" s="27"/>
      <c r="N287" s="27"/>
      <c r="O287" s="27"/>
      <c r="P287" s="27"/>
      <c r="Q287" s="27"/>
    </row>
    <row r="288" spans="7:17">
      <c r="G288" s="27"/>
      <c r="H288" s="27"/>
      <c r="I288" s="27"/>
      <c r="J288" s="27"/>
      <c r="K288" s="27"/>
      <c r="L288" s="27"/>
      <c r="M288" s="27"/>
      <c r="N288" s="27"/>
      <c r="O288" s="27"/>
      <c r="P288" s="27"/>
      <c r="Q288" s="27"/>
    </row>
    <row r="289" spans="7:17">
      <c r="G289" s="27"/>
      <c r="H289" s="27"/>
      <c r="I289" s="27"/>
      <c r="J289" s="27"/>
      <c r="K289" s="27"/>
      <c r="L289" s="27"/>
      <c r="M289" s="27"/>
      <c r="N289" s="27"/>
      <c r="O289" s="27"/>
      <c r="P289" s="27"/>
      <c r="Q289" s="27"/>
    </row>
    <row r="290" spans="7:17">
      <c r="G290" s="27"/>
      <c r="H290" s="27"/>
      <c r="I290" s="27"/>
      <c r="J290" s="27"/>
      <c r="K290" s="27"/>
      <c r="L290" s="27"/>
      <c r="M290" s="27"/>
      <c r="N290" s="27"/>
      <c r="O290" s="27"/>
      <c r="P290" s="27"/>
      <c r="Q290" s="27"/>
    </row>
    <row r="291" spans="7:17">
      <c r="G291" s="27"/>
      <c r="H291" s="27"/>
      <c r="I291" s="27"/>
      <c r="J291" s="27"/>
      <c r="K291" s="27"/>
      <c r="L291" s="27"/>
      <c r="M291" s="27"/>
      <c r="N291" s="27"/>
      <c r="O291" s="27"/>
      <c r="P291" s="27"/>
      <c r="Q291" s="27"/>
    </row>
    <row r="292" spans="7:17">
      <c r="G292" s="27"/>
      <c r="H292" s="27"/>
      <c r="I292" s="27"/>
      <c r="J292" s="27"/>
      <c r="K292" s="27"/>
      <c r="L292" s="27"/>
      <c r="M292" s="27"/>
      <c r="N292" s="27"/>
      <c r="O292" s="27"/>
      <c r="P292" s="27"/>
      <c r="Q292" s="27"/>
    </row>
    <row r="293" spans="7:17">
      <c r="G293" s="27"/>
      <c r="H293" s="27"/>
      <c r="I293" s="27"/>
      <c r="J293" s="27"/>
      <c r="K293" s="27"/>
      <c r="L293" s="27"/>
      <c r="M293" s="27"/>
      <c r="N293" s="27"/>
      <c r="O293" s="27"/>
      <c r="P293" s="27"/>
      <c r="Q293" s="27"/>
    </row>
    <row r="294" spans="7:17">
      <c r="G294" s="27"/>
      <c r="H294" s="27"/>
      <c r="I294" s="27"/>
      <c r="J294" s="27"/>
      <c r="K294" s="27"/>
      <c r="L294" s="27"/>
      <c r="M294" s="27"/>
      <c r="N294" s="27"/>
      <c r="O294" s="27"/>
      <c r="P294" s="27"/>
      <c r="Q294" s="27"/>
    </row>
    <row r="295" spans="7:17">
      <c r="G295" s="27"/>
      <c r="H295" s="27"/>
      <c r="I295" s="27"/>
      <c r="J295" s="27"/>
      <c r="K295" s="27"/>
      <c r="L295" s="27"/>
      <c r="M295" s="27"/>
      <c r="N295" s="27"/>
      <c r="O295" s="27"/>
      <c r="P295" s="27"/>
      <c r="Q295" s="27"/>
    </row>
    <row r="296" spans="7:17">
      <c r="K296" s="27"/>
      <c r="L296" s="27"/>
      <c r="M296" s="27"/>
      <c r="N296" s="27"/>
      <c r="O296" s="27"/>
      <c r="P296" s="27"/>
      <c r="Q296" s="27"/>
    </row>
    <row r="297" spans="7:17">
      <c r="K297" s="27"/>
      <c r="L297" s="27"/>
      <c r="M297" s="27"/>
      <c r="N297" s="27"/>
      <c r="O297" s="27"/>
      <c r="P297" s="27"/>
      <c r="Q297" s="27"/>
    </row>
    <row r="298" spans="7:17">
      <c r="K298" s="27"/>
      <c r="L298" s="27"/>
      <c r="M298" s="27"/>
      <c r="N298" s="27"/>
      <c r="O298" s="27"/>
      <c r="P298" s="27"/>
      <c r="Q298" s="27"/>
    </row>
    <row r="299" spans="7:17">
      <c r="K299" s="27"/>
      <c r="L299" s="27"/>
      <c r="M299" s="27"/>
      <c r="N299" s="27"/>
      <c r="O299" s="27"/>
      <c r="P299" s="27"/>
      <c r="Q299" s="27"/>
    </row>
    <row r="300" spans="7:17">
      <c r="K300" s="27"/>
      <c r="L300" s="27"/>
      <c r="M300" s="27"/>
      <c r="N300" s="27"/>
      <c r="O300" s="27"/>
      <c r="P300" s="27"/>
      <c r="Q300" s="27"/>
    </row>
    <row r="301" spans="7:17">
      <c r="K301" s="27"/>
      <c r="L301" s="27"/>
      <c r="M301" s="27"/>
      <c r="N301" s="27"/>
      <c r="O301" s="27"/>
      <c r="P301" s="27"/>
      <c r="Q301" s="27"/>
    </row>
    <row r="302" spans="7:17">
      <c r="K302" s="27"/>
      <c r="L302" s="27"/>
      <c r="M302" s="27"/>
      <c r="N302" s="27"/>
      <c r="O302" s="27"/>
      <c r="P302" s="27"/>
      <c r="Q302" s="27"/>
    </row>
    <row r="303" spans="7:17">
      <c r="K303" s="27"/>
      <c r="L303" s="27"/>
      <c r="M303" s="27"/>
      <c r="N303" s="27"/>
      <c r="O303" s="27"/>
      <c r="P303" s="27"/>
      <c r="Q303" s="27"/>
    </row>
    <row r="304" spans="7:17">
      <c r="K304" s="27"/>
      <c r="L304" s="27"/>
      <c r="M304" s="27"/>
      <c r="N304" s="27"/>
      <c r="O304" s="27"/>
      <c r="P304" s="27"/>
      <c r="Q304" s="27"/>
    </row>
    <row r="305" spans="11:17">
      <c r="K305" s="27"/>
      <c r="L305" s="27"/>
      <c r="M305" s="27"/>
      <c r="N305" s="27"/>
      <c r="O305" s="27"/>
      <c r="P305" s="27"/>
      <c r="Q305" s="27"/>
    </row>
  </sheetData>
  <mergeCells count="2">
    <mergeCell ref="A2:P2"/>
    <mergeCell ref="A1:Q1"/>
  </mergeCell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FFC000"/>
  </sheetPr>
  <dimension ref="B1:V41"/>
  <sheetViews>
    <sheetView topLeftCell="A18" zoomScale="80" zoomScaleNormal="80" workbookViewId="0">
      <selection activeCell="G28" sqref="G28"/>
    </sheetView>
  </sheetViews>
  <sheetFormatPr baseColWidth="10" defaultColWidth="13.140625" defaultRowHeight="15"/>
  <cols>
    <col min="1" max="1" width="13.140625" style="27"/>
    <col min="2" max="2" width="12.7109375" style="27" customWidth="1"/>
    <col min="3" max="3" width="15.7109375" style="27" customWidth="1"/>
    <col min="4" max="4" width="16.5703125" style="27" customWidth="1"/>
    <col min="5" max="5" width="1.85546875" style="27" customWidth="1"/>
    <col min="6" max="6" width="12.85546875" style="27" customWidth="1"/>
    <col min="7" max="7" width="59.140625" style="229" customWidth="1"/>
    <col min="8" max="8" width="0.85546875" style="229" customWidth="1"/>
    <col min="9" max="9" width="15.7109375" style="27" customWidth="1"/>
    <col min="10" max="10" width="1.28515625" style="27" customWidth="1"/>
    <col min="11" max="11" width="15.7109375" style="27" customWidth="1"/>
    <col min="12" max="12" width="1.28515625" style="27" customWidth="1"/>
    <col min="13" max="13" width="15.7109375" style="27" customWidth="1"/>
    <col min="14" max="14" width="1.140625" style="27" customWidth="1"/>
    <col min="15" max="15" width="15.7109375" style="27" customWidth="1"/>
    <col min="16" max="16" width="1.42578125" style="27" customWidth="1"/>
    <col min="17" max="17" width="15.7109375" style="27" customWidth="1"/>
    <col min="18" max="18" width="1.28515625" style="421" customWidth="1"/>
    <col min="19" max="19" width="15.7109375" style="27" customWidth="1"/>
    <col min="20" max="20" width="18.85546875" style="27" customWidth="1"/>
    <col min="21" max="16384" width="13.140625" style="27"/>
  </cols>
  <sheetData>
    <row r="1" spans="2:19" ht="152.25" customHeight="1"/>
    <row r="3" spans="2:19" ht="21">
      <c r="C3" s="311"/>
      <c r="D3" s="311"/>
      <c r="E3" s="311"/>
      <c r="F3" s="311"/>
      <c r="G3" s="311"/>
      <c r="H3" s="311"/>
      <c r="I3" s="311"/>
      <c r="J3" s="311"/>
      <c r="K3" s="311"/>
    </row>
    <row r="4" spans="2:19" ht="15" customHeight="1">
      <c r="C4" s="1276" t="s">
        <v>260</v>
      </c>
      <c r="D4" s="1276"/>
      <c r="E4" s="1276"/>
      <c r="F4" s="1276"/>
      <c r="G4" s="1276"/>
      <c r="H4" s="1276"/>
      <c r="I4" s="1276"/>
      <c r="J4" s="1276"/>
      <c r="K4" s="1276"/>
      <c r="L4" s="1276"/>
      <c r="M4" s="1276"/>
      <c r="N4" s="1276"/>
      <c r="O4" s="1276"/>
      <c r="P4" s="1276"/>
      <c r="Q4" s="1276"/>
    </row>
    <row r="5" spans="2:19" ht="21.75" customHeight="1">
      <c r="C5" s="1276"/>
      <c r="D5" s="1276"/>
      <c r="E5" s="1276"/>
      <c r="F5" s="1276"/>
      <c r="G5" s="1276"/>
      <c r="H5" s="1276"/>
      <c r="I5" s="1276"/>
      <c r="J5" s="1276"/>
      <c r="K5" s="1276"/>
      <c r="L5" s="1276"/>
      <c r="M5" s="1276"/>
      <c r="N5" s="1276"/>
      <c r="O5" s="1276"/>
      <c r="P5" s="1276"/>
      <c r="Q5" s="1276"/>
    </row>
    <row r="6" spans="2:19" ht="21">
      <c r="C6" s="311"/>
      <c r="D6" s="311"/>
      <c r="E6" s="311"/>
      <c r="F6" s="311"/>
      <c r="G6" s="311"/>
      <c r="H6" s="311"/>
      <c r="I6" s="311"/>
      <c r="J6" s="311"/>
      <c r="K6" s="311"/>
    </row>
    <row r="7" spans="2:19" ht="18.75">
      <c r="C7" s="368" t="s">
        <v>154</v>
      </c>
      <c r="D7" s="369"/>
      <c r="E7" s="370"/>
      <c r="F7" s="371" t="s">
        <v>1168</v>
      </c>
      <c r="G7" s="372"/>
      <c r="H7" s="371"/>
      <c r="I7" s="373"/>
      <c r="J7" s="372"/>
      <c r="K7" s="373"/>
    </row>
    <row r="8" spans="2:19" ht="18.75">
      <c r="C8" s="368" t="s">
        <v>166</v>
      </c>
      <c r="D8" s="369"/>
      <c r="E8" s="370"/>
      <c r="F8" s="374"/>
      <c r="G8" s="375"/>
      <c r="H8" s="374"/>
      <c r="I8" s="376"/>
      <c r="J8" s="375"/>
      <c r="K8" s="376"/>
    </row>
    <row r="9" spans="2:19" ht="18.75">
      <c r="C9" s="368" t="s">
        <v>259</v>
      </c>
      <c r="D9" s="369"/>
      <c r="E9" s="370"/>
      <c r="F9" s="374"/>
      <c r="G9" s="375"/>
      <c r="H9" s="374"/>
      <c r="I9" s="376"/>
      <c r="J9" s="375"/>
      <c r="K9" s="376"/>
    </row>
    <row r="10" spans="2:19" ht="18.75">
      <c r="C10" s="368" t="s">
        <v>155</v>
      </c>
      <c r="D10" s="369"/>
      <c r="E10" s="370"/>
      <c r="F10" s="377"/>
      <c r="G10" s="375"/>
      <c r="H10" s="374"/>
      <c r="I10" s="376"/>
      <c r="J10" s="375"/>
      <c r="K10" s="376"/>
    </row>
    <row r="11" spans="2:19" ht="18.75">
      <c r="C11" s="368" t="s">
        <v>262</v>
      </c>
      <c r="D11" s="369"/>
      <c r="E11" s="370"/>
      <c r="F11" s="374"/>
      <c r="G11" s="375"/>
      <c r="H11" s="374"/>
      <c r="I11" s="376"/>
      <c r="J11" s="375"/>
      <c r="K11" s="376"/>
    </row>
    <row r="15" spans="2:19" ht="44.25" customHeight="1">
      <c r="B15" s="1276" t="s">
        <v>361</v>
      </c>
      <c r="C15" s="1276"/>
      <c r="D15" s="1276"/>
      <c r="E15" s="1276"/>
      <c r="F15" s="1276"/>
      <c r="G15" s="1276"/>
      <c r="H15" s="1276"/>
      <c r="I15" s="1276"/>
      <c r="J15" s="1276"/>
      <c r="K15" s="1276"/>
      <c r="L15" s="1276"/>
      <c r="M15" s="1276"/>
      <c r="N15" s="1276"/>
      <c r="O15" s="1276"/>
      <c r="P15" s="1276"/>
      <c r="Q15" s="1276"/>
      <c r="R15" s="1276"/>
      <c r="S15" s="1276"/>
    </row>
    <row r="16" spans="2:19" ht="18" customHeight="1">
      <c r="B16" s="1277" t="s">
        <v>341</v>
      </c>
      <c r="C16" s="1277"/>
      <c r="D16" s="1277"/>
      <c r="E16" s="417"/>
      <c r="F16" s="1280" t="s">
        <v>179</v>
      </c>
      <c r="G16" s="1280"/>
      <c r="H16" s="1280"/>
      <c r="I16" s="1280"/>
      <c r="J16" s="1280"/>
      <c r="K16" s="1280"/>
      <c r="L16" s="1280"/>
      <c r="M16" s="1280"/>
      <c r="N16" s="1280"/>
      <c r="O16" s="1280"/>
      <c r="P16" s="1280"/>
      <c r="Q16" s="1280"/>
      <c r="R16" s="1280"/>
      <c r="S16" s="1280"/>
    </row>
    <row r="17" spans="2:22" ht="6" customHeight="1">
      <c r="B17" s="1277"/>
      <c r="C17" s="1277"/>
      <c r="D17" s="1277"/>
      <c r="E17" s="417"/>
      <c r="F17" s="417"/>
      <c r="G17" s="417"/>
      <c r="H17" s="417"/>
      <c r="I17" s="417"/>
      <c r="J17" s="417"/>
      <c r="K17" s="417"/>
      <c r="L17" s="417"/>
      <c r="M17" s="417"/>
      <c r="N17" s="417"/>
      <c r="O17" s="417"/>
      <c r="P17" s="417"/>
      <c r="Q17" s="417"/>
      <c r="R17" s="417"/>
      <c r="S17" s="417"/>
    </row>
    <row r="18" spans="2:22" ht="45" customHeight="1">
      <c r="B18" s="1277"/>
      <c r="C18" s="1277"/>
      <c r="D18" s="1277"/>
      <c r="E18" s="417"/>
      <c r="F18" s="1285" t="s">
        <v>99</v>
      </c>
      <c r="G18" s="1285"/>
      <c r="H18" s="423"/>
      <c r="I18" s="1286" t="s">
        <v>100</v>
      </c>
      <c r="J18" s="431"/>
      <c r="K18" s="1282" t="s">
        <v>69</v>
      </c>
      <c r="L18" s="431"/>
      <c r="M18" s="1283" t="s">
        <v>67</v>
      </c>
      <c r="N18" s="432"/>
      <c r="O18" s="1284" t="s">
        <v>26</v>
      </c>
      <c r="P18" s="432"/>
      <c r="Q18" s="1278" t="s">
        <v>180</v>
      </c>
      <c r="R18" s="432"/>
      <c r="S18" s="1279" t="s">
        <v>181</v>
      </c>
    </row>
    <row r="19" spans="2:22" ht="15" customHeight="1">
      <c r="B19" s="1277"/>
      <c r="C19" s="1277"/>
      <c r="D19" s="1277"/>
      <c r="E19" s="417"/>
      <c r="F19" s="1285"/>
      <c r="G19" s="1285"/>
      <c r="H19" s="423"/>
      <c r="I19" s="1286"/>
      <c r="J19" s="431"/>
      <c r="K19" s="1282"/>
      <c r="L19" s="431"/>
      <c r="M19" s="1283"/>
      <c r="N19" s="432"/>
      <c r="O19" s="1284"/>
      <c r="P19" s="432"/>
      <c r="Q19" s="1278"/>
      <c r="R19" s="432"/>
      <c r="S19" s="1279"/>
    </row>
    <row r="20" spans="2:22" ht="34.5" customHeight="1">
      <c r="B20" s="1277"/>
      <c r="C20" s="1277"/>
      <c r="D20" s="1277"/>
      <c r="E20" s="417"/>
      <c r="F20" s="1285"/>
      <c r="G20" s="1285"/>
      <c r="H20" s="423"/>
      <c r="I20" s="1286"/>
      <c r="J20" s="431"/>
      <c r="K20" s="1282"/>
      <c r="L20" s="431"/>
      <c r="M20" s="1283"/>
      <c r="N20" s="432"/>
      <c r="O20" s="1284"/>
      <c r="P20" s="432"/>
      <c r="Q20" s="1278"/>
      <c r="R20" s="432"/>
      <c r="S20" s="1279"/>
    </row>
    <row r="21" spans="2:22" ht="4.5" customHeight="1">
      <c r="B21" s="417"/>
      <c r="C21" s="417"/>
      <c r="D21" s="417"/>
      <c r="E21" s="417"/>
      <c r="F21" s="423"/>
      <c r="G21" s="423"/>
      <c r="H21" s="423"/>
      <c r="I21" s="417"/>
      <c r="J21" s="417"/>
      <c r="K21" s="415"/>
      <c r="L21" s="415"/>
      <c r="M21" s="417"/>
      <c r="N21" s="417"/>
      <c r="O21" s="417"/>
      <c r="P21" s="417"/>
      <c r="Q21" s="417"/>
      <c r="R21" s="417"/>
      <c r="S21" s="417"/>
    </row>
    <row r="22" spans="2:22" ht="31.5">
      <c r="B22" s="425" t="s">
        <v>152</v>
      </c>
      <c r="C22" s="425" t="s">
        <v>70</v>
      </c>
      <c r="D22" s="426" t="s">
        <v>57</v>
      </c>
      <c r="E22" s="419"/>
      <c r="F22" s="418" t="s">
        <v>15</v>
      </c>
      <c r="G22" s="427" t="s">
        <v>79</v>
      </c>
      <c r="H22" s="424"/>
      <c r="I22" s="418" t="s">
        <v>71</v>
      </c>
      <c r="J22" s="419"/>
      <c r="K22" s="428" t="s">
        <v>72</v>
      </c>
      <c r="L22" s="416"/>
      <c r="M22" s="428" t="s">
        <v>73</v>
      </c>
      <c r="N22" s="416"/>
      <c r="O22" s="439" t="s">
        <v>182</v>
      </c>
      <c r="P22" s="419"/>
      <c r="Q22" s="429" t="s">
        <v>68</v>
      </c>
      <c r="R22" s="420"/>
      <c r="S22" s="430" t="s">
        <v>74</v>
      </c>
      <c r="T22" s="607" t="s">
        <v>1139</v>
      </c>
      <c r="U22" s="607" t="s">
        <v>1138</v>
      </c>
      <c r="V22" s="607" t="s">
        <v>1071</v>
      </c>
    </row>
    <row r="23" spans="2:22">
      <c r="B23" s="433" t="s">
        <v>160</v>
      </c>
      <c r="C23" s="433" t="s">
        <v>48</v>
      </c>
      <c r="D23" s="899">
        <v>180</v>
      </c>
      <c r="E23" s="422"/>
      <c r="F23" s="454">
        <f>(755*D23)/1000</f>
        <v>135.9</v>
      </c>
      <c r="G23" s="455" t="s">
        <v>104</v>
      </c>
      <c r="H23" s="456"/>
      <c r="I23" s="896">
        <f t="shared" ref="I23:I27" si="0">(D23/1000)*4.44</f>
        <v>0.79920000000000002</v>
      </c>
      <c r="J23" s="457"/>
      <c r="K23" s="458"/>
      <c r="L23" s="459"/>
      <c r="M23" s="460">
        <f>15277.8*(D23/1000)</f>
        <v>2750.0039999999999</v>
      </c>
      <c r="N23" s="461"/>
      <c r="O23" s="458">
        <f>(1870*D23/1000)</f>
        <v>336.6</v>
      </c>
      <c r="P23" s="459"/>
      <c r="Q23" s="827"/>
      <c r="R23" s="462"/>
      <c r="S23" s="463">
        <f>43.9*D23/1000</f>
        <v>7.9020000000000001</v>
      </c>
      <c r="T23" s="463">
        <f>D23/4275</f>
        <v>4.2105263157894736E-2</v>
      </c>
      <c r="U23" s="463">
        <f>D23/25000000</f>
        <v>7.1999999999999997E-6</v>
      </c>
      <c r="V23" s="463">
        <f>E23/25000000</f>
        <v>0</v>
      </c>
    </row>
    <row r="24" spans="2:22">
      <c r="B24" s="434" t="s">
        <v>160</v>
      </c>
      <c r="C24" s="434" t="s">
        <v>75</v>
      </c>
      <c r="D24" s="899">
        <v>47</v>
      </c>
      <c r="E24" s="422"/>
      <c r="F24" s="464">
        <f>(D24/1000)*837.6</f>
        <v>39.367200000000004</v>
      </c>
      <c r="G24" s="465" t="s">
        <v>101</v>
      </c>
      <c r="H24" s="466"/>
      <c r="I24" s="897">
        <f t="shared" si="0"/>
        <v>0.20868000000000003</v>
      </c>
      <c r="J24" s="457"/>
      <c r="K24" s="467">
        <f>4900*(D24/1000)</f>
        <v>230.3</v>
      </c>
      <c r="L24" s="459"/>
      <c r="M24" s="467">
        <f>18502.78*(D24/1000)</f>
        <v>869.63065999999992</v>
      </c>
      <c r="N24" s="459"/>
      <c r="O24" s="467">
        <f>(1330*D24/1000)</f>
        <v>62.51</v>
      </c>
      <c r="P24" s="459"/>
      <c r="Q24" s="828"/>
      <c r="R24" s="462"/>
      <c r="S24" s="468">
        <f>30.487*D24/1000</f>
        <v>1.4328889999999999</v>
      </c>
      <c r="T24" s="463">
        <f t="shared" ref="T24:T35" si="1">D24/4275</f>
        <v>1.0994152046783626E-2</v>
      </c>
      <c r="U24" s="463">
        <f t="shared" ref="U24:V35" si="2">D24/25000000</f>
        <v>1.88E-6</v>
      </c>
      <c r="V24" s="463">
        <f t="shared" si="2"/>
        <v>0</v>
      </c>
    </row>
    <row r="25" spans="2:22">
      <c r="B25" s="434" t="s">
        <v>163</v>
      </c>
      <c r="C25" s="434" t="s">
        <v>156</v>
      </c>
      <c r="D25" s="899"/>
      <c r="E25" s="422"/>
      <c r="F25" s="464">
        <f>(D25/1000)*837.6</f>
        <v>0</v>
      </c>
      <c r="G25" s="465" t="s">
        <v>101</v>
      </c>
      <c r="H25" s="466"/>
      <c r="I25" s="897">
        <f t="shared" si="0"/>
        <v>0</v>
      </c>
      <c r="J25" s="457"/>
      <c r="K25" s="467">
        <f>4900*(D25/1000)</f>
        <v>0</v>
      </c>
      <c r="L25" s="459"/>
      <c r="M25" s="467">
        <f>18502.78*(D25/1000)</f>
        <v>0</v>
      </c>
      <c r="N25" s="459"/>
      <c r="O25" s="467">
        <f>(1330*D25/1000)</f>
        <v>0</v>
      </c>
      <c r="P25" s="459"/>
      <c r="Q25" s="828"/>
      <c r="R25" s="462"/>
      <c r="S25" s="468">
        <f>30.487*D25/1000</f>
        <v>0</v>
      </c>
      <c r="T25" s="463">
        <f t="shared" si="1"/>
        <v>0</v>
      </c>
      <c r="U25" s="463">
        <f t="shared" si="2"/>
        <v>0</v>
      </c>
      <c r="V25" s="463">
        <f t="shared" si="2"/>
        <v>0</v>
      </c>
    </row>
    <row r="26" spans="2:22">
      <c r="B26" s="434" t="s">
        <v>152</v>
      </c>
      <c r="C26" s="434" t="s">
        <v>53</v>
      </c>
      <c r="D26" s="899"/>
      <c r="E26" s="422"/>
      <c r="F26" s="464">
        <f>(D26/1000)*832</f>
        <v>0</v>
      </c>
      <c r="G26" s="465" t="s">
        <v>105</v>
      </c>
      <c r="H26" s="466"/>
      <c r="I26" s="897">
        <f t="shared" si="0"/>
        <v>0</v>
      </c>
      <c r="J26" s="457"/>
      <c r="K26" s="467"/>
      <c r="L26" s="459"/>
      <c r="M26" s="467"/>
      <c r="N26" s="459"/>
      <c r="O26" s="467">
        <f>(D26/1000)*1294</f>
        <v>0</v>
      </c>
      <c r="P26" s="459"/>
      <c r="Q26" s="828"/>
      <c r="R26" s="462"/>
      <c r="S26" s="468">
        <f>23.75*D26/1000</f>
        <v>0</v>
      </c>
      <c r="T26" s="463">
        <f t="shared" si="1"/>
        <v>0</v>
      </c>
      <c r="U26" s="463">
        <f t="shared" si="2"/>
        <v>0</v>
      </c>
      <c r="V26" s="463">
        <f t="shared" si="2"/>
        <v>0</v>
      </c>
    </row>
    <row r="27" spans="2:22">
      <c r="B27" s="434" t="s">
        <v>152</v>
      </c>
      <c r="C27" s="434" t="s">
        <v>76</v>
      </c>
      <c r="D27" s="899"/>
      <c r="E27" s="422"/>
      <c r="F27" s="464"/>
      <c r="G27" s="469"/>
      <c r="H27" s="456"/>
      <c r="I27" s="897">
        <f t="shared" si="0"/>
        <v>0</v>
      </c>
      <c r="J27" s="457"/>
      <c r="K27" s="467">
        <f>3930*(D27/1000)</f>
        <v>0</v>
      </c>
      <c r="L27" s="459"/>
      <c r="M27" s="467">
        <f>18197*(D27/1000)</f>
        <v>0</v>
      </c>
      <c r="N27" s="459"/>
      <c r="O27" s="467">
        <f>(1310*D27/1000)</f>
        <v>0</v>
      </c>
      <c r="P27" s="459"/>
      <c r="Q27" s="828"/>
      <c r="R27" s="462"/>
      <c r="S27" s="468">
        <f>33.33*D27/1000</f>
        <v>0</v>
      </c>
      <c r="T27" s="463">
        <f t="shared" si="1"/>
        <v>0</v>
      </c>
      <c r="U27" s="463">
        <f t="shared" si="2"/>
        <v>0</v>
      </c>
      <c r="V27" s="463">
        <f t="shared" si="2"/>
        <v>0</v>
      </c>
    </row>
    <row r="28" spans="2:22">
      <c r="B28" s="434" t="s">
        <v>164</v>
      </c>
      <c r="C28" s="434" t="s">
        <v>237</v>
      </c>
      <c r="D28" s="899">
        <v>1.5</v>
      </c>
      <c r="E28" s="422"/>
      <c r="F28" s="464"/>
      <c r="G28" s="469"/>
      <c r="H28" s="456"/>
      <c r="I28" s="897">
        <f>(D28/1000)*4.44</f>
        <v>6.660000000000001E-3</v>
      </c>
      <c r="J28" s="457"/>
      <c r="K28" s="467">
        <f>3930*(D28/1000)</f>
        <v>5.8950000000000005</v>
      </c>
      <c r="L28" s="459"/>
      <c r="M28" s="467">
        <f>18197*(D28/1000)</f>
        <v>27.295500000000001</v>
      </c>
      <c r="N28" s="459"/>
      <c r="O28" s="467">
        <f>(1310*D28/1000)</f>
        <v>1.9650000000000001</v>
      </c>
      <c r="P28" s="459"/>
      <c r="Q28" s="828"/>
      <c r="R28" s="462"/>
      <c r="S28" s="468">
        <f>36.63*D28/1000</f>
        <v>5.4945000000000008E-2</v>
      </c>
      <c r="T28" s="463">
        <f t="shared" si="1"/>
        <v>3.5087719298245611E-4</v>
      </c>
      <c r="U28" s="463">
        <f t="shared" si="2"/>
        <v>5.9999999999999995E-8</v>
      </c>
      <c r="V28" s="463">
        <f t="shared" si="2"/>
        <v>0</v>
      </c>
    </row>
    <row r="29" spans="2:22">
      <c r="B29" s="434" t="s">
        <v>153</v>
      </c>
      <c r="C29" s="370" t="s">
        <v>895</v>
      </c>
      <c r="D29" s="899">
        <v>224</v>
      </c>
      <c r="E29" s="422"/>
      <c r="F29" s="464"/>
      <c r="G29" s="469"/>
      <c r="H29" s="456"/>
      <c r="I29" s="897">
        <f>9.43*D29/1000</f>
        <v>2.1123199999999995</v>
      </c>
      <c r="J29" s="457"/>
      <c r="K29" s="467">
        <f>24375*(D29/1000)</f>
        <v>5460</v>
      </c>
      <c r="L29" s="459"/>
      <c r="M29" s="467">
        <f>3675*(D29/1000)</f>
        <v>823.2</v>
      </c>
      <c r="N29" s="459"/>
      <c r="O29" s="467">
        <f>(D29/1000)*857</f>
        <v>191.96800000000002</v>
      </c>
      <c r="P29" s="459"/>
      <c r="Q29" s="829">
        <f>13.5*D29/1000</f>
        <v>3.024</v>
      </c>
      <c r="R29" s="470"/>
      <c r="S29" s="468">
        <f>21*D29/1000</f>
        <v>4.7039999999999997</v>
      </c>
      <c r="T29" s="463">
        <f t="shared" si="1"/>
        <v>5.239766081871345E-2</v>
      </c>
      <c r="U29" s="463">
        <f t="shared" si="2"/>
        <v>8.9600000000000006E-6</v>
      </c>
      <c r="V29" s="463">
        <f t="shared" si="2"/>
        <v>0</v>
      </c>
    </row>
    <row r="30" spans="2:22">
      <c r="B30" s="370" t="s">
        <v>95</v>
      </c>
      <c r="C30" s="435" t="s">
        <v>158</v>
      </c>
      <c r="D30" s="899"/>
      <c r="E30" s="422"/>
      <c r="F30" s="464"/>
      <c r="G30" s="469"/>
      <c r="H30" s="456"/>
      <c r="I30" s="897">
        <f>12.578*D30/1000</f>
        <v>0</v>
      </c>
      <c r="J30" s="457"/>
      <c r="K30" s="467">
        <f>26500*(D30/1000)</f>
        <v>0</v>
      </c>
      <c r="L30" s="459"/>
      <c r="M30" s="467">
        <f>3500*(D30/1000)</f>
        <v>0</v>
      </c>
      <c r="N30" s="459"/>
      <c r="O30" s="467">
        <f>(D30/1000)*796</f>
        <v>0</v>
      </c>
      <c r="P30" s="459"/>
      <c r="Q30" s="829">
        <f>18*D30/1000</f>
        <v>0</v>
      </c>
      <c r="R30" s="470"/>
      <c r="S30" s="468">
        <f>2.3*D30/1000</f>
        <v>0</v>
      </c>
      <c r="T30" s="463">
        <f t="shared" si="1"/>
        <v>0</v>
      </c>
      <c r="U30" s="463">
        <f t="shared" si="2"/>
        <v>0</v>
      </c>
      <c r="V30" s="463">
        <f t="shared" si="2"/>
        <v>0</v>
      </c>
    </row>
    <row r="31" spans="2:22">
      <c r="B31" s="434" t="s">
        <v>96</v>
      </c>
      <c r="C31" s="435" t="s">
        <v>18</v>
      </c>
      <c r="D31" s="899">
        <v>3.5</v>
      </c>
      <c r="E31" s="422"/>
      <c r="F31" s="464">
        <f>(D31/1000)*4642</f>
        <v>16.247</v>
      </c>
      <c r="G31" s="469" t="s">
        <v>183</v>
      </c>
      <c r="H31" s="456"/>
      <c r="I31" s="897"/>
      <c r="J31" s="457"/>
      <c r="K31" s="471">
        <f>90000*(D31/1000)</f>
        <v>315</v>
      </c>
      <c r="L31" s="472"/>
      <c r="M31" s="471">
        <f>(D31/1000)*21000</f>
        <v>73.5</v>
      </c>
      <c r="N31" s="472"/>
      <c r="O31" s="467">
        <f>6900*D31/1000</f>
        <v>24.15</v>
      </c>
      <c r="P31" s="459"/>
      <c r="Q31" s="828"/>
      <c r="R31" s="462"/>
      <c r="S31" s="468">
        <f>33.3*D31/1000</f>
        <v>0.11654999999999999</v>
      </c>
      <c r="T31" s="463">
        <f t="shared" si="1"/>
        <v>8.1871345029239765E-4</v>
      </c>
      <c r="U31" s="463">
        <f t="shared" si="2"/>
        <v>1.4000000000000001E-7</v>
      </c>
      <c r="V31" s="463">
        <f t="shared" si="2"/>
        <v>0</v>
      </c>
    </row>
    <row r="32" spans="2:22">
      <c r="B32" s="434" t="s">
        <v>96</v>
      </c>
      <c r="C32" s="434" t="s">
        <v>54</v>
      </c>
      <c r="D32" s="899">
        <v>47</v>
      </c>
      <c r="E32" s="422"/>
      <c r="F32" s="464">
        <f>(D32/1000)*2450</f>
        <v>115.15</v>
      </c>
      <c r="G32" s="469" t="s">
        <v>185</v>
      </c>
      <c r="H32" s="456"/>
      <c r="I32" s="897"/>
      <c r="J32" s="457"/>
      <c r="K32" s="471"/>
      <c r="L32" s="472"/>
      <c r="M32" s="471"/>
      <c r="N32" s="472"/>
      <c r="O32" s="467">
        <f>D32*1.5</f>
        <v>70.5</v>
      </c>
      <c r="P32" s="459"/>
      <c r="Q32" s="828"/>
      <c r="R32" s="462"/>
      <c r="S32" s="468">
        <f>37.45*D32/1000</f>
        <v>1.7601500000000001</v>
      </c>
      <c r="T32" s="463">
        <f t="shared" si="1"/>
        <v>1.0994152046783626E-2</v>
      </c>
      <c r="U32" s="463">
        <f t="shared" si="2"/>
        <v>1.88E-6</v>
      </c>
      <c r="V32" s="463">
        <f t="shared" si="2"/>
        <v>0</v>
      </c>
    </row>
    <row r="33" spans="2:22">
      <c r="B33" s="434" t="s">
        <v>97</v>
      </c>
      <c r="C33" s="434" t="s">
        <v>77</v>
      </c>
      <c r="D33" s="899">
        <v>223.5</v>
      </c>
      <c r="E33" s="422"/>
      <c r="F33" s="464"/>
      <c r="G33" s="469"/>
      <c r="H33" s="456"/>
      <c r="I33" s="897">
        <f>12.578*D33/1000</f>
        <v>2.8111830000000002</v>
      </c>
      <c r="J33" s="457"/>
      <c r="K33" s="467">
        <f>26500*(D33/1000)</f>
        <v>5922.75</v>
      </c>
      <c r="L33" s="459"/>
      <c r="M33" s="467">
        <f>3500*(D33/1000)</f>
        <v>782.25</v>
      </c>
      <c r="N33" s="459"/>
      <c r="O33" s="467">
        <f>(D33/1000)*796</f>
        <v>177.90600000000001</v>
      </c>
      <c r="P33" s="459"/>
      <c r="Q33" s="829">
        <f>18*D33/1000</f>
        <v>4.0229999999999997</v>
      </c>
      <c r="R33" s="470"/>
      <c r="S33" s="468">
        <f>2.3*D33/1000</f>
        <v>0.51405000000000001</v>
      </c>
      <c r="T33" s="463">
        <f t="shared" si="1"/>
        <v>5.2280701754385962E-2</v>
      </c>
      <c r="U33" s="463">
        <f t="shared" si="2"/>
        <v>8.9400000000000008E-6</v>
      </c>
      <c r="V33" s="463">
        <f t="shared" si="2"/>
        <v>0</v>
      </c>
    </row>
    <row r="34" spans="2:22">
      <c r="B34" s="434" t="s">
        <v>263</v>
      </c>
      <c r="C34" s="370" t="s">
        <v>211</v>
      </c>
      <c r="D34" s="899">
        <v>24</v>
      </c>
      <c r="E34" s="422"/>
      <c r="F34" s="464"/>
      <c r="G34" s="469"/>
      <c r="H34" s="456"/>
      <c r="I34" s="897">
        <f>12.578*D34/1000</f>
        <v>0.30187199999999997</v>
      </c>
      <c r="J34" s="457"/>
      <c r="K34" s="467">
        <f>26500*(D34/1000)</f>
        <v>636</v>
      </c>
      <c r="L34" s="459"/>
      <c r="M34" s="467">
        <f>3500*(D34/1000)</f>
        <v>84</v>
      </c>
      <c r="N34" s="459"/>
      <c r="O34" s="467">
        <f>(D34/1000)*796</f>
        <v>19.103999999999999</v>
      </c>
      <c r="P34" s="459"/>
      <c r="Q34" s="829">
        <f>18*D34/1000</f>
        <v>0.432</v>
      </c>
      <c r="R34" s="470"/>
      <c r="S34" s="468">
        <f>2.3*D34/1000</f>
        <v>5.5199999999999999E-2</v>
      </c>
      <c r="T34" s="463">
        <f t="shared" si="1"/>
        <v>5.6140350877192978E-3</v>
      </c>
      <c r="U34" s="463">
        <f t="shared" si="2"/>
        <v>9.5999999999999991E-7</v>
      </c>
      <c r="V34" s="463">
        <f t="shared" si="2"/>
        <v>0</v>
      </c>
    </row>
    <row r="35" spans="2:22">
      <c r="B35" s="434" t="s">
        <v>160</v>
      </c>
      <c r="C35" s="434" t="s">
        <v>55</v>
      </c>
      <c r="D35" s="899">
        <v>573.5</v>
      </c>
      <c r="E35" s="422"/>
      <c r="F35" s="464">
        <f>(D35/1000)*1200</f>
        <v>688.2</v>
      </c>
      <c r="G35" s="469" t="s">
        <v>187</v>
      </c>
      <c r="H35" s="456"/>
      <c r="I35" s="897"/>
      <c r="J35" s="457"/>
      <c r="K35" s="467"/>
      <c r="L35" s="459"/>
      <c r="M35" s="467">
        <f>D35*1600/1000</f>
        <v>917.6</v>
      </c>
      <c r="N35" s="459"/>
      <c r="O35" s="467">
        <f>(D35/1000)*166</f>
        <v>95.201000000000008</v>
      </c>
      <c r="P35" s="459"/>
      <c r="Q35" s="830"/>
      <c r="R35" s="473"/>
      <c r="S35" s="474">
        <f>3.844*D35/1000</f>
        <v>2.2045340000000002</v>
      </c>
      <c r="T35" s="463">
        <f t="shared" si="1"/>
        <v>0.13415204678362574</v>
      </c>
      <c r="U35" s="463">
        <f t="shared" si="2"/>
        <v>2.2940000000000001E-5</v>
      </c>
      <c r="V35" s="463">
        <f t="shared" si="2"/>
        <v>0</v>
      </c>
    </row>
    <row r="36" spans="2:22">
      <c r="B36" s="434"/>
      <c r="C36" s="434" t="s">
        <v>897</v>
      </c>
      <c r="D36" s="899"/>
      <c r="E36" s="422"/>
      <c r="F36" s="464"/>
      <c r="G36" s="469"/>
      <c r="H36" s="456"/>
      <c r="I36" s="897"/>
      <c r="J36" s="457"/>
      <c r="K36" s="467"/>
      <c r="L36" s="459"/>
      <c r="M36" s="467"/>
      <c r="N36" s="459"/>
      <c r="O36" s="467"/>
      <c r="P36" s="459"/>
      <c r="Q36" s="830"/>
      <c r="R36" s="473"/>
      <c r="S36" s="474"/>
      <c r="T36" s="463">
        <f>D36/4275</f>
        <v>0</v>
      </c>
      <c r="U36" s="463">
        <f>D36/25000000</f>
        <v>0</v>
      </c>
      <c r="V36" s="463">
        <f>E36/25000000</f>
        <v>0</v>
      </c>
    </row>
    <row r="37" spans="2:22">
      <c r="B37" s="434"/>
      <c r="C37" s="434" t="s">
        <v>159</v>
      </c>
      <c r="D37" s="899"/>
      <c r="E37" s="422"/>
      <c r="F37" s="464"/>
      <c r="G37" s="469"/>
      <c r="H37" s="456"/>
      <c r="I37" s="897"/>
      <c r="J37" s="457"/>
      <c r="K37" s="467"/>
      <c r="L37" s="459"/>
      <c r="M37" s="467"/>
      <c r="N37" s="459"/>
      <c r="O37" s="467"/>
      <c r="P37" s="459"/>
      <c r="Q37" s="830"/>
      <c r="R37" s="473"/>
      <c r="S37" s="474"/>
      <c r="T37" s="463">
        <f t="shared" ref="T37" si="3">D37/4275</f>
        <v>0</v>
      </c>
      <c r="U37" s="463">
        <f t="shared" ref="U37:V37" si="4">D37/25000000</f>
        <v>0</v>
      </c>
      <c r="V37" s="463">
        <f t="shared" si="4"/>
        <v>0</v>
      </c>
    </row>
    <row r="38" spans="2:22" s="370" customFormat="1">
      <c r="B38" s="1281" t="s">
        <v>78</v>
      </c>
      <c r="C38" s="1281"/>
      <c r="D38" s="915">
        <f>SUM(D23:D37)</f>
        <v>1324</v>
      </c>
      <c r="E38" s="436"/>
      <c r="F38" s="475">
        <f>SUM(F23:F37)</f>
        <v>994.8642000000001</v>
      </c>
      <c r="G38" s="476"/>
      <c r="H38" s="475"/>
      <c r="I38" s="898">
        <f>SUM(I23:I35)</f>
        <v>6.2399150000000008</v>
      </c>
      <c r="J38" s="475"/>
      <c r="K38" s="477">
        <f>SUM(K23:K35)</f>
        <v>12569.945</v>
      </c>
      <c r="L38" s="477"/>
      <c r="M38" s="477">
        <f>SUM(M23:M35)</f>
        <v>6327.4801600000001</v>
      </c>
      <c r="N38" s="477"/>
      <c r="O38" s="477">
        <f>SUM(O23:O35)</f>
        <v>979.904</v>
      </c>
      <c r="P38" s="477"/>
      <c r="Q38" s="831">
        <f>SUM(Q23:Q35)</f>
        <v>7.4790000000000001</v>
      </c>
      <c r="R38" s="478"/>
      <c r="S38" s="477">
        <f>SUM(S23:S35)</f>
        <v>18.744318</v>
      </c>
      <c r="T38" s="477">
        <f>SUM(T23:T37)</f>
        <v>0.30970760233918126</v>
      </c>
      <c r="U38" s="477">
        <f>SUM(U23:U37)</f>
        <v>5.2959999999999994E-5</v>
      </c>
      <c r="V38" s="477">
        <f>SUM(V23:V37)</f>
        <v>0</v>
      </c>
    </row>
    <row r="39" spans="2:22" s="421" customFormat="1">
      <c r="G39" s="437"/>
      <c r="H39" s="437"/>
      <c r="O39" s="438">
        <f>O38/1000</f>
        <v>0.979904</v>
      </c>
      <c r="P39" s="438"/>
      <c r="S39" s="832">
        <f>SUM(F38:S38)</f>
        <v>20904.656593</v>
      </c>
    </row>
    <row r="41" spans="2:22" ht="21">
      <c r="B41" s="305"/>
      <c r="C41"/>
      <c r="D41" s="311"/>
      <c r="E41" s="311"/>
      <c r="F41" s="311"/>
      <c r="G41" s="311"/>
      <c r="H41" s="311"/>
      <c r="I41" s="311"/>
      <c r="J41" s="311"/>
      <c r="K41" s="311"/>
    </row>
  </sheetData>
  <sheetProtection selectLockedCells="1"/>
  <mergeCells count="12">
    <mergeCell ref="B38:C38"/>
    <mergeCell ref="K18:K20"/>
    <mergeCell ref="M18:M20"/>
    <mergeCell ref="O18:O20"/>
    <mergeCell ref="F18:G20"/>
    <mergeCell ref="I18:I20"/>
    <mergeCell ref="C4:Q5"/>
    <mergeCell ref="B16:D20"/>
    <mergeCell ref="B15:S15"/>
    <mergeCell ref="Q18:Q20"/>
    <mergeCell ref="S18:S20"/>
    <mergeCell ref="F16:S16"/>
  </mergeCells>
  <pageMargins left="0.7" right="0.7" top="0.75" bottom="0.75" header="0.3" footer="0.3"/>
  <pageSetup scale="46"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00B0F0"/>
    <pageSetUpPr fitToPage="1"/>
  </sheetPr>
  <dimension ref="B1:N62"/>
  <sheetViews>
    <sheetView zoomScale="57" zoomScaleNormal="70" workbookViewId="0">
      <selection activeCell="I27" sqref="I27"/>
    </sheetView>
  </sheetViews>
  <sheetFormatPr baseColWidth="10" defaultColWidth="12.42578125" defaultRowHeight="14.25"/>
  <cols>
    <col min="1" max="1" width="12.42578125" style="211"/>
    <col min="2" max="2" width="11.42578125" style="211" customWidth="1"/>
    <col min="3" max="3" width="6.85546875" style="211" customWidth="1"/>
    <col min="4" max="4" width="30.85546875" style="211" customWidth="1"/>
    <col min="5" max="5" width="14.140625" style="211" customWidth="1"/>
    <col min="6" max="6" width="8.28515625" style="211" customWidth="1"/>
    <col min="7" max="7" width="18.7109375" style="211" customWidth="1"/>
    <col min="8" max="8" width="19.42578125" style="211" customWidth="1"/>
    <col min="9" max="9" width="23.28515625" style="211" customWidth="1"/>
    <col min="10" max="10" width="21.7109375" style="211" customWidth="1"/>
    <col min="11" max="11" width="9.42578125" style="211" customWidth="1"/>
    <col min="12" max="12" width="5.28515625" style="211" customWidth="1"/>
    <col min="13" max="13" width="17.7109375" style="211" customWidth="1"/>
    <col min="14" max="14" width="11.42578125" style="211" customWidth="1"/>
    <col min="15" max="16384" width="12.42578125" style="211"/>
  </cols>
  <sheetData>
    <row r="1" spans="2:14" ht="38.25" customHeight="1"/>
    <row r="2" spans="2:14" ht="23.25">
      <c r="B2" s="1301"/>
      <c r="C2" s="1301"/>
      <c r="D2" s="1301"/>
      <c r="E2" s="1301"/>
      <c r="F2" s="1301"/>
      <c r="G2" s="1301"/>
      <c r="H2" s="1301"/>
      <c r="I2" s="1301"/>
      <c r="J2" s="1301"/>
      <c r="K2" s="1301"/>
      <c r="L2" s="1301"/>
      <c r="M2" s="1301"/>
      <c r="N2" s="1301"/>
    </row>
    <row r="3" spans="2:14" ht="23.25">
      <c r="B3" s="1301"/>
      <c r="C3" s="1301"/>
      <c r="D3" s="1301"/>
      <c r="E3" s="1301"/>
      <c r="F3" s="1301"/>
      <c r="G3" s="1301"/>
      <c r="H3" s="1301"/>
      <c r="I3" s="1301"/>
      <c r="J3" s="1301"/>
      <c r="K3" s="1301"/>
      <c r="L3" s="1301"/>
      <c r="M3" s="1301"/>
      <c r="N3" s="1301"/>
    </row>
    <row r="4" spans="2:14" ht="22.7" customHeight="1">
      <c r="B4" s="212"/>
      <c r="C4" s="212"/>
      <c r="D4" s="212"/>
      <c r="E4" s="212"/>
      <c r="F4" s="213"/>
    </row>
    <row r="5" spans="2:14" ht="57.75" customHeight="1">
      <c r="B5" s="212"/>
      <c r="C5" s="212"/>
      <c r="D5" s="212"/>
      <c r="E5" s="212"/>
      <c r="F5" s="213"/>
    </row>
    <row r="6" spans="2:14" ht="30" customHeight="1">
      <c r="B6" s="1302" t="s">
        <v>241</v>
      </c>
      <c r="C6" s="1302"/>
      <c r="D6" s="1302"/>
      <c r="E6" s="1302"/>
      <c r="F6" s="1302"/>
      <c r="G6" s="1302"/>
      <c r="H6" s="1302"/>
      <c r="I6" s="1302"/>
      <c r="J6" s="1302"/>
      <c r="K6" s="1302"/>
      <c r="L6" s="1302"/>
      <c r="M6" s="1302"/>
      <c r="N6" s="1302"/>
    </row>
    <row r="7" spans="2:14" ht="23.25" customHeight="1">
      <c r="B7" s="1302"/>
      <c r="C7" s="1302"/>
      <c r="D7" s="1302"/>
      <c r="E7" s="1302"/>
      <c r="F7" s="1302"/>
      <c r="G7" s="1302"/>
      <c r="H7" s="1302"/>
      <c r="I7" s="1302"/>
      <c r="J7" s="1302"/>
      <c r="K7" s="1302"/>
      <c r="L7" s="1302"/>
      <c r="M7" s="1302"/>
      <c r="N7" s="1302"/>
    </row>
    <row r="9" spans="2:14" ht="24.75" customHeight="1"/>
    <row r="10" spans="2:14" ht="23.1" customHeight="1">
      <c r="E10" s="225"/>
      <c r="F10" s="325"/>
      <c r="G10" s="325" t="s">
        <v>242</v>
      </c>
      <c r="H10" s="326" t="s">
        <v>1497</v>
      </c>
      <c r="I10" s="327"/>
      <c r="J10" s="327"/>
      <c r="K10" s="327"/>
    </row>
    <row r="11" spans="2:14" ht="23.1" customHeight="1">
      <c r="E11" s="225"/>
      <c r="F11" s="325"/>
      <c r="G11" s="325" t="s">
        <v>243</v>
      </c>
      <c r="H11" s="326" t="s">
        <v>1115</v>
      </c>
      <c r="I11" s="327"/>
      <c r="J11" s="327"/>
      <c r="K11" s="327"/>
    </row>
    <row r="12" spans="2:14" ht="23.1" customHeight="1">
      <c r="B12" s="214"/>
      <c r="C12" s="214"/>
      <c r="E12" s="225"/>
      <c r="F12" s="325"/>
      <c r="G12" s="325" t="s">
        <v>244</v>
      </c>
      <c r="H12" s="1293">
        <v>45725</v>
      </c>
      <c r="I12" s="1294"/>
      <c r="J12" s="1294"/>
      <c r="K12" s="1294"/>
      <c r="L12" s="1289"/>
      <c r="M12" s="1289"/>
      <c r="N12" s="1289"/>
    </row>
    <row r="13" spans="2:14" ht="23.1" customHeight="1">
      <c r="B13" s="214"/>
      <c r="C13" s="214"/>
      <c r="E13" s="225"/>
      <c r="F13" s="325"/>
      <c r="G13" s="325"/>
      <c r="H13" s="328"/>
      <c r="I13" s="329"/>
      <c r="J13" s="329"/>
      <c r="K13" s="329"/>
      <c r="L13" s="1289"/>
      <c r="M13" s="1289"/>
      <c r="N13" s="1289"/>
    </row>
    <row r="14" spans="2:14" ht="23.1" customHeight="1">
      <c r="B14" s="214"/>
      <c r="C14" s="214"/>
      <c r="E14" s="225"/>
      <c r="F14" s="225"/>
      <c r="G14" s="225"/>
      <c r="H14" s="316"/>
      <c r="I14" s="220"/>
      <c r="J14" s="220"/>
      <c r="K14" s="220"/>
      <c r="L14" s="222"/>
      <c r="M14" s="222"/>
      <c r="N14" s="222"/>
    </row>
    <row r="15" spans="2:14" ht="23.1" customHeight="1">
      <c r="B15" s="214"/>
      <c r="C15" s="214"/>
      <c r="E15" s="225"/>
      <c r="F15" s="225"/>
      <c r="G15" s="225"/>
      <c r="H15" s="316"/>
      <c r="I15" s="220"/>
      <c r="J15" s="220"/>
      <c r="K15" s="220"/>
      <c r="L15" s="222"/>
      <c r="M15" s="222"/>
      <c r="N15" s="222"/>
    </row>
    <row r="16" spans="2:14" ht="23.1" customHeight="1">
      <c r="B16" s="214"/>
      <c r="C16" s="214"/>
      <c r="E16" s="320" t="s">
        <v>245</v>
      </c>
      <c r="F16" s="321"/>
      <c r="G16" s="322"/>
      <c r="H16" s="323" t="s">
        <v>246</v>
      </c>
      <c r="I16" s="323" t="s">
        <v>57</v>
      </c>
      <c r="J16" s="323" t="s">
        <v>247</v>
      </c>
      <c r="K16" s="220"/>
      <c r="L16" s="222"/>
      <c r="M16" s="222"/>
      <c r="N16" s="222"/>
    </row>
    <row r="17" spans="2:14" ht="24" customHeight="1">
      <c r="B17" s="214"/>
      <c r="C17" s="214"/>
      <c r="E17" s="330" t="s">
        <v>249</v>
      </c>
      <c r="F17" s="331"/>
      <c r="G17" s="331"/>
      <c r="H17" s="332">
        <v>16</v>
      </c>
      <c r="I17" s="333">
        <v>30.5</v>
      </c>
      <c r="J17" s="332">
        <f>H17*I17</f>
        <v>488</v>
      </c>
      <c r="K17" s="220"/>
      <c r="L17" s="222"/>
      <c r="M17" s="222"/>
      <c r="N17" s="222"/>
    </row>
    <row r="18" spans="2:14" ht="24" customHeight="1">
      <c r="B18" s="214"/>
      <c r="C18" s="214"/>
      <c r="E18" s="334" t="s">
        <v>252</v>
      </c>
      <c r="F18" s="335"/>
      <c r="G18" s="335"/>
      <c r="H18" s="336">
        <v>0.8</v>
      </c>
      <c r="I18" s="337">
        <v>708.5</v>
      </c>
      <c r="J18" s="336">
        <f>I18*H18</f>
        <v>566.80000000000007</v>
      </c>
      <c r="K18" s="220"/>
      <c r="L18" s="222"/>
      <c r="M18" s="222"/>
      <c r="N18" s="222"/>
    </row>
    <row r="19" spans="2:14" ht="24" customHeight="1">
      <c r="B19" s="214"/>
      <c r="C19" s="214"/>
      <c r="E19" s="334" t="s">
        <v>248</v>
      </c>
      <c r="F19" s="335"/>
      <c r="G19" s="335"/>
      <c r="H19" s="336">
        <v>1</v>
      </c>
      <c r="I19" s="337">
        <v>328</v>
      </c>
      <c r="J19" s="336">
        <f t="shared" ref="J19:J24" si="0">H19*I19</f>
        <v>328</v>
      </c>
      <c r="K19" s="220"/>
      <c r="L19" s="222"/>
      <c r="M19" s="222"/>
      <c r="N19" s="222"/>
    </row>
    <row r="20" spans="2:14" ht="23.1" customHeight="1">
      <c r="B20" s="214"/>
      <c r="C20" s="214"/>
      <c r="E20" s="334" t="s">
        <v>251</v>
      </c>
      <c r="F20" s="335"/>
      <c r="G20" s="335"/>
      <c r="H20" s="336">
        <v>4</v>
      </c>
      <c r="I20" s="337">
        <v>68.5</v>
      </c>
      <c r="J20" s="336">
        <f>H20*I20</f>
        <v>274</v>
      </c>
      <c r="K20" s="220"/>
      <c r="L20" s="222"/>
      <c r="M20" s="222"/>
      <c r="N20" s="222"/>
    </row>
    <row r="21" spans="2:14" ht="23.1" customHeight="1">
      <c r="B21" s="214"/>
      <c r="C21" s="214"/>
      <c r="E21" s="334" t="s">
        <v>1120</v>
      </c>
      <c r="F21" s="335"/>
      <c r="G21" s="335"/>
      <c r="H21" s="336">
        <v>0</v>
      </c>
      <c r="I21" s="337">
        <f>CALCULADORA_2021!C15</f>
        <v>0</v>
      </c>
      <c r="J21" s="336">
        <f t="shared" si="0"/>
        <v>0</v>
      </c>
      <c r="K21" s="220"/>
      <c r="L21" s="222"/>
      <c r="M21" s="222"/>
      <c r="N21" s="222"/>
    </row>
    <row r="22" spans="2:14" ht="24.75" customHeight="1">
      <c r="B22" s="214"/>
      <c r="C22" s="214"/>
      <c r="E22" s="334" t="s">
        <v>75</v>
      </c>
      <c r="F22" s="335"/>
      <c r="G22" s="335"/>
      <c r="H22" s="336">
        <v>3</v>
      </c>
      <c r="I22" s="337">
        <v>88</v>
      </c>
      <c r="J22" s="336">
        <f t="shared" si="0"/>
        <v>264</v>
      </c>
      <c r="K22" s="220"/>
      <c r="L22" s="222"/>
      <c r="M22" s="222"/>
      <c r="N22" s="222"/>
    </row>
    <row r="23" spans="2:14" ht="24.75" customHeight="1">
      <c r="B23" s="214"/>
      <c r="C23" s="214"/>
      <c r="E23" s="330" t="s">
        <v>250</v>
      </c>
      <c r="F23" s="331"/>
      <c r="G23" s="331"/>
      <c r="H23" s="332">
        <v>2</v>
      </c>
      <c r="I23" s="333">
        <v>100</v>
      </c>
      <c r="J23" s="332">
        <f t="shared" si="0"/>
        <v>200</v>
      </c>
      <c r="K23" s="220"/>
      <c r="L23" s="222"/>
      <c r="M23" s="222"/>
      <c r="N23" s="222"/>
    </row>
    <row r="24" spans="2:14" ht="24" customHeight="1">
      <c r="B24" s="214"/>
      <c r="C24" s="214"/>
      <c r="E24" s="338" t="s">
        <v>90</v>
      </c>
      <c r="F24" s="339"/>
      <c r="G24" s="339"/>
      <c r="H24" s="340">
        <v>1</v>
      </c>
      <c r="I24" s="341">
        <v>393.5</v>
      </c>
      <c r="J24" s="340">
        <f t="shared" si="0"/>
        <v>393.5</v>
      </c>
      <c r="K24" s="220"/>
      <c r="L24" s="222"/>
      <c r="M24" s="222"/>
      <c r="N24" s="222"/>
    </row>
    <row r="25" spans="2:14" ht="24.75" customHeight="1">
      <c r="B25" s="214"/>
      <c r="C25" s="214"/>
      <c r="E25" s="334" t="s">
        <v>48</v>
      </c>
      <c r="F25" s="335"/>
      <c r="G25" s="335"/>
      <c r="H25" s="336">
        <v>6</v>
      </c>
      <c r="I25" s="337">
        <v>292</v>
      </c>
      <c r="J25" s="336">
        <f>I25*H25</f>
        <v>1752</v>
      </c>
      <c r="K25" s="220"/>
      <c r="L25" s="222"/>
      <c r="M25" s="222"/>
      <c r="N25" s="222"/>
    </row>
    <row r="26" spans="2:14" ht="24" customHeight="1">
      <c r="B26" s="214"/>
      <c r="C26" s="214"/>
      <c r="E26" s="334" t="s">
        <v>240</v>
      </c>
      <c r="F26" s="335"/>
      <c r="G26" s="335"/>
      <c r="H26" s="336">
        <v>0.5</v>
      </c>
      <c r="I26" s="413">
        <v>972</v>
      </c>
      <c r="J26" s="414">
        <f>H26*I26</f>
        <v>486</v>
      </c>
      <c r="K26" s="220"/>
      <c r="L26" s="222"/>
      <c r="M26" s="222"/>
      <c r="N26" s="222"/>
    </row>
    <row r="27" spans="2:14" ht="30" customHeight="1">
      <c r="B27" s="214"/>
      <c r="C27" s="214"/>
      <c r="E27" s="339"/>
      <c r="F27" s="342"/>
      <c r="G27" s="339"/>
      <c r="H27" s="342"/>
      <c r="I27" s="343">
        <v>340.8</v>
      </c>
      <c r="J27" s="1160">
        <f>SUM(J17:J26)</f>
        <v>4752.3</v>
      </c>
      <c r="K27" s="220"/>
      <c r="L27" s="222"/>
      <c r="M27" s="222"/>
      <c r="N27" s="222"/>
    </row>
    <row r="28" spans="2:14" ht="17.25" customHeight="1">
      <c r="B28" s="1303"/>
      <c r="C28" s="1303"/>
      <c r="D28" s="1303"/>
      <c r="E28" s="1303"/>
      <c r="F28" s="1303"/>
      <c r="G28" s="1303"/>
      <c r="H28" s="1303"/>
      <c r="I28" s="1303"/>
      <c r="J28" s="1303"/>
      <c r="K28" s="1303"/>
      <c r="L28" s="1303"/>
      <c r="M28" s="1303"/>
      <c r="N28" s="1303"/>
    </row>
    <row r="29" spans="2:14" ht="32.25" customHeight="1">
      <c r="B29" s="345"/>
      <c r="C29" s="1304" t="s">
        <v>254</v>
      </c>
      <c r="D29" s="1304"/>
      <c r="E29" s="1304"/>
      <c r="F29" s="1304"/>
      <c r="G29" s="1304"/>
      <c r="H29" s="1304"/>
      <c r="I29" s="1304"/>
      <c r="J29" s="1304"/>
      <c r="K29" s="1304"/>
      <c r="L29" s="1304"/>
      <c r="M29" s="1304"/>
      <c r="N29" s="345"/>
    </row>
    <row r="30" spans="2:14" ht="6.75" customHeight="1">
      <c r="B30" s="345"/>
      <c r="C30" s="344"/>
      <c r="D30" s="344"/>
      <c r="E30" s="344"/>
      <c r="F30" s="344"/>
      <c r="G30" s="344"/>
      <c r="H30" s="344"/>
      <c r="I30" s="344"/>
      <c r="J30" s="344"/>
      <c r="K30" s="344"/>
      <c r="L30" s="344"/>
      <c r="M30" s="344"/>
      <c r="N30" s="345"/>
    </row>
    <row r="31" spans="2:14" ht="60" customHeight="1">
      <c r="B31" s="317"/>
      <c r="C31" s="1287" t="s">
        <v>253</v>
      </c>
      <c r="D31" s="1287"/>
      <c r="E31" s="1287"/>
      <c r="F31" s="1287"/>
      <c r="G31" s="1287"/>
      <c r="H31" s="1287"/>
      <c r="I31" s="1287"/>
      <c r="J31" s="1287"/>
      <c r="K31" s="1287"/>
      <c r="L31" s="1287"/>
      <c r="M31" s="1287"/>
      <c r="N31" s="220"/>
    </row>
    <row r="32" spans="2:14" ht="10.5" customHeight="1">
      <c r="B32" s="212"/>
      <c r="C32" s="318"/>
      <c r="D32" s="324"/>
      <c r="E32" s="324"/>
      <c r="F32" s="324"/>
      <c r="G32" s="324"/>
      <c r="H32" s="324"/>
      <c r="I32" s="324"/>
      <c r="J32" s="324"/>
      <c r="K32" s="324"/>
      <c r="L32" s="324"/>
      <c r="M32" s="318"/>
    </row>
    <row r="33" spans="2:14" ht="23.1" customHeight="1">
      <c r="B33" s="212"/>
      <c r="C33" s="347"/>
      <c r="D33" s="1292"/>
      <c r="E33" s="1292"/>
      <c r="F33" s="1292"/>
      <c r="G33" s="1292"/>
      <c r="H33" s="1292"/>
      <c r="I33" s="348"/>
      <c r="J33" s="348"/>
      <c r="K33" s="348"/>
      <c r="L33" s="348"/>
      <c r="M33" s="348"/>
      <c r="N33" s="212"/>
    </row>
    <row r="34" spans="2:14" ht="28.5" customHeight="1">
      <c r="B34" s="212"/>
      <c r="C34" s="1295"/>
      <c r="D34" s="1295"/>
      <c r="E34" s="1295"/>
      <c r="F34" s="1295"/>
      <c r="G34" s="349"/>
      <c r="H34" s="350">
        <f>CALCULADORA_2021!AJ23</f>
        <v>13.421707999999999</v>
      </c>
      <c r="I34" s="351" t="s">
        <v>170</v>
      </c>
      <c r="J34" s="351"/>
      <c r="K34" s="351"/>
      <c r="L34" s="351"/>
      <c r="M34" s="351"/>
      <c r="N34" s="215"/>
    </row>
    <row r="35" spans="2:14" ht="27.95" customHeight="1">
      <c r="B35" s="212"/>
      <c r="C35" s="1290">
        <f>I27</f>
        <v>340.8</v>
      </c>
      <c r="D35" s="1290"/>
      <c r="E35" s="1290"/>
      <c r="F35" s="348"/>
      <c r="G35" s="348"/>
      <c r="H35" s="348"/>
      <c r="I35" s="352"/>
      <c r="J35" s="352"/>
      <c r="K35" s="352"/>
      <c r="L35" s="352"/>
      <c r="M35" s="352"/>
      <c r="N35" s="346"/>
    </row>
    <row r="36" spans="2:14" ht="30" customHeight="1">
      <c r="B36" s="212"/>
      <c r="C36" s="347"/>
      <c r="D36" s="351"/>
      <c r="E36" s="351"/>
      <c r="F36" s="351"/>
      <c r="G36" s="351"/>
      <c r="H36" s="350">
        <f>CALCULADORA_2021!N23</f>
        <v>28050.648000000001</v>
      </c>
      <c r="I36" s="351" t="s">
        <v>171</v>
      </c>
      <c r="J36" s="351"/>
      <c r="K36" s="351"/>
      <c r="L36" s="351"/>
      <c r="M36" s="351"/>
      <c r="N36" s="215"/>
    </row>
    <row r="37" spans="2:14" ht="27.75" customHeight="1">
      <c r="B37" s="212"/>
      <c r="C37" s="347"/>
      <c r="D37" s="351"/>
      <c r="E37" s="351"/>
      <c r="F37" s="353"/>
      <c r="G37" s="353"/>
      <c r="H37" s="353"/>
      <c r="I37" s="352"/>
      <c r="J37" s="352"/>
      <c r="K37" s="352"/>
      <c r="L37" s="352"/>
      <c r="M37" s="352"/>
      <c r="N37" s="346"/>
    </row>
    <row r="38" spans="2:14" ht="32.25" customHeight="1">
      <c r="B38" s="212"/>
      <c r="C38" s="355"/>
      <c r="D38" s="355"/>
      <c r="E38" s="355"/>
      <c r="F38" s="351"/>
      <c r="G38" s="351"/>
      <c r="H38" s="350">
        <f>CALCULADORA_2021!AL23</f>
        <v>1288.5219</v>
      </c>
      <c r="I38" s="351" t="s">
        <v>173</v>
      </c>
      <c r="J38" s="351"/>
      <c r="K38" s="351"/>
      <c r="L38" s="351"/>
      <c r="M38" s="351"/>
      <c r="N38" s="215"/>
    </row>
    <row r="39" spans="2:14" ht="27.75" customHeight="1">
      <c r="B39" s="212"/>
      <c r="C39" s="355"/>
      <c r="D39" s="355"/>
      <c r="E39" s="355"/>
      <c r="F39" s="354"/>
      <c r="G39" s="355"/>
      <c r="H39" s="354"/>
      <c r="I39" s="352"/>
      <c r="J39" s="352"/>
      <c r="K39" s="352"/>
      <c r="L39" s="352"/>
      <c r="M39" s="352"/>
      <c r="N39" s="346"/>
    </row>
    <row r="40" spans="2:14" ht="30" customHeight="1">
      <c r="B40" s="212"/>
      <c r="C40" s="1291" t="s">
        <v>255</v>
      </c>
      <c r="D40" s="1291"/>
      <c r="E40" s="1291"/>
      <c r="F40" s="348"/>
      <c r="G40" s="348"/>
      <c r="H40" s="356">
        <f>CALCULADORA_2021!E23</f>
        <v>10966.073119999999</v>
      </c>
      <c r="I40" s="351" t="s">
        <v>174</v>
      </c>
      <c r="J40" s="351"/>
      <c r="K40" s="351"/>
      <c r="L40" s="351"/>
      <c r="M40" s="351"/>
      <c r="N40" s="215"/>
    </row>
    <row r="41" spans="2:14" ht="27.75" customHeight="1">
      <c r="B41" s="212"/>
      <c r="C41" s="367"/>
      <c r="D41" s="366" t="s">
        <v>256</v>
      </c>
      <c r="E41" s="367"/>
      <c r="F41" s="354"/>
      <c r="G41" s="354"/>
      <c r="H41" s="354"/>
      <c r="I41" s="357"/>
      <c r="J41" s="358"/>
      <c r="K41" s="358"/>
      <c r="L41" s="358"/>
      <c r="M41" s="358"/>
      <c r="N41" s="222"/>
    </row>
    <row r="42" spans="2:14" ht="30" customHeight="1">
      <c r="B42" s="212"/>
      <c r="C42" s="355"/>
      <c r="D42" s="355"/>
      <c r="E42" s="355"/>
      <c r="F42" s="349"/>
      <c r="G42" s="349"/>
      <c r="H42" s="350">
        <f>CALCULADORA_2021!AF23</f>
        <v>27.465030000000002</v>
      </c>
      <c r="I42" s="351" t="s">
        <v>175</v>
      </c>
      <c r="J42" s="351"/>
      <c r="K42" s="351"/>
      <c r="L42" s="351"/>
      <c r="M42" s="351"/>
      <c r="N42" s="215"/>
    </row>
    <row r="43" spans="2:14" ht="27.75" customHeight="1">
      <c r="B43" s="213"/>
      <c r="C43" s="347"/>
      <c r="D43" s="355"/>
      <c r="E43" s="359"/>
      <c r="F43" s="359"/>
      <c r="G43" s="355"/>
      <c r="H43" s="359"/>
      <c r="I43" s="355"/>
      <c r="J43" s="355"/>
      <c r="K43" s="360"/>
      <c r="L43" s="360"/>
      <c r="M43" s="360"/>
      <c r="N43" s="224"/>
    </row>
    <row r="44" spans="2:14" ht="9.75" customHeight="1"/>
    <row r="45" spans="2:14">
      <c r="C45" s="355"/>
      <c r="D45" s="355"/>
      <c r="E45" s="355"/>
      <c r="F45" s="355"/>
      <c r="G45" s="355"/>
      <c r="H45" s="355"/>
      <c r="I45" s="355"/>
      <c r="J45" s="355"/>
      <c r="K45" s="355"/>
      <c r="L45" s="355"/>
      <c r="M45" s="355"/>
    </row>
    <row r="46" spans="2:14" ht="53.1" customHeight="1">
      <c r="B46" s="319"/>
      <c r="C46" s="361"/>
      <c r="D46" s="1300" t="s">
        <v>257</v>
      </c>
      <c r="E46" s="1298"/>
      <c r="F46" s="1298"/>
      <c r="G46" s="355"/>
      <c r="H46" s="449">
        <f>CALCULADORA_2021!AD23</f>
        <v>17.028000000000002</v>
      </c>
      <c r="I46" s="1297" t="s">
        <v>371</v>
      </c>
      <c r="J46" s="1297"/>
      <c r="K46" s="1297"/>
      <c r="L46" s="1297"/>
      <c r="M46" s="1297"/>
      <c r="N46" s="319"/>
    </row>
    <row r="47" spans="2:14" ht="28.5" customHeight="1">
      <c r="B47" s="215"/>
      <c r="C47" s="355"/>
      <c r="D47" s="1300"/>
      <c r="E47" s="351"/>
      <c r="F47" s="351"/>
      <c r="G47" s="355"/>
      <c r="H47" s="355"/>
      <c r="I47" s="1297"/>
      <c r="J47" s="1297"/>
      <c r="K47" s="1297"/>
      <c r="L47" s="1297"/>
      <c r="M47" s="1297"/>
      <c r="N47" s="215"/>
    </row>
    <row r="48" spans="2:14" ht="29.25" customHeight="1">
      <c r="B48" s="215"/>
      <c r="C48" s="362"/>
      <c r="D48" s="1300"/>
      <c r="E48" s="1299"/>
      <c r="F48" s="1299"/>
      <c r="G48" s="351"/>
      <c r="H48" s="363">
        <f>CALCULADORA_2021!AU23</f>
        <v>2072.3879999999999</v>
      </c>
      <c r="I48" s="1296" t="s">
        <v>258</v>
      </c>
      <c r="J48" s="1296"/>
      <c r="K48" s="1296"/>
      <c r="L48" s="1296"/>
      <c r="M48" s="1296"/>
      <c r="N48" s="220"/>
    </row>
    <row r="49" spans="2:14" ht="35.25" customHeight="1">
      <c r="B49" s="319"/>
      <c r="C49" s="364"/>
      <c r="D49" s="365"/>
      <c r="E49" s="365"/>
      <c r="F49" s="365"/>
      <c r="G49" s="364"/>
      <c r="H49" s="364"/>
      <c r="I49" s="1296"/>
      <c r="J49" s="1296"/>
      <c r="K49" s="1296"/>
      <c r="L49" s="1296"/>
      <c r="M49" s="1296"/>
      <c r="N49" s="220"/>
    </row>
    <row r="50" spans="2:14" ht="27.75" customHeight="1">
      <c r="B50" s="319"/>
      <c r="C50" s="364"/>
      <c r="D50" s="364"/>
      <c r="E50" s="364"/>
      <c r="F50" s="364"/>
      <c r="G50" s="364"/>
      <c r="H50" s="364"/>
      <c r="I50" s="1296"/>
      <c r="J50" s="1296"/>
      <c r="K50" s="1296"/>
      <c r="L50" s="1296"/>
      <c r="M50" s="1296"/>
      <c r="N50" s="319"/>
    </row>
    <row r="51" spans="2:14" ht="35.25" customHeight="1"/>
    <row r="52" spans="2:14" ht="35.25" customHeight="1">
      <c r="B52" s="1288" t="s">
        <v>150</v>
      </c>
      <c r="C52" s="1288"/>
      <c r="D52" s="1288"/>
      <c r="E52" s="1288"/>
      <c r="F52" s="1288"/>
      <c r="G52" s="1288"/>
      <c r="H52" s="1288"/>
      <c r="I52" s="1288"/>
      <c r="J52" s="1288"/>
      <c r="K52" s="1288"/>
      <c r="L52" s="1288"/>
      <c r="M52" s="1288"/>
      <c r="N52" s="1288"/>
    </row>
    <row r="53" spans="2:14" ht="14.25" customHeight="1">
      <c r="C53" s="319"/>
      <c r="D53" s="319"/>
      <c r="E53" s="319"/>
      <c r="F53" s="319"/>
      <c r="G53" s="319"/>
      <c r="H53" s="319"/>
      <c r="I53" s="319"/>
      <c r="J53" s="319"/>
      <c r="K53" s="319"/>
      <c r="L53" s="319"/>
      <c r="M53" s="319"/>
      <c r="N53" s="319"/>
    </row>
    <row r="54" spans="2:14" ht="14.25" customHeight="1">
      <c r="B54" s="319"/>
      <c r="C54" s="319"/>
      <c r="D54" s="319"/>
      <c r="E54" s="319"/>
      <c r="F54" s="319"/>
      <c r="G54" s="319"/>
      <c r="H54" s="319"/>
      <c r="I54" s="319"/>
      <c r="J54" s="319"/>
      <c r="K54" s="319"/>
      <c r="L54" s="319"/>
      <c r="M54" s="319"/>
      <c r="N54" s="319"/>
    </row>
    <row r="55" spans="2:14" ht="14.25" customHeight="1">
      <c r="B55" s="319"/>
      <c r="C55" s="319"/>
      <c r="D55" s="319"/>
      <c r="E55" s="319"/>
      <c r="F55" s="319"/>
      <c r="G55" s="319"/>
      <c r="H55" s="319"/>
      <c r="I55" s="319"/>
      <c r="J55" s="319"/>
      <c r="K55" s="319"/>
      <c r="L55" s="319"/>
      <c r="M55" s="319"/>
      <c r="N55" s="319"/>
    </row>
    <row r="56" spans="2:14" ht="14.25" customHeight="1">
      <c r="B56" s="319"/>
      <c r="C56" s="319"/>
      <c r="D56" s="319"/>
      <c r="E56" s="319"/>
      <c r="F56" s="319"/>
      <c r="G56" s="319"/>
      <c r="H56" s="319"/>
      <c r="I56" s="319"/>
      <c r="J56" s="319"/>
      <c r="K56" s="319"/>
      <c r="L56" s="319"/>
      <c r="M56" s="319"/>
      <c r="N56" s="319"/>
    </row>
    <row r="57" spans="2:14" ht="14.25" customHeight="1">
      <c r="B57" s="319"/>
      <c r="C57" s="319"/>
      <c r="D57" s="319"/>
      <c r="E57" s="319"/>
      <c r="F57" s="319"/>
      <c r="G57" s="319"/>
      <c r="H57" s="319"/>
      <c r="I57" s="319"/>
      <c r="J57" s="319"/>
      <c r="K57" s="319"/>
      <c r="L57" s="319"/>
      <c r="M57" s="319"/>
      <c r="N57" s="319"/>
    </row>
    <row r="58" spans="2:14" ht="14.25" customHeight="1">
      <c r="B58" s="319"/>
      <c r="C58" s="319"/>
      <c r="D58" s="319"/>
      <c r="E58" s="319"/>
      <c r="F58" s="319"/>
      <c r="G58" s="319"/>
      <c r="H58" s="319"/>
      <c r="I58" s="319"/>
      <c r="J58" s="319"/>
      <c r="K58" s="319"/>
      <c r="L58" s="319"/>
      <c r="M58" s="319"/>
      <c r="N58" s="319"/>
    </row>
    <row r="59" spans="2:14" ht="14.25" customHeight="1">
      <c r="B59" s="319"/>
      <c r="C59" s="319"/>
      <c r="D59" s="319"/>
      <c r="E59" s="319"/>
      <c r="F59" s="319"/>
      <c r="G59" s="319"/>
      <c r="H59" s="319"/>
      <c r="I59" s="319"/>
      <c r="J59" s="319"/>
      <c r="K59" s="319"/>
      <c r="L59" s="319"/>
      <c r="M59" s="319"/>
      <c r="N59" s="319"/>
    </row>
    <row r="60" spans="2:14" ht="14.25" customHeight="1">
      <c r="B60" s="319"/>
      <c r="C60" s="319"/>
      <c r="D60" s="319"/>
      <c r="E60" s="319"/>
      <c r="F60" s="319"/>
      <c r="G60" s="319"/>
      <c r="H60" s="319"/>
      <c r="I60" s="319"/>
      <c r="J60" s="319"/>
      <c r="K60" s="319"/>
      <c r="L60" s="319"/>
      <c r="M60" s="319"/>
      <c r="N60" s="319"/>
    </row>
    <row r="61" spans="2:14" ht="14.25" customHeight="1">
      <c r="B61" s="319"/>
      <c r="C61" s="319"/>
      <c r="D61" s="319"/>
      <c r="E61" s="319"/>
      <c r="F61" s="319"/>
      <c r="G61" s="319"/>
      <c r="H61" s="319"/>
      <c r="I61" s="319"/>
      <c r="J61" s="319"/>
      <c r="K61" s="319"/>
      <c r="L61" s="319"/>
      <c r="M61" s="319"/>
      <c r="N61" s="319"/>
    </row>
    <row r="62" spans="2:14" ht="20.25">
      <c r="H62" s="228"/>
    </row>
  </sheetData>
  <mergeCells count="19">
    <mergeCell ref="B2:N2"/>
    <mergeCell ref="B3:N3"/>
    <mergeCell ref="B6:N7"/>
    <mergeCell ref="B28:N28"/>
    <mergeCell ref="C29:M29"/>
    <mergeCell ref="C31:M31"/>
    <mergeCell ref="B52:N52"/>
    <mergeCell ref="L12:N12"/>
    <mergeCell ref="L13:N13"/>
    <mergeCell ref="C35:E35"/>
    <mergeCell ref="C40:E40"/>
    <mergeCell ref="D33:H33"/>
    <mergeCell ref="H12:K12"/>
    <mergeCell ref="C34:F34"/>
    <mergeCell ref="I48:M50"/>
    <mergeCell ref="I46:M47"/>
    <mergeCell ref="E46:F46"/>
    <mergeCell ref="E48:F48"/>
    <mergeCell ref="D46:D48"/>
  </mergeCells>
  <printOptions horizontalCentered="1" verticalCentered="1"/>
  <pageMargins left="0.2" right="0.25" top="0.26" bottom="0.2" header="0.2" footer="0.23"/>
  <pageSetup paperSize="9" scale="44"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T514"/>
  <sheetViews>
    <sheetView view="pageBreakPreview" zoomScale="80" zoomScaleNormal="100" zoomScaleSheetLayoutView="80" workbookViewId="0">
      <selection activeCell="F227" sqref="F227"/>
    </sheetView>
  </sheetViews>
  <sheetFormatPr baseColWidth="10" defaultColWidth="10.85546875" defaultRowHeight="15"/>
  <cols>
    <col min="1" max="1" width="14.140625" style="27" customWidth="1"/>
    <col min="2" max="2" width="1.85546875" style="27" customWidth="1"/>
    <col min="3" max="3" width="22.140625" style="203" customWidth="1"/>
    <col min="4" max="4" width="22.140625" style="157" customWidth="1"/>
    <col min="5" max="5" width="12.85546875" style="27" customWidth="1"/>
    <col min="6" max="6" width="6.42578125" style="27" customWidth="1"/>
    <col min="7" max="7" width="23.42578125" style="27" customWidth="1"/>
    <col min="8" max="8" width="3.42578125" style="27" customWidth="1"/>
    <col min="9" max="9" width="10" style="27" hidden="1" customWidth="1"/>
    <col min="10" max="10" width="25" style="27" customWidth="1"/>
    <col min="11" max="15" width="10.85546875" style="27"/>
    <col min="16" max="16" width="45.85546875" style="27" customWidth="1"/>
    <col min="17" max="17" width="3.7109375" style="27" customWidth="1"/>
    <col min="18" max="18" width="53.5703125" style="27" customWidth="1"/>
    <col min="19" max="16384" width="10.85546875" style="27"/>
  </cols>
  <sheetData>
    <row r="2" spans="1:20" ht="18.75">
      <c r="A2" s="1313" t="s">
        <v>1129</v>
      </c>
      <c r="B2" s="1313"/>
      <c r="C2" s="1313"/>
      <c r="D2" s="1313"/>
      <c r="E2" s="1313"/>
      <c r="F2" s="1313"/>
      <c r="G2" s="1313"/>
      <c r="H2" s="1313"/>
      <c r="I2" s="1313"/>
      <c r="J2" s="1313"/>
      <c r="K2" s="1313"/>
      <c r="L2" s="1313"/>
      <c r="M2" s="1313"/>
      <c r="N2" s="1313"/>
      <c r="O2" s="1313"/>
      <c r="P2" s="1313"/>
      <c r="Q2" s="1313"/>
      <c r="R2" s="1313"/>
      <c r="S2" s="1313"/>
      <c r="T2" s="1313"/>
    </row>
    <row r="4" spans="1:20" s="210" customFormat="1">
      <c r="A4" s="210" t="s">
        <v>1123</v>
      </c>
      <c r="C4" s="690" t="s">
        <v>777</v>
      </c>
      <c r="D4" s="1081" t="s">
        <v>658</v>
      </c>
      <c r="J4" s="742" t="s">
        <v>758</v>
      </c>
      <c r="K4" s="742"/>
      <c r="L4" s="742"/>
      <c r="M4" s="742"/>
      <c r="N4" s="742"/>
      <c r="O4" s="742"/>
      <c r="P4" s="742"/>
      <c r="R4" s="742" t="s">
        <v>759</v>
      </c>
      <c r="S4" s="742"/>
      <c r="T4" s="742"/>
    </row>
    <row r="5" spans="1:20" ht="15" customHeight="1">
      <c r="A5" s="906" t="s">
        <v>48</v>
      </c>
      <c r="C5" s="1040">
        <f>CALCULADORA_2021!E10</f>
        <v>3628.4774999999995</v>
      </c>
      <c r="D5" s="1082">
        <f>C5*1000</f>
        <v>3628477.4999999995</v>
      </c>
      <c r="E5" s="1307" t="s">
        <v>24</v>
      </c>
      <c r="F5" s="1307"/>
      <c r="G5" s="1307"/>
      <c r="J5" s="1308" t="s">
        <v>781</v>
      </c>
      <c r="K5" s="1308"/>
      <c r="L5" s="1308"/>
      <c r="M5" s="1308"/>
      <c r="N5" s="1308"/>
      <c r="O5" s="1308"/>
      <c r="P5" s="1308"/>
      <c r="R5" s="27" t="s">
        <v>782</v>
      </c>
    </row>
    <row r="6" spans="1:20" ht="15" hidden="1" customHeight="1">
      <c r="A6" s="906" t="s">
        <v>48</v>
      </c>
      <c r="C6" s="1041"/>
      <c r="D6" s="1082">
        <f t="shared" ref="D6:D44" si="0">C6*1000</f>
        <v>0</v>
      </c>
      <c r="E6" s="697"/>
      <c r="F6" s="697"/>
      <c r="G6" s="697"/>
      <c r="J6" s="1309"/>
      <c r="K6" s="1309"/>
      <c r="L6" s="1309"/>
      <c r="M6" s="1309"/>
      <c r="N6" s="1309"/>
      <c r="O6" s="1309"/>
      <c r="P6" s="1309"/>
      <c r="R6" s="703"/>
      <c r="S6" s="703"/>
      <c r="T6" s="703"/>
    </row>
    <row r="7" spans="1:20" ht="15" hidden="1" customHeight="1">
      <c r="A7" s="906" t="s">
        <v>48</v>
      </c>
      <c r="C7" s="1042">
        <f>CALCULADORA_2021!F10</f>
        <v>60474.624999999993</v>
      </c>
      <c r="D7" s="1082">
        <f t="shared" si="0"/>
        <v>60474624.999999993</v>
      </c>
      <c r="E7" s="695" t="s">
        <v>752</v>
      </c>
      <c r="F7" s="692"/>
      <c r="G7" s="694"/>
      <c r="J7" s="704" t="s">
        <v>760</v>
      </c>
      <c r="K7" s="704"/>
      <c r="L7" s="704"/>
      <c r="M7" s="704"/>
      <c r="N7" s="704"/>
      <c r="O7" s="704"/>
      <c r="P7" s="704"/>
    </row>
    <row r="8" spans="1:20" ht="15" hidden="1" customHeight="1">
      <c r="A8" s="906" t="s">
        <v>48</v>
      </c>
      <c r="B8" s="30"/>
      <c r="C8" s="1042">
        <f>CALCULADORA_2021!G10</f>
        <v>403164.16666666663</v>
      </c>
      <c r="D8" s="1082">
        <f t="shared" si="0"/>
        <v>403164166.66666663</v>
      </c>
      <c r="E8" s="695" t="s">
        <v>417</v>
      </c>
      <c r="F8" s="694"/>
      <c r="G8" s="696"/>
      <c r="J8" s="704" t="s">
        <v>761</v>
      </c>
      <c r="K8" s="704"/>
      <c r="L8" s="704"/>
      <c r="M8" s="704"/>
      <c r="N8" s="704"/>
      <c r="O8" s="704"/>
      <c r="P8" s="704"/>
    </row>
    <row r="9" spans="1:20" ht="15" hidden="1" customHeight="1">
      <c r="A9" s="906" t="s">
        <v>48</v>
      </c>
      <c r="B9" s="30"/>
      <c r="C9" s="1042">
        <f>CALCULADORA_2021!H10</f>
        <v>2921.4794685990332</v>
      </c>
      <c r="D9" s="1082">
        <f t="shared" si="0"/>
        <v>2921479.4685990331</v>
      </c>
      <c r="E9" s="695" t="s">
        <v>718</v>
      </c>
      <c r="F9" s="692"/>
      <c r="G9" s="694"/>
      <c r="J9" s="705" t="s">
        <v>783</v>
      </c>
      <c r="K9" s="706"/>
      <c r="L9" s="707"/>
      <c r="M9" s="704"/>
      <c r="N9" s="704"/>
      <c r="O9" s="704"/>
      <c r="P9" s="704"/>
    </row>
    <row r="10" spans="1:20" ht="15" hidden="1" customHeight="1">
      <c r="A10" s="906" t="s">
        <v>48</v>
      </c>
      <c r="B10" s="30"/>
      <c r="C10" s="1043">
        <f>CALCULADORA_2021!J10</f>
        <v>3763.9808091286304</v>
      </c>
      <c r="D10" s="1082">
        <f t="shared" si="0"/>
        <v>3763980.8091286304</v>
      </c>
      <c r="E10" s="701" t="s">
        <v>784</v>
      </c>
      <c r="F10" s="693"/>
      <c r="G10" s="694"/>
      <c r="J10" s="705" t="s">
        <v>785</v>
      </c>
      <c r="K10" s="706"/>
      <c r="L10" s="706"/>
      <c r="M10" s="706"/>
      <c r="N10" s="706"/>
      <c r="O10" s="706"/>
      <c r="P10" s="707"/>
    </row>
    <row r="11" spans="1:20" ht="15" hidden="1" customHeight="1">
      <c r="A11" s="906" t="s">
        <v>48</v>
      </c>
      <c r="B11" s="30"/>
      <c r="C11" s="1044">
        <f>CALCULADORA_2021!K10</f>
        <v>194.92224012892828</v>
      </c>
      <c r="D11" s="1082">
        <f t="shared" si="0"/>
        <v>194922.24012892827</v>
      </c>
      <c r="E11" s="702" t="s">
        <v>719</v>
      </c>
      <c r="F11" s="699"/>
      <c r="G11" s="700"/>
      <c r="J11" s="1308" t="s">
        <v>787</v>
      </c>
      <c r="K11" s="1308"/>
      <c r="L11" s="1308"/>
      <c r="M11" s="1308"/>
      <c r="N11" s="1308"/>
      <c r="O11" s="1308"/>
      <c r="P11" s="1308"/>
    </row>
    <row r="12" spans="1:20" ht="36" hidden="1" customHeight="1">
      <c r="A12" s="906" t="s">
        <v>48</v>
      </c>
      <c r="B12" s="30"/>
      <c r="C12" s="1045"/>
      <c r="D12" s="1082">
        <f t="shared" si="0"/>
        <v>0</v>
      </c>
      <c r="E12" s="698"/>
      <c r="F12" s="698"/>
      <c r="G12" s="698"/>
      <c r="H12" s="691"/>
      <c r="I12" s="691"/>
      <c r="J12" s="1309"/>
      <c r="K12" s="1309"/>
      <c r="L12" s="1309"/>
      <c r="M12" s="1309"/>
      <c r="N12" s="1309"/>
      <c r="O12" s="1309"/>
      <c r="P12" s="1309"/>
    </row>
    <row r="13" spans="1:20" ht="15" hidden="1" customHeight="1">
      <c r="A13" s="906" t="s">
        <v>48</v>
      </c>
      <c r="C13" s="1046">
        <f>CALCULADORA_2021!L10</f>
        <v>79</v>
      </c>
      <c r="D13" s="1082">
        <f t="shared" si="0"/>
        <v>79000</v>
      </c>
      <c r="E13" s="695" t="s">
        <v>418</v>
      </c>
      <c r="F13" s="693"/>
      <c r="G13" s="694"/>
      <c r="J13" s="705" t="s">
        <v>786</v>
      </c>
      <c r="K13" s="706"/>
      <c r="L13" s="706"/>
      <c r="M13" s="706"/>
      <c r="N13" s="706"/>
      <c r="O13" s="706"/>
      <c r="P13" s="707"/>
    </row>
    <row r="14" spans="1:20" ht="15" hidden="1" customHeight="1">
      <c r="A14" s="906" t="s">
        <v>48</v>
      </c>
      <c r="C14" s="1047"/>
      <c r="D14" s="1082">
        <f t="shared" si="0"/>
        <v>0</v>
      </c>
    </row>
    <row r="15" spans="1:20" ht="15" hidden="1" customHeight="1">
      <c r="A15" s="906" t="s">
        <v>48</v>
      </c>
      <c r="C15" s="1048">
        <f>CALCULADORA_2021!N10</f>
        <v>0</v>
      </c>
      <c r="D15" s="1082">
        <f t="shared" si="0"/>
        <v>0</v>
      </c>
      <c r="E15" s="744" t="s">
        <v>419</v>
      </c>
      <c r="F15" s="744"/>
      <c r="G15" s="744"/>
      <c r="H15" s="745"/>
      <c r="I15" s="745"/>
      <c r="J15" s="746" t="s">
        <v>865</v>
      </c>
      <c r="K15" s="746"/>
      <c r="L15" s="746"/>
      <c r="M15" s="746"/>
      <c r="N15" s="746"/>
      <c r="O15" s="746"/>
      <c r="P15" s="746"/>
      <c r="Q15" s="745"/>
      <c r="R15" s="747" t="s">
        <v>788</v>
      </c>
      <c r="S15" s="748"/>
      <c r="T15" s="711"/>
    </row>
    <row r="16" spans="1:20" ht="15" hidden="1" customHeight="1">
      <c r="A16" s="906" t="s">
        <v>48</v>
      </c>
      <c r="C16" s="1049">
        <f>CALCULADORA_2021!P10</f>
        <v>0</v>
      </c>
      <c r="D16" s="1082">
        <f t="shared" si="0"/>
        <v>0</v>
      </c>
      <c r="E16" s="708" t="s">
        <v>362</v>
      </c>
      <c r="F16" s="708"/>
      <c r="G16" s="708"/>
      <c r="J16" s="712" t="s">
        <v>789</v>
      </c>
      <c r="K16" s="712"/>
      <c r="L16" s="712"/>
      <c r="M16" s="712"/>
      <c r="N16" s="712"/>
      <c r="O16" s="712"/>
      <c r="P16" s="712"/>
    </row>
    <row r="17" spans="1:18" ht="15" hidden="1" customHeight="1">
      <c r="A17" s="906" t="s">
        <v>48</v>
      </c>
      <c r="C17" s="1050">
        <f>CALCULADORA_2021!Q10</f>
        <v>0</v>
      </c>
      <c r="D17" s="1082">
        <f t="shared" si="0"/>
        <v>0</v>
      </c>
      <c r="E17" s="708" t="s">
        <v>720</v>
      </c>
      <c r="F17" s="708"/>
      <c r="G17" s="708"/>
      <c r="J17" s="712" t="s">
        <v>790</v>
      </c>
      <c r="K17" s="712"/>
      <c r="L17" s="712"/>
      <c r="M17" s="712"/>
      <c r="N17" s="712"/>
      <c r="O17" s="712"/>
      <c r="P17" s="712"/>
    </row>
    <row r="18" spans="1:18" ht="15" hidden="1" customHeight="1">
      <c r="A18" s="906" t="s">
        <v>48</v>
      </c>
      <c r="C18" s="1051">
        <f>CALCULADORA_2021!R10</f>
        <v>0</v>
      </c>
      <c r="D18" s="1082">
        <f t="shared" si="0"/>
        <v>0</v>
      </c>
      <c r="E18" s="709" t="s">
        <v>363</v>
      </c>
      <c r="F18" s="710"/>
      <c r="G18" s="708"/>
      <c r="J18" s="712" t="s">
        <v>462</v>
      </c>
      <c r="K18" s="712"/>
      <c r="L18" s="712"/>
      <c r="M18" s="712"/>
      <c r="N18" s="712"/>
      <c r="O18" s="712"/>
      <c r="P18" s="712"/>
    </row>
    <row r="19" spans="1:18" ht="15" hidden="1" customHeight="1">
      <c r="A19" s="906" t="s">
        <v>48</v>
      </c>
      <c r="C19" s="1051">
        <f>CALCULADORA_2021!S10</f>
        <v>0</v>
      </c>
      <c r="D19" s="1082">
        <f t="shared" si="0"/>
        <v>0</v>
      </c>
      <c r="E19" s="709" t="s">
        <v>432</v>
      </c>
      <c r="F19" s="710"/>
      <c r="G19" s="708"/>
      <c r="J19" s="712" t="s">
        <v>791</v>
      </c>
      <c r="K19" s="712"/>
      <c r="L19" s="712"/>
      <c r="M19" s="712"/>
      <c r="N19" s="712"/>
      <c r="O19" s="712"/>
      <c r="P19" s="712"/>
    </row>
    <row r="20" spans="1:18" ht="15" hidden="1" customHeight="1">
      <c r="A20" s="906" t="s">
        <v>48</v>
      </c>
      <c r="C20" s="1051">
        <f>CALCULADORA_2021!T10</f>
        <v>0</v>
      </c>
      <c r="D20" s="1082">
        <f t="shared" si="0"/>
        <v>0</v>
      </c>
      <c r="E20" s="709" t="s">
        <v>431</v>
      </c>
      <c r="F20" s="710"/>
      <c r="G20" s="708"/>
      <c r="J20" s="712" t="s">
        <v>792</v>
      </c>
      <c r="K20" s="712"/>
      <c r="L20" s="712"/>
      <c r="M20" s="712"/>
      <c r="N20" s="712"/>
      <c r="O20" s="712"/>
      <c r="P20" s="712"/>
    </row>
    <row r="21" spans="1:18" ht="15" hidden="1" customHeight="1">
      <c r="A21" s="906" t="s">
        <v>48</v>
      </c>
      <c r="C21" s="1051">
        <f>CALCULADORA_2021!U10</f>
        <v>0</v>
      </c>
      <c r="D21" s="1082">
        <f t="shared" si="0"/>
        <v>0</v>
      </c>
      <c r="E21" s="709" t="s">
        <v>721</v>
      </c>
      <c r="F21" s="710"/>
      <c r="G21" s="708"/>
      <c r="J21" s="712" t="s">
        <v>793</v>
      </c>
      <c r="K21" s="712"/>
      <c r="L21" s="712"/>
      <c r="M21" s="712"/>
      <c r="N21" s="712"/>
      <c r="O21" s="712"/>
      <c r="P21" s="712"/>
    </row>
    <row r="22" spans="1:18" ht="15" hidden="1" customHeight="1">
      <c r="A22" s="906" t="s">
        <v>48</v>
      </c>
      <c r="C22" s="1052">
        <f>CALCULADORA_2021!V10</f>
        <v>0</v>
      </c>
      <c r="D22" s="1082">
        <f t="shared" si="0"/>
        <v>0</v>
      </c>
      <c r="E22" s="708" t="s">
        <v>420</v>
      </c>
      <c r="F22" s="710"/>
      <c r="G22" s="708"/>
      <c r="J22" s="712" t="s">
        <v>794</v>
      </c>
      <c r="K22" s="712"/>
      <c r="L22" s="712"/>
      <c r="M22" s="712"/>
      <c r="N22" s="712"/>
      <c r="O22" s="712"/>
      <c r="P22" s="712"/>
    </row>
    <row r="23" spans="1:18" ht="15" hidden="1" customHeight="1">
      <c r="A23" s="906" t="s">
        <v>48</v>
      </c>
      <c r="C23" s="1052">
        <f>CALCULADORA_2021!X10</f>
        <v>0</v>
      </c>
      <c r="D23" s="1082">
        <f t="shared" si="0"/>
        <v>0</v>
      </c>
      <c r="E23" s="708" t="s">
        <v>421</v>
      </c>
      <c r="F23" s="710"/>
      <c r="G23" s="708"/>
      <c r="J23" s="712" t="s">
        <v>795</v>
      </c>
      <c r="K23" s="712"/>
      <c r="L23" s="712"/>
      <c r="M23" s="712"/>
      <c r="N23" s="712"/>
      <c r="O23" s="712"/>
      <c r="P23" s="712"/>
    </row>
    <row r="24" spans="1:18" ht="15" hidden="1" customHeight="1">
      <c r="A24" s="906" t="s">
        <v>48</v>
      </c>
      <c r="C24" s="1047"/>
      <c r="D24" s="1082">
        <f t="shared" si="0"/>
        <v>0</v>
      </c>
      <c r="F24" s="520"/>
    </row>
    <row r="25" spans="1:18" ht="15" hidden="1" customHeight="1">
      <c r="A25" s="906" t="s">
        <v>48</v>
      </c>
      <c r="C25" s="1053">
        <f>CALCULADORA_2021!Z10</f>
        <v>20.425000000000001</v>
      </c>
      <c r="D25" s="1082">
        <f t="shared" si="0"/>
        <v>20425</v>
      </c>
      <c r="E25" s="716" t="s">
        <v>422</v>
      </c>
      <c r="F25" s="716"/>
      <c r="G25" s="716"/>
      <c r="J25" s="715" t="s">
        <v>390</v>
      </c>
      <c r="K25" s="715"/>
      <c r="L25" s="715"/>
      <c r="M25" s="715"/>
      <c r="N25" s="715"/>
      <c r="O25" s="715"/>
      <c r="P25" s="715"/>
    </row>
    <row r="26" spans="1:18" ht="15" hidden="1" customHeight="1">
      <c r="A26" s="906" t="s">
        <v>48</v>
      </c>
      <c r="C26" s="1053">
        <f>CALCULADORA_2021!AB10</f>
        <v>5.4118862775231181E-5</v>
      </c>
      <c r="D26" s="1082">
        <f t="shared" si="0"/>
        <v>5.4118862775231182E-2</v>
      </c>
      <c r="E26" s="716" t="s">
        <v>267</v>
      </c>
      <c r="F26" s="716"/>
      <c r="G26" s="716"/>
      <c r="J26" s="715" t="s">
        <v>852</v>
      </c>
    </row>
    <row r="27" spans="1:18" ht="15" hidden="1" customHeight="1">
      <c r="A27" s="906" t="s">
        <v>48</v>
      </c>
      <c r="C27" s="1047"/>
      <c r="D27" s="1082">
        <f t="shared" si="0"/>
        <v>0</v>
      </c>
      <c r="F27" s="520"/>
    </row>
    <row r="28" spans="1:18" ht="15" customHeight="1">
      <c r="A28" s="906" t="s">
        <v>48</v>
      </c>
      <c r="C28" s="1054">
        <f>CALCULADORA_2021!AF10</f>
        <v>10.42625</v>
      </c>
      <c r="D28" s="1082">
        <f t="shared" si="0"/>
        <v>10426.25</v>
      </c>
      <c r="E28" s="717" t="s">
        <v>796</v>
      </c>
      <c r="F28" s="717"/>
      <c r="G28" s="717"/>
      <c r="J28" s="718" t="s">
        <v>797</v>
      </c>
      <c r="K28" s="718"/>
      <c r="L28" s="718"/>
      <c r="M28" s="718"/>
      <c r="N28" s="718"/>
      <c r="O28" s="718"/>
      <c r="P28" s="718"/>
      <c r="R28" s="27" t="s">
        <v>853</v>
      </c>
    </row>
    <row r="29" spans="1:18" ht="15" hidden="1" customHeight="1">
      <c r="A29" s="906" t="s">
        <v>48</v>
      </c>
      <c r="C29" s="1054">
        <f>CALCULADORA_2021!AG10</f>
        <v>1.0426249999999999</v>
      </c>
      <c r="D29" s="1082">
        <f t="shared" si="0"/>
        <v>1042.625</v>
      </c>
      <c r="E29" s="717" t="s">
        <v>423</v>
      </c>
      <c r="F29" s="717"/>
      <c r="G29" s="717"/>
      <c r="J29" s="719" t="s">
        <v>764</v>
      </c>
      <c r="K29" s="719"/>
      <c r="L29" s="719"/>
      <c r="M29" s="719"/>
      <c r="N29" s="719"/>
      <c r="O29" s="719"/>
      <c r="P29" s="719"/>
    </row>
    <row r="30" spans="1:18" ht="15" hidden="1" customHeight="1">
      <c r="A30" s="906" t="s">
        <v>48</v>
      </c>
      <c r="C30" s="1055">
        <f>CALCULADORA_2021!AH10</f>
        <v>1.042625E-5</v>
      </c>
      <c r="D30" s="1082">
        <f t="shared" si="0"/>
        <v>1.042625E-2</v>
      </c>
      <c r="E30" s="717" t="s">
        <v>424</v>
      </c>
      <c r="F30" s="717"/>
      <c r="G30" s="717"/>
      <c r="J30" s="719" t="s">
        <v>765</v>
      </c>
      <c r="K30" s="719"/>
      <c r="L30" s="719"/>
      <c r="M30" s="719"/>
      <c r="N30" s="719"/>
      <c r="O30" s="719"/>
      <c r="P30" s="719"/>
    </row>
    <row r="31" spans="1:18" ht="15" hidden="1" customHeight="1">
      <c r="A31" s="906" t="s">
        <v>48</v>
      </c>
      <c r="C31" s="1047"/>
      <c r="D31" s="1082">
        <f t="shared" si="0"/>
        <v>0</v>
      </c>
      <c r="F31" s="520"/>
    </row>
    <row r="32" spans="1:18" ht="15" customHeight="1">
      <c r="A32" s="906" t="s">
        <v>48</v>
      </c>
      <c r="C32" s="1038">
        <f>CALCULADORA_2021!AJ10</f>
        <v>1.0545</v>
      </c>
      <c r="D32" s="1082">
        <f t="shared" si="0"/>
        <v>1054.5</v>
      </c>
      <c r="E32" s="723" t="s">
        <v>170</v>
      </c>
      <c r="F32" s="723"/>
      <c r="G32" s="723"/>
      <c r="J32" s="720" t="s">
        <v>808</v>
      </c>
      <c r="K32" s="720"/>
      <c r="L32" s="720"/>
      <c r="M32" s="720"/>
      <c r="N32" s="720"/>
      <c r="O32" s="720"/>
      <c r="P32" s="720"/>
    </row>
    <row r="33" spans="1:20" ht="15" customHeight="1">
      <c r="A33" s="906" t="s">
        <v>48</v>
      </c>
      <c r="C33" s="1038">
        <f>CALCULADORA_2021!AL10</f>
        <v>179.3125</v>
      </c>
      <c r="D33" s="1082">
        <f t="shared" si="0"/>
        <v>179312.5</v>
      </c>
      <c r="E33" s="723" t="s">
        <v>425</v>
      </c>
      <c r="F33" s="723"/>
      <c r="G33" s="723"/>
      <c r="J33" s="1311" t="s">
        <v>768</v>
      </c>
      <c r="K33" s="1311"/>
      <c r="L33" s="1311"/>
      <c r="M33" s="1311"/>
      <c r="N33" s="1311"/>
      <c r="O33" s="1311"/>
      <c r="P33" s="1311"/>
    </row>
    <row r="34" spans="1:20" ht="15" hidden="1" customHeight="1">
      <c r="A34" s="906" t="s">
        <v>48</v>
      </c>
      <c r="C34" s="724"/>
      <c r="D34" s="1082">
        <f t="shared" si="0"/>
        <v>0</v>
      </c>
      <c r="E34" s="723"/>
      <c r="F34" s="723"/>
      <c r="G34" s="723"/>
      <c r="J34" s="1312"/>
      <c r="K34" s="1312"/>
      <c r="L34" s="1312"/>
      <c r="M34" s="1312"/>
      <c r="N34" s="1312"/>
      <c r="O34" s="1312"/>
      <c r="P34" s="1312"/>
    </row>
    <row r="35" spans="1:20" ht="15" hidden="1" customHeight="1">
      <c r="A35" s="906" t="s">
        <v>48</v>
      </c>
      <c r="C35" s="724">
        <f>CALCULADORA_2021!AK10</f>
        <v>167.66550000000001</v>
      </c>
      <c r="D35" s="1082">
        <f t="shared" si="0"/>
        <v>167665.5</v>
      </c>
      <c r="E35" s="723" t="s">
        <v>766</v>
      </c>
      <c r="F35" s="723"/>
      <c r="G35" s="723"/>
      <c r="J35" s="721" t="s">
        <v>778</v>
      </c>
      <c r="K35" s="721"/>
      <c r="L35" s="721"/>
      <c r="M35" s="721"/>
      <c r="N35" s="721"/>
      <c r="O35" s="721"/>
      <c r="P35" s="721"/>
    </row>
    <row r="36" spans="1:20" ht="15" hidden="1" customHeight="1">
      <c r="A36" s="906" t="s">
        <v>48</v>
      </c>
      <c r="C36" s="877">
        <f>CALCULADORA_2021!AN10</f>
        <v>69.596999999999994</v>
      </c>
      <c r="D36" s="1082">
        <f t="shared" si="0"/>
        <v>69597</v>
      </c>
      <c r="E36" s="723" t="s">
        <v>426</v>
      </c>
      <c r="F36" s="723"/>
      <c r="G36" s="723"/>
      <c r="J36" s="721" t="s">
        <v>779</v>
      </c>
      <c r="K36" s="721"/>
      <c r="L36" s="721"/>
      <c r="M36" s="721"/>
      <c r="N36" s="721"/>
      <c r="O36" s="721"/>
      <c r="P36" s="721"/>
    </row>
    <row r="37" spans="1:20" ht="15" hidden="1" customHeight="1">
      <c r="A37" s="906" t="s">
        <v>48</v>
      </c>
      <c r="C37" s="878">
        <f>CALCULADORA_2021!AO10</f>
        <v>8.3832750000000008E-3</v>
      </c>
      <c r="D37" s="1082">
        <f t="shared" si="0"/>
        <v>8.3832750000000011</v>
      </c>
      <c r="E37" s="727" t="s">
        <v>767</v>
      </c>
      <c r="F37" s="728"/>
      <c r="G37" s="723"/>
      <c r="J37" s="721" t="s">
        <v>780</v>
      </c>
      <c r="K37" s="721"/>
      <c r="L37" s="721"/>
      <c r="M37" s="721"/>
      <c r="N37" s="721"/>
      <c r="O37" s="721"/>
      <c r="P37" s="721"/>
    </row>
    <row r="38" spans="1:20" ht="15" hidden="1" customHeight="1">
      <c r="A38" s="906" t="s">
        <v>48</v>
      </c>
      <c r="C38" s="879">
        <f>CALCULADORA_2021!AP10</f>
        <v>1398.20373</v>
      </c>
      <c r="D38" s="1082">
        <f t="shared" si="0"/>
        <v>1398203.73</v>
      </c>
      <c r="E38" s="723" t="s">
        <v>427</v>
      </c>
      <c r="F38" s="728"/>
      <c r="G38" s="723"/>
      <c r="J38" s="1311" t="s">
        <v>798</v>
      </c>
      <c r="K38" s="1311"/>
      <c r="L38" s="1311"/>
      <c r="M38" s="1311"/>
      <c r="N38" s="1311"/>
      <c r="O38" s="1311"/>
      <c r="P38" s="1311"/>
    </row>
    <row r="39" spans="1:20" ht="15" hidden="1" customHeight="1">
      <c r="A39" s="906" t="s">
        <v>48</v>
      </c>
      <c r="C39" s="879">
        <f>CALCULADORA_2021!AQ10</f>
        <v>762.65657999999996</v>
      </c>
      <c r="D39" s="1082">
        <f t="shared" si="0"/>
        <v>762656.58</v>
      </c>
      <c r="E39" s="723" t="s">
        <v>83</v>
      </c>
      <c r="F39" s="728"/>
      <c r="G39" s="723"/>
      <c r="J39" s="1306"/>
      <c r="K39" s="1306"/>
      <c r="L39" s="1306"/>
      <c r="M39" s="1306"/>
      <c r="N39" s="1306"/>
      <c r="O39" s="1306"/>
      <c r="P39" s="1306"/>
    </row>
    <row r="40" spans="1:20" ht="15" hidden="1" customHeight="1">
      <c r="A40" s="906" t="s">
        <v>48</v>
      </c>
      <c r="C40" s="879">
        <f>CALCULADORA_2021!AR10</f>
        <v>12.710942999999999</v>
      </c>
      <c r="D40" s="1082">
        <f t="shared" si="0"/>
        <v>12710.942999999999</v>
      </c>
      <c r="E40" s="723" t="s">
        <v>84</v>
      </c>
      <c r="F40" s="728"/>
      <c r="G40" s="723"/>
      <c r="J40" s="1312"/>
      <c r="K40" s="1312"/>
      <c r="L40" s="1312"/>
      <c r="M40" s="1312"/>
      <c r="N40" s="1312"/>
      <c r="O40" s="1312"/>
      <c r="P40" s="1312"/>
    </row>
    <row r="41" spans="1:20" ht="15" hidden="1" customHeight="1">
      <c r="A41" s="906" t="s">
        <v>48</v>
      </c>
      <c r="C41" s="878">
        <f>CALCULADORA_2021!AS10</f>
        <v>1.8809999999999998</v>
      </c>
      <c r="D41" s="1082">
        <f t="shared" si="0"/>
        <v>1880.9999999999998</v>
      </c>
      <c r="E41" s="727" t="s">
        <v>769</v>
      </c>
      <c r="F41" s="728"/>
      <c r="G41" s="723"/>
      <c r="J41" s="721" t="s">
        <v>799</v>
      </c>
      <c r="K41" s="721"/>
      <c r="L41" s="721"/>
      <c r="M41" s="721"/>
      <c r="N41" s="721"/>
      <c r="O41" s="721"/>
      <c r="P41" s="721"/>
    </row>
    <row r="42" spans="1:20" ht="15" hidden="1" customHeight="1">
      <c r="A42" s="906" t="s">
        <v>48</v>
      </c>
      <c r="C42" s="873"/>
      <c r="D42" s="1082">
        <f t="shared" si="0"/>
        <v>0</v>
      </c>
    </row>
    <row r="43" spans="1:20" ht="15" hidden="1" customHeight="1">
      <c r="A43" s="906" t="s">
        <v>48</v>
      </c>
      <c r="C43" s="873"/>
      <c r="D43" s="1082">
        <f t="shared" si="0"/>
        <v>0</v>
      </c>
      <c r="F43" s="520"/>
    </row>
    <row r="44" spans="1:20">
      <c r="A44" s="906" t="s">
        <v>48</v>
      </c>
      <c r="C44" s="738">
        <f>CALCULADORA_2021!AU10</f>
        <v>444.125</v>
      </c>
      <c r="D44" s="1082">
        <f t="shared" si="0"/>
        <v>444125</v>
      </c>
      <c r="E44" s="739" t="s">
        <v>811</v>
      </c>
      <c r="F44" s="739"/>
      <c r="G44" s="739"/>
      <c r="I44" s="27" t="s">
        <v>1132</v>
      </c>
      <c r="J44" s="737" t="s">
        <v>1125</v>
      </c>
      <c r="K44" s="737"/>
      <c r="L44" s="737"/>
      <c r="M44" s="737"/>
      <c r="N44" s="737"/>
      <c r="O44" s="737"/>
      <c r="P44" s="737"/>
      <c r="R44" s="737" t="s">
        <v>800</v>
      </c>
      <c r="S44" s="737"/>
      <c r="T44" s="737"/>
    </row>
    <row r="45" spans="1:20" hidden="1">
      <c r="A45" s="906" t="s">
        <v>48</v>
      </c>
      <c r="C45" s="1028">
        <f>CALCULADORA_2021!AV10</f>
        <v>67</v>
      </c>
      <c r="D45" s="1083"/>
      <c r="E45" s="1029" t="s">
        <v>1397</v>
      </c>
      <c r="F45" s="1029"/>
      <c r="G45" s="1029"/>
      <c r="I45" s="27" t="s">
        <v>1396</v>
      </c>
      <c r="J45" s="1031" t="s">
        <v>1125</v>
      </c>
      <c r="K45" s="1031"/>
      <c r="L45" s="1031"/>
      <c r="M45" s="1031"/>
      <c r="N45" s="1031"/>
      <c r="O45" s="1031"/>
      <c r="P45" s="1031"/>
      <c r="R45" s="737"/>
      <c r="S45" s="737"/>
      <c r="T45" s="737"/>
    </row>
    <row r="46" spans="1:20" ht="15" hidden="1" customHeight="1">
      <c r="A46" s="906" t="s">
        <v>48</v>
      </c>
      <c r="C46" s="730"/>
      <c r="D46" s="1084"/>
      <c r="E46" s="731"/>
      <c r="F46" s="731"/>
      <c r="G46" s="731"/>
      <c r="R46" s="1305" t="s">
        <v>770</v>
      </c>
      <c r="S46" s="1305"/>
      <c r="T46" s="1305"/>
    </row>
    <row r="47" spans="1:20" ht="15" hidden="1" customHeight="1">
      <c r="A47" s="906" t="s">
        <v>48</v>
      </c>
      <c r="C47" s="732">
        <f>CALCULADORA_2021!AX10</f>
        <v>185.05208333333334</v>
      </c>
      <c r="D47" s="1085"/>
      <c r="E47" s="733" t="s">
        <v>772</v>
      </c>
      <c r="F47" s="733"/>
      <c r="G47" s="733"/>
      <c r="J47" s="737" t="s">
        <v>771</v>
      </c>
      <c r="K47" s="737"/>
      <c r="L47" s="737"/>
      <c r="M47" s="737"/>
      <c r="N47" s="737"/>
      <c r="O47" s="737"/>
      <c r="P47" s="737"/>
      <c r="R47" s="1306"/>
      <c r="S47" s="1306"/>
      <c r="T47" s="1306"/>
    </row>
    <row r="48" spans="1:20" ht="15" hidden="1" customHeight="1">
      <c r="A48" s="906" t="s">
        <v>48</v>
      </c>
      <c r="C48" s="734">
        <f>CALCULADORA_2021!AY10</f>
        <v>3717.6963541666669</v>
      </c>
      <c r="D48" s="1086"/>
      <c r="E48" s="733" t="s">
        <v>773</v>
      </c>
      <c r="F48" s="733"/>
      <c r="G48" s="733"/>
    </row>
    <row r="49" spans="1:20" ht="15" hidden="1" customHeight="1">
      <c r="A49" s="906" t="s">
        <v>48</v>
      </c>
      <c r="C49" s="734">
        <f>CALCULADORA_2021!BA10</f>
        <v>2027.8343749999999</v>
      </c>
      <c r="D49" s="1086"/>
      <c r="E49" s="733" t="s">
        <v>774</v>
      </c>
      <c r="F49" s="733"/>
      <c r="G49" s="733"/>
    </row>
    <row r="50" spans="1:20" ht="15" hidden="1" customHeight="1">
      <c r="A50" s="906" t="s">
        <v>48</v>
      </c>
      <c r="C50" s="735">
        <f>CALCULADORA_2021!BB10</f>
        <v>33.797239583333329</v>
      </c>
      <c r="D50" s="1087"/>
      <c r="E50" s="733" t="s">
        <v>775</v>
      </c>
      <c r="F50" s="736"/>
      <c r="G50" s="733"/>
    </row>
    <row r="51" spans="1:20" hidden="1"/>
    <row r="52" spans="1:20" hidden="1"/>
    <row r="53" spans="1:20" hidden="1"/>
    <row r="54" spans="1:20" hidden="1"/>
    <row r="55" spans="1:20" hidden="1"/>
    <row r="56" spans="1:20" hidden="1"/>
    <row r="57" spans="1:20" hidden="1"/>
    <row r="59" spans="1:20" s="210" customFormat="1">
      <c r="A59" s="210" t="s">
        <v>776</v>
      </c>
      <c r="C59" s="690" t="s">
        <v>777</v>
      </c>
      <c r="D59" s="1081"/>
      <c r="J59" s="742" t="s">
        <v>758</v>
      </c>
      <c r="K59" s="742"/>
      <c r="L59" s="742"/>
      <c r="M59" s="742"/>
      <c r="N59" s="742"/>
      <c r="O59" s="742"/>
      <c r="P59" s="742"/>
      <c r="R59" s="742" t="s">
        <v>759</v>
      </c>
      <c r="S59" s="742"/>
      <c r="T59" s="742"/>
    </row>
    <row r="60" spans="1:20" ht="15" customHeight="1">
      <c r="A60" s="906" t="s">
        <v>75</v>
      </c>
      <c r="C60" s="1056">
        <f>CALCULADORA_2021!E11</f>
        <v>1461.7196199999998</v>
      </c>
      <c r="D60" s="1082">
        <f>C60*1000</f>
        <v>1461719.6199999999</v>
      </c>
      <c r="E60" s="1307" t="s">
        <v>24</v>
      </c>
      <c r="F60" s="1307"/>
      <c r="G60" s="1307"/>
      <c r="J60" s="1308" t="s">
        <v>801</v>
      </c>
      <c r="K60" s="1308"/>
      <c r="L60" s="1308"/>
      <c r="M60" s="1308"/>
      <c r="N60" s="1308"/>
      <c r="O60" s="1308"/>
      <c r="P60" s="1308"/>
      <c r="R60" s="27" t="s">
        <v>802</v>
      </c>
    </row>
    <row r="61" spans="1:20" hidden="1">
      <c r="A61" s="906" t="s">
        <v>75</v>
      </c>
      <c r="C61" s="1057"/>
      <c r="D61" s="1082">
        <f t="shared" ref="D61:D99" si="1">C61*1000</f>
        <v>0</v>
      </c>
      <c r="E61" s="697"/>
      <c r="F61" s="697"/>
      <c r="G61" s="697"/>
      <c r="J61" s="1309"/>
      <c r="K61" s="1309"/>
      <c r="L61" s="1309"/>
      <c r="M61" s="1309"/>
      <c r="N61" s="1309"/>
      <c r="O61" s="1309"/>
      <c r="P61" s="1309"/>
    </row>
    <row r="62" spans="1:20" hidden="1">
      <c r="A62" s="906" t="s">
        <v>75</v>
      </c>
      <c r="C62" s="1058">
        <f>CALCULADORA_2021!F11</f>
        <v>24361.993666666665</v>
      </c>
      <c r="D62" s="1082">
        <f t="shared" si="1"/>
        <v>24361993.666666664</v>
      </c>
      <c r="E62" s="695" t="s">
        <v>752</v>
      </c>
      <c r="F62" s="692"/>
      <c r="G62" s="694"/>
      <c r="J62" s="704" t="s">
        <v>760</v>
      </c>
      <c r="K62" s="704"/>
      <c r="L62" s="704"/>
      <c r="M62" s="704"/>
      <c r="N62" s="704"/>
      <c r="O62" s="704"/>
      <c r="P62" s="704"/>
    </row>
    <row r="63" spans="1:20" ht="15" hidden="1" customHeight="1">
      <c r="A63" s="906" t="s">
        <v>75</v>
      </c>
      <c r="B63" s="30"/>
      <c r="C63" s="1058">
        <f>CALCULADORA_2021!G11</f>
        <v>162413.29111111109</v>
      </c>
      <c r="D63" s="1082">
        <f t="shared" si="1"/>
        <v>162413291.11111107</v>
      </c>
      <c r="E63" s="695" t="s">
        <v>417</v>
      </c>
      <c r="F63" s="694"/>
      <c r="G63" s="696"/>
      <c r="J63" s="704" t="s">
        <v>761</v>
      </c>
      <c r="K63" s="704"/>
      <c r="L63" s="704"/>
      <c r="M63" s="704"/>
      <c r="N63" s="704"/>
      <c r="O63" s="704"/>
      <c r="P63" s="704"/>
    </row>
    <row r="64" spans="1:20" hidden="1">
      <c r="A64" s="906" t="s">
        <v>75</v>
      </c>
      <c r="B64" s="30"/>
      <c r="C64" s="1058">
        <f>CALCULADORA_2021!H11</f>
        <v>1176.9079066022543</v>
      </c>
      <c r="D64" s="1082">
        <f t="shared" si="1"/>
        <v>1176907.9066022544</v>
      </c>
      <c r="E64" s="695" t="s">
        <v>718</v>
      </c>
      <c r="F64" s="692"/>
      <c r="G64" s="694"/>
      <c r="J64" s="705" t="s">
        <v>783</v>
      </c>
      <c r="K64" s="706"/>
      <c r="L64" s="707"/>
      <c r="M64" s="704"/>
      <c r="N64" s="704"/>
      <c r="O64" s="704"/>
      <c r="P64" s="704"/>
    </row>
    <row r="65" spans="1:16" ht="15" hidden="1" customHeight="1">
      <c r="A65" s="906" t="s">
        <v>75</v>
      </c>
      <c r="B65" s="30"/>
      <c r="C65" s="1059">
        <f>CALCULADORA_2021!J11</f>
        <v>1516.3066597510372</v>
      </c>
      <c r="D65" s="1082">
        <f t="shared" si="1"/>
        <v>1516306.6597510371</v>
      </c>
      <c r="E65" s="701" t="s">
        <v>784</v>
      </c>
      <c r="F65" s="693"/>
      <c r="G65" s="694"/>
      <c r="J65" s="705" t="s">
        <v>785</v>
      </c>
      <c r="K65" s="706"/>
      <c r="L65" s="706"/>
      <c r="M65" s="706"/>
      <c r="N65" s="706"/>
      <c r="O65" s="706"/>
      <c r="P65" s="707"/>
    </row>
    <row r="66" spans="1:16" ht="15" hidden="1" customHeight="1">
      <c r="A66" s="906" t="s">
        <v>75</v>
      </c>
      <c r="B66" s="30"/>
      <c r="C66" s="1060">
        <f>CALCULADORA_2021!K11</f>
        <v>78.523750738651628</v>
      </c>
      <c r="D66" s="1082">
        <f t="shared" si="1"/>
        <v>78523.750738651623</v>
      </c>
      <c r="E66" s="702" t="s">
        <v>719</v>
      </c>
      <c r="F66" s="699"/>
      <c r="G66" s="700"/>
      <c r="J66" s="1308" t="s">
        <v>787</v>
      </c>
      <c r="K66" s="1308"/>
      <c r="L66" s="1308"/>
      <c r="M66" s="1308"/>
      <c r="N66" s="1308"/>
      <c r="O66" s="1308"/>
      <c r="P66" s="1308"/>
    </row>
    <row r="67" spans="1:16" ht="36" hidden="1" customHeight="1">
      <c r="A67" s="906" t="s">
        <v>75</v>
      </c>
      <c r="B67" s="30"/>
      <c r="C67" s="1061"/>
      <c r="D67" s="1082">
        <f t="shared" si="1"/>
        <v>0</v>
      </c>
      <c r="E67" s="698"/>
      <c r="F67" s="698"/>
      <c r="G67" s="698"/>
      <c r="H67" s="691"/>
      <c r="I67" s="691"/>
      <c r="J67" s="1309"/>
      <c r="K67" s="1309"/>
      <c r="L67" s="1309"/>
      <c r="M67" s="1309"/>
      <c r="N67" s="1309"/>
      <c r="O67" s="1309"/>
      <c r="P67" s="1309"/>
    </row>
    <row r="68" spans="1:16" ht="15" hidden="1" customHeight="1">
      <c r="A68" s="906" t="s">
        <v>75</v>
      </c>
      <c r="C68" s="1062">
        <f>CALCULADORA_2021!L11</f>
        <v>88.4</v>
      </c>
      <c r="D68" s="1082">
        <f t="shared" si="1"/>
        <v>88400</v>
      </c>
      <c r="E68" s="695" t="s">
        <v>820</v>
      </c>
      <c r="F68" s="693"/>
      <c r="G68" s="694"/>
      <c r="J68" s="705" t="s">
        <v>806</v>
      </c>
      <c r="K68" s="706"/>
      <c r="L68" s="706"/>
      <c r="M68" s="706"/>
      <c r="N68" s="706"/>
      <c r="O68" s="706"/>
      <c r="P68" s="707"/>
    </row>
    <row r="69" spans="1:16" hidden="1">
      <c r="A69" s="906" t="s">
        <v>75</v>
      </c>
      <c r="C69" s="1063"/>
      <c r="D69" s="1082">
        <f t="shared" si="1"/>
        <v>0</v>
      </c>
    </row>
    <row r="70" spans="1:16">
      <c r="A70" s="906" t="s">
        <v>75</v>
      </c>
      <c r="C70" s="1064">
        <f>CALCULADORA_2021!N11</f>
        <v>387.1</v>
      </c>
      <c r="D70" s="1082">
        <f t="shared" si="1"/>
        <v>387100</v>
      </c>
      <c r="E70" s="708" t="s">
        <v>419</v>
      </c>
      <c r="F70" s="708"/>
      <c r="G70" s="708"/>
      <c r="J70" s="711" t="s">
        <v>807</v>
      </c>
      <c r="K70" s="711"/>
      <c r="L70" s="711"/>
      <c r="M70" s="711"/>
      <c r="N70" s="711"/>
      <c r="O70" s="711"/>
      <c r="P70" s="711"/>
    </row>
    <row r="71" spans="1:16" hidden="1">
      <c r="A71" s="906" t="s">
        <v>75</v>
      </c>
      <c r="C71" s="1064">
        <f>CALCULADORA_2021!P11</f>
        <v>1.9355000000000002</v>
      </c>
      <c r="D71" s="1082">
        <f t="shared" si="1"/>
        <v>1935.5000000000002</v>
      </c>
      <c r="E71" s="708" t="s">
        <v>362</v>
      </c>
      <c r="F71" s="708"/>
      <c r="G71" s="708"/>
      <c r="J71" s="712" t="s">
        <v>789</v>
      </c>
      <c r="K71" s="712"/>
      <c r="L71" s="712"/>
      <c r="M71" s="712"/>
      <c r="N71" s="712"/>
      <c r="O71" s="712"/>
      <c r="P71" s="712"/>
    </row>
    <row r="72" spans="1:16" hidden="1">
      <c r="A72" s="906" t="s">
        <v>75</v>
      </c>
      <c r="C72" s="1065">
        <f>CALCULADORA_2021!Q11</f>
        <v>154.84</v>
      </c>
      <c r="D72" s="1082">
        <f t="shared" si="1"/>
        <v>154840</v>
      </c>
      <c r="E72" s="708" t="s">
        <v>720</v>
      </c>
      <c r="F72" s="708"/>
      <c r="G72" s="708"/>
      <c r="J72" s="712" t="s">
        <v>790</v>
      </c>
      <c r="K72" s="712"/>
      <c r="L72" s="712"/>
      <c r="M72" s="712"/>
      <c r="N72" s="712"/>
      <c r="O72" s="712"/>
      <c r="P72" s="712"/>
    </row>
    <row r="73" spans="1:16" ht="15" hidden="1" customHeight="1">
      <c r="A73" s="906" t="s">
        <v>75</v>
      </c>
      <c r="C73" s="1066">
        <f>CALCULADORA_2021!R11</f>
        <v>5.53</v>
      </c>
      <c r="D73" s="1082">
        <f t="shared" si="1"/>
        <v>5530</v>
      </c>
      <c r="E73" s="709" t="s">
        <v>363</v>
      </c>
      <c r="F73" s="710"/>
      <c r="G73" s="708"/>
      <c r="J73" s="712" t="s">
        <v>462</v>
      </c>
      <c r="K73" s="712"/>
      <c r="L73" s="712"/>
      <c r="M73" s="712"/>
      <c r="N73" s="712"/>
      <c r="O73" s="712"/>
      <c r="P73" s="712"/>
    </row>
    <row r="74" spans="1:16" ht="15" hidden="1" customHeight="1">
      <c r="A74" s="906" t="s">
        <v>75</v>
      </c>
      <c r="C74" s="1066">
        <f>CALCULADORA_2021!S11</f>
        <v>7.7420000000000009</v>
      </c>
      <c r="D74" s="1082">
        <f t="shared" si="1"/>
        <v>7742.0000000000009</v>
      </c>
      <c r="E74" s="709" t="s">
        <v>432</v>
      </c>
      <c r="F74" s="710"/>
      <c r="G74" s="708"/>
      <c r="J74" s="712" t="s">
        <v>791</v>
      </c>
      <c r="K74" s="712"/>
      <c r="L74" s="712"/>
      <c r="M74" s="712"/>
      <c r="N74" s="712"/>
      <c r="O74" s="712"/>
      <c r="P74" s="712"/>
    </row>
    <row r="75" spans="1:16" ht="15" hidden="1" customHeight="1">
      <c r="A75" s="906" t="s">
        <v>75</v>
      </c>
      <c r="C75" s="1066">
        <f>CALCULADORA_2021!T11</f>
        <v>29.776923076923079</v>
      </c>
      <c r="D75" s="1082">
        <f t="shared" si="1"/>
        <v>29776.923076923078</v>
      </c>
      <c r="E75" s="709" t="s">
        <v>431</v>
      </c>
      <c r="F75" s="710"/>
      <c r="G75" s="708"/>
      <c r="J75" s="712" t="s">
        <v>792</v>
      </c>
      <c r="K75" s="712"/>
      <c r="L75" s="712"/>
      <c r="M75" s="712"/>
      <c r="N75" s="712"/>
      <c r="O75" s="712"/>
      <c r="P75" s="712"/>
    </row>
    <row r="76" spans="1:16" ht="15" hidden="1" customHeight="1">
      <c r="A76" s="906" t="s">
        <v>75</v>
      </c>
      <c r="C76" s="1066">
        <f>CALCULADORA_2021!U11</f>
        <v>15.484000000000002</v>
      </c>
      <c r="D76" s="1082">
        <f t="shared" si="1"/>
        <v>15484.000000000002</v>
      </c>
      <c r="E76" s="709" t="s">
        <v>721</v>
      </c>
      <c r="F76" s="710"/>
      <c r="G76" s="708"/>
      <c r="J76" s="712" t="s">
        <v>793</v>
      </c>
      <c r="K76" s="712"/>
      <c r="L76" s="712"/>
      <c r="M76" s="712"/>
      <c r="N76" s="712"/>
      <c r="O76" s="712"/>
      <c r="P76" s="712"/>
    </row>
    <row r="77" spans="1:16" hidden="1">
      <c r="A77" s="906" t="s">
        <v>75</v>
      </c>
      <c r="C77" s="1067">
        <f>CALCULADORA_2021!V11</f>
        <v>1.0322666666666667E-4</v>
      </c>
      <c r="D77" s="1082">
        <f t="shared" si="1"/>
        <v>0.10322666666666667</v>
      </c>
      <c r="E77" s="708" t="s">
        <v>420</v>
      </c>
      <c r="F77" s="710"/>
      <c r="G77" s="708"/>
      <c r="J77" s="712" t="s">
        <v>794</v>
      </c>
      <c r="K77" s="712"/>
      <c r="L77" s="712"/>
      <c r="M77" s="712"/>
      <c r="N77" s="712"/>
      <c r="O77" s="712"/>
      <c r="P77" s="712"/>
    </row>
    <row r="78" spans="1:16" hidden="1">
      <c r="A78" s="906" t="s">
        <v>75</v>
      </c>
      <c r="C78" s="1067">
        <f>CALCULADORA_2021!X11</f>
        <v>64.516666666666666</v>
      </c>
      <c r="D78" s="1082">
        <f t="shared" si="1"/>
        <v>64516.666666666664</v>
      </c>
      <c r="E78" s="708" t="s">
        <v>421</v>
      </c>
      <c r="F78" s="710"/>
      <c r="G78" s="708"/>
      <c r="J78" s="712" t="s">
        <v>795</v>
      </c>
      <c r="K78" s="712"/>
      <c r="L78" s="712"/>
      <c r="M78" s="712"/>
      <c r="N78" s="712"/>
      <c r="O78" s="712"/>
      <c r="P78" s="712"/>
    </row>
    <row r="79" spans="1:16" hidden="1">
      <c r="A79" s="906" t="s">
        <v>75</v>
      </c>
      <c r="C79" s="1063"/>
      <c r="D79" s="1082">
        <f t="shared" si="1"/>
        <v>0</v>
      </c>
      <c r="F79" s="520"/>
    </row>
    <row r="80" spans="1:16" hidden="1">
      <c r="A80" s="906" t="s">
        <v>75</v>
      </c>
      <c r="C80" s="1068">
        <f>CALCULADORA_2021!Z11</f>
        <v>2.7318199999999999</v>
      </c>
      <c r="D80" s="1082">
        <f t="shared" si="1"/>
        <v>2731.8199999999997</v>
      </c>
      <c r="E80" s="716" t="s">
        <v>422</v>
      </c>
      <c r="F80" s="716"/>
      <c r="G80" s="716"/>
      <c r="J80" s="715" t="s">
        <v>390</v>
      </c>
      <c r="K80" s="715"/>
      <c r="L80" s="715"/>
      <c r="M80" s="715"/>
      <c r="N80" s="715"/>
      <c r="O80" s="715"/>
      <c r="P80" s="715"/>
    </row>
    <row r="81" spans="1:16" hidden="1">
      <c r="A81" s="906" t="s">
        <v>75</v>
      </c>
      <c r="C81" s="1068">
        <f>CALCULADORA_2021!AB11</f>
        <v>7.2383349672769663E-6</v>
      </c>
      <c r="D81" s="1082">
        <f t="shared" si="1"/>
        <v>7.2383349672769659E-3</v>
      </c>
      <c r="E81" s="716" t="s">
        <v>267</v>
      </c>
      <c r="F81" s="716"/>
      <c r="G81" s="716"/>
      <c r="J81" s="715" t="s">
        <v>852</v>
      </c>
      <c r="K81" s="715"/>
      <c r="L81" s="715"/>
      <c r="M81" s="715"/>
      <c r="N81" s="715"/>
      <c r="O81" s="715"/>
      <c r="P81" s="715"/>
    </row>
    <row r="82" spans="1:16" hidden="1">
      <c r="A82" s="906" t="s">
        <v>75</v>
      </c>
      <c r="C82" s="1063"/>
      <c r="D82" s="1082">
        <f t="shared" si="1"/>
        <v>0</v>
      </c>
      <c r="F82" s="520"/>
    </row>
    <row r="83" spans="1:16">
      <c r="A83" s="906" t="s">
        <v>75</v>
      </c>
      <c r="C83" s="1069">
        <f>CALCULADORA_2021!AF11</f>
        <v>2.4084729999999999</v>
      </c>
      <c r="D83" s="1082">
        <f t="shared" si="1"/>
        <v>2408.473</v>
      </c>
      <c r="E83" s="717" t="s">
        <v>796</v>
      </c>
      <c r="F83" s="717"/>
      <c r="G83" s="717"/>
      <c r="J83" s="718" t="s">
        <v>803</v>
      </c>
      <c r="K83" s="718"/>
      <c r="L83" s="718"/>
      <c r="M83" s="718"/>
      <c r="N83" s="718"/>
      <c r="O83" s="718"/>
      <c r="P83" s="718"/>
    </row>
    <row r="84" spans="1:16" hidden="1">
      <c r="A84" s="906" t="s">
        <v>75</v>
      </c>
      <c r="C84" s="1069">
        <f>CALCULADORA_2021!AG11</f>
        <v>0.24084729999999999</v>
      </c>
      <c r="D84" s="1082">
        <f t="shared" si="1"/>
        <v>240.84729999999999</v>
      </c>
      <c r="E84" s="717" t="s">
        <v>423</v>
      </c>
      <c r="F84" s="717"/>
      <c r="G84" s="717"/>
      <c r="J84" s="719" t="s">
        <v>764</v>
      </c>
      <c r="K84" s="719"/>
      <c r="L84" s="719"/>
      <c r="M84" s="719"/>
      <c r="N84" s="719"/>
      <c r="O84" s="719"/>
      <c r="P84" s="719"/>
    </row>
    <row r="85" spans="1:16" hidden="1">
      <c r="A85" s="906" t="s">
        <v>75</v>
      </c>
      <c r="C85" s="1070">
        <f>CALCULADORA_2021!AH11</f>
        <v>2.4084729999999998E-6</v>
      </c>
      <c r="D85" s="1082">
        <f t="shared" si="1"/>
        <v>2.408473E-3</v>
      </c>
      <c r="E85" s="717" t="s">
        <v>424</v>
      </c>
      <c r="F85" s="717"/>
      <c r="G85" s="717"/>
      <c r="J85" s="719" t="s">
        <v>765</v>
      </c>
      <c r="K85" s="719"/>
      <c r="L85" s="719"/>
      <c r="M85" s="719"/>
      <c r="N85" s="719"/>
      <c r="O85" s="719"/>
      <c r="P85" s="719"/>
    </row>
    <row r="86" spans="1:16" hidden="1">
      <c r="A86" s="906" t="s">
        <v>75</v>
      </c>
      <c r="C86" s="1063"/>
      <c r="D86" s="1082">
        <f t="shared" si="1"/>
        <v>0</v>
      </c>
      <c r="F86" s="520"/>
    </row>
    <row r="87" spans="1:16">
      <c r="A87" s="906" t="s">
        <v>75</v>
      </c>
      <c r="C87" s="1039">
        <f>CALCULADORA_2021!AJ11</f>
        <v>0.35076000000000002</v>
      </c>
      <c r="D87" s="1082">
        <f t="shared" si="1"/>
        <v>350.76</v>
      </c>
      <c r="E87" s="723" t="s">
        <v>170</v>
      </c>
      <c r="F87" s="723"/>
      <c r="G87" s="723"/>
      <c r="J87" s="720" t="s">
        <v>808</v>
      </c>
      <c r="K87" s="720"/>
      <c r="L87" s="720"/>
      <c r="M87" s="720"/>
      <c r="N87" s="720"/>
      <c r="O87" s="720"/>
      <c r="P87" s="720"/>
    </row>
    <row r="88" spans="1:16" ht="15" customHeight="1">
      <c r="A88" s="906" t="s">
        <v>75</v>
      </c>
      <c r="C88" s="1039">
        <f>CALCULADORA_2021!AL11</f>
        <v>66.170400000000001</v>
      </c>
      <c r="D88" s="1082">
        <f t="shared" si="1"/>
        <v>66170.399999999994</v>
      </c>
      <c r="E88" s="723" t="s">
        <v>425</v>
      </c>
      <c r="F88" s="723"/>
      <c r="G88" s="723"/>
      <c r="J88" s="1311" t="s">
        <v>809</v>
      </c>
      <c r="K88" s="1311"/>
      <c r="L88" s="1311"/>
      <c r="M88" s="1311"/>
      <c r="N88" s="1311"/>
      <c r="O88" s="1311"/>
      <c r="P88" s="1311"/>
    </row>
    <row r="89" spans="1:16" hidden="1">
      <c r="A89" s="906" t="s">
        <v>75</v>
      </c>
      <c r="C89" s="1039"/>
      <c r="D89" s="1082">
        <f t="shared" si="1"/>
        <v>0</v>
      </c>
      <c r="E89" s="723"/>
      <c r="F89" s="723"/>
      <c r="G89" s="723"/>
      <c r="J89" s="1312"/>
      <c r="K89" s="1312"/>
      <c r="L89" s="1312"/>
      <c r="M89" s="1312"/>
      <c r="N89" s="1312"/>
      <c r="O89" s="1312"/>
      <c r="P89" s="1312"/>
    </row>
    <row r="90" spans="1:16" hidden="1">
      <c r="A90" s="906" t="s">
        <v>75</v>
      </c>
      <c r="C90" s="1039">
        <f>CALCULADORA_2021!AK11</f>
        <v>55.77084</v>
      </c>
      <c r="D90" s="1082">
        <f t="shared" si="1"/>
        <v>55770.84</v>
      </c>
      <c r="E90" s="723" t="s">
        <v>766</v>
      </c>
      <c r="F90" s="723"/>
      <c r="G90" s="723"/>
      <c r="J90" s="721" t="s">
        <v>778</v>
      </c>
      <c r="K90" s="721"/>
      <c r="L90" s="721"/>
      <c r="M90" s="721"/>
      <c r="N90" s="721"/>
      <c r="O90" s="721"/>
      <c r="P90" s="721"/>
    </row>
    <row r="91" spans="1:16" hidden="1">
      <c r="A91" s="906" t="s">
        <v>75</v>
      </c>
      <c r="C91" s="1071">
        <f>CALCULADORA_2021!AN11</f>
        <v>23.15016</v>
      </c>
      <c r="D91" s="1082">
        <f t="shared" si="1"/>
        <v>23150.16</v>
      </c>
      <c r="E91" s="723" t="s">
        <v>426</v>
      </c>
      <c r="F91" s="723"/>
      <c r="G91" s="723"/>
      <c r="J91" s="721" t="s">
        <v>779</v>
      </c>
      <c r="K91" s="721"/>
      <c r="L91" s="721"/>
      <c r="M91" s="721"/>
      <c r="N91" s="721"/>
      <c r="O91" s="721"/>
      <c r="P91" s="721"/>
    </row>
    <row r="92" spans="1:16" ht="15" hidden="1" customHeight="1">
      <c r="A92" s="906" t="s">
        <v>75</v>
      </c>
      <c r="C92" s="1072">
        <f>CALCULADORA_2021!AO11</f>
        <v>2.7885420000000002E-3</v>
      </c>
      <c r="D92" s="1082">
        <f t="shared" si="1"/>
        <v>2.7885420000000001</v>
      </c>
      <c r="E92" s="727" t="s">
        <v>767</v>
      </c>
      <c r="F92" s="728"/>
      <c r="G92" s="723"/>
      <c r="J92" s="721" t="s">
        <v>780</v>
      </c>
      <c r="K92" s="721"/>
      <c r="L92" s="721"/>
      <c r="M92" s="721"/>
      <c r="N92" s="721"/>
      <c r="O92" s="721"/>
      <c r="P92" s="721"/>
    </row>
    <row r="93" spans="1:16" ht="15" hidden="1" customHeight="1">
      <c r="A93" s="906" t="s">
        <v>75</v>
      </c>
      <c r="C93" s="1073">
        <f>CALCULADORA_2021!AP11</f>
        <v>465.08671440000001</v>
      </c>
      <c r="D93" s="1082">
        <f t="shared" si="1"/>
        <v>465086.7144</v>
      </c>
      <c r="E93" s="723" t="s">
        <v>427</v>
      </c>
      <c r="F93" s="728"/>
      <c r="G93" s="723"/>
      <c r="J93" s="1311" t="s">
        <v>798</v>
      </c>
      <c r="K93" s="1311"/>
      <c r="L93" s="1311"/>
      <c r="M93" s="1311"/>
      <c r="N93" s="1311"/>
      <c r="O93" s="1311"/>
      <c r="P93" s="1311"/>
    </row>
    <row r="94" spans="1:16" hidden="1">
      <c r="A94" s="906" t="s">
        <v>75</v>
      </c>
      <c r="C94" s="1073">
        <f>CALCULADORA_2021!AQ11</f>
        <v>253.6836624</v>
      </c>
      <c r="D94" s="1082">
        <f t="shared" si="1"/>
        <v>253683.6624</v>
      </c>
      <c r="E94" s="723" t="s">
        <v>83</v>
      </c>
      <c r="F94" s="728"/>
      <c r="G94" s="723"/>
      <c r="J94" s="1306"/>
      <c r="K94" s="1306"/>
      <c r="L94" s="1306"/>
      <c r="M94" s="1306"/>
      <c r="N94" s="1306"/>
      <c r="O94" s="1306"/>
      <c r="P94" s="1306"/>
    </row>
    <row r="95" spans="1:16" hidden="1">
      <c r="A95" s="906" t="s">
        <v>75</v>
      </c>
      <c r="C95" s="1073">
        <f>CALCULADORA_2021!AR11</f>
        <v>4.22806104</v>
      </c>
      <c r="D95" s="1082">
        <f t="shared" si="1"/>
        <v>4228.0610400000005</v>
      </c>
      <c r="E95" s="723" t="s">
        <v>84</v>
      </c>
      <c r="F95" s="728"/>
      <c r="G95" s="723"/>
      <c r="J95" s="1312"/>
      <c r="K95" s="1312"/>
      <c r="L95" s="1312"/>
      <c r="M95" s="1312"/>
      <c r="N95" s="1312"/>
      <c r="O95" s="1312"/>
      <c r="P95" s="1312"/>
    </row>
    <row r="96" spans="1:16" hidden="1">
      <c r="A96" s="906" t="s">
        <v>75</v>
      </c>
      <c r="C96" s="1072">
        <f>CALCULADORA_2021!AS11</f>
        <v>0.62568000000000001</v>
      </c>
      <c r="D96" s="1082">
        <f t="shared" si="1"/>
        <v>625.68000000000006</v>
      </c>
      <c r="E96" s="727" t="s">
        <v>769</v>
      </c>
      <c r="F96" s="728"/>
      <c r="G96" s="723"/>
      <c r="J96" s="721" t="s">
        <v>799</v>
      </c>
      <c r="K96" s="721"/>
      <c r="L96" s="721"/>
      <c r="M96" s="721"/>
      <c r="N96" s="721"/>
      <c r="O96" s="721"/>
      <c r="P96" s="721"/>
    </row>
    <row r="97" spans="1:20" hidden="1">
      <c r="A97" s="906" t="s">
        <v>75</v>
      </c>
      <c r="C97" s="1063"/>
      <c r="D97" s="1082">
        <f t="shared" si="1"/>
        <v>0</v>
      </c>
    </row>
    <row r="98" spans="1:20" hidden="1">
      <c r="A98" s="906" t="s">
        <v>75</v>
      </c>
      <c r="C98" s="1063"/>
      <c r="D98" s="1082">
        <f t="shared" si="1"/>
        <v>0</v>
      </c>
      <c r="F98" s="520"/>
    </row>
    <row r="99" spans="1:20" ht="15" customHeight="1">
      <c r="A99" s="906" t="s">
        <v>75</v>
      </c>
      <c r="C99" s="1074">
        <f>CALCULADORA_2021!AU11</f>
        <v>105.07</v>
      </c>
      <c r="D99" s="1082">
        <f t="shared" si="1"/>
        <v>105070</v>
      </c>
      <c r="E99" s="739" t="s">
        <v>810</v>
      </c>
      <c r="F99" s="739"/>
      <c r="G99" s="739"/>
      <c r="I99" s="27" t="s">
        <v>1132</v>
      </c>
      <c r="J99" s="737" t="s">
        <v>1124</v>
      </c>
      <c r="K99" s="737"/>
      <c r="L99" s="737"/>
      <c r="M99" s="737"/>
      <c r="N99" s="737"/>
      <c r="O99" s="737"/>
      <c r="P99" s="737"/>
      <c r="R99" s="1306" t="s">
        <v>805</v>
      </c>
      <c r="S99" s="1306"/>
      <c r="T99" s="1306"/>
    </row>
    <row r="100" spans="1:20" ht="15" hidden="1" customHeight="1">
      <c r="A100" s="906" t="s">
        <v>75</v>
      </c>
      <c r="C100" s="1075">
        <f>CALCULADORA_2021!AV11</f>
        <v>71</v>
      </c>
      <c r="D100" s="1088"/>
      <c r="E100" s="1029" t="s">
        <v>1397</v>
      </c>
      <c r="F100" s="1029"/>
      <c r="G100" s="1029"/>
      <c r="I100" s="27" t="s">
        <v>1132</v>
      </c>
      <c r="J100" s="1031" t="s">
        <v>1124</v>
      </c>
      <c r="K100" s="1031"/>
      <c r="L100" s="1031"/>
      <c r="M100" s="1031"/>
      <c r="N100" s="1031"/>
      <c r="O100" s="1031"/>
      <c r="P100" s="1031"/>
      <c r="R100" s="1306"/>
      <c r="S100" s="1306"/>
      <c r="T100" s="1306"/>
    </row>
    <row r="101" spans="1:20" hidden="1">
      <c r="A101" s="906" t="s">
        <v>75</v>
      </c>
      <c r="C101" s="1076"/>
      <c r="D101" s="1089"/>
      <c r="R101" s="1306"/>
      <c r="S101" s="1306"/>
      <c r="T101" s="1306"/>
    </row>
    <row r="102" spans="1:20" ht="15" hidden="1" customHeight="1">
      <c r="A102" s="906" t="s">
        <v>75</v>
      </c>
      <c r="C102" s="1077"/>
      <c r="D102" s="1090"/>
      <c r="E102" s="731"/>
      <c r="F102" s="731"/>
      <c r="G102" s="731"/>
      <c r="R102" s="1306" t="s">
        <v>804</v>
      </c>
      <c r="S102" s="1306"/>
      <c r="T102" s="1306"/>
    </row>
    <row r="103" spans="1:20" hidden="1">
      <c r="A103" s="906" t="s">
        <v>75</v>
      </c>
      <c r="C103" s="1078">
        <f>CALCULADORA_2021!AX11</f>
        <v>43.779166666666669</v>
      </c>
      <c r="D103" s="1091"/>
      <c r="E103" s="733" t="s">
        <v>772</v>
      </c>
      <c r="F103" s="733"/>
      <c r="G103" s="733"/>
      <c r="J103" s="737" t="s">
        <v>771</v>
      </c>
      <c r="K103" s="737"/>
      <c r="L103" s="737"/>
      <c r="M103" s="737"/>
      <c r="N103" s="737"/>
      <c r="O103" s="737"/>
      <c r="P103" s="737"/>
      <c r="R103" s="1306"/>
      <c r="S103" s="1306"/>
      <c r="T103" s="1306"/>
    </row>
    <row r="104" spans="1:20" hidden="1">
      <c r="A104" s="906" t="s">
        <v>75</v>
      </c>
      <c r="C104" s="1079">
        <f>CALCULADORA_2021!AY11</f>
        <v>879.52345833333334</v>
      </c>
      <c r="D104" s="1092"/>
      <c r="E104" s="733" t="s">
        <v>773</v>
      </c>
      <c r="F104" s="733"/>
      <c r="G104" s="733"/>
    </row>
    <row r="105" spans="1:20" hidden="1">
      <c r="A105" s="906" t="s">
        <v>75</v>
      </c>
      <c r="C105" s="1079">
        <f>CALCULADORA_2021!BA11</f>
        <v>479.74006818181817</v>
      </c>
      <c r="D105" s="1092"/>
      <c r="E105" s="733" t="s">
        <v>774</v>
      </c>
      <c r="F105" s="733"/>
      <c r="G105" s="733"/>
    </row>
    <row r="106" spans="1:20" ht="15" hidden="1" customHeight="1">
      <c r="A106" s="906" t="s">
        <v>75</v>
      </c>
      <c r="C106" s="1080">
        <f>CALCULADORA_2021!BB11</f>
        <v>7.9956678030303028</v>
      </c>
      <c r="D106" s="1093"/>
      <c r="E106" s="733" t="s">
        <v>775</v>
      </c>
      <c r="F106" s="736"/>
      <c r="G106" s="733"/>
    </row>
    <row r="107" spans="1:20" ht="15" customHeight="1">
      <c r="A107" s="906"/>
      <c r="C107" s="691"/>
      <c r="D107" s="1094"/>
      <c r="F107" s="520"/>
    </row>
    <row r="108" spans="1:20" ht="15" hidden="1" customHeight="1">
      <c r="A108" s="906"/>
      <c r="C108" s="691"/>
      <c r="D108" s="1094"/>
      <c r="F108" s="520"/>
    </row>
    <row r="109" spans="1:20" ht="15" hidden="1" customHeight="1">
      <c r="A109" s="906"/>
      <c r="C109" s="691"/>
      <c r="D109" s="1094"/>
      <c r="F109" s="520"/>
    </row>
    <row r="110" spans="1:20" ht="15" hidden="1" customHeight="1">
      <c r="A110" s="906"/>
      <c r="C110" s="691"/>
      <c r="D110" s="1094"/>
      <c r="F110" s="520"/>
    </row>
    <row r="111" spans="1:20" ht="15" hidden="1" customHeight="1">
      <c r="A111" s="906"/>
      <c r="C111" s="691"/>
      <c r="D111" s="1094"/>
      <c r="F111" s="520"/>
    </row>
    <row r="112" spans="1:20" ht="15" hidden="1" customHeight="1">
      <c r="A112" s="906"/>
      <c r="C112" s="691"/>
      <c r="D112" s="1094"/>
      <c r="F112" s="520"/>
    </row>
    <row r="113" spans="1:20" ht="15" hidden="1" customHeight="1">
      <c r="A113" s="906"/>
      <c r="C113" s="691"/>
      <c r="D113" s="1094"/>
      <c r="F113" s="520"/>
    </row>
    <row r="114" spans="1:20" ht="15" hidden="1" customHeight="1">
      <c r="A114" s="906"/>
      <c r="C114" s="691"/>
      <c r="D114" s="1094"/>
      <c r="F114" s="520"/>
    </row>
    <row r="115" spans="1:20" hidden="1"/>
    <row r="116" spans="1:20" s="210" customFormat="1">
      <c r="A116" s="210" t="s">
        <v>776</v>
      </c>
      <c r="C116" s="690" t="s">
        <v>777</v>
      </c>
      <c r="D116" s="1081"/>
      <c r="J116" s="742" t="s">
        <v>758</v>
      </c>
      <c r="K116" s="742"/>
      <c r="L116" s="742"/>
      <c r="M116" s="742"/>
      <c r="N116" s="742"/>
      <c r="O116" s="742"/>
      <c r="P116" s="742"/>
      <c r="R116" s="742" t="s">
        <v>759</v>
      </c>
      <c r="S116" s="742"/>
      <c r="T116" s="742"/>
    </row>
    <row r="117" spans="1:20" hidden="1">
      <c r="A117" s="906" t="s">
        <v>53</v>
      </c>
      <c r="C117" s="880"/>
      <c r="D117" s="1095"/>
      <c r="E117" s="1307" t="s">
        <v>24</v>
      </c>
      <c r="F117" s="1307"/>
      <c r="G117" s="1307"/>
      <c r="J117" s="1308"/>
      <c r="K117" s="1308"/>
      <c r="L117" s="1308"/>
      <c r="M117" s="1308"/>
      <c r="N117" s="1308"/>
      <c r="O117" s="1308"/>
      <c r="P117" s="1308"/>
    </row>
    <row r="118" spans="1:20" hidden="1">
      <c r="A118" s="906" t="s">
        <v>53</v>
      </c>
      <c r="C118" s="881"/>
      <c r="D118" s="1096"/>
      <c r="E118" s="697"/>
      <c r="F118" s="697"/>
      <c r="G118" s="697"/>
      <c r="J118" s="1309"/>
      <c r="K118" s="1309"/>
      <c r="L118" s="1309"/>
      <c r="M118" s="1309"/>
      <c r="N118" s="1309"/>
      <c r="O118" s="1309"/>
      <c r="P118" s="1309"/>
    </row>
    <row r="119" spans="1:20" hidden="1">
      <c r="A119" s="906" t="s">
        <v>53</v>
      </c>
      <c r="C119" s="882"/>
      <c r="D119" s="1097"/>
      <c r="E119" s="695" t="s">
        <v>752</v>
      </c>
      <c r="F119" s="692"/>
      <c r="G119" s="694"/>
      <c r="J119" s="704" t="s">
        <v>760</v>
      </c>
      <c r="K119" s="704"/>
      <c r="L119" s="704"/>
      <c r="M119" s="704"/>
      <c r="N119" s="704"/>
      <c r="O119" s="704"/>
      <c r="P119" s="704"/>
    </row>
    <row r="120" spans="1:20" ht="15" hidden="1" customHeight="1">
      <c r="A120" s="906" t="s">
        <v>53</v>
      </c>
      <c r="B120" s="30"/>
      <c r="C120" s="882"/>
      <c r="D120" s="1097"/>
      <c r="E120" s="695" t="s">
        <v>417</v>
      </c>
      <c r="F120" s="694"/>
      <c r="G120" s="696"/>
      <c r="J120" s="704" t="s">
        <v>761</v>
      </c>
      <c r="K120" s="704"/>
      <c r="L120" s="704"/>
      <c r="M120" s="704"/>
      <c r="N120" s="704"/>
      <c r="O120" s="704"/>
      <c r="P120" s="704"/>
    </row>
    <row r="121" spans="1:20" hidden="1">
      <c r="A121" s="906" t="s">
        <v>53</v>
      </c>
      <c r="B121" s="30"/>
      <c r="C121" s="882"/>
      <c r="D121" s="1097"/>
      <c r="E121" s="695" t="s">
        <v>718</v>
      </c>
      <c r="F121" s="692"/>
      <c r="G121" s="694"/>
      <c r="J121" s="705" t="s">
        <v>783</v>
      </c>
      <c r="K121" s="706"/>
      <c r="L121" s="707"/>
      <c r="M121" s="704"/>
      <c r="N121" s="704"/>
      <c r="O121" s="704"/>
      <c r="P121" s="704"/>
    </row>
    <row r="122" spans="1:20" ht="15" hidden="1" customHeight="1">
      <c r="A122" s="906" t="s">
        <v>53</v>
      </c>
      <c r="B122" s="30"/>
      <c r="C122" s="883"/>
      <c r="D122" s="1098"/>
      <c r="E122" s="701" t="s">
        <v>784</v>
      </c>
      <c r="F122" s="693"/>
      <c r="G122" s="694"/>
      <c r="J122" s="705" t="s">
        <v>785</v>
      </c>
      <c r="K122" s="706"/>
      <c r="L122" s="706"/>
      <c r="M122" s="706"/>
      <c r="N122" s="706"/>
      <c r="O122" s="706"/>
      <c r="P122" s="707"/>
    </row>
    <row r="123" spans="1:20" ht="15" hidden="1" customHeight="1">
      <c r="A123" s="906" t="s">
        <v>53</v>
      </c>
      <c r="B123" s="30"/>
      <c r="C123" s="884"/>
      <c r="D123" s="1099"/>
      <c r="E123" s="702" t="s">
        <v>719</v>
      </c>
      <c r="F123" s="699"/>
      <c r="G123" s="700"/>
      <c r="J123" s="1308" t="s">
        <v>787</v>
      </c>
      <c r="K123" s="1308"/>
      <c r="L123" s="1308"/>
      <c r="M123" s="1308"/>
      <c r="N123" s="1308"/>
      <c r="O123" s="1308"/>
      <c r="P123" s="1308"/>
    </row>
    <row r="124" spans="1:20" ht="36" hidden="1" customHeight="1">
      <c r="A124" s="906" t="s">
        <v>53</v>
      </c>
      <c r="B124" s="30"/>
      <c r="C124" s="885"/>
      <c r="D124" s="1100"/>
      <c r="E124" s="698"/>
      <c r="F124" s="698"/>
      <c r="G124" s="698"/>
      <c r="H124" s="691"/>
      <c r="I124" s="691"/>
      <c r="J124" s="1309"/>
      <c r="K124" s="1309"/>
      <c r="L124" s="1309"/>
      <c r="M124" s="1309"/>
      <c r="N124" s="1309"/>
      <c r="O124" s="1309"/>
      <c r="P124" s="1309"/>
    </row>
    <row r="125" spans="1:20" ht="15" hidden="1" customHeight="1">
      <c r="A125" s="906" t="s">
        <v>53</v>
      </c>
      <c r="C125" s="886"/>
      <c r="D125" s="1101"/>
      <c r="E125" s="695" t="s">
        <v>821</v>
      </c>
      <c r="F125" s="693"/>
      <c r="G125" s="694"/>
    </row>
    <row r="126" spans="1:20" hidden="1">
      <c r="A126" s="906" t="s">
        <v>53</v>
      </c>
      <c r="C126" s="873"/>
      <c r="D126" s="132"/>
    </row>
    <row r="127" spans="1:20" hidden="1">
      <c r="A127" s="906" t="s">
        <v>53</v>
      </c>
      <c r="C127" s="869"/>
      <c r="D127" s="1102"/>
      <c r="E127" s="708" t="s">
        <v>419</v>
      </c>
      <c r="F127" s="708"/>
      <c r="G127" s="708"/>
      <c r="J127" s="711"/>
      <c r="K127" s="711"/>
      <c r="L127" s="711"/>
      <c r="M127" s="711"/>
      <c r="N127" s="711"/>
      <c r="O127" s="711"/>
      <c r="P127" s="711"/>
    </row>
    <row r="128" spans="1:20" hidden="1">
      <c r="A128" s="906" t="s">
        <v>53</v>
      </c>
      <c r="C128" s="869"/>
      <c r="D128" s="1102"/>
      <c r="E128" s="708" t="s">
        <v>362</v>
      </c>
      <c r="F128" s="708"/>
      <c r="G128" s="708"/>
      <c r="J128" s="712" t="s">
        <v>789</v>
      </c>
      <c r="K128" s="712"/>
      <c r="L128" s="712"/>
      <c r="M128" s="712"/>
      <c r="N128" s="712"/>
      <c r="O128" s="712"/>
      <c r="P128" s="712"/>
    </row>
    <row r="129" spans="1:16" hidden="1">
      <c r="A129" s="906" t="s">
        <v>53</v>
      </c>
      <c r="C129" s="870"/>
      <c r="D129" s="1103"/>
      <c r="E129" s="708" t="s">
        <v>720</v>
      </c>
      <c r="F129" s="708"/>
      <c r="G129" s="708"/>
      <c r="J129" s="712" t="s">
        <v>790</v>
      </c>
      <c r="K129" s="712"/>
      <c r="L129" s="712"/>
      <c r="M129" s="712"/>
      <c r="N129" s="712"/>
      <c r="O129" s="712"/>
      <c r="P129" s="712"/>
    </row>
    <row r="130" spans="1:16" ht="15" hidden="1" customHeight="1">
      <c r="A130" s="906" t="s">
        <v>53</v>
      </c>
      <c r="C130" s="871"/>
      <c r="D130" s="1104"/>
      <c r="E130" s="709" t="s">
        <v>363</v>
      </c>
      <c r="F130" s="710"/>
      <c r="G130" s="708"/>
      <c r="J130" s="712" t="s">
        <v>462</v>
      </c>
      <c r="K130" s="712"/>
      <c r="L130" s="712"/>
      <c r="M130" s="712"/>
      <c r="N130" s="712"/>
      <c r="O130" s="712"/>
      <c r="P130" s="712"/>
    </row>
    <row r="131" spans="1:16" ht="15" hidden="1" customHeight="1">
      <c r="A131" s="906" t="s">
        <v>53</v>
      </c>
      <c r="C131" s="871"/>
      <c r="D131" s="1104"/>
      <c r="E131" s="709" t="s">
        <v>432</v>
      </c>
      <c r="F131" s="710"/>
      <c r="G131" s="708"/>
      <c r="J131" s="712" t="s">
        <v>791</v>
      </c>
      <c r="K131" s="712"/>
      <c r="L131" s="712"/>
      <c r="M131" s="712"/>
      <c r="N131" s="712"/>
      <c r="O131" s="712"/>
      <c r="P131" s="712"/>
    </row>
    <row r="132" spans="1:16" ht="15" hidden="1" customHeight="1">
      <c r="A132" s="906" t="s">
        <v>53</v>
      </c>
      <c r="C132" s="871"/>
      <c r="D132" s="1104"/>
      <c r="E132" s="709" t="s">
        <v>431</v>
      </c>
      <c r="F132" s="710"/>
      <c r="G132" s="708"/>
      <c r="J132" s="712" t="s">
        <v>792</v>
      </c>
      <c r="K132" s="712"/>
      <c r="L132" s="712"/>
      <c r="M132" s="712"/>
      <c r="N132" s="712"/>
      <c r="O132" s="712"/>
      <c r="P132" s="712"/>
    </row>
    <row r="133" spans="1:16" ht="15" hidden="1" customHeight="1">
      <c r="A133" s="906" t="s">
        <v>53</v>
      </c>
      <c r="C133" s="871"/>
      <c r="D133" s="1104"/>
      <c r="E133" s="709" t="s">
        <v>721</v>
      </c>
      <c r="F133" s="710"/>
      <c r="G133" s="708"/>
      <c r="J133" s="712" t="s">
        <v>793</v>
      </c>
      <c r="K133" s="712"/>
      <c r="L133" s="712"/>
      <c r="M133" s="712"/>
      <c r="N133" s="712"/>
      <c r="O133" s="712"/>
      <c r="P133" s="712"/>
    </row>
    <row r="134" spans="1:16" hidden="1">
      <c r="A134" s="906" t="s">
        <v>53</v>
      </c>
      <c r="C134" s="872"/>
      <c r="D134" s="1105"/>
      <c r="E134" s="708" t="s">
        <v>420</v>
      </c>
      <c r="F134" s="710"/>
      <c r="G134" s="708"/>
      <c r="J134" s="712" t="s">
        <v>794</v>
      </c>
      <c r="K134" s="712"/>
      <c r="L134" s="712"/>
      <c r="M134" s="712"/>
      <c r="N134" s="712"/>
      <c r="O134" s="712"/>
      <c r="P134" s="712"/>
    </row>
    <row r="135" spans="1:16" hidden="1">
      <c r="A135" s="906" t="s">
        <v>53</v>
      </c>
      <c r="C135" s="872"/>
      <c r="D135" s="1105"/>
      <c r="E135" s="708" t="s">
        <v>421</v>
      </c>
      <c r="F135" s="710"/>
      <c r="G135" s="708"/>
      <c r="J135" s="712" t="s">
        <v>795</v>
      </c>
      <c r="K135" s="712"/>
      <c r="L135" s="712"/>
      <c r="M135" s="712"/>
      <c r="N135" s="712"/>
      <c r="O135" s="712"/>
      <c r="P135" s="712"/>
    </row>
    <row r="136" spans="1:16" hidden="1">
      <c r="A136" s="906" t="s">
        <v>53</v>
      </c>
      <c r="C136" s="873"/>
      <c r="D136" s="132"/>
      <c r="F136" s="520"/>
    </row>
    <row r="137" spans="1:16" hidden="1">
      <c r="A137" s="906" t="s">
        <v>53</v>
      </c>
      <c r="C137" s="874">
        <f>CALCULADORA_2021!Z13</f>
        <v>0.62241400000000002</v>
      </c>
      <c r="D137" s="1106"/>
      <c r="E137" s="716" t="s">
        <v>422</v>
      </c>
      <c r="F137" s="716"/>
      <c r="G137" s="716"/>
      <c r="J137" s="715" t="s">
        <v>390</v>
      </c>
      <c r="K137" s="715"/>
      <c r="L137" s="715"/>
      <c r="M137" s="715"/>
      <c r="N137" s="715"/>
      <c r="O137" s="715"/>
      <c r="P137" s="715"/>
    </row>
    <row r="138" spans="1:16" hidden="1">
      <c r="A138" s="906" t="s">
        <v>53</v>
      </c>
      <c r="C138" s="874">
        <f>CALCULADORA_2021!AB13</f>
        <v>1.6491719880236348E-6</v>
      </c>
      <c r="D138" s="1106"/>
      <c r="E138" s="716" t="s">
        <v>267</v>
      </c>
      <c r="F138" s="716"/>
      <c r="G138" s="716"/>
      <c r="J138" s="715" t="s">
        <v>852</v>
      </c>
      <c r="K138" s="715"/>
      <c r="L138" s="715"/>
      <c r="M138" s="715"/>
      <c r="N138" s="715"/>
      <c r="O138" s="715"/>
      <c r="P138" s="715"/>
    </row>
    <row r="139" spans="1:16" hidden="1">
      <c r="A139" s="906" t="s">
        <v>53</v>
      </c>
      <c r="C139" s="873"/>
      <c r="D139" s="132"/>
      <c r="F139" s="520"/>
    </row>
    <row r="140" spans="1:16">
      <c r="A140" s="906" t="s">
        <v>53</v>
      </c>
      <c r="C140" s="875">
        <f>CALCULADORA_2021!AF13</f>
        <v>0.43937500000000002</v>
      </c>
      <c r="D140" s="1082">
        <f t="shared" ref="D140:D171" si="2">C140*1000</f>
        <v>439.375</v>
      </c>
      <c r="E140" s="717" t="s">
        <v>796</v>
      </c>
      <c r="F140" s="717"/>
      <c r="G140" s="717"/>
      <c r="J140" s="718" t="s">
        <v>817</v>
      </c>
      <c r="K140" s="718"/>
      <c r="L140" s="718"/>
      <c r="M140" s="718"/>
      <c r="N140" s="718"/>
      <c r="O140" s="718"/>
      <c r="P140" s="718"/>
    </row>
    <row r="141" spans="1:16" hidden="1">
      <c r="A141" s="906" t="s">
        <v>53</v>
      </c>
      <c r="C141" s="875">
        <f>CALCULADORA_2021!AG13</f>
        <v>4.3937500000000004E-2</v>
      </c>
      <c r="D141" s="1082">
        <f t="shared" si="2"/>
        <v>43.937500000000007</v>
      </c>
      <c r="E141" s="717" t="s">
        <v>423</v>
      </c>
      <c r="F141" s="717"/>
      <c r="G141" s="717"/>
      <c r="J141" s="719" t="s">
        <v>764</v>
      </c>
      <c r="K141" s="719"/>
      <c r="L141" s="719"/>
      <c r="M141" s="719"/>
      <c r="N141" s="719"/>
      <c r="O141" s="719"/>
      <c r="P141" s="719"/>
    </row>
    <row r="142" spans="1:16" hidden="1">
      <c r="A142" s="906" t="s">
        <v>53</v>
      </c>
      <c r="C142" s="876">
        <f>CALCULADORA_2021!AH13</f>
        <v>4.3937500000000003E-7</v>
      </c>
      <c r="D142" s="1082">
        <f t="shared" si="2"/>
        <v>4.3937500000000004E-4</v>
      </c>
      <c r="E142" s="717" t="s">
        <v>424</v>
      </c>
      <c r="F142" s="717"/>
      <c r="G142" s="717"/>
      <c r="J142" s="719" t="s">
        <v>765</v>
      </c>
      <c r="K142" s="719"/>
      <c r="L142" s="719"/>
      <c r="M142" s="719"/>
      <c r="N142" s="719"/>
      <c r="O142" s="719"/>
      <c r="P142" s="719"/>
    </row>
    <row r="143" spans="1:16" hidden="1">
      <c r="A143" s="906" t="s">
        <v>53</v>
      </c>
      <c r="C143" s="876"/>
      <c r="D143" s="1082">
        <f t="shared" si="2"/>
        <v>0</v>
      </c>
      <c r="E143" s="717"/>
      <c r="F143" s="717"/>
      <c r="G143" s="717"/>
      <c r="J143" s="718"/>
      <c r="K143" s="719"/>
      <c r="L143" s="719"/>
      <c r="M143" s="719"/>
      <c r="N143" s="719"/>
      <c r="O143" s="719"/>
      <c r="P143" s="719"/>
    </row>
    <row r="144" spans="1:16" hidden="1">
      <c r="A144" s="906" t="s">
        <v>53</v>
      </c>
      <c r="C144" s="724">
        <f>CALCULADORA_2021!AJ13</f>
        <v>8.2140000000000005E-2</v>
      </c>
      <c r="D144" s="1082">
        <f t="shared" si="2"/>
        <v>82.14</v>
      </c>
      <c r="E144" s="723" t="s">
        <v>170</v>
      </c>
      <c r="F144" s="723"/>
      <c r="G144" s="723"/>
      <c r="J144" s="720" t="s">
        <v>808</v>
      </c>
      <c r="K144" s="720"/>
      <c r="L144" s="720"/>
      <c r="M144" s="720"/>
      <c r="N144" s="720"/>
      <c r="O144" s="720"/>
      <c r="P144" s="720"/>
    </row>
    <row r="145" spans="1:16" ht="15" customHeight="1">
      <c r="A145" s="906" t="s">
        <v>53</v>
      </c>
      <c r="C145" s="724">
        <f>CALCULADORA_2021!AL13</f>
        <v>15.391999999999999</v>
      </c>
      <c r="D145" s="1082">
        <f t="shared" si="2"/>
        <v>15392</v>
      </c>
      <c r="E145" s="723" t="s">
        <v>425</v>
      </c>
      <c r="F145" s="723"/>
      <c r="G145" s="723"/>
      <c r="J145" s="1311" t="s">
        <v>809</v>
      </c>
      <c r="K145" s="1311"/>
      <c r="L145" s="1311"/>
      <c r="M145" s="1311"/>
      <c r="N145" s="1311"/>
      <c r="O145" s="1311"/>
      <c r="P145" s="1311"/>
    </row>
    <row r="146" spans="1:16" hidden="1">
      <c r="A146" s="906" t="s">
        <v>53</v>
      </c>
      <c r="C146" s="724"/>
      <c r="D146" s="1082">
        <f t="shared" si="2"/>
        <v>0</v>
      </c>
      <c r="E146" s="723"/>
      <c r="F146" s="723"/>
      <c r="G146" s="723"/>
      <c r="J146" s="1312"/>
      <c r="K146" s="1312"/>
      <c r="L146" s="1312"/>
      <c r="M146" s="1312"/>
      <c r="N146" s="1312"/>
      <c r="O146" s="1312"/>
      <c r="P146" s="1312"/>
    </row>
    <row r="147" spans="1:16" hidden="1">
      <c r="A147" s="906" t="s">
        <v>53</v>
      </c>
      <c r="C147" s="724">
        <f>CALCULADORA_2021!AK13</f>
        <v>13.060260000000001</v>
      </c>
      <c r="D147" s="1082">
        <f t="shared" si="2"/>
        <v>13060.260000000002</v>
      </c>
      <c r="E147" s="723" t="s">
        <v>766</v>
      </c>
      <c r="F147" s="723"/>
      <c r="G147" s="723"/>
      <c r="J147" s="721" t="s">
        <v>778</v>
      </c>
      <c r="K147" s="721"/>
      <c r="L147" s="721"/>
      <c r="M147" s="721"/>
      <c r="N147" s="721"/>
      <c r="O147" s="721"/>
      <c r="P147" s="721"/>
    </row>
    <row r="148" spans="1:16" hidden="1">
      <c r="A148" s="906" t="s">
        <v>53</v>
      </c>
      <c r="C148" s="877">
        <f>CALCULADORA_2021!AN13</f>
        <v>5.4212400000000001</v>
      </c>
      <c r="D148" s="1082">
        <f t="shared" si="2"/>
        <v>5421.24</v>
      </c>
      <c r="E148" s="723" t="s">
        <v>426</v>
      </c>
      <c r="F148" s="723"/>
      <c r="G148" s="723"/>
      <c r="J148" s="721" t="s">
        <v>779</v>
      </c>
      <c r="K148" s="721"/>
      <c r="L148" s="721"/>
      <c r="M148" s="721"/>
      <c r="N148" s="721"/>
      <c r="O148" s="721"/>
      <c r="P148" s="721"/>
    </row>
    <row r="149" spans="1:16" ht="15" hidden="1" customHeight="1">
      <c r="A149" s="906" t="s">
        <v>53</v>
      </c>
      <c r="C149" s="878">
        <f>CALCULADORA_2021!AO13</f>
        <v>6.5301300000000003E-4</v>
      </c>
      <c r="D149" s="1082">
        <f t="shared" si="2"/>
        <v>0.65301300000000007</v>
      </c>
      <c r="E149" s="727" t="s">
        <v>767</v>
      </c>
      <c r="F149" s="728"/>
      <c r="G149" s="723"/>
      <c r="J149" s="721" t="s">
        <v>780</v>
      </c>
      <c r="K149" s="721"/>
      <c r="L149" s="721"/>
      <c r="M149" s="721"/>
      <c r="N149" s="721"/>
      <c r="O149" s="721"/>
      <c r="P149" s="721"/>
    </row>
    <row r="150" spans="1:16" ht="15" hidden="1" customHeight="1">
      <c r="A150" s="906" t="s">
        <v>53</v>
      </c>
      <c r="C150" s="879">
        <f>CALCULADORA_2021!AP13</f>
        <v>108.91271159999999</v>
      </c>
      <c r="D150" s="1082">
        <f t="shared" si="2"/>
        <v>108912.7116</v>
      </c>
      <c r="E150" s="723" t="s">
        <v>427</v>
      </c>
      <c r="F150" s="728"/>
      <c r="G150" s="723"/>
      <c r="J150" s="1311" t="s">
        <v>798</v>
      </c>
      <c r="K150" s="1311"/>
      <c r="L150" s="1311"/>
      <c r="M150" s="1311"/>
      <c r="N150" s="1311"/>
      <c r="O150" s="1311"/>
      <c r="P150" s="1311"/>
    </row>
    <row r="151" spans="1:16" hidden="1">
      <c r="A151" s="906" t="s">
        <v>53</v>
      </c>
      <c r="C151" s="879">
        <f>CALCULADORA_2021!AQ13</f>
        <v>59.406933599999995</v>
      </c>
      <c r="D151" s="1082">
        <f t="shared" si="2"/>
        <v>59406.933599999997</v>
      </c>
      <c r="E151" s="723" t="s">
        <v>83</v>
      </c>
      <c r="F151" s="728"/>
      <c r="G151" s="723"/>
      <c r="J151" s="1306"/>
      <c r="K151" s="1306"/>
      <c r="L151" s="1306"/>
      <c r="M151" s="1306"/>
      <c r="N151" s="1306"/>
      <c r="O151" s="1306"/>
      <c r="P151" s="1306"/>
    </row>
    <row r="152" spans="1:16" hidden="1">
      <c r="A152" s="906" t="s">
        <v>53</v>
      </c>
      <c r="C152" s="879">
        <f>CALCULADORA_2021!AR13</f>
        <v>0.99011555999999989</v>
      </c>
      <c r="D152" s="1082">
        <f t="shared" si="2"/>
        <v>990.11555999999985</v>
      </c>
      <c r="E152" s="723" t="s">
        <v>84</v>
      </c>
      <c r="F152" s="728"/>
      <c r="G152" s="723"/>
      <c r="J152" s="1312"/>
      <c r="K152" s="1312"/>
      <c r="L152" s="1312"/>
      <c r="M152" s="1312"/>
      <c r="N152" s="1312"/>
      <c r="O152" s="1312"/>
      <c r="P152" s="1312"/>
    </row>
    <row r="153" spans="1:16" hidden="1">
      <c r="A153" s="906" t="s">
        <v>53</v>
      </c>
      <c r="C153" s="878">
        <f>CALCULADORA_2021!AS13</f>
        <v>0.14652000000000001</v>
      </c>
      <c r="D153" s="1082">
        <f t="shared" si="2"/>
        <v>146.52000000000001</v>
      </c>
      <c r="E153" s="727" t="s">
        <v>769</v>
      </c>
      <c r="F153" s="728"/>
      <c r="G153" s="723"/>
      <c r="J153" s="721" t="s">
        <v>799</v>
      </c>
      <c r="K153" s="721"/>
      <c r="L153" s="721"/>
      <c r="M153" s="721"/>
      <c r="N153" s="721"/>
      <c r="O153" s="721"/>
      <c r="P153" s="721"/>
    </row>
    <row r="154" spans="1:16" hidden="1">
      <c r="A154" s="906" t="s">
        <v>53</v>
      </c>
      <c r="C154" s="873"/>
      <c r="D154" s="1082">
        <f t="shared" si="2"/>
        <v>0</v>
      </c>
    </row>
    <row r="155" spans="1:16" hidden="1">
      <c r="A155" s="906" t="s">
        <v>53</v>
      </c>
      <c r="C155" s="873"/>
      <c r="D155" s="1082">
        <f t="shared" si="2"/>
        <v>0</v>
      </c>
      <c r="F155" s="520"/>
    </row>
    <row r="156" spans="1:16" ht="15" customHeight="1">
      <c r="A156" s="906" t="s">
        <v>53</v>
      </c>
      <c r="C156" s="738">
        <f>CALCULADORA_2021!AU13</f>
        <v>23.939</v>
      </c>
      <c r="D156" s="1082">
        <f t="shared" si="2"/>
        <v>23939</v>
      </c>
      <c r="E156" s="739" t="s">
        <v>810</v>
      </c>
      <c r="F156" s="739"/>
      <c r="G156" s="739"/>
      <c r="I156" s="27" t="s">
        <v>1133</v>
      </c>
      <c r="J156" s="1306" t="s">
        <v>1126</v>
      </c>
      <c r="K156" s="1306"/>
      <c r="L156" s="1306"/>
      <c r="M156" s="1306"/>
      <c r="N156" s="1306"/>
      <c r="O156" s="1306"/>
      <c r="P156" s="1306"/>
    </row>
    <row r="157" spans="1:16" ht="15" hidden="1" customHeight="1">
      <c r="A157" s="906" t="s">
        <v>53</v>
      </c>
      <c r="C157" s="1028">
        <f>CALCULADORA_2021!AV13</f>
        <v>87</v>
      </c>
      <c r="D157" s="1082">
        <f t="shared" si="2"/>
        <v>87000</v>
      </c>
      <c r="E157" s="1029" t="s">
        <v>1397</v>
      </c>
      <c r="F157" s="1029"/>
      <c r="G157" s="1029"/>
      <c r="I157" s="27" t="s">
        <v>1133</v>
      </c>
      <c r="J157" s="1306"/>
      <c r="K157" s="1306"/>
      <c r="L157" s="1306"/>
      <c r="M157" s="1306"/>
      <c r="N157" s="1306"/>
      <c r="O157" s="1306"/>
      <c r="P157" s="1306"/>
    </row>
    <row r="158" spans="1:16" hidden="1">
      <c r="A158" s="906" t="s">
        <v>53</v>
      </c>
      <c r="C158" s="730"/>
      <c r="D158" s="1082">
        <f t="shared" si="2"/>
        <v>0</v>
      </c>
      <c r="E158" s="731"/>
      <c r="F158" s="731"/>
      <c r="G158" s="731"/>
      <c r="J158" s="1314"/>
      <c r="K158" s="1314"/>
      <c r="L158" s="1314"/>
      <c r="M158" s="1314"/>
      <c r="N158" s="1314"/>
      <c r="O158" s="1314"/>
      <c r="P158" s="1314"/>
    </row>
    <row r="159" spans="1:16" hidden="1">
      <c r="A159" s="906" t="s">
        <v>53</v>
      </c>
      <c r="C159" s="732">
        <f>CALCULADORA_2021!AX13</f>
        <v>9.9745833333333334</v>
      </c>
      <c r="D159" s="1082">
        <f t="shared" si="2"/>
        <v>9974.5833333333339</v>
      </c>
      <c r="E159" s="733" t="s">
        <v>772</v>
      </c>
      <c r="F159" s="733"/>
      <c r="G159" s="733"/>
      <c r="J159" s="737" t="s">
        <v>771</v>
      </c>
      <c r="K159" s="737"/>
      <c r="L159" s="737"/>
      <c r="M159" s="737"/>
      <c r="N159" s="737"/>
      <c r="O159" s="737"/>
      <c r="P159" s="737"/>
    </row>
    <row r="160" spans="1:16" hidden="1">
      <c r="A160" s="906" t="s">
        <v>53</v>
      </c>
      <c r="C160" s="734">
        <f>CALCULADORA_2021!AY13</f>
        <v>200.38937916666666</v>
      </c>
      <c r="D160" s="1082">
        <f t="shared" si="2"/>
        <v>200389.37916666665</v>
      </c>
      <c r="E160" s="733" t="s">
        <v>773</v>
      </c>
      <c r="F160" s="733"/>
      <c r="G160" s="733"/>
    </row>
    <row r="161" spans="1:20" hidden="1">
      <c r="A161" s="906" t="s">
        <v>53</v>
      </c>
      <c r="C161" s="734">
        <f>CALCULADORA_2021!BA13</f>
        <v>109.30329772727274</v>
      </c>
      <c r="D161" s="1082">
        <f t="shared" si="2"/>
        <v>109303.29772727273</v>
      </c>
      <c r="E161" s="733" t="s">
        <v>774</v>
      </c>
      <c r="F161" s="733"/>
      <c r="G161" s="733"/>
    </row>
    <row r="162" spans="1:20" ht="15" hidden="1" customHeight="1">
      <c r="A162" s="906" t="s">
        <v>53</v>
      </c>
      <c r="C162" s="735">
        <f>CALCULADORA_2021!BB13</f>
        <v>1.821721628787879</v>
      </c>
      <c r="D162" s="1082">
        <f t="shared" si="2"/>
        <v>1821.7216287878791</v>
      </c>
      <c r="E162" s="733" t="s">
        <v>775</v>
      </c>
      <c r="F162" s="736"/>
      <c r="G162" s="733"/>
    </row>
    <row r="163" spans="1:20" hidden="1">
      <c r="D163" s="1082">
        <f t="shared" si="2"/>
        <v>0</v>
      </c>
    </row>
    <row r="164" spans="1:20" hidden="1">
      <c r="D164" s="1082">
        <f t="shared" si="2"/>
        <v>0</v>
      </c>
    </row>
    <row r="165" spans="1:20" hidden="1">
      <c r="D165" s="1082">
        <f t="shared" si="2"/>
        <v>0</v>
      </c>
    </row>
    <row r="166" spans="1:20" hidden="1">
      <c r="D166" s="1082">
        <f t="shared" si="2"/>
        <v>0</v>
      </c>
    </row>
    <row r="167" spans="1:20" hidden="1">
      <c r="D167" s="1082">
        <f t="shared" si="2"/>
        <v>0</v>
      </c>
    </row>
    <row r="168" spans="1:20" hidden="1">
      <c r="D168" s="1082">
        <f t="shared" si="2"/>
        <v>0</v>
      </c>
    </row>
    <row r="169" spans="1:20" hidden="1">
      <c r="D169" s="1082">
        <f t="shared" si="2"/>
        <v>0</v>
      </c>
    </row>
    <row r="170" spans="1:20" hidden="1">
      <c r="D170" s="1082">
        <f t="shared" si="2"/>
        <v>0</v>
      </c>
    </row>
    <row r="171" spans="1:20" hidden="1">
      <c r="D171" s="1082">
        <f t="shared" si="2"/>
        <v>0</v>
      </c>
    </row>
    <row r="173" spans="1:20" s="210" customFormat="1">
      <c r="A173" s="210" t="s">
        <v>776</v>
      </c>
      <c r="C173" s="690" t="s">
        <v>777</v>
      </c>
      <c r="D173" s="1081"/>
      <c r="J173" s="742" t="s">
        <v>758</v>
      </c>
      <c r="K173" s="742"/>
      <c r="L173" s="742"/>
      <c r="M173" s="742"/>
      <c r="N173" s="742"/>
      <c r="O173" s="742"/>
      <c r="P173" s="742"/>
      <c r="R173" s="742" t="s">
        <v>759</v>
      </c>
      <c r="S173" s="742"/>
      <c r="T173" s="742"/>
    </row>
    <row r="174" spans="1:20" ht="15" customHeight="1">
      <c r="A174" s="906" t="s">
        <v>812</v>
      </c>
      <c r="C174" s="880">
        <f>CALCULADORA_2021!E15</f>
        <v>0</v>
      </c>
      <c r="D174" s="1082">
        <f t="shared" ref="D174:D222" si="3">C174*1000</f>
        <v>0</v>
      </c>
      <c r="E174" s="1307" t="s">
        <v>24</v>
      </c>
      <c r="F174" s="1307"/>
      <c r="G174" s="1307"/>
      <c r="J174" s="1308" t="s">
        <v>815</v>
      </c>
      <c r="K174" s="1308"/>
      <c r="L174" s="1308"/>
      <c r="M174" s="1308"/>
      <c r="N174" s="1308"/>
      <c r="O174" s="1308"/>
      <c r="P174" s="1308"/>
    </row>
    <row r="175" spans="1:20" hidden="1">
      <c r="A175" s="906" t="s">
        <v>812</v>
      </c>
      <c r="C175" s="881"/>
      <c r="D175" s="1082">
        <f t="shared" si="3"/>
        <v>0</v>
      </c>
      <c r="E175" s="697"/>
      <c r="F175" s="697"/>
      <c r="G175" s="697"/>
      <c r="J175" s="1309"/>
      <c r="K175" s="1309"/>
      <c r="L175" s="1309"/>
      <c r="M175" s="1309"/>
      <c r="N175" s="1309"/>
      <c r="O175" s="1309"/>
      <c r="P175" s="1309"/>
    </row>
    <row r="176" spans="1:20" hidden="1">
      <c r="A176" s="906" t="s">
        <v>812</v>
      </c>
      <c r="C176" s="882">
        <f>CALCULADORA_2021!F15</f>
        <v>0</v>
      </c>
      <c r="D176" s="1082">
        <f t="shared" si="3"/>
        <v>0</v>
      </c>
      <c r="E176" s="695" t="s">
        <v>752</v>
      </c>
      <c r="F176" s="692"/>
      <c r="G176" s="694"/>
      <c r="J176" s="704" t="s">
        <v>760</v>
      </c>
      <c r="K176" s="704"/>
      <c r="L176" s="704"/>
      <c r="M176" s="704"/>
      <c r="N176" s="704"/>
      <c r="O176" s="704"/>
      <c r="P176" s="704"/>
    </row>
    <row r="177" spans="1:16" ht="15" hidden="1" customHeight="1">
      <c r="A177" s="906" t="s">
        <v>812</v>
      </c>
      <c r="B177" s="30"/>
      <c r="C177" s="882">
        <f>CALCULADORA_2021!G15</f>
        <v>0</v>
      </c>
      <c r="D177" s="1082">
        <f t="shared" si="3"/>
        <v>0</v>
      </c>
      <c r="E177" s="695" t="s">
        <v>417</v>
      </c>
      <c r="F177" s="694"/>
      <c r="G177" s="696"/>
      <c r="J177" s="704" t="s">
        <v>761</v>
      </c>
      <c r="K177" s="704"/>
      <c r="L177" s="704"/>
      <c r="M177" s="704"/>
      <c r="N177" s="704"/>
      <c r="O177" s="704"/>
      <c r="P177" s="704"/>
    </row>
    <row r="178" spans="1:16" hidden="1">
      <c r="A178" s="906" t="s">
        <v>812</v>
      </c>
      <c r="B178" s="30"/>
      <c r="C178" s="882">
        <f>CALCULADORA_2021!H15</f>
        <v>0</v>
      </c>
      <c r="D178" s="1082">
        <f t="shared" si="3"/>
        <v>0</v>
      </c>
      <c r="E178" s="695" t="s">
        <v>718</v>
      </c>
      <c r="F178" s="692"/>
      <c r="G178" s="694"/>
      <c r="J178" s="705" t="s">
        <v>783</v>
      </c>
      <c r="K178" s="706"/>
      <c r="L178" s="707"/>
      <c r="M178" s="704"/>
      <c r="N178" s="704"/>
      <c r="O178" s="704"/>
      <c r="P178" s="704"/>
    </row>
    <row r="179" spans="1:16" ht="15" hidden="1" customHeight="1">
      <c r="A179" s="906" t="s">
        <v>812</v>
      </c>
      <c r="B179" s="30"/>
      <c r="C179" s="883">
        <f>CALCULADORA_2021!J15</f>
        <v>0</v>
      </c>
      <c r="D179" s="1082">
        <f t="shared" si="3"/>
        <v>0</v>
      </c>
      <c r="E179" s="701" t="s">
        <v>784</v>
      </c>
      <c r="F179" s="693"/>
      <c r="G179" s="694"/>
      <c r="J179" s="705" t="s">
        <v>785</v>
      </c>
      <c r="K179" s="706"/>
      <c r="L179" s="706"/>
      <c r="M179" s="706"/>
      <c r="N179" s="706"/>
      <c r="O179" s="706"/>
      <c r="P179" s="707"/>
    </row>
    <row r="180" spans="1:16" ht="15" hidden="1" customHeight="1">
      <c r="A180" s="906" t="s">
        <v>812</v>
      </c>
      <c r="B180" s="30"/>
      <c r="C180" s="884">
        <f>CALCULADORA_2021!K15</f>
        <v>0</v>
      </c>
      <c r="D180" s="1082">
        <f t="shared" si="3"/>
        <v>0</v>
      </c>
      <c r="E180" s="702" t="s">
        <v>719</v>
      </c>
      <c r="F180" s="699"/>
      <c r="G180" s="700"/>
      <c r="J180" s="1308" t="s">
        <v>787</v>
      </c>
      <c r="K180" s="1308"/>
      <c r="L180" s="1308"/>
      <c r="M180" s="1308"/>
      <c r="N180" s="1308"/>
      <c r="O180" s="1308"/>
      <c r="P180" s="1308"/>
    </row>
    <row r="181" spans="1:16" ht="36" hidden="1" customHeight="1">
      <c r="A181" s="906" t="s">
        <v>812</v>
      </c>
      <c r="B181" s="30"/>
      <c r="C181" s="885"/>
      <c r="D181" s="1082">
        <f t="shared" si="3"/>
        <v>0</v>
      </c>
      <c r="E181" s="698"/>
      <c r="F181" s="698"/>
      <c r="G181" s="698"/>
      <c r="H181" s="691"/>
      <c r="I181" s="691"/>
      <c r="J181" s="1309"/>
      <c r="K181" s="1309"/>
      <c r="L181" s="1309"/>
      <c r="M181" s="1309"/>
      <c r="N181" s="1309"/>
      <c r="O181" s="1309"/>
      <c r="P181" s="1309"/>
    </row>
    <row r="182" spans="1:16" ht="15" hidden="1" customHeight="1">
      <c r="A182" s="906" t="s">
        <v>812</v>
      </c>
      <c r="C182" s="886">
        <f>CALCULADORA_2021!L15</f>
        <v>88</v>
      </c>
      <c r="D182" s="1082">
        <f t="shared" si="3"/>
        <v>88000</v>
      </c>
      <c r="E182" s="695" t="s">
        <v>822</v>
      </c>
      <c r="F182" s="693"/>
      <c r="G182" s="694"/>
      <c r="J182" s="705" t="s">
        <v>806</v>
      </c>
      <c r="K182" s="706"/>
      <c r="L182" s="706"/>
      <c r="M182" s="706"/>
      <c r="N182" s="706"/>
      <c r="O182" s="706"/>
      <c r="P182" s="707"/>
    </row>
    <row r="183" spans="1:16" hidden="1">
      <c r="A183" s="906" t="s">
        <v>812</v>
      </c>
      <c r="C183" s="873"/>
      <c r="D183" s="1082">
        <f t="shared" si="3"/>
        <v>0</v>
      </c>
    </row>
    <row r="184" spans="1:16">
      <c r="A184" s="906" t="s">
        <v>812</v>
      </c>
      <c r="C184" s="869">
        <f>CALCULADORA_2021!N15</f>
        <v>0</v>
      </c>
      <c r="D184" s="1082">
        <f t="shared" si="3"/>
        <v>0</v>
      </c>
      <c r="E184" s="708" t="s">
        <v>419</v>
      </c>
      <c r="F184" s="708"/>
      <c r="G184" s="708"/>
      <c r="J184" s="711" t="s">
        <v>816</v>
      </c>
      <c r="K184" s="711"/>
      <c r="L184" s="711"/>
      <c r="M184" s="711"/>
      <c r="N184" s="711"/>
      <c r="O184" s="711"/>
      <c r="P184" s="711"/>
    </row>
    <row r="185" spans="1:16" hidden="1">
      <c r="A185" s="906" t="s">
        <v>812</v>
      </c>
      <c r="C185" s="869">
        <f>CALCULADORA_2021!P15</f>
        <v>0</v>
      </c>
      <c r="D185" s="1082">
        <f t="shared" si="3"/>
        <v>0</v>
      </c>
      <c r="E185" s="708" t="s">
        <v>362</v>
      </c>
      <c r="F185" s="708"/>
      <c r="G185" s="708"/>
      <c r="J185" s="712" t="s">
        <v>789</v>
      </c>
      <c r="K185" s="712"/>
      <c r="L185" s="712"/>
      <c r="M185" s="712"/>
      <c r="N185" s="712"/>
      <c r="O185" s="712"/>
      <c r="P185" s="712"/>
    </row>
    <row r="186" spans="1:16" hidden="1">
      <c r="A186" s="906" t="s">
        <v>812</v>
      </c>
      <c r="C186" s="870">
        <f>CALCULADORA_2021!Q15</f>
        <v>0</v>
      </c>
      <c r="D186" s="1082">
        <f t="shared" si="3"/>
        <v>0</v>
      </c>
      <c r="E186" s="708" t="s">
        <v>720</v>
      </c>
      <c r="F186" s="708"/>
      <c r="G186" s="708"/>
      <c r="J186" s="712" t="s">
        <v>790</v>
      </c>
      <c r="K186" s="712"/>
      <c r="L186" s="712"/>
      <c r="M186" s="712"/>
      <c r="N186" s="712"/>
      <c r="O186" s="712"/>
      <c r="P186" s="712"/>
    </row>
    <row r="187" spans="1:16" ht="15" hidden="1" customHeight="1">
      <c r="A187" s="906" t="s">
        <v>812</v>
      </c>
      <c r="C187" s="871">
        <f>CALCULADORA_2021!R15</f>
        <v>0</v>
      </c>
      <c r="D187" s="1082">
        <f t="shared" si="3"/>
        <v>0</v>
      </c>
      <c r="E187" s="709" t="s">
        <v>363</v>
      </c>
      <c r="F187" s="710"/>
      <c r="G187" s="708"/>
      <c r="J187" s="712" t="s">
        <v>462</v>
      </c>
      <c r="K187" s="712"/>
      <c r="L187" s="712"/>
      <c r="M187" s="712"/>
      <c r="N187" s="712"/>
      <c r="O187" s="712"/>
      <c r="P187" s="712"/>
    </row>
    <row r="188" spans="1:16" ht="15" hidden="1" customHeight="1">
      <c r="A188" s="906" t="s">
        <v>812</v>
      </c>
      <c r="C188" s="871">
        <f>CALCULADORA_2021!S15</f>
        <v>0</v>
      </c>
      <c r="D188" s="1082">
        <f t="shared" si="3"/>
        <v>0</v>
      </c>
      <c r="E188" s="709" t="s">
        <v>432</v>
      </c>
      <c r="F188" s="710"/>
      <c r="G188" s="708"/>
      <c r="J188" s="712" t="s">
        <v>791</v>
      </c>
      <c r="K188" s="712"/>
      <c r="L188" s="712"/>
      <c r="M188" s="712"/>
      <c r="N188" s="712"/>
      <c r="O188" s="712"/>
      <c r="P188" s="712"/>
    </row>
    <row r="189" spans="1:16" ht="15" hidden="1" customHeight="1">
      <c r="A189" s="906" t="s">
        <v>812</v>
      </c>
      <c r="C189" s="871">
        <f>CALCULADORA_2021!T15</f>
        <v>0</v>
      </c>
      <c r="D189" s="1082">
        <f t="shared" si="3"/>
        <v>0</v>
      </c>
      <c r="E189" s="709" t="s">
        <v>431</v>
      </c>
      <c r="F189" s="710"/>
      <c r="G189" s="708"/>
      <c r="J189" s="712" t="s">
        <v>792</v>
      </c>
      <c r="K189" s="712"/>
      <c r="L189" s="712"/>
      <c r="M189" s="712"/>
      <c r="N189" s="712"/>
      <c r="O189" s="712"/>
      <c r="P189" s="712"/>
    </row>
    <row r="190" spans="1:16" ht="15" hidden="1" customHeight="1">
      <c r="A190" s="906" t="s">
        <v>812</v>
      </c>
      <c r="C190" s="871">
        <f>CALCULADORA_2021!U15</f>
        <v>0</v>
      </c>
      <c r="D190" s="1082">
        <f t="shared" si="3"/>
        <v>0</v>
      </c>
      <c r="E190" s="709" t="s">
        <v>721</v>
      </c>
      <c r="F190" s="710"/>
      <c r="G190" s="708"/>
      <c r="J190" s="712" t="s">
        <v>793</v>
      </c>
      <c r="K190" s="712"/>
      <c r="L190" s="712"/>
      <c r="M190" s="712"/>
      <c r="N190" s="712"/>
      <c r="O190" s="712"/>
      <c r="P190" s="712"/>
    </row>
    <row r="191" spans="1:16" hidden="1">
      <c r="A191" s="906" t="s">
        <v>812</v>
      </c>
      <c r="C191" s="872">
        <f>CALCULADORA_2021!V15</f>
        <v>0</v>
      </c>
      <c r="D191" s="1082">
        <f t="shared" si="3"/>
        <v>0</v>
      </c>
      <c r="E191" s="708" t="s">
        <v>420</v>
      </c>
      <c r="F191" s="710"/>
      <c r="G191" s="708"/>
      <c r="J191" s="712" t="s">
        <v>794</v>
      </c>
      <c r="K191" s="712"/>
      <c r="L191" s="712"/>
      <c r="M191" s="712"/>
      <c r="N191" s="712"/>
      <c r="O191" s="712"/>
      <c r="P191" s="712"/>
    </row>
    <row r="192" spans="1:16" hidden="1">
      <c r="A192" s="906" t="s">
        <v>812</v>
      </c>
      <c r="C192" s="872">
        <f>CALCULADORA_2021!X15</f>
        <v>0</v>
      </c>
      <c r="D192" s="1082">
        <f t="shared" si="3"/>
        <v>0</v>
      </c>
      <c r="E192" s="708" t="s">
        <v>421</v>
      </c>
      <c r="F192" s="710"/>
      <c r="G192" s="708"/>
      <c r="J192" s="712" t="s">
        <v>795</v>
      </c>
      <c r="K192" s="712"/>
      <c r="L192" s="712"/>
      <c r="M192" s="712"/>
      <c r="N192" s="712"/>
      <c r="O192" s="712"/>
      <c r="P192" s="712"/>
    </row>
    <row r="193" spans="1:16" hidden="1">
      <c r="A193" s="906" t="s">
        <v>812</v>
      </c>
      <c r="C193" s="873"/>
      <c r="D193" s="1082">
        <f t="shared" si="3"/>
        <v>0</v>
      </c>
      <c r="F193" s="520"/>
    </row>
    <row r="194" spans="1:16" hidden="1">
      <c r="A194" s="906" t="s">
        <v>812</v>
      </c>
      <c r="C194" s="874">
        <f>CALCULADORA_2021!Z15</f>
        <v>0</v>
      </c>
      <c r="D194" s="1082">
        <f t="shared" si="3"/>
        <v>0</v>
      </c>
      <c r="E194" s="716" t="s">
        <v>422</v>
      </c>
      <c r="F194" s="716"/>
      <c r="G194" s="716"/>
      <c r="J194" s="715" t="s">
        <v>390</v>
      </c>
      <c r="K194" s="715"/>
      <c r="L194" s="715"/>
      <c r="M194" s="715"/>
      <c r="N194" s="715"/>
      <c r="O194" s="715"/>
      <c r="P194" s="715"/>
    </row>
    <row r="195" spans="1:16" hidden="1">
      <c r="A195" s="906" t="s">
        <v>812</v>
      </c>
      <c r="C195" s="874">
        <f>CALCULADORA_2021!AB15</f>
        <v>0</v>
      </c>
      <c r="D195" s="1082">
        <f t="shared" si="3"/>
        <v>0</v>
      </c>
      <c r="E195" s="716" t="s">
        <v>267</v>
      </c>
      <c r="F195" s="716"/>
      <c r="G195" s="716"/>
      <c r="J195" s="715" t="s">
        <v>852</v>
      </c>
      <c r="K195" s="715"/>
      <c r="L195" s="715"/>
      <c r="M195" s="715"/>
      <c r="N195" s="715"/>
      <c r="O195" s="715"/>
      <c r="P195" s="715"/>
    </row>
    <row r="196" spans="1:16" hidden="1">
      <c r="A196" s="906"/>
      <c r="C196" s="873"/>
      <c r="D196" s="1082">
        <f t="shared" si="3"/>
        <v>0</v>
      </c>
      <c r="F196" s="520"/>
    </row>
    <row r="197" spans="1:16">
      <c r="A197" s="906" t="s">
        <v>76</v>
      </c>
      <c r="C197" s="875">
        <f>CALCULADORA_2021!AF15</f>
        <v>0</v>
      </c>
      <c r="D197" s="1082">
        <f t="shared" si="3"/>
        <v>0</v>
      </c>
      <c r="E197" s="717" t="s">
        <v>796</v>
      </c>
      <c r="F197" s="717"/>
      <c r="G197" s="717"/>
      <c r="J197" s="718" t="s">
        <v>814</v>
      </c>
      <c r="K197" s="718"/>
      <c r="L197" s="718"/>
      <c r="M197" s="718"/>
      <c r="N197" s="718"/>
      <c r="O197" s="718"/>
      <c r="P197" s="718"/>
    </row>
    <row r="198" spans="1:16" hidden="1">
      <c r="A198" s="906" t="s">
        <v>76</v>
      </c>
      <c r="C198" s="875">
        <f>CALCULADORA_2021!AG15</f>
        <v>0</v>
      </c>
      <c r="D198" s="1082">
        <f t="shared" si="3"/>
        <v>0</v>
      </c>
      <c r="E198" s="717" t="s">
        <v>423</v>
      </c>
      <c r="F198" s="717"/>
      <c r="G198" s="717"/>
      <c r="J198" s="719" t="s">
        <v>764</v>
      </c>
      <c r="K198" s="719"/>
      <c r="L198" s="719"/>
      <c r="M198" s="719"/>
      <c r="N198" s="719"/>
      <c r="O198" s="719"/>
      <c r="P198" s="719"/>
    </row>
    <row r="199" spans="1:16" hidden="1">
      <c r="A199" s="906" t="s">
        <v>76</v>
      </c>
      <c r="C199" s="876">
        <f>CALCULADORA_2021!AH15</f>
        <v>0</v>
      </c>
      <c r="D199" s="1082">
        <f t="shared" si="3"/>
        <v>0</v>
      </c>
      <c r="E199" s="717" t="s">
        <v>424</v>
      </c>
      <c r="F199" s="717"/>
      <c r="G199" s="717"/>
      <c r="J199" s="719" t="s">
        <v>765</v>
      </c>
      <c r="K199" s="719"/>
      <c r="L199" s="719"/>
      <c r="M199" s="719"/>
      <c r="N199" s="719"/>
      <c r="O199" s="719"/>
      <c r="P199" s="719"/>
    </row>
    <row r="200" spans="1:16" hidden="1">
      <c r="A200" s="906"/>
      <c r="C200" s="876"/>
      <c r="D200" s="1082">
        <f t="shared" si="3"/>
        <v>0</v>
      </c>
      <c r="E200" s="717"/>
      <c r="F200" s="717"/>
      <c r="G200" s="717"/>
      <c r="J200" s="718"/>
      <c r="K200" s="719"/>
      <c r="L200" s="719"/>
      <c r="M200" s="719"/>
      <c r="N200" s="719"/>
      <c r="O200" s="719"/>
      <c r="P200" s="719"/>
    </row>
    <row r="201" spans="1:16" hidden="1">
      <c r="A201" s="906" t="s">
        <v>237</v>
      </c>
      <c r="C201" s="875">
        <f>CALCULADORA_2021!AF14</f>
        <v>0.29304000000000002</v>
      </c>
      <c r="D201" s="1082">
        <f t="shared" si="3"/>
        <v>293.04000000000002</v>
      </c>
      <c r="E201" s="717" t="s">
        <v>796</v>
      </c>
      <c r="F201" s="717"/>
      <c r="G201" s="717"/>
      <c r="J201" s="718" t="s">
        <v>813</v>
      </c>
      <c r="K201" s="719"/>
      <c r="L201" s="719"/>
      <c r="M201" s="719"/>
      <c r="N201" s="719"/>
      <c r="O201" s="719"/>
      <c r="P201" s="719"/>
    </row>
    <row r="202" spans="1:16" hidden="1">
      <c r="A202" s="906" t="s">
        <v>237</v>
      </c>
      <c r="C202" s="875">
        <f>CALCULADORA_2021!AG14</f>
        <v>2.9304000000000004E-2</v>
      </c>
      <c r="D202" s="1082">
        <f t="shared" si="3"/>
        <v>29.304000000000002</v>
      </c>
      <c r="E202" s="717" t="s">
        <v>423</v>
      </c>
      <c r="F202" s="717"/>
      <c r="G202" s="717"/>
      <c r="J202" s="719" t="s">
        <v>764</v>
      </c>
      <c r="K202" s="719"/>
      <c r="L202" s="719"/>
      <c r="M202" s="719"/>
      <c r="N202" s="719"/>
      <c r="O202" s="719"/>
      <c r="P202" s="719"/>
    </row>
    <row r="203" spans="1:16" hidden="1">
      <c r="A203" s="906" t="s">
        <v>237</v>
      </c>
      <c r="C203" s="875">
        <f>CALCULADORA_2021!AH14</f>
        <v>2.9304000000000004E-7</v>
      </c>
      <c r="D203" s="1082">
        <f t="shared" si="3"/>
        <v>2.9304000000000005E-4</v>
      </c>
      <c r="E203" s="717" t="s">
        <v>424</v>
      </c>
      <c r="F203" s="717"/>
      <c r="G203" s="717"/>
      <c r="J203" s="719" t="s">
        <v>765</v>
      </c>
      <c r="K203" s="719"/>
      <c r="L203" s="719"/>
      <c r="M203" s="719"/>
      <c r="N203" s="719"/>
      <c r="O203" s="719"/>
      <c r="P203" s="719"/>
    </row>
    <row r="204" spans="1:16" hidden="1">
      <c r="A204" s="906" t="s">
        <v>237</v>
      </c>
      <c r="C204" s="873"/>
      <c r="D204" s="1082">
        <f t="shared" si="3"/>
        <v>0</v>
      </c>
      <c r="F204" s="520"/>
    </row>
    <row r="205" spans="1:16" hidden="1">
      <c r="A205" s="906" t="s">
        <v>237</v>
      </c>
      <c r="C205" s="724">
        <f>CALCULADORA_2021!AJ15</f>
        <v>0</v>
      </c>
      <c r="D205" s="1082">
        <f t="shared" si="3"/>
        <v>0</v>
      </c>
      <c r="E205" s="723" t="s">
        <v>170</v>
      </c>
      <c r="F205" s="723"/>
      <c r="G205" s="723"/>
      <c r="J205" s="720" t="s">
        <v>808</v>
      </c>
      <c r="K205" s="720"/>
      <c r="L205" s="720"/>
      <c r="M205" s="720"/>
      <c r="N205" s="720"/>
      <c r="O205" s="720"/>
      <c r="P205" s="720"/>
    </row>
    <row r="206" spans="1:16" hidden="1">
      <c r="A206" s="906" t="s">
        <v>237</v>
      </c>
      <c r="C206" s="724">
        <f>CALCULADORA_2021!AL15</f>
        <v>0</v>
      </c>
      <c r="D206" s="1082">
        <f t="shared" si="3"/>
        <v>0</v>
      </c>
      <c r="E206" s="723" t="s">
        <v>425</v>
      </c>
      <c r="F206" s="723"/>
      <c r="G206" s="723"/>
      <c r="J206" s="1311"/>
      <c r="K206" s="1311"/>
      <c r="L206" s="1311"/>
      <c r="M206" s="1311"/>
      <c r="N206" s="1311"/>
      <c r="O206" s="1311"/>
      <c r="P206" s="1311"/>
    </row>
    <row r="207" spans="1:16" hidden="1">
      <c r="A207" s="906" t="s">
        <v>237</v>
      </c>
      <c r="C207" s="724"/>
      <c r="D207" s="1082">
        <f t="shared" si="3"/>
        <v>0</v>
      </c>
      <c r="E207" s="723"/>
      <c r="F207" s="723"/>
      <c r="G207" s="723"/>
      <c r="J207" s="1312"/>
      <c r="K207" s="1312"/>
      <c r="L207" s="1312"/>
      <c r="M207" s="1312"/>
      <c r="N207" s="1312"/>
      <c r="O207" s="1312"/>
      <c r="P207" s="1312"/>
    </row>
    <row r="208" spans="1:16" hidden="1">
      <c r="A208" s="906" t="s">
        <v>237</v>
      </c>
      <c r="C208" s="724">
        <f>CALCULADORA_2021!AK15</f>
        <v>0</v>
      </c>
      <c r="D208" s="1082">
        <f t="shared" si="3"/>
        <v>0</v>
      </c>
      <c r="E208" s="723" t="s">
        <v>766</v>
      </c>
      <c r="F208" s="723"/>
      <c r="G208" s="723"/>
      <c r="J208" s="721" t="s">
        <v>778</v>
      </c>
      <c r="K208" s="721"/>
      <c r="L208" s="721"/>
      <c r="M208" s="721"/>
      <c r="N208" s="721"/>
      <c r="O208" s="721"/>
      <c r="P208" s="721"/>
    </row>
    <row r="209" spans="1:20" hidden="1">
      <c r="A209" s="906" t="s">
        <v>237</v>
      </c>
      <c r="C209" s="877">
        <f>CALCULADORA_2021!AN15</f>
        <v>0</v>
      </c>
      <c r="D209" s="1082">
        <f t="shared" si="3"/>
        <v>0</v>
      </c>
      <c r="E209" s="723" t="s">
        <v>426</v>
      </c>
      <c r="F209" s="723"/>
      <c r="G209" s="723"/>
      <c r="J209" s="721" t="s">
        <v>779</v>
      </c>
      <c r="K209" s="721"/>
      <c r="L209" s="721"/>
      <c r="M209" s="721"/>
      <c r="N209" s="721"/>
      <c r="O209" s="721"/>
      <c r="P209" s="721"/>
    </row>
    <row r="210" spans="1:20" ht="15" hidden="1" customHeight="1">
      <c r="A210" s="906" t="s">
        <v>237</v>
      </c>
      <c r="C210" s="878">
        <f>CALCULADORA_2021!AO15</f>
        <v>0</v>
      </c>
      <c r="D210" s="1082">
        <f t="shared" si="3"/>
        <v>0</v>
      </c>
      <c r="E210" s="727" t="s">
        <v>767</v>
      </c>
      <c r="F210" s="728"/>
      <c r="G210" s="723"/>
      <c r="J210" s="721" t="s">
        <v>780</v>
      </c>
      <c r="K210" s="721"/>
      <c r="L210" s="721"/>
      <c r="M210" s="721"/>
      <c r="N210" s="721"/>
      <c r="O210" s="721"/>
      <c r="P210" s="721"/>
    </row>
    <row r="211" spans="1:20" ht="15" hidden="1" customHeight="1">
      <c r="A211" s="906" t="s">
        <v>237</v>
      </c>
      <c r="C211" s="879">
        <f>CALCULADORA_2021!AP15</f>
        <v>0</v>
      </c>
      <c r="D211" s="1082">
        <f t="shared" si="3"/>
        <v>0</v>
      </c>
      <c r="E211" s="723" t="s">
        <v>427</v>
      </c>
      <c r="F211" s="728"/>
      <c r="G211" s="723"/>
      <c r="J211" s="1311" t="s">
        <v>798</v>
      </c>
      <c r="K211" s="1311"/>
      <c r="L211" s="1311"/>
      <c r="M211" s="1311"/>
      <c r="N211" s="1311"/>
      <c r="O211" s="1311"/>
      <c r="P211" s="1311"/>
    </row>
    <row r="212" spans="1:20" hidden="1">
      <c r="A212" s="906" t="s">
        <v>237</v>
      </c>
      <c r="C212" s="879">
        <f>CALCULADORA_2021!AQ15</f>
        <v>0</v>
      </c>
      <c r="D212" s="1082">
        <f t="shared" si="3"/>
        <v>0</v>
      </c>
      <c r="E212" s="723" t="s">
        <v>83</v>
      </c>
      <c r="F212" s="728"/>
      <c r="G212" s="723"/>
      <c r="J212" s="1306"/>
      <c r="K212" s="1306"/>
      <c r="L212" s="1306"/>
      <c r="M212" s="1306"/>
      <c r="N212" s="1306"/>
      <c r="O212" s="1306"/>
      <c r="P212" s="1306"/>
    </row>
    <row r="213" spans="1:20" hidden="1">
      <c r="A213" s="906" t="s">
        <v>237</v>
      </c>
      <c r="C213" s="879">
        <f>CALCULADORA_2021!AR15</f>
        <v>0</v>
      </c>
      <c r="D213" s="1082">
        <f t="shared" si="3"/>
        <v>0</v>
      </c>
      <c r="E213" s="723" t="s">
        <v>84</v>
      </c>
      <c r="F213" s="728"/>
      <c r="G213" s="723"/>
      <c r="J213" s="1312"/>
      <c r="K213" s="1312"/>
      <c r="L213" s="1312"/>
      <c r="M213" s="1312"/>
      <c r="N213" s="1312"/>
      <c r="O213" s="1312"/>
      <c r="P213" s="1312"/>
    </row>
    <row r="214" spans="1:20" hidden="1">
      <c r="A214" s="906" t="s">
        <v>237</v>
      </c>
      <c r="C214" s="878">
        <f>CALCULADORA_2021!AS15</f>
        <v>0</v>
      </c>
      <c r="D214" s="1082">
        <f t="shared" si="3"/>
        <v>0</v>
      </c>
      <c r="E214" s="727" t="s">
        <v>769</v>
      </c>
      <c r="F214" s="728"/>
      <c r="G214" s="723"/>
      <c r="J214" s="721" t="s">
        <v>799</v>
      </c>
      <c r="K214" s="721"/>
      <c r="L214" s="721"/>
      <c r="M214" s="721"/>
      <c r="N214" s="721"/>
      <c r="O214" s="721"/>
      <c r="P214" s="721"/>
    </row>
    <row r="215" spans="1:20" hidden="1">
      <c r="A215" s="906" t="s">
        <v>237</v>
      </c>
      <c r="C215" s="873"/>
      <c r="D215" s="1082">
        <f t="shared" si="3"/>
        <v>0</v>
      </c>
    </row>
    <row r="216" spans="1:20" hidden="1">
      <c r="A216" s="906" t="s">
        <v>237</v>
      </c>
      <c r="C216" s="873"/>
      <c r="D216" s="1082">
        <f t="shared" si="3"/>
        <v>0</v>
      </c>
      <c r="F216" s="520"/>
    </row>
    <row r="217" spans="1:20">
      <c r="A217" s="906" t="s">
        <v>1130</v>
      </c>
      <c r="C217" s="738">
        <f>CALCULADORA_2021!AU15</f>
        <v>0</v>
      </c>
      <c r="D217" s="1082">
        <f t="shared" si="3"/>
        <v>0</v>
      </c>
      <c r="E217" s="739" t="s">
        <v>810</v>
      </c>
      <c r="F217" s="739"/>
      <c r="G217" s="739"/>
      <c r="I217" s="27" t="s">
        <v>1132</v>
      </c>
      <c r="J217" s="1317" t="s">
        <v>1131</v>
      </c>
      <c r="K217" s="1317"/>
      <c r="L217" s="1317"/>
      <c r="M217" s="1317"/>
      <c r="N217" s="1317"/>
      <c r="O217" s="1317"/>
      <c r="P217" s="1317"/>
      <c r="R217" s="737" t="s">
        <v>1127</v>
      </c>
      <c r="S217" s="737"/>
      <c r="T217" s="737"/>
    </row>
    <row r="218" spans="1:20" ht="15" hidden="1" customHeight="1">
      <c r="A218" s="906" t="s">
        <v>237</v>
      </c>
      <c r="C218" s="730"/>
      <c r="D218" s="1082">
        <f t="shared" si="3"/>
        <v>0</v>
      </c>
      <c r="E218" s="731"/>
      <c r="F218" s="731"/>
      <c r="G218" s="731"/>
      <c r="J218" s="1317"/>
      <c r="K218" s="1317"/>
      <c r="L218" s="1317"/>
      <c r="M218" s="1317"/>
      <c r="N218" s="1317"/>
      <c r="O218" s="1317"/>
      <c r="P218" s="1317"/>
    </row>
    <row r="219" spans="1:20" ht="15" hidden="1" customHeight="1">
      <c r="A219" s="906" t="s">
        <v>237</v>
      </c>
      <c r="C219" s="732">
        <f>CALCULADORA_2021!AX15</f>
        <v>0</v>
      </c>
      <c r="D219" s="1082">
        <f t="shared" si="3"/>
        <v>0</v>
      </c>
      <c r="E219" s="733" t="s">
        <v>772</v>
      </c>
      <c r="F219" s="733"/>
      <c r="G219" s="733"/>
      <c r="J219" s="1317"/>
      <c r="K219" s="1317"/>
      <c r="L219" s="1317"/>
      <c r="M219" s="1317"/>
      <c r="N219" s="1317"/>
      <c r="O219" s="1317"/>
      <c r="P219" s="1317"/>
    </row>
    <row r="220" spans="1:20" ht="15" hidden="1" customHeight="1">
      <c r="A220" s="906" t="s">
        <v>237</v>
      </c>
      <c r="C220" s="734">
        <f>CALCULADORA_2021!AY15</f>
        <v>0</v>
      </c>
      <c r="D220" s="1082">
        <f t="shared" si="3"/>
        <v>0</v>
      </c>
      <c r="E220" s="733" t="s">
        <v>773</v>
      </c>
      <c r="F220" s="733"/>
      <c r="G220" s="733"/>
      <c r="J220" s="1317"/>
      <c r="K220" s="1317"/>
      <c r="L220" s="1317"/>
      <c r="M220" s="1317"/>
      <c r="N220" s="1317"/>
      <c r="O220" s="1317"/>
      <c r="P220" s="1317"/>
    </row>
    <row r="221" spans="1:20" ht="15" hidden="1" customHeight="1">
      <c r="A221" s="906" t="s">
        <v>237</v>
      </c>
      <c r="C221" s="734">
        <f>CALCULADORA_2021!BA15</f>
        <v>0</v>
      </c>
      <c r="D221" s="1082">
        <f t="shared" si="3"/>
        <v>0</v>
      </c>
      <c r="E221" s="733" t="s">
        <v>774</v>
      </c>
      <c r="F221" s="733"/>
      <c r="G221" s="733"/>
      <c r="J221" s="1317"/>
      <c r="K221" s="1317"/>
      <c r="L221" s="1317"/>
      <c r="M221" s="1317"/>
      <c r="N221" s="1317"/>
      <c r="O221" s="1317"/>
      <c r="P221" s="1317"/>
    </row>
    <row r="222" spans="1:20" ht="15" hidden="1" customHeight="1">
      <c r="A222" s="906" t="s">
        <v>237</v>
      </c>
      <c r="C222" s="735">
        <f>CALCULADORA_2021!BB15</f>
        <v>0</v>
      </c>
      <c r="D222" s="1082">
        <f t="shared" si="3"/>
        <v>0</v>
      </c>
      <c r="E222" s="733" t="s">
        <v>775</v>
      </c>
      <c r="F222" s="736"/>
      <c r="G222" s="733"/>
      <c r="J222" s="1317"/>
      <c r="K222" s="1317"/>
      <c r="L222" s="1317"/>
      <c r="M222" s="1317"/>
      <c r="N222" s="1317"/>
      <c r="O222" s="1317"/>
      <c r="P222" s="1317"/>
    </row>
    <row r="223" spans="1:20">
      <c r="J223" s="1317"/>
      <c r="K223" s="1317"/>
      <c r="L223" s="1317"/>
      <c r="M223" s="1317"/>
      <c r="N223" s="1317"/>
      <c r="O223" s="1317"/>
      <c r="P223" s="1317"/>
    </row>
    <row r="229" spans="1:20" s="210" customFormat="1">
      <c r="A229" s="210" t="s">
        <v>776</v>
      </c>
      <c r="C229" s="690" t="s">
        <v>777</v>
      </c>
      <c r="D229" s="1081"/>
      <c r="J229" s="742" t="s">
        <v>758</v>
      </c>
      <c r="K229" s="742"/>
      <c r="L229" s="742"/>
      <c r="M229" s="742"/>
      <c r="N229" s="742"/>
      <c r="O229" s="742"/>
      <c r="P229" s="742"/>
      <c r="R229" s="742" t="s">
        <v>759</v>
      </c>
      <c r="S229" s="742"/>
      <c r="T229" s="742"/>
    </row>
    <row r="230" spans="1:20" ht="15" customHeight="1">
      <c r="A230" s="906" t="s">
        <v>18</v>
      </c>
      <c r="C230" s="880">
        <f>CALCULADORA_2021!E16</f>
        <v>997.5</v>
      </c>
      <c r="D230" s="1095"/>
      <c r="E230" s="1307" t="s">
        <v>24</v>
      </c>
      <c r="F230" s="1307"/>
      <c r="G230" s="1307"/>
      <c r="J230" s="1308" t="s">
        <v>818</v>
      </c>
      <c r="K230" s="1308"/>
      <c r="L230" s="1308"/>
      <c r="M230" s="1308"/>
      <c r="N230" s="1308"/>
      <c r="O230" s="1308"/>
      <c r="P230" s="1308"/>
      <c r="R230" s="27" t="s">
        <v>819</v>
      </c>
    </row>
    <row r="231" spans="1:20">
      <c r="A231" s="906" t="s">
        <v>18</v>
      </c>
      <c r="C231" s="881"/>
      <c r="D231" s="1096"/>
      <c r="E231" s="697"/>
      <c r="F231" s="697"/>
      <c r="G231" s="697"/>
      <c r="J231" s="1309"/>
      <c r="K231" s="1309"/>
      <c r="L231" s="1309"/>
      <c r="M231" s="1309"/>
      <c r="N231" s="1309"/>
      <c r="O231" s="1309"/>
      <c r="P231" s="1309"/>
      <c r="R231" s="703"/>
      <c r="S231" s="703"/>
      <c r="T231" s="703"/>
    </row>
    <row r="232" spans="1:20">
      <c r="A232" s="906" t="s">
        <v>18</v>
      </c>
      <c r="C232" s="882">
        <f>CALCULADORA_2021!F16</f>
        <v>16625</v>
      </c>
      <c r="D232" s="1097"/>
      <c r="E232" s="695" t="s">
        <v>752</v>
      </c>
      <c r="F232" s="692"/>
      <c r="G232" s="694"/>
      <c r="J232" s="704" t="s">
        <v>760</v>
      </c>
      <c r="K232" s="704"/>
      <c r="L232" s="704"/>
      <c r="M232" s="704"/>
      <c r="N232" s="704"/>
      <c r="O232" s="704"/>
      <c r="P232" s="704"/>
    </row>
    <row r="233" spans="1:20" ht="15" customHeight="1">
      <c r="A233" s="906" t="s">
        <v>18</v>
      </c>
      <c r="B233" s="30"/>
      <c r="C233" s="882">
        <f>CALCULADORA_2021!G16</f>
        <v>110833.33333333333</v>
      </c>
      <c r="D233" s="1097"/>
      <c r="E233" s="695" t="s">
        <v>417</v>
      </c>
      <c r="F233" s="694"/>
      <c r="G233" s="696"/>
      <c r="J233" s="704" t="s">
        <v>761</v>
      </c>
      <c r="K233" s="704"/>
      <c r="L233" s="704"/>
      <c r="M233" s="704"/>
      <c r="N233" s="704"/>
      <c r="O233" s="704"/>
      <c r="P233" s="704"/>
    </row>
    <row r="234" spans="1:20">
      <c r="A234" s="906" t="s">
        <v>18</v>
      </c>
      <c r="B234" s="30"/>
      <c r="C234" s="882">
        <f>CALCULADORA_2021!H16</f>
        <v>803.14009661835746</v>
      </c>
      <c r="D234" s="1097"/>
      <c r="E234" s="695" t="s">
        <v>718</v>
      </c>
      <c r="F234" s="692"/>
      <c r="G234" s="694"/>
      <c r="J234" s="705" t="s">
        <v>783</v>
      </c>
      <c r="K234" s="706"/>
      <c r="L234" s="707"/>
      <c r="M234" s="704"/>
      <c r="N234" s="704"/>
      <c r="O234" s="704"/>
      <c r="P234" s="704"/>
    </row>
    <row r="235" spans="1:20" ht="15" customHeight="1">
      <c r="A235" s="906" t="s">
        <v>18</v>
      </c>
      <c r="B235" s="30"/>
      <c r="C235" s="883">
        <f>CALCULADORA_2021!J16</f>
        <v>1034.7510373443984</v>
      </c>
      <c r="D235" s="1098"/>
      <c r="E235" s="701" t="s">
        <v>784</v>
      </c>
      <c r="F235" s="693"/>
      <c r="G235" s="694"/>
      <c r="J235" s="705" t="s">
        <v>785</v>
      </c>
      <c r="K235" s="706"/>
      <c r="L235" s="706"/>
      <c r="M235" s="706"/>
      <c r="N235" s="706"/>
      <c r="O235" s="706"/>
      <c r="P235" s="707"/>
    </row>
    <row r="236" spans="1:20" ht="15" customHeight="1">
      <c r="A236" s="906" t="s">
        <v>18</v>
      </c>
      <c r="B236" s="30"/>
      <c r="C236" s="884">
        <f>CALCULADORA_2021!K16</f>
        <v>53.585817888799362</v>
      </c>
      <c r="D236" s="1099"/>
      <c r="E236" s="702" t="s">
        <v>719</v>
      </c>
      <c r="F236" s="699"/>
      <c r="G236" s="700"/>
      <c r="J236" s="1308" t="s">
        <v>787</v>
      </c>
      <c r="K236" s="1308"/>
      <c r="L236" s="1308"/>
      <c r="M236" s="1308"/>
      <c r="N236" s="1308"/>
      <c r="O236" s="1308"/>
      <c r="P236" s="1308"/>
    </row>
    <row r="237" spans="1:20" ht="36" customHeight="1">
      <c r="A237" s="906" t="s">
        <v>18</v>
      </c>
      <c r="B237" s="30"/>
      <c r="C237" s="885"/>
      <c r="D237" s="1100"/>
      <c r="E237" s="698"/>
      <c r="F237" s="698"/>
      <c r="G237" s="698"/>
      <c r="H237" s="691"/>
      <c r="I237" s="691"/>
      <c r="J237" s="1309"/>
      <c r="K237" s="1309"/>
      <c r="L237" s="1309"/>
      <c r="M237" s="1309"/>
      <c r="N237" s="1309"/>
      <c r="O237" s="1309"/>
      <c r="P237" s="1309"/>
    </row>
    <row r="238" spans="1:20" ht="15" customHeight="1">
      <c r="A238" s="906" t="s">
        <v>18</v>
      </c>
      <c r="C238" s="886">
        <f>CALCULADORA_2021!L16</f>
        <v>93</v>
      </c>
      <c r="D238" s="1101"/>
      <c r="E238" s="695" t="s">
        <v>822</v>
      </c>
      <c r="F238" s="693"/>
      <c r="G238" s="694"/>
      <c r="J238" s="1315" t="s">
        <v>824</v>
      </c>
      <c r="K238" s="1315"/>
      <c r="L238" s="1315"/>
      <c r="M238" s="1315"/>
      <c r="N238" s="1315"/>
      <c r="O238" s="1315"/>
      <c r="P238" s="1315"/>
    </row>
    <row r="239" spans="1:20">
      <c r="A239" s="906" t="s">
        <v>18</v>
      </c>
      <c r="C239" s="873"/>
      <c r="D239" s="132"/>
    </row>
    <row r="240" spans="1:20">
      <c r="A240" s="906" t="s">
        <v>18</v>
      </c>
      <c r="C240" s="869">
        <f>CALCULADORA_2021!N16</f>
        <v>2565</v>
      </c>
      <c r="D240" s="1102"/>
      <c r="E240" s="708" t="s">
        <v>419</v>
      </c>
      <c r="F240" s="708"/>
      <c r="G240" s="708"/>
      <c r="J240" s="711" t="s">
        <v>861</v>
      </c>
      <c r="K240" s="711"/>
      <c r="L240" s="711"/>
      <c r="M240" s="711"/>
      <c r="N240" s="711"/>
      <c r="O240" s="711"/>
      <c r="P240" s="711"/>
      <c r="R240" s="713" t="s">
        <v>788</v>
      </c>
      <c r="S240" s="714"/>
      <c r="T240" s="711"/>
    </row>
    <row r="241" spans="1:16">
      <c r="A241" s="906" t="s">
        <v>18</v>
      </c>
      <c r="C241" s="869">
        <f>CALCULADORA_2021!P16</f>
        <v>12.824999999999999</v>
      </c>
      <c r="D241" s="1102"/>
      <c r="E241" s="708" t="s">
        <v>362</v>
      </c>
      <c r="F241" s="708"/>
      <c r="G241" s="708"/>
      <c r="J241" s="712" t="s">
        <v>789</v>
      </c>
      <c r="K241" s="712"/>
      <c r="L241" s="712"/>
      <c r="M241" s="712"/>
      <c r="N241" s="712"/>
      <c r="O241" s="712"/>
      <c r="P241" s="712"/>
    </row>
    <row r="242" spans="1:16">
      <c r="A242" s="906" t="s">
        <v>18</v>
      </c>
      <c r="C242" s="870">
        <f>CALCULADORA_2021!Q16</f>
        <v>1026</v>
      </c>
      <c r="D242" s="1103"/>
      <c r="E242" s="708" t="s">
        <v>720</v>
      </c>
      <c r="F242" s="708"/>
      <c r="G242" s="708"/>
      <c r="J242" s="712" t="s">
        <v>790</v>
      </c>
      <c r="K242" s="712"/>
      <c r="L242" s="712"/>
      <c r="M242" s="712"/>
      <c r="N242" s="712"/>
      <c r="O242" s="712"/>
      <c r="P242" s="712"/>
    </row>
    <row r="243" spans="1:16" ht="15" customHeight="1">
      <c r="A243" s="906" t="s">
        <v>18</v>
      </c>
      <c r="C243" s="871">
        <f>CALCULADORA_2021!R16</f>
        <v>36.642857142857146</v>
      </c>
      <c r="D243" s="1104"/>
      <c r="E243" s="709" t="s">
        <v>363</v>
      </c>
      <c r="F243" s="710"/>
      <c r="G243" s="708"/>
      <c r="J243" s="712" t="s">
        <v>462</v>
      </c>
      <c r="K243" s="712"/>
      <c r="L243" s="712"/>
      <c r="M243" s="712"/>
      <c r="N243" s="712"/>
      <c r="O243" s="712"/>
      <c r="P243" s="712"/>
    </row>
    <row r="244" spans="1:16" ht="15" customHeight="1">
      <c r="A244" s="906" t="s">
        <v>18</v>
      </c>
      <c r="C244" s="871">
        <f>CALCULADORA_2021!S16</f>
        <v>51.3</v>
      </c>
      <c r="D244" s="1104"/>
      <c r="E244" s="709" t="s">
        <v>432</v>
      </c>
      <c r="F244" s="710"/>
      <c r="G244" s="708"/>
      <c r="J244" s="712" t="s">
        <v>791</v>
      </c>
      <c r="K244" s="712"/>
      <c r="L244" s="712"/>
      <c r="M244" s="712"/>
      <c r="N244" s="712"/>
      <c r="O244" s="712"/>
      <c r="P244" s="712"/>
    </row>
    <row r="245" spans="1:16" ht="15" customHeight="1">
      <c r="A245" s="906" t="s">
        <v>18</v>
      </c>
      <c r="C245" s="871">
        <f>CALCULADORA_2021!T16</f>
        <v>197.30769230769232</v>
      </c>
      <c r="D245" s="1104"/>
      <c r="E245" s="709" t="s">
        <v>431</v>
      </c>
      <c r="F245" s="710"/>
      <c r="G245" s="708"/>
      <c r="J245" s="712" t="s">
        <v>792</v>
      </c>
      <c r="K245" s="712"/>
      <c r="L245" s="712"/>
      <c r="M245" s="712"/>
      <c r="N245" s="712"/>
      <c r="O245" s="712"/>
      <c r="P245" s="712"/>
    </row>
    <row r="246" spans="1:16" ht="15" customHeight="1">
      <c r="A246" s="906" t="s">
        <v>18</v>
      </c>
      <c r="C246" s="871">
        <f>CALCULADORA_2021!U16</f>
        <v>102.6</v>
      </c>
      <c r="D246" s="1104"/>
      <c r="E246" s="709" t="s">
        <v>721</v>
      </c>
      <c r="F246" s="710"/>
      <c r="G246" s="708"/>
      <c r="J246" s="712" t="s">
        <v>793</v>
      </c>
      <c r="K246" s="712"/>
      <c r="L246" s="712"/>
      <c r="M246" s="712"/>
      <c r="N246" s="712"/>
      <c r="O246" s="712"/>
      <c r="P246" s="712"/>
    </row>
    <row r="247" spans="1:16">
      <c r="A247" s="906" t="s">
        <v>18</v>
      </c>
      <c r="C247" s="872">
        <f>CALCULADORA_2021!V16</f>
        <v>6.8400000000000004E-4</v>
      </c>
      <c r="D247" s="1105"/>
      <c r="E247" s="708" t="s">
        <v>420</v>
      </c>
      <c r="F247" s="710"/>
      <c r="G247" s="708"/>
      <c r="J247" s="712" t="s">
        <v>794</v>
      </c>
      <c r="K247" s="712"/>
      <c r="L247" s="712"/>
      <c r="M247" s="712"/>
      <c r="N247" s="712"/>
      <c r="O247" s="712"/>
      <c r="P247" s="712"/>
    </row>
    <row r="248" spans="1:16">
      <c r="A248" s="906" t="s">
        <v>18</v>
      </c>
      <c r="C248" s="872">
        <f>CALCULADORA_2021!X16</f>
        <v>427.5</v>
      </c>
      <c r="D248" s="1105"/>
      <c r="E248" s="708" t="s">
        <v>421</v>
      </c>
      <c r="F248" s="710"/>
      <c r="G248" s="708"/>
      <c r="J248" s="712" t="s">
        <v>795</v>
      </c>
      <c r="K248" s="712"/>
      <c r="L248" s="712"/>
      <c r="M248" s="712"/>
      <c r="N248" s="712"/>
      <c r="O248" s="712"/>
      <c r="P248" s="712"/>
    </row>
    <row r="249" spans="1:16">
      <c r="A249" s="906" t="s">
        <v>18</v>
      </c>
      <c r="C249" s="873"/>
      <c r="D249" s="132"/>
      <c r="F249" s="520"/>
    </row>
    <row r="250" spans="1:16">
      <c r="A250" s="906" t="s">
        <v>18</v>
      </c>
      <c r="C250" s="874">
        <f>CALCULADORA_2021!Z16</f>
        <v>5.8746480000000005</v>
      </c>
      <c r="D250" s="1106"/>
      <c r="E250" s="716" t="s">
        <v>422</v>
      </c>
      <c r="F250" s="716"/>
      <c r="G250" s="716"/>
      <c r="J250" s="715" t="s">
        <v>390</v>
      </c>
      <c r="K250" s="715"/>
      <c r="L250" s="715"/>
      <c r="M250" s="715"/>
      <c r="N250" s="715"/>
      <c r="O250" s="715"/>
      <c r="P250" s="715"/>
    </row>
    <row r="251" spans="1:16">
      <c r="A251" s="906" t="s">
        <v>18</v>
      </c>
      <c r="C251" s="874">
        <f>CALCULADORA_2021!AB16</f>
        <v>1.5565692482976076E-5</v>
      </c>
      <c r="D251" s="1106"/>
      <c r="E251" s="716" t="s">
        <v>267</v>
      </c>
      <c r="F251" s="716"/>
      <c r="G251" s="716"/>
      <c r="J251" s="715" t="s">
        <v>852</v>
      </c>
      <c r="K251" s="715"/>
      <c r="L251" s="715"/>
      <c r="M251" s="715"/>
      <c r="N251" s="715"/>
      <c r="O251" s="715"/>
      <c r="P251" s="715"/>
    </row>
    <row r="252" spans="1:16">
      <c r="A252" s="906" t="s">
        <v>18</v>
      </c>
      <c r="C252" s="873"/>
      <c r="D252" s="132"/>
      <c r="F252" s="520"/>
    </row>
    <row r="253" spans="1:16">
      <c r="A253" s="906" t="s">
        <v>18</v>
      </c>
      <c r="C253" s="875">
        <f>CALCULADORA_2021!AF16</f>
        <v>0.94904999999999995</v>
      </c>
      <c r="D253" s="1107"/>
      <c r="E253" s="717" t="s">
        <v>796</v>
      </c>
      <c r="F253" s="717"/>
      <c r="G253" s="717"/>
      <c r="J253" s="718" t="s">
        <v>825</v>
      </c>
      <c r="K253" s="718"/>
      <c r="L253" s="718"/>
      <c r="M253" s="718"/>
      <c r="N253" s="718"/>
      <c r="O253" s="718"/>
      <c r="P253" s="718"/>
    </row>
    <row r="254" spans="1:16">
      <c r="A254" s="906" t="s">
        <v>18</v>
      </c>
      <c r="C254" s="875">
        <f>CALCULADORA_2021!AG16</f>
        <v>9.4904999999999989E-2</v>
      </c>
      <c r="D254" s="1107"/>
      <c r="E254" s="717" t="s">
        <v>423</v>
      </c>
      <c r="F254" s="717"/>
      <c r="G254" s="717"/>
      <c r="J254" s="719" t="s">
        <v>764</v>
      </c>
      <c r="K254" s="719"/>
      <c r="L254" s="719"/>
      <c r="M254" s="719"/>
      <c r="N254" s="719"/>
      <c r="O254" s="719"/>
      <c r="P254" s="719"/>
    </row>
    <row r="255" spans="1:16">
      <c r="A255" s="906" t="s">
        <v>18</v>
      </c>
      <c r="C255" s="876">
        <f>CALCULADORA_2021!AH16</f>
        <v>9.4904999999999994E-7</v>
      </c>
      <c r="D255" s="1108"/>
      <c r="E255" s="717" t="s">
        <v>424</v>
      </c>
      <c r="F255" s="717"/>
      <c r="G255" s="717"/>
      <c r="J255" s="719" t="s">
        <v>765</v>
      </c>
      <c r="K255" s="719"/>
      <c r="L255" s="719"/>
      <c r="M255" s="719"/>
      <c r="N255" s="719"/>
      <c r="O255" s="719"/>
      <c r="P255" s="719"/>
    </row>
    <row r="256" spans="1:16">
      <c r="A256" s="906" t="s">
        <v>18</v>
      </c>
      <c r="C256" s="873"/>
      <c r="D256" s="132"/>
      <c r="F256" s="520"/>
    </row>
    <row r="257" spans="1:20">
      <c r="A257" s="906" t="s">
        <v>18</v>
      </c>
      <c r="C257" s="724">
        <f>CALCULADORA_2021!AJ16</f>
        <v>0</v>
      </c>
      <c r="D257" s="1109"/>
      <c r="E257" s="723" t="s">
        <v>170</v>
      </c>
      <c r="F257" s="723"/>
      <c r="G257" s="723"/>
      <c r="J257" s="720" t="s">
        <v>862</v>
      </c>
      <c r="K257" s="720"/>
      <c r="L257" s="720"/>
      <c r="M257" s="720"/>
      <c r="N257" s="720"/>
      <c r="O257" s="720"/>
      <c r="P257" s="720"/>
      <c r="R257" s="27" t="s">
        <v>860</v>
      </c>
    </row>
    <row r="258" spans="1:20" ht="15" customHeight="1">
      <c r="A258" s="906" t="s">
        <v>18</v>
      </c>
      <c r="C258" s="724">
        <f>CALCULADORA_2021!AL16</f>
        <v>132.297</v>
      </c>
      <c r="D258" s="1109"/>
      <c r="E258" s="723" t="s">
        <v>425</v>
      </c>
      <c r="F258" s="723"/>
      <c r="G258" s="723"/>
      <c r="J258" s="1311" t="s">
        <v>826</v>
      </c>
      <c r="K258" s="1311"/>
      <c r="L258" s="1311"/>
      <c r="M258" s="1311"/>
      <c r="N258" s="1311"/>
      <c r="O258" s="1311"/>
      <c r="P258" s="1311"/>
    </row>
    <row r="259" spans="1:20">
      <c r="A259" s="906" t="s">
        <v>18</v>
      </c>
      <c r="C259" s="724"/>
      <c r="D259" s="1109"/>
      <c r="E259" s="723"/>
      <c r="F259" s="723"/>
      <c r="G259" s="723"/>
      <c r="J259" s="1312"/>
      <c r="K259" s="1312"/>
      <c r="L259" s="1312"/>
      <c r="M259" s="1312"/>
      <c r="N259" s="1312"/>
      <c r="O259" s="1312"/>
      <c r="P259" s="1312"/>
    </row>
    <row r="260" spans="1:20">
      <c r="A260" s="906" t="s">
        <v>18</v>
      </c>
      <c r="C260" s="724">
        <f>CALCULADORA_2021!AK16</f>
        <v>0</v>
      </c>
      <c r="D260" s="1109"/>
      <c r="E260" s="723" t="s">
        <v>766</v>
      </c>
      <c r="F260" s="723"/>
      <c r="G260" s="723"/>
      <c r="J260" s="721" t="s">
        <v>778</v>
      </c>
      <c r="K260" s="721"/>
      <c r="L260" s="721"/>
      <c r="M260" s="721"/>
      <c r="N260" s="721"/>
      <c r="O260" s="721"/>
      <c r="P260" s="721"/>
    </row>
    <row r="261" spans="1:20">
      <c r="A261" s="906" t="s">
        <v>18</v>
      </c>
      <c r="C261" s="877">
        <f>CALCULADORA_2021!AN16</f>
        <v>0</v>
      </c>
      <c r="D261" s="1110"/>
      <c r="E261" s="723" t="s">
        <v>426</v>
      </c>
      <c r="F261" s="723"/>
      <c r="G261" s="723"/>
      <c r="J261" s="721" t="s">
        <v>779</v>
      </c>
      <c r="K261" s="721"/>
      <c r="L261" s="721"/>
      <c r="M261" s="721"/>
      <c r="N261" s="721"/>
      <c r="O261" s="721"/>
      <c r="P261" s="721"/>
    </row>
    <row r="262" spans="1:20" ht="15" customHeight="1">
      <c r="A262" s="906" t="s">
        <v>18</v>
      </c>
      <c r="C262" s="878">
        <f>CALCULADORA_2021!AO16</f>
        <v>0</v>
      </c>
      <c r="D262" s="1111"/>
      <c r="E262" s="727" t="s">
        <v>767</v>
      </c>
      <c r="F262" s="728"/>
      <c r="G262" s="723"/>
      <c r="J262" s="721" t="s">
        <v>780</v>
      </c>
      <c r="K262" s="721"/>
      <c r="L262" s="721"/>
      <c r="M262" s="721"/>
      <c r="N262" s="721"/>
      <c r="O262" s="721"/>
      <c r="P262" s="721"/>
    </row>
    <row r="263" spans="1:20" ht="15" customHeight="1">
      <c r="A263" s="906" t="s">
        <v>18</v>
      </c>
      <c r="C263" s="879">
        <f>CALCULADORA_2021!AP16</f>
        <v>0</v>
      </c>
      <c r="D263" s="1112"/>
      <c r="E263" s="723" t="s">
        <v>427</v>
      </c>
      <c r="F263" s="728"/>
      <c r="G263" s="723"/>
      <c r="J263" s="1311" t="s">
        <v>798</v>
      </c>
      <c r="K263" s="1311"/>
      <c r="L263" s="1311"/>
      <c r="M263" s="1311"/>
      <c r="N263" s="1311"/>
      <c r="O263" s="1311"/>
      <c r="P263" s="1311"/>
    </row>
    <row r="264" spans="1:20">
      <c r="A264" s="906" t="s">
        <v>18</v>
      </c>
      <c r="C264" s="879">
        <f>CALCULADORA_2021!AQ16</f>
        <v>0</v>
      </c>
      <c r="D264" s="1112"/>
      <c r="E264" s="723" t="s">
        <v>83</v>
      </c>
      <c r="F264" s="728"/>
      <c r="G264" s="723"/>
      <c r="J264" s="1306"/>
      <c r="K264" s="1306"/>
      <c r="L264" s="1306"/>
      <c r="M264" s="1306"/>
      <c r="N264" s="1306"/>
      <c r="O264" s="1306"/>
      <c r="P264" s="1306"/>
    </row>
    <row r="265" spans="1:20">
      <c r="A265" s="906" t="s">
        <v>18</v>
      </c>
      <c r="C265" s="879">
        <f>CALCULADORA_2021!AR16</f>
        <v>0</v>
      </c>
      <c r="D265" s="1112"/>
      <c r="E265" s="723" t="s">
        <v>84</v>
      </c>
      <c r="F265" s="728"/>
      <c r="G265" s="723"/>
      <c r="J265" s="1312"/>
      <c r="K265" s="1312"/>
      <c r="L265" s="1312"/>
      <c r="M265" s="1312"/>
      <c r="N265" s="1312"/>
      <c r="O265" s="1312"/>
      <c r="P265" s="1312"/>
    </row>
    <row r="266" spans="1:20">
      <c r="A266" s="906" t="s">
        <v>18</v>
      </c>
      <c r="C266" s="878">
        <f>CALCULADORA_2021!AS16</f>
        <v>0</v>
      </c>
      <c r="D266" s="1111"/>
      <c r="E266" s="727" t="s">
        <v>769</v>
      </c>
      <c r="F266" s="728"/>
      <c r="G266" s="723"/>
      <c r="J266" s="721" t="s">
        <v>799</v>
      </c>
      <c r="K266" s="721"/>
      <c r="L266" s="721"/>
      <c r="M266" s="721"/>
      <c r="N266" s="721"/>
      <c r="O266" s="721"/>
      <c r="P266" s="721"/>
    </row>
    <row r="267" spans="1:20">
      <c r="A267" s="906" t="s">
        <v>18</v>
      </c>
      <c r="C267" s="873"/>
      <c r="D267" s="132"/>
    </row>
    <row r="268" spans="1:20">
      <c r="A268" s="906" t="s">
        <v>18</v>
      </c>
      <c r="C268" s="873"/>
      <c r="D268" s="132"/>
      <c r="F268" s="520"/>
    </row>
    <row r="269" spans="1:20">
      <c r="A269" s="906" t="s">
        <v>18</v>
      </c>
      <c r="C269" s="738">
        <f>CALCULADORA_2021!AU16</f>
        <v>225.94800000000001</v>
      </c>
      <c r="D269" s="1113"/>
      <c r="E269" s="739" t="s">
        <v>811</v>
      </c>
      <c r="F269" s="739"/>
      <c r="G269" s="739"/>
      <c r="J269" s="737" t="s">
        <v>1188</v>
      </c>
      <c r="K269" s="737"/>
      <c r="L269" s="737"/>
      <c r="M269" s="737"/>
      <c r="N269" s="737"/>
      <c r="O269" s="737"/>
      <c r="P269" s="737"/>
      <c r="R269" s="737"/>
      <c r="S269" s="737"/>
      <c r="T269" s="737"/>
    </row>
    <row r="270" spans="1:20">
      <c r="A270" s="906" t="s">
        <v>18</v>
      </c>
      <c r="C270" s="1027">
        <f>CALCULADORA_2021!AV16</f>
        <v>94</v>
      </c>
      <c r="D270" s="1114"/>
      <c r="E270" s="1029" t="s">
        <v>1397</v>
      </c>
      <c r="F270" s="1029"/>
      <c r="G270" s="1029"/>
      <c r="J270" s="1031" t="s">
        <v>1188</v>
      </c>
      <c r="K270" s="1031"/>
      <c r="L270" s="1031"/>
      <c r="M270" s="1031"/>
      <c r="N270" s="1031"/>
      <c r="O270" s="1031"/>
      <c r="P270" s="1031"/>
      <c r="R270" s="737"/>
      <c r="S270" s="737"/>
      <c r="T270" s="737"/>
    </row>
    <row r="271" spans="1:20">
      <c r="A271" s="906"/>
      <c r="C271" s="741"/>
      <c r="D271" s="1115"/>
    </row>
    <row r="272" spans="1:20" ht="15" customHeight="1">
      <c r="A272" s="906" t="s">
        <v>18</v>
      </c>
      <c r="C272" s="730"/>
      <c r="D272" s="1084"/>
      <c r="E272" s="731"/>
      <c r="F272" s="731"/>
      <c r="G272" s="731"/>
      <c r="R272" s="1305" t="s">
        <v>770</v>
      </c>
      <c r="S272" s="1305"/>
      <c r="T272" s="1305"/>
    </row>
    <row r="273" spans="1:20">
      <c r="A273" s="906" t="s">
        <v>18</v>
      </c>
      <c r="C273" s="732">
        <f>CALCULADORA_2021!AX16</f>
        <v>94.14500000000001</v>
      </c>
      <c r="D273" s="1085"/>
      <c r="E273" s="733" t="s">
        <v>772</v>
      </c>
      <c r="F273" s="733"/>
      <c r="G273" s="733"/>
      <c r="J273" s="737" t="s">
        <v>771</v>
      </c>
      <c r="K273" s="737"/>
      <c r="L273" s="737"/>
      <c r="M273" s="737"/>
      <c r="N273" s="737"/>
      <c r="O273" s="737"/>
      <c r="P273" s="737"/>
      <c r="R273" s="1306"/>
      <c r="S273" s="1306"/>
      <c r="T273" s="1306"/>
    </row>
    <row r="274" spans="1:20">
      <c r="A274" s="906" t="s">
        <v>18</v>
      </c>
      <c r="C274" s="734">
        <f>CALCULADORA_2021!AY16</f>
        <v>1891.3730500000001</v>
      </c>
      <c r="D274" s="1086"/>
      <c r="E274" s="733" t="s">
        <v>773</v>
      </c>
      <c r="F274" s="733"/>
      <c r="G274" s="733"/>
    </row>
    <row r="275" spans="1:20">
      <c r="A275" s="906" t="s">
        <v>18</v>
      </c>
      <c r="C275" s="734">
        <f>CALCULADORA_2021!BA16</f>
        <v>1031.6580272727274</v>
      </c>
      <c r="D275" s="1086"/>
      <c r="E275" s="733" t="s">
        <v>774</v>
      </c>
      <c r="F275" s="733"/>
      <c r="G275" s="733"/>
    </row>
    <row r="276" spans="1:20" ht="15" customHeight="1">
      <c r="A276" s="906" t="s">
        <v>18</v>
      </c>
      <c r="C276" s="735">
        <f>CALCULADORA_2021!BB16</f>
        <v>17.194300454545456</v>
      </c>
      <c r="D276" s="1087"/>
      <c r="E276" s="733" t="s">
        <v>775</v>
      </c>
      <c r="F276" s="736"/>
      <c r="G276" s="733"/>
    </row>
    <row r="288" spans="1:20" s="210" customFormat="1">
      <c r="A288" s="210" t="s">
        <v>776</v>
      </c>
      <c r="C288" s="690" t="s">
        <v>777</v>
      </c>
      <c r="D288" s="1081"/>
      <c r="J288" s="742" t="s">
        <v>758</v>
      </c>
      <c r="K288" s="742"/>
      <c r="L288" s="742"/>
      <c r="M288" s="742"/>
      <c r="N288" s="742"/>
      <c r="O288" s="742"/>
      <c r="P288" s="742"/>
      <c r="R288" s="742" t="s">
        <v>759</v>
      </c>
      <c r="S288" s="742"/>
      <c r="T288" s="742"/>
    </row>
    <row r="289" spans="1:18">
      <c r="A289" s="906" t="s">
        <v>54</v>
      </c>
      <c r="C289" s="880"/>
      <c r="D289" s="1095"/>
      <c r="E289" s="1307" t="s">
        <v>24</v>
      </c>
      <c r="F289" s="1307"/>
      <c r="G289" s="1307"/>
    </row>
    <row r="290" spans="1:18">
      <c r="A290" s="906" t="s">
        <v>54</v>
      </c>
      <c r="C290" s="881"/>
      <c r="D290" s="1096"/>
      <c r="E290" s="697"/>
      <c r="F290" s="697"/>
      <c r="G290" s="697"/>
      <c r="J290" s="704" t="s">
        <v>760</v>
      </c>
      <c r="K290" s="704"/>
      <c r="L290" s="704"/>
      <c r="M290" s="704"/>
      <c r="N290" s="704"/>
      <c r="O290" s="704"/>
      <c r="P290" s="704"/>
    </row>
    <row r="291" spans="1:18">
      <c r="A291" s="906" t="s">
        <v>54</v>
      </c>
      <c r="C291" s="882"/>
      <c r="D291" s="1097"/>
      <c r="E291" s="695" t="s">
        <v>752</v>
      </c>
      <c r="F291" s="692"/>
      <c r="G291" s="694"/>
      <c r="J291" s="704" t="s">
        <v>761</v>
      </c>
      <c r="K291" s="704"/>
      <c r="L291" s="704"/>
      <c r="M291" s="704"/>
      <c r="N291" s="704"/>
      <c r="O291" s="704"/>
      <c r="P291" s="704"/>
    </row>
    <row r="292" spans="1:18" ht="15" customHeight="1">
      <c r="A292" s="906" t="s">
        <v>54</v>
      </c>
      <c r="B292" s="30"/>
      <c r="C292" s="882"/>
      <c r="D292" s="1097"/>
      <c r="E292" s="695" t="s">
        <v>417</v>
      </c>
      <c r="F292" s="694"/>
      <c r="G292" s="696"/>
      <c r="J292" s="705" t="s">
        <v>783</v>
      </c>
      <c r="K292" s="706"/>
      <c r="L292" s="707"/>
      <c r="M292" s="704"/>
      <c r="N292" s="704"/>
      <c r="O292" s="704"/>
      <c r="P292" s="704"/>
    </row>
    <row r="293" spans="1:18" ht="15" customHeight="1">
      <c r="A293" s="906" t="s">
        <v>54</v>
      </c>
      <c r="B293" s="30"/>
      <c r="C293" s="882"/>
      <c r="D293" s="1097"/>
      <c r="E293" s="695" t="s">
        <v>718</v>
      </c>
      <c r="F293" s="692"/>
      <c r="G293" s="694"/>
      <c r="J293" s="705" t="s">
        <v>785</v>
      </c>
      <c r="K293" s="706"/>
      <c r="L293" s="706"/>
      <c r="M293" s="706"/>
      <c r="N293" s="706"/>
      <c r="O293" s="706"/>
      <c r="P293" s="707"/>
    </row>
    <row r="294" spans="1:18" ht="15" customHeight="1">
      <c r="A294" s="906" t="s">
        <v>54</v>
      </c>
      <c r="B294" s="30"/>
      <c r="C294" s="883"/>
      <c r="D294" s="1098"/>
      <c r="E294" s="701" t="s">
        <v>784</v>
      </c>
      <c r="F294" s="693"/>
      <c r="G294" s="694"/>
      <c r="J294" s="1308" t="s">
        <v>787</v>
      </c>
      <c r="K294" s="1308"/>
      <c r="L294" s="1308"/>
      <c r="M294" s="1308"/>
      <c r="N294" s="1308"/>
      <c r="O294" s="1308"/>
      <c r="P294" s="1308"/>
    </row>
    <row r="295" spans="1:18" ht="15" customHeight="1">
      <c r="A295" s="906" t="s">
        <v>54</v>
      </c>
      <c r="B295" s="30"/>
      <c r="C295" s="884"/>
      <c r="D295" s="1099"/>
      <c r="E295" s="702" t="s">
        <v>719</v>
      </c>
      <c r="F295" s="699"/>
      <c r="G295" s="700"/>
      <c r="J295" s="1306"/>
      <c r="K295" s="1306"/>
      <c r="L295" s="1306"/>
      <c r="M295" s="1306"/>
      <c r="N295" s="1306"/>
      <c r="O295" s="1306"/>
      <c r="P295" s="1306"/>
    </row>
    <row r="296" spans="1:18" ht="36" customHeight="1">
      <c r="A296" s="906" t="s">
        <v>54</v>
      </c>
      <c r="B296" s="30"/>
      <c r="C296" s="885"/>
      <c r="D296" s="1100"/>
      <c r="E296" s="698"/>
      <c r="F296" s="698"/>
      <c r="G296" s="698"/>
      <c r="H296" s="691"/>
      <c r="I296" s="691"/>
      <c r="J296" s="1309"/>
      <c r="K296" s="1309"/>
      <c r="L296" s="1309"/>
      <c r="M296" s="1309"/>
      <c r="N296" s="1309"/>
      <c r="O296" s="1309"/>
      <c r="P296" s="1309"/>
    </row>
    <row r="297" spans="1:18" ht="15" customHeight="1">
      <c r="A297" s="906" t="s">
        <v>54</v>
      </c>
      <c r="C297" s="886">
        <f>CALCULADORA_2021!L17</f>
        <v>70</v>
      </c>
      <c r="D297" s="1101"/>
      <c r="E297" s="695" t="s">
        <v>823</v>
      </c>
      <c r="F297" s="693"/>
      <c r="G297" s="694"/>
      <c r="J297" s="1310" t="s">
        <v>827</v>
      </c>
      <c r="K297" s="1310"/>
      <c r="L297" s="1310"/>
      <c r="M297" s="1310"/>
      <c r="N297" s="1310"/>
      <c r="O297" s="1310"/>
      <c r="P297" s="1310"/>
      <c r="R297" s="27" t="s">
        <v>828</v>
      </c>
    </row>
    <row r="298" spans="1:18">
      <c r="A298" s="906" t="s">
        <v>54</v>
      </c>
      <c r="C298" s="873"/>
      <c r="D298" s="132"/>
      <c r="R298" s="27" t="s">
        <v>829</v>
      </c>
    </row>
    <row r="299" spans="1:18">
      <c r="A299" s="906" t="s">
        <v>54</v>
      </c>
      <c r="C299" s="869"/>
      <c r="D299" s="1102"/>
      <c r="E299" s="708" t="s">
        <v>419</v>
      </c>
      <c r="F299" s="708"/>
      <c r="G299" s="708"/>
    </row>
    <row r="300" spans="1:18">
      <c r="A300" s="906" t="s">
        <v>54</v>
      </c>
      <c r="C300" s="869"/>
      <c r="D300" s="1102"/>
      <c r="E300" s="708" t="s">
        <v>362</v>
      </c>
      <c r="F300" s="708"/>
      <c r="G300" s="708"/>
      <c r="J300" s="712" t="s">
        <v>789</v>
      </c>
      <c r="K300" s="712"/>
      <c r="L300" s="712"/>
      <c r="M300" s="712"/>
      <c r="N300" s="712"/>
      <c r="O300" s="712"/>
      <c r="P300" s="712"/>
    </row>
    <row r="301" spans="1:18">
      <c r="A301" s="906" t="s">
        <v>54</v>
      </c>
      <c r="C301" s="870"/>
      <c r="D301" s="1103"/>
      <c r="E301" s="708" t="s">
        <v>720</v>
      </c>
      <c r="F301" s="708"/>
      <c r="G301" s="708"/>
      <c r="J301" s="712" t="s">
        <v>790</v>
      </c>
      <c r="K301" s="712"/>
      <c r="L301" s="712"/>
      <c r="M301" s="712"/>
      <c r="N301" s="712"/>
      <c r="O301" s="712"/>
      <c r="P301" s="712"/>
    </row>
    <row r="302" spans="1:18" ht="15" customHeight="1">
      <c r="A302" s="906" t="s">
        <v>54</v>
      </c>
      <c r="C302" s="871"/>
      <c r="D302" s="1104"/>
      <c r="E302" s="709" t="s">
        <v>363</v>
      </c>
      <c r="F302" s="710"/>
      <c r="G302" s="708"/>
      <c r="J302" s="712" t="s">
        <v>462</v>
      </c>
      <c r="K302" s="712"/>
      <c r="L302" s="712"/>
      <c r="M302" s="712"/>
      <c r="N302" s="712"/>
      <c r="O302" s="712"/>
      <c r="P302" s="712"/>
    </row>
    <row r="303" spans="1:18" ht="15" customHeight="1">
      <c r="A303" s="906" t="s">
        <v>54</v>
      </c>
      <c r="C303" s="871"/>
      <c r="D303" s="1104"/>
      <c r="E303" s="709" t="s">
        <v>432</v>
      </c>
      <c r="F303" s="710"/>
      <c r="G303" s="708"/>
      <c r="J303" s="712" t="s">
        <v>791</v>
      </c>
      <c r="K303" s="712"/>
      <c r="L303" s="712"/>
      <c r="M303" s="712"/>
      <c r="N303" s="712"/>
      <c r="O303" s="712"/>
      <c r="P303" s="712"/>
    </row>
    <row r="304" spans="1:18" ht="15" customHeight="1">
      <c r="A304" s="906" t="s">
        <v>54</v>
      </c>
      <c r="C304" s="871"/>
      <c r="D304" s="1104"/>
      <c r="E304" s="709" t="s">
        <v>431</v>
      </c>
      <c r="F304" s="710"/>
      <c r="G304" s="708"/>
      <c r="J304" s="712" t="s">
        <v>792</v>
      </c>
      <c r="K304" s="712"/>
      <c r="L304" s="712"/>
      <c r="M304" s="712"/>
      <c r="N304" s="712"/>
      <c r="O304" s="712"/>
      <c r="P304" s="712"/>
    </row>
    <row r="305" spans="1:16" ht="15" customHeight="1">
      <c r="A305" s="906" t="s">
        <v>54</v>
      </c>
      <c r="C305" s="871"/>
      <c r="D305" s="1104"/>
      <c r="E305" s="709" t="s">
        <v>721</v>
      </c>
      <c r="F305" s="710"/>
      <c r="G305" s="708"/>
      <c r="J305" s="712" t="s">
        <v>793</v>
      </c>
      <c r="K305" s="712"/>
      <c r="L305" s="712"/>
      <c r="M305" s="712"/>
      <c r="N305" s="712"/>
      <c r="O305" s="712"/>
      <c r="P305" s="712"/>
    </row>
    <row r="306" spans="1:16">
      <c r="A306" s="906" t="s">
        <v>54</v>
      </c>
      <c r="C306" s="872"/>
      <c r="D306" s="1105"/>
      <c r="E306" s="708" t="s">
        <v>420</v>
      </c>
      <c r="F306" s="710"/>
      <c r="G306" s="708"/>
      <c r="J306" s="712" t="s">
        <v>794</v>
      </c>
      <c r="K306" s="712"/>
      <c r="L306" s="712"/>
      <c r="M306" s="712"/>
      <c r="N306" s="712"/>
      <c r="O306" s="712"/>
      <c r="P306" s="712"/>
    </row>
    <row r="307" spans="1:16">
      <c r="A307" s="906" t="s">
        <v>54</v>
      </c>
      <c r="C307" s="872"/>
      <c r="D307" s="1105"/>
      <c r="E307" s="708" t="s">
        <v>421</v>
      </c>
      <c r="F307" s="710"/>
      <c r="G307" s="708"/>
      <c r="J307" s="712" t="s">
        <v>795</v>
      </c>
      <c r="K307" s="712"/>
      <c r="L307" s="712"/>
      <c r="M307" s="712"/>
      <c r="N307" s="712"/>
      <c r="O307" s="712"/>
      <c r="P307" s="712"/>
    </row>
    <row r="308" spans="1:16">
      <c r="A308" s="906" t="s">
        <v>54</v>
      </c>
      <c r="C308" s="873"/>
      <c r="D308" s="132"/>
      <c r="F308" s="520"/>
    </row>
    <row r="309" spans="1:16">
      <c r="A309" s="906" t="s">
        <v>54</v>
      </c>
      <c r="C309" s="874">
        <f>CALCULADORA_2021!Z17</f>
        <v>2.9249999999999998</v>
      </c>
      <c r="D309" s="1106"/>
      <c r="E309" s="716" t="s">
        <v>422</v>
      </c>
      <c r="F309" s="716"/>
      <c r="G309" s="716"/>
      <c r="J309" s="715" t="s">
        <v>390</v>
      </c>
      <c r="K309" s="715"/>
      <c r="L309" s="715"/>
      <c r="M309" s="715"/>
      <c r="N309" s="715"/>
      <c r="O309" s="715"/>
      <c r="P309" s="715"/>
    </row>
    <row r="310" spans="1:16">
      <c r="A310" s="906" t="s">
        <v>54</v>
      </c>
      <c r="C310" s="874">
        <f>CALCULADORA_2021!AB17</f>
        <v>7.7501920987785163E-6</v>
      </c>
      <c r="D310" s="1106"/>
      <c r="E310" s="716" t="s">
        <v>267</v>
      </c>
      <c r="F310" s="716"/>
      <c r="G310" s="716"/>
      <c r="J310" s="715" t="s">
        <v>852</v>
      </c>
      <c r="K310" s="715"/>
      <c r="L310" s="715"/>
      <c r="M310" s="715"/>
      <c r="N310" s="715"/>
      <c r="O310" s="715"/>
      <c r="P310" s="715"/>
    </row>
    <row r="311" spans="1:16">
      <c r="A311" s="906" t="s">
        <v>54</v>
      </c>
      <c r="C311" s="873"/>
      <c r="D311" s="132"/>
      <c r="F311" s="520"/>
    </row>
    <row r="312" spans="1:16">
      <c r="A312" s="906" t="s">
        <v>54</v>
      </c>
      <c r="C312" s="875">
        <f>CALCULADORA_2021!AF17</f>
        <v>2.8087499999999999</v>
      </c>
      <c r="D312" s="1107"/>
      <c r="E312" s="717" t="s">
        <v>796</v>
      </c>
      <c r="F312" s="717"/>
      <c r="G312" s="717"/>
      <c r="J312" s="718" t="s">
        <v>830</v>
      </c>
      <c r="K312" s="718"/>
      <c r="L312" s="718"/>
      <c r="M312" s="718"/>
      <c r="N312" s="718"/>
      <c r="O312" s="718"/>
      <c r="P312" s="718"/>
    </row>
    <row r="313" spans="1:16">
      <c r="A313" s="906" t="s">
        <v>54</v>
      </c>
      <c r="C313" s="875">
        <f>CALCULADORA_2021!AG17</f>
        <v>0.28087499999999999</v>
      </c>
      <c r="D313" s="1107"/>
      <c r="E313" s="717" t="s">
        <v>423</v>
      </c>
      <c r="F313" s="717"/>
      <c r="G313" s="717"/>
      <c r="J313" s="719" t="s">
        <v>764</v>
      </c>
      <c r="K313" s="719"/>
      <c r="L313" s="719"/>
      <c r="M313" s="719"/>
      <c r="N313" s="719"/>
      <c r="O313" s="719"/>
      <c r="P313" s="719"/>
    </row>
    <row r="314" spans="1:16">
      <c r="A314" s="906" t="s">
        <v>54</v>
      </c>
      <c r="C314" s="876">
        <f>CALCULADORA_2021!AH17</f>
        <v>2.80875E-6</v>
      </c>
      <c r="D314" s="1108"/>
      <c r="E314" s="717" t="s">
        <v>424</v>
      </c>
      <c r="F314" s="717"/>
      <c r="G314" s="717"/>
      <c r="J314" s="719" t="s">
        <v>765</v>
      </c>
      <c r="K314" s="719"/>
      <c r="L314" s="719"/>
      <c r="M314" s="719"/>
      <c r="N314" s="719"/>
      <c r="O314" s="719"/>
      <c r="P314" s="719"/>
    </row>
    <row r="315" spans="1:16">
      <c r="A315" s="906" t="s">
        <v>54</v>
      </c>
      <c r="C315" s="873"/>
      <c r="D315" s="132"/>
      <c r="F315" s="520"/>
    </row>
    <row r="316" spans="1:16">
      <c r="A316" s="906" t="s">
        <v>54</v>
      </c>
      <c r="C316" s="724">
        <f>CALCULADORA_2021!AJ17</f>
        <v>0</v>
      </c>
      <c r="D316" s="1109"/>
      <c r="E316" s="723" t="s">
        <v>170</v>
      </c>
      <c r="F316" s="723"/>
      <c r="G316" s="723"/>
      <c r="J316" s="720"/>
      <c r="K316" s="720"/>
      <c r="L316" s="720"/>
      <c r="M316" s="720"/>
      <c r="N316" s="720"/>
      <c r="O316" s="720"/>
      <c r="P316" s="720"/>
    </row>
    <row r="317" spans="1:16" ht="15" customHeight="1">
      <c r="A317" s="906" t="s">
        <v>54</v>
      </c>
      <c r="C317" s="724">
        <f>CALCULADORA_2021!AL17</f>
        <v>183.75</v>
      </c>
      <c r="D317" s="1109"/>
      <c r="E317" s="723" t="s">
        <v>425</v>
      </c>
      <c r="F317" s="723"/>
      <c r="G317" s="723"/>
      <c r="J317" s="1311" t="s">
        <v>863</v>
      </c>
      <c r="K317" s="1311"/>
      <c r="L317" s="1311"/>
      <c r="M317" s="1311"/>
      <c r="N317" s="1311"/>
      <c r="O317" s="1311"/>
      <c r="P317" s="1311"/>
    </row>
    <row r="318" spans="1:16" ht="37.5" customHeight="1">
      <c r="A318" s="906" t="s">
        <v>54</v>
      </c>
      <c r="C318" s="722"/>
      <c r="D318" s="1116"/>
      <c r="E318" s="723"/>
      <c r="F318" s="723"/>
      <c r="G318" s="723"/>
      <c r="J318" s="1312"/>
      <c r="K318" s="1312"/>
      <c r="L318" s="1312"/>
      <c r="M318" s="1312"/>
      <c r="N318" s="1312"/>
      <c r="O318" s="1312"/>
      <c r="P318" s="1312"/>
    </row>
    <row r="319" spans="1:16">
      <c r="A319" s="906" t="s">
        <v>54</v>
      </c>
      <c r="C319" s="724"/>
      <c r="D319" s="1109"/>
      <c r="E319" s="723" t="s">
        <v>766</v>
      </c>
      <c r="F319" s="723"/>
      <c r="G319" s="723"/>
      <c r="J319" s="721" t="s">
        <v>778</v>
      </c>
      <c r="K319" s="721"/>
      <c r="L319" s="721"/>
      <c r="M319" s="721"/>
      <c r="N319" s="721"/>
      <c r="O319" s="721"/>
      <c r="P319" s="721"/>
    </row>
    <row r="320" spans="1:16">
      <c r="A320" s="906" t="s">
        <v>54</v>
      </c>
      <c r="C320" s="725"/>
      <c r="D320" s="1117"/>
      <c r="E320" s="723" t="s">
        <v>426</v>
      </c>
      <c r="F320" s="723"/>
      <c r="G320" s="723"/>
      <c r="J320" s="721" t="s">
        <v>779</v>
      </c>
      <c r="K320" s="721"/>
      <c r="L320" s="721"/>
      <c r="M320" s="721"/>
      <c r="N320" s="721"/>
      <c r="O320" s="721"/>
      <c r="P320" s="721"/>
    </row>
    <row r="321" spans="1:20" ht="15" customHeight="1">
      <c r="A321" s="906" t="s">
        <v>54</v>
      </c>
      <c r="C321" s="726"/>
      <c r="D321" s="1118"/>
      <c r="E321" s="727" t="s">
        <v>767</v>
      </c>
      <c r="F321" s="728"/>
      <c r="G321" s="723"/>
      <c r="J321" s="721" t="s">
        <v>780</v>
      </c>
      <c r="K321" s="721"/>
      <c r="L321" s="721"/>
      <c r="M321" s="721"/>
      <c r="N321" s="721"/>
      <c r="O321" s="721"/>
      <c r="P321" s="721"/>
    </row>
    <row r="322" spans="1:20" ht="15" customHeight="1">
      <c r="A322" s="906" t="s">
        <v>54</v>
      </c>
      <c r="C322" s="729"/>
      <c r="D322" s="1119"/>
      <c r="E322" s="723" t="s">
        <v>427</v>
      </c>
      <c r="F322" s="728"/>
      <c r="G322" s="723"/>
      <c r="J322" s="1311" t="s">
        <v>798</v>
      </c>
      <c r="K322" s="1311"/>
      <c r="L322" s="1311"/>
      <c r="M322" s="1311"/>
      <c r="N322" s="1311"/>
      <c r="O322" s="1311"/>
      <c r="P322" s="1311"/>
    </row>
    <row r="323" spans="1:20">
      <c r="A323" s="906" t="s">
        <v>54</v>
      </c>
      <c r="C323" s="729"/>
      <c r="D323" s="1119"/>
      <c r="E323" s="723" t="s">
        <v>83</v>
      </c>
      <c r="F323" s="728"/>
      <c r="G323" s="723"/>
      <c r="J323" s="1306"/>
      <c r="K323" s="1306"/>
      <c r="L323" s="1306"/>
      <c r="M323" s="1306"/>
      <c r="N323" s="1306"/>
      <c r="O323" s="1306"/>
      <c r="P323" s="1306"/>
    </row>
    <row r="324" spans="1:20">
      <c r="A324" s="906" t="s">
        <v>54</v>
      </c>
      <c r="C324" s="729"/>
      <c r="D324" s="1119"/>
      <c r="E324" s="723" t="s">
        <v>84</v>
      </c>
      <c r="F324" s="728"/>
      <c r="G324" s="723"/>
      <c r="J324" s="1312"/>
      <c r="K324" s="1312"/>
      <c r="L324" s="1312"/>
      <c r="M324" s="1312"/>
      <c r="N324" s="1312"/>
      <c r="O324" s="1312"/>
      <c r="P324" s="1312"/>
    </row>
    <row r="325" spans="1:20">
      <c r="A325" s="906" t="s">
        <v>54</v>
      </c>
      <c r="C325" s="726"/>
      <c r="D325" s="1118"/>
      <c r="E325" s="727" t="s">
        <v>769</v>
      </c>
      <c r="F325" s="728"/>
      <c r="G325" s="723"/>
      <c r="J325" s="721" t="s">
        <v>799</v>
      </c>
      <c r="K325" s="721"/>
      <c r="L325" s="721"/>
      <c r="M325" s="721"/>
      <c r="N325" s="721"/>
      <c r="O325" s="721"/>
      <c r="P325" s="721"/>
    </row>
    <row r="326" spans="1:20">
      <c r="A326" s="906" t="s">
        <v>54</v>
      </c>
    </row>
    <row r="327" spans="1:20">
      <c r="A327" s="906" t="s">
        <v>54</v>
      </c>
      <c r="F327" s="520"/>
    </row>
    <row r="328" spans="1:20">
      <c r="A328" s="906" t="s">
        <v>54</v>
      </c>
      <c r="C328" s="1030">
        <f>CALCULADORA_2021!AU17</f>
        <v>112.5</v>
      </c>
      <c r="D328" s="1120"/>
      <c r="E328" s="1029" t="s">
        <v>811</v>
      </c>
      <c r="F328" s="1029"/>
      <c r="G328" s="1029"/>
      <c r="J328" s="737" t="s">
        <v>831</v>
      </c>
      <c r="K328" s="737"/>
      <c r="L328" s="737"/>
      <c r="M328" s="737"/>
      <c r="N328" s="737"/>
      <c r="O328" s="737"/>
      <c r="P328" s="737"/>
      <c r="R328" s="737"/>
      <c r="S328" s="737"/>
      <c r="T328" s="737"/>
    </row>
    <row r="329" spans="1:20" ht="15" customHeight="1">
      <c r="A329" s="906" t="s">
        <v>54</v>
      </c>
      <c r="C329" s="730"/>
      <c r="D329" s="1084"/>
      <c r="E329" s="731"/>
      <c r="F329" s="731"/>
      <c r="G329" s="731"/>
      <c r="R329" s="1305" t="s">
        <v>770</v>
      </c>
      <c r="S329" s="1305"/>
      <c r="T329" s="1305"/>
    </row>
    <row r="330" spans="1:20">
      <c r="A330" s="906" t="s">
        <v>54</v>
      </c>
      <c r="C330" s="732">
        <f>CALCULADORA_2021!AX17</f>
        <v>46.875</v>
      </c>
      <c r="D330" s="1085"/>
      <c r="E330" s="733" t="s">
        <v>772</v>
      </c>
      <c r="F330" s="733"/>
      <c r="G330" s="733"/>
      <c r="J330" s="737" t="s">
        <v>771</v>
      </c>
      <c r="K330" s="737"/>
      <c r="L330" s="737"/>
      <c r="M330" s="737"/>
      <c r="N330" s="737"/>
      <c r="O330" s="737"/>
      <c r="P330" s="737"/>
      <c r="R330" s="1306"/>
      <c r="S330" s="1306"/>
      <c r="T330" s="1306"/>
    </row>
    <row r="331" spans="1:20">
      <c r="A331" s="906" t="s">
        <v>54</v>
      </c>
      <c r="C331" s="734">
        <f>CALCULADORA_2021!AY17</f>
        <v>941.71875</v>
      </c>
      <c r="D331" s="1086"/>
      <c r="E331" s="733" t="s">
        <v>773</v>
      </c>
      <c r="F331" s="733"/>
      <c r="G331" s="733"/>
    </row>
    <row r="332" spans="1:20">
      <c r="A332" s="906" t="s">
        <v>54</v>
      </c>
      <c r="C332" s="734">
        <f>CALCULADORA_2021!BA17</f>
        <v>513.66477272727275</v>
      </c>
      <c r="D332" s="1086"/>
      <c r="E332" s="733" t="s">
        <v>774</v>
      </c>
      <c r="F332" s="733"/>
      <c r="G332" s="733"/>
    </row>
    <row r="333" spans="1:20" ht="15" customHeight="1">
      <c r="A333" s="906" t="s">
        <v>54</v>
      </c>
      <c r="C333" s="735">
        <f>CALCULADORA_2021!BB17</f>
        <v>8.561079545454545</v>
      </c>
      <c r="D333" s="1087"/>
      <c r="E333" s="733" t="s">
        <v>775</v>
      </c>
      <c r="F333" s="736"/>
      <c r="G333" s="733"/>
    </row>
    <row r="334" spans="1:20">
      <c r="A334" s="906" t="s">
        <v>54</v>
      </c>
    </row>
    <row r="335" spans="1:20">
      <c r="A335" s="906" t="s">
        <v>54</v>
      </c>
    </row>
    <row r="336" spans="1:20">
      <c r="A336" s="906" t="s">
        <v>54</v>
      </c>
    </row>
    <row r="337" spans="1:20">
      <c r="A337" s="906" t="s">
        <v>54</v>
      </c>
    </row>
    <row r="338" spans="1:20">
      <c r="A338" s="906" t="s">
        <v>54</v>
      </c>
    </row>
    <row r="339" spans="1:20">
      <c r="A339" s="906" t="s">
        <v>54</v>
      </c>
    </row>
    <row r="340" spans="1:20">
      <c r="A340" s="906" t="s">
        <v>54</v>
      </c>
    </row>
    <row r="341" spans="1:20">
      <c r="A341" s="906" t="s">
        <v>54</v>
      </c>
    </row>
    <row r="342" spans="1:20">
      <c r="A342" s="906" t="s">
        <v>54</v>
      </c>
    </row>
    <row r="343" spans="1:20">
      <c r="A343" s="906" t="s">
        <v>54</v>
      </c>
    </row>
    <row r="344" spans="1:20" s="210" customFormat="1">
      <c r="A344" s="906" t="s">
        <v>54</v>
      </c>
      <c r="C344" s="690" t="s">
        <v>777</v>
      </c>
      <c r="D344" s="1081"/>
      <c r="J344" s="210" t="s">
        <v>758</v>
      </c>
      <c r="K344" s="742"/>
      <c r="L344" s="742"/>
      <c r="M344" s="742"/>
      <c r="N344" s="742"/>
      <c r="O344" s="742"/>
      <c r="P344" s="742"/>
      <c r="R344" s="742" t="s">
        <v>759</v>
      </c>
      <c r="S344" s="742"/>
      <c r="T344" s="742"/>
    </row>
    <row r="345" spans="1:20" ht="15" customHeight="1">
      <c r="A345" s="906" t="s">
        <v>54</v>
      </c>
      <c r="C345" s="880">
        <f>CALCULADORA_2021!E18</f>
        <v>948.8</v>
      </c>
      <c r="D345" s="1095"/>
      <c r="E345" s="1307" t="s">
        <v>24</v>
      </c>
      <c r="F345" s="1307"/>
      <c r="G345" s="1307"/>
      <c r="J345" s="743" t="s">
        <v>833</v>
      </c>
      <c r="R345" s="1308" t="s">
        <v>832</v>
      </c>
      <c r="S345" s="1308"/>
      <c r="T345" s="1308"/>
    </row>
    <row r="346" spans="1:20">
      <c r="A346" s="906" t="s">
        <v>54</v>
      </c>
      <c r="C346" s="881"/>
      <c r="D346" s="1096"/>
      <c r="E346" s="697"/>
      <c r="F346" s="697"/>
      <c r="G346" s="697"/>
      <c r="K346" s="704"/>
      <c r="L346" s="704"/>
      <c r="M346" s="704"/>
      <c r="N346" s="704"/>
      <c r="O346" s="704"/>
      <c r="P346" s="704"/>
      <c r="R346" s="1306"/>
      <c r="S346" s="1306"/>
      <c r="T346" s="1306"/>
    </row>
    <row r="347" spans="1:20">
      <c r="A347" s="906" t="s">
        <v>54</v>
      </c>
      <c r="C347" s="882">
        <f>CALCULADORA_2021!F18</f>
        <v>15813.333333333334</v>
      </c>
      <c r="D347" s="1097"/>
      <c r="E347" s="695" t="s">
        <v>752</v>
      </c>
      <c r="F347" s="692"/>
      <c r="G347" s="694"/>
      <c r="J347" s="704" t="s">
        <v>760</v>
      </c>
      <c r="K347" s="704"/>
      <c r="L347" s="704"/>
      <c r="M347" s="704"/>
      <c r="N347" s="704"/>
      <c r="O347" s="704"/>
      <c r="P347" s="704"/>
    </row>
    <row r="348" spans="1:20" ht="15" customHeight="1">
      <c r="A348" s="906" t="s">
        <v>54</v>
      </c>
      <c r="B348" s="30"/>
      <c r="C348" s="882">
        <f>CALCULADORA_2021!G18</f>
        <v>105422.22222222222</v>
      </c>
      <c r="D348" s="1097"/>
      <c r="E348" s="695" t="s">
        <v>417</v>
      </c>
      <c r="F348" s="694"/>
      <c r="G348" s="696"/>
      <c r="J348" s="1310" t="s">
        <v>761</v>
      </c>
      <c r="K348" s="1310"/>
      <c r="L348" s="1310"/>
      <c r="M348" s="1310"/>
      <c r="N348" s="1310"/>
      <c r="O348" s="1310"/>
      <c r="P348" s="1310"/>
    </row>
    <row r="349" spans="1:20" ht="15" customHeight="1">
      <c r="A349" s="906" t="s">
        <v>54</v>
      </c>
      <c r="B349" s="30"/>
      <c r="C349" s="882">
        <f>CALCULADORA_2021!H18</f>
        <v>763.92914653784214</v>
      </c>
      <c r="D349" s="1097"/>
      <c r="E349" s="695" t="s">
        <v>718</v>
      </c>
      <c r="F349" s="692"/>
      <c r="G349" s="694"/>
      <c r="J349" s="1310" t="s">
        <v>783</v>
      </c>
      <c r="K349" s="1310"/>
      <c r="L349" s="1310"/>
      <c r="M349" s="1310"/>
      <c r="N349" s="1310"/>
      <c r="O349" s="1310"/>
      <c r="P349" s="1310"/>
    </row>
    <row r="350" spans="1:20" ht="15" customHeight="1">
      <c r="A350" s="906" t="s">
        <v>54</v>
      </c>
      <c r="B350" s="30"/>
      <c r="C350" s="883">
        <f>CALCULADORA_2021!J18</f>
        <v>984.23236514522819</v>
      </c>
      <c r="D350" s="1098"/>
      <c r="E350" s="701" t="s">
        <v>784</v>
      </c>
      <c r="F350" s="693"/>
      <c r="G350" s="694"/>
      <c r="J350" s="705" t="s">
        <v>785</v>
      </c>
      <c r="K350" s="908"/>
      <c r="L350" s="908"/>
      <c r="M350" s="908"/>
      <c r="N350" s="908"/>
      <c r="O350" s="908"/>
      <c r="P350" s="908"/>
    </row>
    <row r="351" spans="1:20" ht="15" customHeight="1">
      <c r="A351" s="906" t="s">
        <v>54</v>
      </c>
      <c r="B351" s="30"/>
      <c r="C351" s="884">
        <f>CALCULADORA_2021!K18</f>
        <v>50.969648133225895</v>
      </c>
      <c r="D351" s="1099"/>
      <c r="E351" s="702" t="s">
        <v>719</v>
      </c>
      <c r="F351" s="699"/>
      <c r="G351" s="700"/>
      <c r="J351" s="1306" t="s">
        <v>787</v>
      </c>
      <c r="K351" s="1306"/>
      <c r="L351" s="1306"/>
      <c r="M351" s="1306"/>
      <c r="N351" s="1306"/>
      <c r="O351" s="1306"/>
      <c r="P351" s="1306"/>
    </row>
    <row r="352" spans="1:20" ht="36" customHeight="1">
      <c r="A352" s="906" t="s">
        <v>54</v>
      </c>
      <c r="B352" s="30"/>
      <c r="C352" s="885"/>
      <c r="D352" s="1100"/>
      <c r="E352" s="698"/>
      <c r="F352" s="698"/>
      <c r="G352" s="698"/>
      <c r="H352" s="691"/>
      <c r="I352" s="691"/>
      <c r="J352" s="1309"/>
      <c r="K352" s="1309"/>
      <c r="L352" s="1309"/>
      <c r="M352" s="1309"/>
      <c r="N352" s="1309"/>
      <c r="O352" s="1309"/>
      <c r="P352" s="1309"/>
    </row>
    <row r="353" spans="1:16" ht="15" customHeight="1">
      <c r="A353" s="906" t="s">
        <v>54</v>
      </c>
      <c r="C353" s="886"/>
      <c r="D353" s="1101"/>
      <c r="E353" s="695" t="s">
        <v>822</v>
      </c>
      <c r="F353" s="693"/>
      <c r="G353" s="694"/>
      <c r="J353" s="907"/>
      <c r="K353" s="907"/>
      <c r="L353" s="907"/>
      <c r="M353" s="907"/>
      <c r="N353" s="907"/>
      <c r="O353" s="907"/>
      <c r="P353" s="907"/>
    </row>
    <row r="354" spans="1:16">
      <c r="A354" s="906" t="s">
        <v>54</v>
      </c>
      <c r="C354" s="873"/>
      <c r="D354" s="132"/>
    </row>
    <row r="355" spans="1:16">
      <c r="A355" s="906" t="s">
        <v>54</v>
      </c>
      <c r="C355" s="869"/>
      <c r="D355" s="1102"/>
      <c r="E355" s="708" t="s">
        <v>419</v>
      </c>
      <c r="F355" s="708"/>
      <c r="G355" s="708"/>
      <c r="J355" s="711"/>
      <c r="K355" s="711"/>
      <c r="L355" s="711"/>
      <c r="M355" s="711"/>
      <c r="N355" s="711"/>
      <c r="O355" s="711"/>
      <c r="P355" s="711"/>
    </row>
    <row r="356" spans="1:16">
      <c r="A356" s="906" t="s">
        <v>54</v>
      </c>
      <c r="C356" s="869"/>
      <c r="D356" s="1102"/>
      <c r="E356" s="708" t="s">
        <v>362</v>
      </c>
      <c r="F356" s="708"/>
      <c r="G356" s="708"/>
      <c r="J356" s="712" t="s">
        <v>789</v>
      </c>
      <c r="K356" s="712"/>
      <c r="L356" s="712"/>
      <c r="M356" s="712"/>
      <c r="N356" s="712"/>
      <c r="O356" s="712"/>
      <c r="P356" s="712"/>
    </row>
    <row r="357" spans="1:16">
      <c r="A357" s="906" t="s">
        <v>54</v>
      </c>
      <c r="C357" s="870"/>
      <c r="D357" s="1103"/>
      <c r="E357" s="708" t="s">
        <v>720</v>
      </c>
      <c r="F357" s="708"/>
      <c r="G357" s="708"/>
      <c r="J357" s="712" t="s">
        <v>790</v>
      </c>
      <c r="K357" s="712"/>
      <c r="L357" s="712"/>
      <c r="M357" s="712"/>
      <c r="N357" s="712"/>
      <c r="O357" s="712"/>
      <c r="P357" s="712"/>
    </row>
    <row r="358" spans="1:16" ht="15" customHeight="1">
      <c r="A358" s="906" t="s">
        <v>54</v>
      </c>
      <c r="C358" s="871"/>
      <c r="D358" s="1104"/>
      <c r="E358" s="709" t="s">
        <v>363</v>
      </c>
      <c r="F358" s="710"/>
      <c r="G358" s="708"/>
      <c r="J358" s="712" t="s">
        <v>462</v>
      </c>
      <c r="K358" s="712"/>
      <c r="L358" s="712"/>
      <c r="M358" s="712"/>
      <c r="N358" s="712"/>
      <c r="O358" s="712"/>
      <c r="P358" s="712"/>
    </row>
    <row r="359" spans="1:16" ht="15" customHeight="1">
      <c r="A359" s="906" t="s">
        <v>54</v>
      </c>
      <c r="C359" s="871"/>
      <c r="D359" s="1104"/>
      <c r="E359" s="709" t="s">
        <v>432</v>
      </c>
      <c r="F359" s="710"/>
      <c r="G359" s="708"/>
      <c r="J359" s="712" t="s">
        <v>791</v>
      </c>
      <c r="K359" s="712"/>
      <c r="L359" s="712"/>
      <c r="M359" s="712"/>
      <c r="N359" s="712"/>
      <c r="O359" s="712"/>
      <c r="P359" s="712"/>
    </row>
    <row r="360" spans="1:16" ht="15" customHeight="1">
      <c r="A360" s="906" t="s">
        <v>54</v>
      </c>
      <c r="C360" s="871"/>
      <c r="D360" s="1104"/>
      <c r="E360" s="709" t="s">
        <v>431</v>
      </c>
      <c r="F360" s="710"/>
      <c r="G360" s="708"/>
      <c r="J360" s="712" t="s">
        <v>792</v>
      </c>
      <c r="K360" s="712"/>
      <c r="L360" s="712"/>
      <c r="M360" s="712"/>
      <c r="N360" s="712"/>
      <c r="O360" s="712"/>
      <c r="P360" s="712"/>
    </row>
    <row r="361" spans="1:16" ht="15" customHeight="1">
      <c r="A361" s="906" t="s">
        <v>54</v>
      </c>
      <c r="C361" s="871"/>
      <c r="D361" s="1104"/>
      <c r="E361" s="709" t="s">
        <v>721</v>
      </c>
      <c r="F361" s="710"/>
      <c r="G361" s="708"/>
      <c r="J361" s="712" t="s">
        <v>793</v>
      </c>
      <c r="K361" s="712"/>
      <c r="L361" s="712"/>
      <c r="M361" s="712"/>
      <c r="N361" s="712"/>
      <c r="O361" s="712"/>
      <c r="P361" s="712"/>
    </row>
    <row r="362" spans="1:16">
      <c r="A362" s="906" t="s">
        <v>54</v>
      </c>
      <c r="C362" s="872"/>
      <c r="D362" s="1105"/>
      <c r="E362" s="708" t="s">
        <v>420</v>
      </c>
      <c r="F362" s="710"/>
      <c r="G362" s="708"/>
      <c r="J362" s="712" t="s">
        <v>794</v>
      </c>
      <c r="K362" s="712"/>
      <c r="L362" s="712"/>
      <c r="M362" s="712"/>
      <c r="N362" s="712"/>
      <c r="O362" s="712"/>
      <c r="P362" s="712"/>
    </row>
    <row r="363" spans="1:16">
      <c r="A363" s="906" t="s">
        <v>54</v>
      </c>
      <c r="C363" s="872"/>
      <c r="D363" s="1105"/>
      <c r="E363" s="708" t="s">
        <v>421</v>
      </c>
      <c r="F363" s="710"/>
      <c r="G363" s="708"/>
      <c r="J363" s="712" t="s">
        <v>795</v>
      </c>
      <c r="K363" s="712"/>
      <c r="L363" s="712"/>
      <c r="M363" s="712"/>
      <c r="N363" s="712"/>
      <c r="O363" s="712"/>
      <c r="P363" s="712"/>
    </row>
    <row r="364" spans="1:16">
      <c r="A364" s="906" t="s">
        <v>54</v>
      </c>
      <c r="C364" s="873"/>
      <c r="D364" s="132"/>
      <c r="F364" s="520"/>
    </row>
    <row r="365" spans="1:16">
      <c r="A365" s="906" t="s">
        <v>54</v>
      </c>
      <c r="C365" s="874">
        <f>CALCULADORA_2021!Z18</f>
        <v>10.33006</v>
      </c>
      <c r="D365" s="1106"/>
      <c r="E365" s="716" t="s">
        <v>422</v>
      </c>
      <c r="F365" s="716"/>
      <c r="G365" s="716"/>
      <c r="J365" s="715" t="s">
        <v>390</v>
      </c>
      <c r="K365" s="715"/>
      <c r="L365" s="715"/>
      <c r="M365" s="715"/>
      <c r="N365" s="715"/>
      <c r="O365" s="715"/>
      <c r="P365" s="715"/>
    </row>
    <row r="366" spans="1:16">
      <c r="A366" s="906" t="s">
        <v>54</v>
      </c>
      <c r="C366" s="874">
        <f>CALCULADORA_2021!AB18</f>
        <v>2.7370922869028376E-5</v>
      </c>
      <c r="D366" s="1106"/>
      <c r="E366" s="716" t="s">
        <v>267</v>
      </c>
      <c r="F366" s="716"/>
      <c r="G366" s="716"/>
      <c r="J366" s="715" t="s">
        <v>852</v>
      </c>
      <c r="K366" s="715"/>
      <c r="L366" s="715"/>
      <c r="M366" s="715"/>
      <c r="N366" s="715"/>
      <c r="O366" s="715"/>
      <c r="P366" s="715"/>
    </row>
    <row r="367" spans="1:16">
      <c r="A367" s="906" t="s">
        <v>54</v>
      </c>
      <c r="C367" s="873"/>
      <c r="D367" s="132"/>
      <c r="F367" s="520"/>
    </row>
    <row r="368" spans="1:16">
      <c r="A368" s="906" t="s">
        <v>54</v>
      </c>
      <c r="C368" s="875">
        <f>CALCULADORA_2021!AF18</f>
        <v>2.2794919999999999</v>
      </c>
      <c r="D368" s="1107"/>
      <c r="E368" s="717" t="s">
        <v>796</v>
      </c>
      <c r="F368" s="717"/>
      <c r="G368" s="717"/>
      <c r="J368" s="718" t="s">
        <v>864</v>
      </c>
      <c r="K368" s="718"/>
      <c r="L368" s="718"/>
      <c r="M368" s="718"/>
      <c r="N368" s="718"/>
      <c r="O368" s="718"/>
      <c r="P368" s="718"/>
    </row>
    <row r="369" spans="1:18">
      <c r="A369" s="906" t="s">
        <v>54</v>
      </c>
      <c r="C369" s="875">
        <f>CALCULADORA_2021!AG18</f>
        <v>0.22794919999999999</v>
      </c>
      <c r="D369" s="1107"/>
      <c r="E369" s="717" t="s">
        <v>423</v>
      </c>
      <c r="F369" s="717"/>
      <c r="G369" s="717"/>
      <c r="J369" s="719" t="s">
        <v>764</v>
      </c>
      <c r="K369" s="719"/>
      <c r="L369" s="719"/>
      <c r="M369" s="719"/>
      <c r="N369" s="719"/>
      <c r="O369" s="719"/>
      <c r="P369" s="719"/>
    </row>
    <row r="370" spans="1:18">
      <c r="A370" s="906" t="s">
        <v>54</v>
      </c>
      <c r="C370" s="876">
        <f>CALCULADORA_2021!AH18</f>
        <v>2.2794919999999997E-6</v>
      </c>
      <c r="D370" s="1108"/>
      <c r="E370" s="717" t="s">
        <v>424</v>
      </c>
      <c r="F370" s="717"/>
      <c r="G370" s="717"/>
      <c r="J370" s="719" t="s">
        <v>765</v>
      </c>
      <c r="K370" s="719"/>
      <c r="L370" s="719"/>
      <c r="M370" s="719"/>
      <c r="N370" s="719"/>
      <c r="O370" s="719"/>
      <c r="P370" s="719"/>
    </row>
    <row r="371" spans="1:18">
      <c r="A371" s="906" t="s">
        <v>54</v>
      </c>
      <c r="C371" s="876"/>
      <c r="D371" s="1108"/>
      <c r="E371" s="717"/>
      <c r="F371" s="717"/>
      <c r="G371" s="717"/>
      <c r="J371" s="718"/>
      <c r="K371" s="719"/>
      <c r="L371" s="719"/>
      <c r="M371" s="719"/>
      <c r="N371" s="719"/>
      <c r="O371" s="719"/>
      <c r="P371" s="719"/>
    </row>
    <row r="372" spans="1:18">
      <c r="A372" s="906" t="s">
        <v>54</v>
      </c>
      <c r="C372" s="724"/>
      <c r="D372" s="1109"/>
      <c r="E372" s="723" t="s">
        <v>170</v>
      </c>
      <c r="F372" s="723"/>
      <c r="G372" s="723"/>
      <c r="J372" s="720"/>
      <c r="K372" s="720"/>
      <c r="L372" s="720"/>
      <c r="M372" s="720"/>
      <c r="N372" s="720"/>
      <c r="O372" s="720"/>
      <c r="P372" s="720"/>
    </row>
    <row r="373" spans="1:18" ht="15" customHeight="1">
      <c r="A373" s="906" t="s">
        <v>54</v>
      </c>
      <c r="C373" s="724">
        <f>CALCULADORA_2021!AL18</f>
        <v>711.59999999999991</v>
      </c>
      <c r="D373" s="1109"/>
      <c r="E373" s="723" t="s">
        <v>425</v>
      </c>
      <c r="F373" s="723"/>
      <c r="G373" s="723"/>
      <c r="J373" s="1311" t="s">
        <v>834</v>
      </c>
      <c r="K373" s="1311"/>
      <c r="L373" s="1311"/>
      <c r="M373" s="1311"/>
      <c r="N373" s="1311"/>
      <c r="O373" s="1311"/>
      <c r="P373" s="1311"/>
    </row>
    <row r="374" spans="1:18">
      <c r="A374" s="906" t="s">
        <v>54</v>
      </c>
      <c r="C374" s="724"/>
      <c r="D374" s="1109"/>
      <c r="E374" s="723"/>
      <c r="F374" s="723"/>
      <c r="G374" s="723"/>
      <c r="J374" s="1312"/>
      <c r="K374" s="1312"/>
      <c r="L374" s="1312"/>
      <c r="M374" s="1312"/>
      <c r="N374" s="1312"/>
      <c r="O374" s="1312"/>
      <c r="P374" s="1312"/>
      <c r="R374" s="27" t="s">
        <v>835</v>
      </c>
    </row>
    <row r="375" spans="1:18">
      <c r="A375" s="906" t="s">
        <v>54</v>
      </c>
      <c r="C375" s="724"/>
      <c r="D375" s="1109"/>
      <c r="E375" s="723" t="s">
        <v>766</v>
      </c>
      <c r="F375" s="723"/>
      <c r="G375" s="723"/>
      <c r="J375" s="721" t="s">
        <v>778</v>
      </c>
      <c r="K375" s="721"/>
      <c r="L375" s="721"/>
      <c r="M375" s="721"/>
      <c r="N375" s="721"/>
      <c r="O375" s="721"/>
      <c r="P375" s="721"/>
    </row>
    <row r="376" spans="1:18">
      <c r="A376" s="906" t="s">
        <v>54</v>
      </c>
      <c r="C376" s="877"/>
      <c r="D376" s="1110"/>
      <c r="E376" s="723" t="s">
        <v>426</v>
      </c>
      <c r="F376" s="723"/>
      <c r="G376" s="723"/>
      <c r="J376" s="721" t="s">
        <v>779</v>
      </c>
      <c r="K376" s="721"/>
      <c r="L376" s="721"/>
      <c r="M376" s="721"/>
      <c r="N376" s="721"/>
      <c r="O376" s="721"/>
      <c r="P376" s="721"/>
    </row>
    <row r="377" spans="1:18" ht="15" customHeight="1">
      <c r="A377" s="906" t="s">
        <v>54</v>
      </c>
      <c r="C377" s="878"/>
      <c r="D377" s="1111"/>
      <c r="E377" s="727" t="s">
        <v>767</v>
      </c>
      <c r="F377" s="728"/>
      <c r="G377" s="723"/>
      <c r="J377" s="721" t="s">
        <v>780</v>
      </c>
      <c r="K377" s="721"/>
      <c r="L377" s="721"/>
      <c r="M377" s="721"/>
      <c r="N377" s="721"/>
      <c r="O377" s="721"/>
      <c r="P377" s="721"/>
    </row>
    <row r="378" spans="1:18" ht="15" customHeight="1">
      <c r="A378" s="906" t="s">
        <v>54</v>
      </c>
      <c r="C378" s="879"/>
      <c r="D378" s="1112"/>
      <c r="E378" s="723" t="s">
        <v>427</v>
      </c>
      <c r="F378" s="728"/>
      <c r="G378" s="723"/>
      <c r="J378" s="1311" t="s">
        <v>798</v>
      </c>
      <c r="K378" s="1311"/>
      <c r="L378" s="1311"/>
      <c r="M378" s="1311"/>
      <c r="N378" s="1311"/>
      <c r="O378" s="1311"/>
      <c r="P378" s="1311"/>
    </row>
    <row r="379" spans="1:18">
      <c r="A379" s="906" t="s">
        <v>54</v>
      </c>
      <c r="C379" s="879"/>
      <c r="D379" s="1112"/>
      <c r="E379" s="723" t="s">
        <v>83</v>
      </c>
      <c r="F379" s="728"/>
      <c r="G379" s="723"/>
      <c r="J379" s="1306"/>
      <c r="K379" s="1306"/>
      <c r="L379" s="1306"/>
      <c r="M379" s="1306"/>
      <c r="N379" s="1306"/>
      <c r="O379" s="1306"/>
      <c r="P379" s="1306"/>
    </row>
    <row r="380" spans="1:18">
      <c r="A380" s="906" t="s">
        <v>54</v>
      </c>
      <c r="C380" s="879"/>
      <c r="D380" s="1112"/>
      <c r="E380" s="723" t="s">
        <v>84</v>
      </c>
      <c r="F380" s="728"/>
      <c r="G380" s="723"/>
      <c r="J380" s="1312"/>
      <c r="K380" s="1312"/>
      <c r="L380" s="1312"/>
      <c r="M380" s="1312"/>
      <c r="N380" s="1312"/>
      <c r="O380" s="1312"/>
      <c r="P380" s="1312"/>
    </row>
    <row r="381" spans="1:18">
      <c r="A381" s="906" t="s">
        <v>54</v>
      </c>
      <c r="C381" s="878"/>
      <c r="D381" s="1111"/>
      <c r="E381" s="727" t="s">
        <v>769</v>
      </c>
      <c r="F381" s="728"/>
      <c r="G381" s="723"/>
      <c r="J381" s="721" t="s">
        <v>799</v>
      </c>
      <c r="K381" s="721"/>
      <c r="L381" s="721"/>
      <c r="M381" s="721"/>
      <c r="N381" s="721"/>
      <c r="O381" s="721"/>
      <c r="P381" s="721"/>
    </row>
    <row r="382" spans="1:18">
      <c r="A382" s="906" t="s">
        <v>54</v>
      </c>
      <c r="C382" s="873"/>
      <c r="D382" s="132"/>
    </row>
    <row r="383" spans="1:18">
      <c r="A383" s="906" t="s">
        <v>54</v>
      </c>
      <c r="C383" s="873"/>
      <c r="D383" s="132"/>
      <c r="F383" s="520"/>
    </row>
    <row r="384" spans="1:18">
      <c r="A384" s="906" t="s">
        <v>54</v>
      </c>
      <c r="C384" s="873"/>
      <c r="D384" s="132"/>
      <c r="E384" s="27" t="s">
        <v>1401</v>
      </c>
      <c r="F384" s="520"/>
    </row>
    <row r="385" spans="1:20" ht="15" customHeight="1">
      <c r="A385" s="906" t="s">
        <v>55</v>
      </c>
      <c r="C385" s="1030">
        <f>CALCULADORA_2021!AU18</f>
        <v>397.31</v>
      </c>
      <c r="D385" s="1120"/>
      <c r="E385" s="1029" t="s">
        <v>810</v>
      </c>
      <c r="F385" s="1029"/>
      <c r="G385" s="1029"/>
      <c r="J385" s="1306" t="s">
        <v>1400</v>
      </c>
      <c r="K385" s="1306"/>
      <c r="L385" s="1306"/>
      <c r="M385" s="1306"/>
      <c r="N385" s="1306"/>
      <c r="O385" s="1306"/>
      <c r="P385" s="1306"/>
    </row>
    <row r="386" spans="1:20" ht="15" customHeight="1">
      <c r="A386" s="906" t="s">
        <v>55</v>
      </c>
      <c r="C386" s="730"/>
      <c r="D386" s="1084"/>
      <c r="E386" s="731"/>
      <c r="F386" s="731"/>
      <c r="G386" s="731"/>
      <c r="J386" s="1314"/>
      <c r="K386" s="1314"/>
      <c r="L386" s="1314"/>
      <c r="M386" s="1314"/>
      <c r="N386" s="1314"/>
      <c r="O386" s="1314"/>
      <c r="P386" s="1314"/>
      <c r="R386" s="1306" t="s">
        <v>836</v>
      </c>
      <c r="S386" s="1306"/>
      <c r="T386" s="1306"/>
    </row>
    <row r="387" spans="1:20">
      <c r="A387" s="906" t="s">
        <v>55</v>
      </c>
      <c r="C387" s="732">
        <f>CALCULADORA_2021!AX18</f>
        <v>165.54583333333335</v>
      </c>
      <c r="D387" s="1085"/>
      <c r="E387" s="733" t="s">
        <v>772</v>
      </c>
      <c r="F387" s="733"/>
      <c r="G387" s="733"/>
      <c r="J387" s="737" t="s">
        <v>771</v>
      </c>
      <c r="K387" s="737"/>
      <c r="L387" s="737"/>
      <c r="M387" s="737"/>
      <c r="N387" s="737"/>
      <c r="O387" s="737"/>
      <c r="P387" s="737"/>
      <c r="R387" s="1306"/>
      <c r="S387" s="1306"/>
      <c r="T387" s="1306"/>
    </row>
    <row r="388" spans="1:20">
      <c r="A388" s="906" t="s">
        <v>55</v>
      </c>
      <c r="C388" s="734">
        <f>CALCULADORA_2021!AY18</f>
        <v>3325.8157916666669</v>
      </c>
      <c r="D388" s="1086"/>
      <c r="E388" s="733" t="s">
        <v>773</v>
      </c>
      <c r="F388" s="733"/>
      <c r="G388" s="733"/>
      <c r="R388" s="1306"/>
      <c r="S388" s="1306"/>
      <c r="T388" s="1306"/>
    </row>
    <row r="389" spans="1:20">
      <c r="A389" s="906" t="s">
        <v>55</v>
      </c>
      <c r="C389" s="734">
        <f>CALCULADORA_2021!BA18</f>
        <v>1814.0813409090911</v>
      </c>
      <c r="D389" s="1086"/>
      <c r="E389" s="733" t="s">
        <v>774</v>
      </c>
      <c r="F389" s="733"/>
      <c r="G389" s="733"/>
    </row>
    <row r="390" spans="1:20" ht="15" customHeight="1">
      <c r="A390" s="906" t="s">
        <v>55</v>
      </c>
      <c r="C390" s="735">
        <f>CALCULADORA_2021!BB18</f>
        <v>30.234689015151517</v>
      </c>
      <c r="D390" s="1087"/>
      <c r="E390" s="733" t="s">
        <v>775</v>
      </c>
      <c r="F390" s="736"/>
      <c r="G390" s="733"/>
    </row>
    <row r="391" spans="1:20">
      <c r="A391" s="906" t="s">
        <v>55</v>
      </c>
    </row>
    <row r="392" spans="1:20">
      <c r="A392" s="906" t="s">
        <v>55</v>
      </c>
    </row>
    <row r="393" spans="1:20">
      <c r="A393" s="906" t="s">
        <v>55</v>
      </c>
    </row>
    <row r="394" spans="1:20">
      <c r="A394" s="906" t="s">
        <v>55</v>
      </c>
    </row>
    <row r="395" spans="1:20">
      <c r="A395" s="906" t="s">
        <v>55</v>
      </c>
    </row>
    <row r="396" spans="1:20">
      <c r="A396" s="906" t="s">
        <v>55</v>
      </c>
    </row>
    <row r="397" spans="1:20">
      <c r="A397" s="906" t="s">
        <v>55</v>
      </c>
    </row>
    <row r="398" spans="1:20">
      <c r="A398" s="906" t="s">
        <v>55</v>
      </c>
    </row>
    <row r="399" spans="1:20">
      <c r="A399" s="906" t="s">
        <v>55</v>
      </c>
    </row>
    <row r="400" spans="1:20">
      <c r="A400" s="906" t="s">
        <v>55</v>
      </c>
    </row>
    <row r="401" spans="1:20" s="210" customFormat="1">
      <c r="A401" s="906" t="s">
        <v>55</v>
      </c>
      <c r="C401" s="690" t="s">
        <v>777</v>
      </c>
      <c r="D401" s="1081"/>
      <c r="J401" s="742" t="s">
        <v>758</v>
      </c>
      <c r="K401" s="742"/>
      <c r="L401" s="742"/>
      <c r="M401" s="742"/>
      <c r="N401" s="742"/>
      <c r="O401" s="742"/>
      <c r="P401" s="742"/>
      <c r="R401" s="742" t="s">
        <v>759</v>
      </c>
      <c r="S401" s="742"/>
      <c r="T401" s="742"/>
    </row>
    <row r="402" spans="1:20" ht="15" customHeight="1">
      <c r="A402" s="906" t="s">
        <v>55</v>
      </c>
      <c r="C402" s="880">
        <f>CALCULADORA_2021!E19</f>
        <v>1216</v>
      </c>
      <c r="D402" s="1095"/>
      <c r="E402" s="1307" t="s">
        <v>24</v>
      </c>
      <c r="F402" s="1307"/>
      <c r="G402" s="1307"/>
      <c r="J402" s="1308" t="s">
        <v>866</v>
      </c>
      <c r="K402" s="1308"/>
      <c r="L402" s="1308"/>
      <c r="M402" s="1308"/>
      <c r="N402" s="1308"/>
      <c r="O402" s="1308"/>
      <c r="P402" s="1308"/>
      <c r="R402" s="1308" t="s">
        <v>832</v>
      </c>
      <c r="S402" s="1308"/>
      <c r="T402" s="1308"/>
    </row>
    <row r="403" spans="1:20">
      <c r="A403" s="906" t="s">
        <v>55</v>
      </c>
      <c r="C403" s="881"/>
      <c r="D403" s="1096"/>
      <c r="E403" s="697"/>
      <c r="F403" s="697"/>
      <c r="G403" s="697"/>
      <c r="J403" s="1309"/>
      <c r="K403" s="1309"/>
      <c r="L403" s="1309"/>
      <c r="M403" s="1309"/>
      <c r="N403" s="1309"/>
      <c r="O403" s="1309"/>
      <c r="P403" s="1309"/>
      <c r="R403" s="1306"/>
      <c r="S403" s="1306"/>
      <c r="T403" s="1306"/>
    </row>
    <row r="404" spans="1:20">
      <c r="A404" s="906" t="s">
        <v>55</v>
      </c>
      <c r="C404" s="882">
        <f>CALCULADORA_2021!F19</f>
        <v>20266.666666666668</v>
      </c>
      <c r="D404" s="1097"/>
      <c r="E404" s="695" t="s">
        <v>752</v>
      </c>
      <c r="F404" s="692"/>
      <c r="G404" s="694"/>
      <c r="J404" s="704" t="s">
        <v>760</v>
      </c>
      <c r="K404" s="704"/>
      <c r="L404" s="704"/>
      <c r="M404" s="704"/>
      <c r="N404" s="704"/>
      <c r="O404" s="704"/>
      <c r="P404" s="704"/>
    </row>
    <row r="405" spans="1:20" ht="15" customHeight="1">
      <c r="A405" s="906" t="s">
        <v>55</v>
      </c>
      <c r="B405" s="30"/>
      <c r="C405" s="882">
        <f>CALCULADORA_2021!G19</f>
        <v>135111.11111111112</v>
      </c>
      <c r="D405" s="1097"/>
      <c r="E405" s="695" t="s">
        <v>417</v>
      </c>
      <c r="F405" s="694"/>
      <c r="G405" s="696"/>
      <c r="J405" s="704" t="s">
        <v>761</v>
      </c>
      <c r="K405" s="704"/>
      <c r="L405" s="704"/>
      <c r="M405" s="704"/>
      <c r="N405" s="704"/>
      <c r="O405" s="704"/>
      <c r="P405" s="704"/>
    </row>
    <row r="406" spans="1:20" ht="15" customHeight="1">
      <c r="A406" s="906" t="s">
        <v>55</v>
      </c>
      <c r="B406" s="30"/>
      <c r="C406" s="882">
        <f>CALCULADORA_2021!H19</f>
        <v>979.06602254428344</v>
      </c>
      <c r="D406" s="1097"/>
      <c r="E406" s="695" t="s">
        <v>718</v>
      </c>
      <c r="F406" s="692"/>
      <c r="G406" s="694"/>
      <c r="J406" s="704" t="s">
        <v>783</v>
      </c>
      <c r="K406" s="704"/>
      <c r="L406" s="704"/>
      <c r="M406" s="704"/>
      <c r="N406" s="704"/>
      <c r="O406" s="704"/>
      <c r="P406" s="704"/>
    </row>
    <row r="407" spans="1:20" ht="15" customHeight="1">
      <c r="A407" s="906" t="s">
        <v>55</v>
      </c>
      <c r="B407" s="30"/>
      <c r="C407" s="883">
        <f>CALCULADORA_2021!J19</f>
        <v>1261.4107883817428</v>
      </c>
      <c r="D407" s="1098"/>
      <c r="E407" s="701" t="s">
        <v>784</v>
      </c>
      <c r="F407" s="693"/>
      <c r="G407" s="694"/>
      <c r="J407" s="704" t="s">
        <v>785</v>
      </c>
      <c r="K407" s="704"/>
      <c r="L407" s="704"/>
      <c r="M407" s="704"/>
      <c r="N407" s="704"/>
      <c r="O407" s="704"/>
      <c r="P407" s="704"/>
    </row>
    <row r="408" spans="1:20" ht="15" customHeight="1">
      <c r="A408" s="906" t="s">
        <v>55</v>
      </c>
      <c r="B408" s="30"/>
      <c r="C408" s="884">
        <f>CALCULADORA_2021!K19</f>
        <v>65.323663712060167</v>
      </c>
      <c r="D408" s="1099"/>
      <c r="E408" s="702" t="s">
        <v>719</v>
      </c>
      <c r="F408" s="699"/>
      <c r="G408" s="700"/>
      <c r="J408" s="1308" t="s">
        <v>787</v>
      </c>
      <c r="K408" s="1308"/>
      <c r="L408" s="1308"/>
      <c r="M408" s="1308"/>
      <c r="N408" s="1308"/>
      <c r="O408" s="1308"/>
      <c r="P408" s="1308"/>
    </row>
    <row r="409" spans="1:20" ht="36" customHeight="1">
      <c r="A409" s="906" t="s">
        <v>55</v>
      </c>
      <c r="B409" s="30"/>
      <c r="C409" s="885"/>
      <c r="D409" s="1100"/>
      <c r="E409" s="698"/>
      <c r="F409" s="698"/>
      <c r="G409" s="698"/>
      <c r="H409" s="691"/>
      <c r="I409" s="691"/>
      <c r="J409" s="1309"/>
      <c r="K409" s="1309"/>
      <c r="L409" s="1309"/>
      <c r="M409" s="1309"/>
      <c r="N409" s="1309"/>
      <c r="O409" s="1309"/>
      <c r="P409" s="1309"/>
    </row>
    <row r="410" spans="1:20" ht="15" customHeight="1">
      <c r="A410" s="906" t="s">
        <v>55</v>
      </c>
      <c r="C410" s="886">
        <f>CALCULADORA_2021!L19</f>
        <v>40</v>
      </c>
      <c r="D410" s="1101"/>
      <c r="E410" s="695" t="s">
        <v>822</v>
      </c>
      <c r="F410" s="693"/>
      <c r="G410" s="694"/>
      <c r="J410" s="907" t="s">
        <v>843</v>
      </c>
      <c r="K410" s="907"/>
      <c r="L410" s="907"/>
      <c r="M410" s="907"/>
      <c r="N410" s="907"/>
      <c r="O410" s="907"/>
      <c r="P410" s="907"/>
      <c r="R410" s="1306" t="s">
        <v>838</v>
      </c>
      <c r="S410" s="1306"/>
      <c r="T410" s="1306"/>
    </row>
    <row r="411" spans="1:20" ht="15" customHeight="1">
      <c r="A411" s="906" t="s">
        <v>55</v>
      </c>
      <c r="C411" s="873"/>
      <c r="D411" s="132"/>
      <c r="J411" s="1308" t="s">
        <v>867</v>
      </c>
      <c r="K411" s="1308"/>
      <c r="L411" s="1308"/>
      <c r="M411" s="1308"/>
      <c r="N411" s="1308"/>
      <c r="O411" s="1308"/>
      <c r="P411" s="1308"/>
      <c r="R411" s="1306"/>
      <c r="S411" s="1306"/>
      <c r="T411" s="1306"/>
    </row>
    <row r="412" spans="1:20">
      <c r="A412" s="906" t="s">
        <v>55</v>
      </c>
      <c r="C412" s="869">
        <f>CALCULADORA_2021!N19</f>
        <v>8055.3919999999998</v>
      </c>
      <c r="D412" s="1102"/>
      <c r="E412" s="708" t="s">
        <v>419</v>
      </c>
      <c r="F412" s="708"/>
      <c r="G412" s="708"/>
      <c r="J412" s="1309"/>
      <c r="K412" s="1309"/>
      <c r="L412" s="1309"/>
      <c r="M412" s="1309"/>
      <c r="N412" s="1309"/>
      <c r="O412" s="1309"/>
      <c r="P412" s="1309"/>
    </row>
    <row r="413" spans="1:20">
      <c r="A413" s="906" t="s">
        <v>55</v>
      </c>
      <c r="C413" s="869">
        <f>CALCULADORA_2021!P19</f>
        <v>40.276960000000003</v>
      </c>
      <c r="D413" s="1102"/>
      <c r="E413" s="708" t="s">
        <v>362</v>
      </c>
      <c r="F413" s="708"/>
      <c r="G413" s="708"/>
      <c r="J413" s="712" t="s">
        <v>789</v>
      </c>
      <c r="K413" s="712"/>
      <c r="L413" s="712"/>
      <c r="M413" s="712"/>
      <c r="N413" s="712"/>
      <c r="O413" s="712"/>
      <c r="P413" s="712"/>
    </row>
    <row r="414" spans="1:20">
      <c r="A414" s="906" t="s">
        <v>55</v>
      </c>
      <c r="C414" s="870">
        <f>CALCULADORA_2021!Q19</f>
        <v>3222.1567999999997</v>
      </c>
      <c r="D414" s="1103"/>
      <c r="E414" s="708" t="s">
        <v>720</v>
      </c>
      <c r="F414" s="708"/>
      <c r="G414" s="708"/>
      <c r="J414" s="712" t="s">
        <v>790</v>
      </c>
      <c r="K414" s="712"/>
      <c r="L414" s="712"/>
      <c r="M414" s="712"/>
      <c r="N414" s="712"/>
      <c r="O414" s="712"/>
      <c r="P414" s="712"/>
    </row>
    <row r="415" spans="1:20" ht="15" customHeight="1">
      <c r="A415" s="906" t="s">
        <v>55</v>
      </c>
      <c r="C415" s="871">
        <f>CALCULADORA_2021!R19</f>
        <v>115.07702857142857</v>
      </c>
      <c r="D415" s="1104"/>
      <c r="E415" s="709" t="s">
        <v>363</v>
      </c>
      <c r="F415" s="710"/>
      <c r="G415" s="708"/>
      <c r="J415" s="712" t="s">
        <v>462</v>
      </c>
      <c r="K415" s="712"/>
      <c r="L415" s="712"/>
      <c r="M415" s="712"/>
      <c r="N415" s="712"/>
      <c r="O415" s="712"/>
      <c r="P415" s="712"/>
    </row>
    <row r="416" spans="1:20" ht="15" customHeight="1">
      <c r="A416" s="906" t="s">
        <v>55</v>
      </c>
      <c r="C416" s="871">
        <f>CALCULADORA_2021!S19</f>
        <v>161.10784000000001</v>
      </c>
      <c r="D416" s="1104"/>
      <c r="E416" s="709" t="s">
        <v>432</v>
      </c>
      <c r="F416" s="710"/>
      <c r="G416" s="708"/>
      <c r="J416" s="712" t="s">
        <v>791</v>
      </c>
      <c r="K416" s="712"/>
      <c r="L416" s="712"/>
      <c r="M416" s="712"/>
      <c r="N416" s="712"/>
      <c r="O416" s="712"/>
      <c r="P416" s="712"/>
    </row>
    <row r="417" spans="1:18" ht="15" customHeight="1">
      <c r="A417" s="906" t="s">
        <v>55</v>
      </c>
      <c r="C417" s="871">
        <f>CALCULADORA_2021!T19</f>
        <v>619.64553846153842</v>
      </c>
      <c r="D417" s="1104"/>
      <c r="E417" s="709" t="s">
        <v>431</v>
      </c>
      <c r="F417" s="710"/>
      <c r="G417" s="708"/>
      <c r="J417" s="712" t="s">
        <v>792</v>
      </c>
      <c r="K417" s="712"/>
      <c r="L417" s="712"/>
      <c r="M417" s="712"/>
      <c r="N417" s="712"/>
      <c r="O417" s="712"/>
      <c r="P417" s="712"/>
    </row>
    <row r="418" spans="1:18" ht="15" customHeight="1">
      <c r="A418" s="906" t="s">
        <v>55</v>
      </c>
      <c r="C418" s="871">
        <f>CALCULADORA_2021!U19</f>
        <v>322.21568000000002</v>
      </c>
      <c r="D418" s="1104"/>
      <c r="E418" s="709" t="s">
        <v>721</v>
      </c>
      <c r="F418" s="710"/>
      <c r="G418" s="708"/>
      <c r="J418" s="712" t="s">
        <v>793</v>
      </c>
      <c r="K418" s="712"/>
      <c r="L418" s="712"/>
      <c r="M418" s="712"/>
      <c r="N418" s="712"/>
      <c r="O418" s="712"/>
      <c r="P418" s="712"/>
    </row>
    <row r="419" spans="1:18">
      <c r="A419" s="906" t="s">
        <v>55</v>
      </c>
      <c r="C419" s="872">
        <f>CALCULADORA_2021!V19</f>
        <v>2.1481045333333333E-3</v>
      </c>
      <c r="D419" s="1105"/>
      <c r="E419" s="708" t="s">
        <v>420</v>
      </c>
      <c r="F419" s="710"/>
      <c r="G419" s="708"/>
      <c r="J419" s="712" t="s">
        <v>794</v>
      </c>
      <c r="K419" s="712"/>
      <c r="L419" s="712"/>
      <c r="M419" s="712"/>
      <c r="N419" s="712"/>
      <c r="O419" s="712"/>
      <c r="P419" s="712"/>
    </row>
    <row r="420" spans="1:18">
      <c r="A420" s="906" t="s">
        <v>55</v>
      </c>
      <c r="C420" s="872">
        <f>CALCULADORA_2021!X19</f>
        <v>1342.5653333333332</v>
      </c>
      <c r="D420" s="1105"/>
      <c r="E420" s="708" t="s">
        <v>421</v>
      </c>
      <c r="F420" s="710"/>
      <c r="G420" s="708"/>
      <c r="J420" s="712" t="s">
        <v>795</v>
      </c>
      <c r="K420" s="712"/>
      <c r="L420" s="712"/>
      <c r="M420" s="712"/>
      <c r="N420" s="712"/>
      <c r="O420" s="712"/>
      <c r="P420" s="712"/>
    </row>
    <row r="421" spans="1:18">
      <c r="A421" s="906" t="s">
        <v>55</v>
      </c>
      <c r="C421" s="873"/>
      <c r="D421" s="132"/>
      <c r="F421" s="520"/>
    </row>
    <row r="422" spans="1:18">
      <c r="A422" s="906" t="s">
        <v>55</v>
      </c>
      <c r="C422" s="874">
        <f>CALCULADORA_2021!Z19</f>
        <v>6.2915839999999994</v>
      </c>
      <c r="D422" s="1106"/>
      <c r="E422" s="716" t="s">
        <v>422</v>
      </c>
      <c r="F422" s="716"/>
      <c r="G422" s="716"/>
      <c r="J422" s="715" t="s">
        <v>390</v>
      </c>
      <c r="K422" s="715"/>
      <c r="L422" s="715"/>
      <c r="M422" s="715"/>
      <c r="N422" s="715"/>
      <c r="O422" s="715"/>
      <c r="P422" s="715"/>
    </row>
    <row r="423" spans="1:18">
      <c r="A423" s="906" t="s">
        <v>55</v>
      </c>
      <c r="C423" s="874">
        <f>CALCULADORA_2021!AB19</f>
        <v>1.6670422087385071E-5</v>
      </c>
      <c r="D423" s="1106"/>
      <c r="E423" s="716" t="s">
        <v>267</v>
      </c>
      <c r="F423" s="716"/>
      <c r="G423" s="716"/>
      <c r="J423" s="715" t="s">
        <v>852</v>
      </c>
      <c r="K423" s="715"/>
      <c r="L423" s="715"/>
      <c r="M423" s="715"/>
      <c r="N423" s="715"/>
      <c r="O423" s="715"/>
      <c r="P423" s="715"/>
    </row>
    <row r="424" spans="1:18" ht="15" customHeight="1">
      <c r="A424" s="906" t="s">
        <v>55</v>
      </c>
      <c r="C424" s="874">
        <f>CALCULADORA_2021!AD19</f>
        <v>5.4720000000000004</v>
      </c>
      <c r="D424" s="1106"/>
      <c r="E424" s="716" t="s">
        <v>837</v>
      </c>
      <c r="F424" s="716"/>
      <c r="G424" s="716"/>
      <c r="J424" s="1316" t="s">
        <v>839</v>
      </c>
      <c r="K424" s="1316"/>
      <c r="L424" s="1316"/>
      <c r="M424" s="1316"/>
      <c r="N424" s="1316"/>
      <c r="O424" s="1316"/>
      <c r="P424" s="1316"/>
      <c r="R424" s="27" t="s">
        <v>840</v>
      </c>
    </row>
    <row r="425" spans="1:18">
      <c r="A425" s="906" t="s">
        <v>55</v>
      </c>
      <c r="C425" s="873"/>
      <c r="D425" s="132"/>
      <c r="F425" s="520"/>
      <c r="J425" s="1309"/>
      <c r="K425" s="1309"/>
      <c r="L425" s="1309"/>
      <c r="M425" s="1309"/>
      <c r="N425" s="1309"/>
      <c r="O425" s="1309"/>
      <c r="P425" s="1309"/>
    </row>
    <row r="426" spans="1:18">
      <c r="A426" s="906" t="s">
        <v>55</v>
      </c>
      <c r="C426" s="875">
        <f>CALCULADORA_2021!AF19</f>
        <v>6.3840000000000003</v>
      </c>
      <c r="D426" s="1107"/>
      <c r="E426" s="717" t="s">
        <v>796</v>
      </c>
      <c r="F426" s="717"/>
      <c r="G426" s="717"/>
      <c r="J426" s="718" t="s">
        <v>841</v>
      </c>
      <c r="K426" s="718"/>
      <c r="L426" s="718"/>
      <c r="M426" s="718"/>
      <c r="N426" s="718"/>
      <c r="O426" s="718"/>
      <c r="P426" s="718"/>
    </row>
    <row r="427" spans="1:18">
      <c r="A427" s="906" t="s">
        <v>55</v>
      </c>
      <c r="C427" s="875">
        <f>CALCULADORA_2021!AG19</f>
        <v>0.63840000000000008</v>
      </c>
      <c r="D427" s="1107"/>
      <c r="E427" s="717" t="s">
        <v>423</v>
      </c>
      <c r="F427" s="717"/>
      <c r="G427" s="717"/>
      <c r="J427" s="719" t="s">
        <v>764</v>
      </c>
      <c r="K427" s="719"/>
      <c r="L427" s="719"/>
      <c r="M427" s="719"/>
      <c r="N427" s="719"/>
      <c r="O427" s="719"/>
      <c r="P427" s="719"/>
    </row>
    <row r="428" spans="1:18">
      <c r="A428" s="906" t="s">
        <v>55</v>
      </c>
      <c r="C428" s="876">
        <f>CALCULADORA_2021!AH19</f>
        <v>6.3840000000000002E-6</v>
      </c>
      <c r="D428" s="1108"/>
      <c r="E428" s="717" t="s">
        <v>424</v>
      </c>
      <c r="F428" s="717"/>
      <c r="G428" s="717"/>
      <c r="J428" s="719" t="s">
        <v>765</v>
      </c>
      <c r="K428" s="719"/>
      <c r="L428" s="719"/>
      <c r="M428" s="719"/>
      <c r="N428" s="719"/>
      <c r="O428" s="719"/>
      <c r="P428" s="719"/>
    </row>
    <row r="429" spans="1:18">
      <c r="A429" s="906" t="s">
        <v>55</v>
      </c>
      <c r="C429" s="876"/>
      <c r="D429" s="1108"/>
      <c r="E429" s="717"/>
      <c r="F429" s="717"/>
      <c r="G429" s="717"/>
      <c r="J429" s="718"/>
      <c r="K429" s="719"/>
      <c r="L429" s="719"/>
      <c r="M429" s="719"/>
      <c r="N429" s="719"/>
      <c r="O429" s="719"/>
      <c r="P429" s="719"/>
    </row>
    <row r="430" spans="1:18">
      <c r="A430" s="906" t="s">
        <v>55</v>
      </c>
      <c r="C430" s="724">
        <f>CALCULADORA_2021!AJ19</f>
        <v>3.823712</v>
      </c>
      <c r="D430" s="1109"/>
      <c r="E430" s="723" t="s">
        <v>170</v>
      </c>
      <c r="F430" s="723"/>
      <c r="G430" s="723"/>
      <c r="J430" s="720" t="s">
        <v>868</v>
      </c>
      <c r="K430" s="720"/>
      <c r="L430" s="720"/>
      <c r="M430" s="720"/>
      <c r="N430" s="720"/>
      <c r="O430" s="720"/>
      <c r="P430" s="720"/>
      <c r="R430" s="27" t="s">
        <v>842</v>
      </c>
    </row>
    <row r="431" spans="1:18">
      <c r="A431" s="906" t="s">
        <v>55</v>
      </c>
      <c r="C431" s="724"/>
      <c r="D431" s="1109"/>
      <c r="E431" s="723" t="s">
        <v>425</v>
      </c>
      <c r="F431" s="723"/>
      <c r="G431" s="723"/>
      <c r="J431" s="1311"/>
      <c r="K431" s="1311"/>
      <c r="L431" s="1311"/>
      <c r="M431" s="1311"/>
      <c r="N431" s="1311"/>
      <c r="O431" s="1311"/>
      <c r="P431" s="1311"/>
    </row>
    <row r="432" spans="1:18">
      <c r="A432" s="906" t="s">
        <v>55</v>
      </c>
      <c r="C432" s="724"/>
      <c r="D432" s="1109"/>
      <c r="E432" s="723"/>
      <c r="F432" s="723"/>
      <c r="G432" s="723"/>
      <c r="J432" s="1312"/>
      <c r="K432" s="1312"/>
      <c r="L432" s="1312"/>
      <c r="M432" s="1312"/>
      <c r="N432" s="1312"/>
      <c r="O432" s="1312"/>
      <c r="P432" s="1312"/>
    </row>
    <row r="433" spans="1:16">
      <c r="A433" s="906" t="s">
        <v>55</v>
      </c>
      <c r="C433" s="724">
        <f>CALCULADORA_2021!AK19</f>
        <v>607.97020799999996</v>
      </c>
      <c r="D433" s="1109"/>
      <c r="E433" s="723" t="s">
        <v>766</v>
      </c>
      <c r="F433" s="723"/>
      <c r="G433" s="723"/>
      <c r="J433" s="721" t="s">
        <v>778</v>
      </c>
      <c r="K433" s="721"/>
      <c r="L433" s="721"/>
      <c r="M433" s="721"/>
      <c r="N433" s="721"/>
      <c r="O433" s="721"/>
      <c r="P433" s="721"/>
    </row>
    <row r="434" spans="1:16">
      <c r="A434" s="906" t="s">
        <v>55</v>
      </c>
      <c r="C434" s="877">
        <f>CALCULADORA_2021!AN19</f>
        <v>252.364992</v>
      </c>
      <c r="D434" s="1110"/>
      <c r="E434" s="723" t="s">
        <v>426</v>
      </c>
      <c r="F434" s="723"/>
      <c r="G434" s="723"/>
      <c r="J434" s="721" t="s">
        <v>779</v>
      </c>
      <c r="K434" s="721"/>
      <c r="L434" s="721"/>
      <c r="M434" s="721"/>
      <c r="N434" s="721"/>
      <c r="O434" s="721"/>
      <c r="P434" s="721"/>
    </row>
    <row r="435" spans="1:16" ht="15" customHeight="1">
      <c r="A435" s="906" t="s">
        <v>55</v>
      </c>
      <c r="C435" s="878">
        <f>CALCULADORA_2021!AO19</f>
        <v>3.0398510399999999E-2</v>
      </c>
      <c r="D435" s="1111"/>
      <c r="E435" s="727" t="s">
        <v>767</v>
      </c>
      <c r="F435" s="728"/>
      <c r="G435" s="723"/>
      <c r="J435" s="721" t="s">
        <v>780</v>
      </c>
      <c r="K435" s="721"/>
      <c r="L435" s="721"/>
      <c r="M435" s="721"/>
      <c r="N435" s="721"/>
      <c r="O435" s="721"/>
      <c r="P435" s="721"/>
    </row>
    <row r="436" spans="1:16" ht="15" customHeight="1">
      <c r="A436" s="906" t="s">
        <v>55</v>
      </c>
      <c r="C436" s="879">
        <f>CALCULADORA_2021!AP19</f>
        <v>5070.0126892799999</v>
      </c>
      <c r="D436" s="1112"/>
      <c r="E436" s="723" t="s">
        <v>427</v>
      </c>
      <c r="F436" s="728"/>
      <c r="G436" s="723"/>
      <c r="J436" s="1311" t="s">
        <v>798</v>
      </c>
      <c r="K436" s="1311"/>
      <c r="L436" s="1311"/>
      <c r="M436" s="1311"/>
      <c r="N436" s="1311"/>
      <c r="O436" s="1311"/>
      <c r="P436" s="1311"/>
    </row>
    <row r="437" spans="1:16">
      <c r="A437" s="906" t="s">
        <v>55</v>
      </c>
      <c r="C437" s="879">
        <f>CALCULADORA_2021!AQ19</f>
        <v>2765.46146688</v>
      </c>
      <c r="D437" s="1112"/>
      <c r="E437" s="723" t="s">
        <v>83</v>
      </c>
      <c r="F437" s="728"/>
      <c r="G437" s="723"/>
      <c r="J437" s="1306"/>
      <c r="K437" s="1306"/>
      <c r="L437" s="1306"/>
      <c r="M437" s="1306"/>
      <c r="N437" s="1306"/>
      <c r="O437" s="1306"/>
      <c r="P437" s="1306"/>
    </row>
    <row r="438" spans="1:16">
      <c r="A438" s="906" t="s">
        <v>55</v>
      </c>
      <c r="C438" s="879">
        <f>CALCULADORA_2021!AR19</f>
        <v>46.091024447999999</v>
      </c>
      <c r="D438" s="1112"/>
      <c r="E438" s="723" t="s">
        <v>84</v>
      </c>
      <c r="F438" s="728"/>
      <c r="G438" s="723"/>
      <c r="J438" s="1312"/>
      <c r="K438" s="1312"/>
      <c r="L438" s="1312"/>
      <c r="M438" s="1312"/>
      <c r="N438" s="1312"/>
      <c r="O438" s="1312"/>
      <c r="P438" s="1312"/>
    </row>
    <row r="439" spans="1:16">
      <c r="A439" s="906" t="s">
        <v>55</v>
      </c>
      <c r="C439" s="878">
        <f>CALCULADORA_2021!AS19</f>
        <v>6.8206754594594594</v>
      </c>
      <c r="D439" s="1111"/>
      <c r="E439" s="727" t="s">
        <v>769</v>
      </c>
      <c r="F439" s="728"/>
      <c r="G439" s="723"/>
      <c r="J439" s="721" t="s">
        <v>799</v>
      </c>
      <c r="K439" s="721"/>
      <c r="L439" s="721"/>
      <c r="M439" s="721"/>
      <c r="N439" s="721"/>
      <c r="O439" s="721"/>
      <c r="P439" s="721"/>
    </row>
    <row r="440" spans="1:16">
      <c r="A440" s="906" t="s">
        <v>55</v>
      </c>
      <c r="C440" s="873"/>
      <c r="D440" s="132"/>
    </row>
    <row r="441" spans="1:16">
      <c r="A441" s="906" t="s">
        <v>55</v>
      </c>
      <c r="C441" s="873"/>
      <c r="D441" s="132"/>
      <c r="F441" s="520"/>
    </row>
    <row r="442" spans="1:16" ht="15" customHeight="1">
      <c r="A442" s="906" t="s">
        <v>55</v>
      </c>
      <c r="C442" s="738">
        <f>CALCULADORA_2021!AU19</f>
        <v>241.98399999999998</v>
      </c>
      <c r="D442" s="1113"/>
      <c r="E442" s="739" t="s">
        <v>810</v>
      </c>
      <c r="F442" s="739"/>
      <c r="G442" s="739"/>
      <c r="J442" s="1306" t="s">
        <v>869</v>
      </c>
      <c r="K442" s="1306"/>
      <c r="L442" s="1306"/>
      <c r="M442" s="1306"/>
      <c r="N442" s="1306"/>
      <c r="O442" s="1306"/>
      <c r="P442" s="1306"/>
    </row>
    <row r="443" spans="1:16">
      <c r="A443" s="906" t="s">
        <v>55</v>
      </c>
      <c r="C443" s="730"/>
      <c r="D443" s="1084"/>
      <c r="E443" s="731"/>
      <c r="F443" s="731"/>
      <c r="G443" s="731"/>
      <c r="J443" s="1314"/>
      <c r="K443" s="1314"/>
      <c r="L443" s="1314"/>
      <c r="M443" s="1314"/>
      <c r="N443" s="1314"/>
      <c r="O443" s="1314"/>
      <c r="P443" s="1314"/>
    </row>
    <row r="444" spans="1:16">
      <c r="A444" s="906" t="s">
        <v>55</v>
      </c>
      <c r="C444" s="732">
        <f>CALCULADORA_2021!AX19</f>
        <v>100.82666666666667</v>
      </c>
      <c r="D444" s="1085"/>
      <c r="E444" s="733" t="s">
        <v>772</v>
      </c>
      <c r="F444" s="733"/>
      <c r="G444" s="733"/>
      <c r="J444" s="737" t="s">
        <v>771</v>
      </c>
      <c r="K444" s="737"/>
      <c r="L444" s="737"/>
      <c r="M444" s="737"/>
      <c r="N444" s="737"/>
      <c r="O444" s="737"/>
      <c r="P444" s="737"/>
    </row>
    <row r="445" spans="1:16">
      <c r="A445" s="906" t="s">
        <v>55</v>
      </c>
      <c r="C445" s="734">
        <f>CALCULADORA_2021!AY19</f>
        <v>2025.6077333333333</v>
      </c>
      <c r="D445" s="1086"/>
      <c r="E445" s="733" t="s">
        <v>773</v>
      </c>
      <c r="F445" s="733"/>
      <c r="G445" s="733"/>
    </row>
    <row r="446" spans="1:16">
      <c r="A446" s="906" t="s">
        <v>55</v>
      </c>
      <c r="C446" s="734">
        <f>CALCULADORA_2021!BA19</f>
        <v>1104.8769454545454</v>
      </c>
      <c r="D446" s="1086"/>
      <c r="E446" s="733" t="s">
        <v>774</v>
      </c>
      <c r="F446" s="733"/>
      <c r="G446" s="733"/>
    </row>
    <row r="447" spans="1:16" ht="15" customHeight="1">
      <c r="A447" s="906" t="s">
        <v>55</v>
      </c>
      <c r="C447" s="735">
        <f>CALCULADORA_2021!BB19</f>
        <v>18.414615757575756</v>
      </c>
      <c r="D447" s="1087"/>
      <c r="E447" s="733" t="s">
        <v>775</v>
      </c>
      <c r="F447" s="736"/>
      <c r="G447" s="733"/>
    </row>
    <row r="448" spans="1:16">
      <c r="A448" s="906" t="s">
        <v>55</v>
      </c>
    </row>
    <row r="449" spans="1:20">
      <c r="A449" s="906" t="s">
        <v>55</v>
      </c>
    </row>
    <row r="450" spans="1:20">
      <c r="A450" s="906" t="s">
        <v>55</v>
      </c>
    </row>
    <row r="451" spans="1:20">
      <c r="A451" s="906" t="s">
        <v>55</v>
      </c>
    </row>
    <row r="452" spans="1:20">
      <c r="A452" s="906" t="s">
        <v>55</v>
      </c>
    </row>
    <row r="453" spans="1:20">
      <c r="A453" s="906" t="s">
        <v>55</v>
      </c>
    </row>
    <row r="454" spans="1:20">
      <c r="A454" s="906" t="s">
        <v>55</v>
      </c>
    </row>
    <row r="455" spans="1:20">
      <c r="A455" s="906" t="s">
        <v>55</v>
      </c>
    </row>
    <row r="456" spans="1:20">
      <c r="A456" s="906" t="s">
        <v>55</v>
      </c>
    </row>
    <row r="457" spans="1:20">
      <c r="A457" s="906" t="s">
        <v>55</v>
      </c>
    </row>
    <row r="458" spans="1:20" s="210" customFormat="1">
      <c r="A458" s="906" t="s">
        <v>55</v>
      </c>
      <c r="C458" s="690" t="s">
        <v>777</v>
      </c>
      <c r="D458" s="1081"/>
      <c r="J458" s="742" t="s">
        <v>758</v>
      </c>
      <c r="K458" s="742"/>
      <c r="L458" s="742"/>
      <c r="M458" s="742"/>
      <c r="N458" s="742"/>
      <c r="O458" s="742"/>
      <c r="P458" s="742"/>
      <c r="R458" s="742" t="s">
        <v>759</v>
      </c>
      <c r="S458" s="742"/>
      <c r="T458" s="742"/>
    </row>
    <row r="459" spans="1:20" ht="15" customHeight="1">
      <c r="A459" s="906" t="s">
        <v>55</v>
      </c>
      <c r="C459" s="880">
        <f>CALCULADORA_2021!E20</f>
        <v>1852</v>
      </c>
      <c r="D459" s="1095"/>
      <c r="E459" s="1307" t="s">
        <v>24</v>
      </c>
      <c r="F459" s="1307"/>
      <c r="G459" s="1307"/>
      <c r="J459" s="1308" t="s">
        <v>870</v>
      </c>
      <c r="K459" s="1308"/>
      <c r="L459" s="1308"/>
      <c r="M459" s="1308"/>
      <c r="N459" s="1308"/>
      <c r="O459" s="1308"/>
      <c r="P459" s="1308"/>
      <c r="R459" s="1308" t="s">
        <v>844</v>
      </c>
      <c r="S459" s="1308"/>
      <c r="T459" s="1308"/>
    </row>
    <row r="460" spans="1:20">
      <c r="A460" s="906" t="s">
        <v>55</v>
      </c>
      <c r="C460" s="881"/>
      <c r="D460" s="1096"/>
      <c r="E460" s="697"/>
      <c r="F460" s="697"/>
      <c r="G460" s="697"/>
      <c r="J460" s="1309"/>
      <c r="K460" s="1309"/>
      <c r="L460" s="1309"/>
      <c r="M460" s="1309"/>
      <c r="N460" s="1309"/>
      <c r="O460" s="1309"/>
      <c r="P460" s="1309"/>
      <c r="R460" s="1306"/>
      <c r="S460" s="1306"/>
      <c r="T460" s="1306"/>
    </row>
    <row r="461" spans="1:20">
      <c r="A461" s="906" t="s">
        <v>55</v>
      </c>
      <c r="C461" s="882">
        <f>CALCULADORA_2021!F20</f>
        <v>30866.666666666668</v>
      </c>
      <c r="D461" s="1097"/>
      <c r="E461" s="695" t="s">
        <v>752</v>
      </c>
      <c r="F461" s="692"/>
      <c r="G461" s="694"/>
      <c r="J461" s="704" t="s">
        <v>760</v>
      </c>
      <c r="K461" s="704"/>
      <c r="L461" s="704"/>
      <c r="M461" s="704"/>
      <c r="N461" s="704"/>
      <c r="O461" s="704"/>
      <c r="P461" s="704"/>
    </row>
    <row r="462" spans="1:20" ht="15" customHeight="1">
      <c r="A462" s="906" t="s">
        <v>55</v>
      </c>
      <c r="B462" s="30"/>
      <c r="C462" s="882">
        <f>CALCULADORA_2021!G20</f>
        <v>205777.77777777778</v>
      </c>
      <c r="D462" s="1097"/>
      <c r="E462" s="695" t="s">
        <v>417</v>
      </c>
      <c r="F462" s="694"/>
      <c r="G462" s="696"/>
      <c r="J462" s="1310" t="s">
        <v>761</v>
      </c>
      <c r="K462" s="1310"/>
      <c r="L462" s="1310"/>
      <c r="M462" s="1310"/>
      <c r="N462" s="1310"/>
      <c r="O462" s="1310"/>
      <c r="P462" s="1310"/>
    </row>
    <row r="463" spans="1:20" ht="15" customHeight="1">
      <c r="A463" s="906" t="s">
        <v>55</v>
      </c>
      <c r="B463" s="30"/>
      <c r="C463" s="882">
        <f>CALCULADORA_2021!H20</f>
        <v>1491.1433172302739</v>
      </c>
      <c r="D463" s="1097"/>
      <c r="E463" s="695" t="s">
        <v>718</v>
      </c>
      <c r="F463" s="692"/>
      <c r="G463" s="694"/>
      <c r="J463" s="1315" t="s">
        <v>783</v>
      </c>
      <c r="K463" s="1315"/>
      <c r="L463" s="1315"/>
      <c r="M463" s="1315"/>
      <c r="N463" s="1315"/>
      <c r="O463" s="1315"/>
      <c r="P463" s="1315"/>
    </row>
    <row r="464" spans="1:20" ht="15" customHeight="1">
      <c r="A464" s="906" t="s">
        <v>55</v>
      </c>
      <c r="B464" s="30"/>
      <c r="C464" s="883">
        <f>CALCULADORA_2021!J20</f>
        <v>1921.1618257261412</v>
      </c>
      <c r="D464" s="1098"/>
      <c r="E464" s="701" t="s">
        <v>784</v>
      </c>
      <c r="F464" s="693"/>
      <c r="G464" s="694"/>
      <c r="J464" s="704" t="s">
        <v>785</v>
      </c>
      <c r="K464" s="704"/>
      <c r="L464" s="704"/>
      <c r="M464" s="704"/>
      <c r="N464" s="704"/>
      <c r="O464" s="704"/>
      <c r="P464" s="704"/>
    </row>
    <row r="465" spans="1:20" ht="15" customHeight="1">
      <c r="A465" s="906" t="s">
        <v>55</v>
      </c>
      <c r="B465" s="30"/>
      <c r="C465" s="884">
        <f>CALCULADORA_2021!K20</f>
        <v>99.489658877249539</v>
      </c>
      <c r="D465" s="1099"/>
      <c r="E465" s="702" t="s">
        <v>719</v>
      </c>
      <c r="F465" s="699"/>
      <c r="G465" s="700"/>
      <c r="J465" s="1308" t="s">
        <v>787</v>
      </c>
      <c r="K465" s="1308"/>
      <c r="L465" s="1308"/>
      <c r="M465" s="1308"/>
      <c r="N465" s="1308"/>
      <c r="O465" s="1308"/>
      <c r="P465" s="1308"/>
    </row>
    <row r="466" spans="1:20" ht="36" customHeight="1">
      <c r="A466" s="906" t="s">
        <v>55</v>
      </c>
      <c r="B466" s="30"/>
      <c r="C466" s="885"/>
      <c r="D466" s="1100"/>
      <c r="E466" s="698"/>
      <c r="F466" s="698"/>
      <c r="G466" s="698"/>
      <c r="H466" s="691"/>
      <c r="I466" s="691"/>
      <c r="J466" s="1309"/>
      <c r="K466" s="1309"/>
      <c r="L466" s="1309"/>
      <c r="M466" s="1309"/>
      <c r="N466" s="1309"/>
      <c r="O466" s="1309"/>
      <c r="P466" s="1309"/>
    </row>
    <row r="467" spans="1:20" ht="15" customHeight="1">
      <c r="A467" s="906" t="s">
        <v>55</v>
      </c>
      <c r="C467" s="886">
        <f>CALCULADORA_2021!L20</f>
        <v>40</v>
      </c>
      <c r="D467" s="1101"/>
      <c r="E467" s="695" t="s">
        <v>822</v>
      </c>
      <c r="F467" s="693"/>
      <c r="G467" s="694"/>
      <c r="J467" s="907" t="s">
        <v>843</v>
      </c>
      <c r="K467" s="907"/>
      <c r="L467" s="907"/>
      <c r="M467" s="907"/>
      <c r="N467" s="907"/>
      <c r="O467" s="907"/>
      <c r="P467" s="907"/>
      <c r="R467" s="1306" t="s">
        <v>838</v>
      </c>
      <c r="S467" s="1306"/>
      <c r="T467" s="1306"/>
    </row>
    <row r="468" spans="1:20" ht="15" customHeight="1">
      <c r="A468" s="906" t="s">
        <v>55</v>
      </c>
      <c r="C468" s="873"/>
      <c r="D468" s="132"/>
      <c r="K468" s="268"/>
      <c r="L468" s="268"/>
      <c r="M468" s="268"/>
      <c r="N468" s="268"/>
      <c r="O468" s="268"/>
      <c r="P468" s="268"/>
      <c r="R468" s="1306"/>
      <c r="S468" s="1306"/>
      <c r="T468" s="1306"/>
    </row>
    <row r="469" spans="1:20" ht="15" customHeight="1">
      <c r="A469" s="906" t="s">
        <v>55</v>
      </c>
      <c r="C469" s="869">
        <f>CALCULADORA_2021!N20</f>
        <v>12268.574000000001</v>
      </c>
      <c r="D469" s="1102"/>
      <c r="E469" s="708" t="s">
        <v>419</v>
      </c>
      <c r="F469" s="708"/>
      <c r="G469" s="708"/>
      <c r="J469" s="266" t="s">
        <v>845</v>
      </c>
      <c r="K469" s="740"/>
      <c r="L469" s="740"/>
      <c r="M469" s="740"/>
      <c r="N469" s="740"/>
      <c r="O469" s="740"/>
      <c r="P469" s="740"/>
      <c r="R469" s="1306" t="s">
        <v>846</v>
      </c>
      <c r="S469" s="1306"/>
      <c r="T469" s="1306"/>
    </row>
    <row r="470" spans="1:20">
      <c r="A470" s="906" t="s">
        <v>55</v>
      </c>
      <c r="C470" s="869">
        <f>CALCULADORA_2021!P20</f>
        <v>61.342870000000005</v>
      </c>
      <c r="D470" s="1102"/>
      <c r="E470" s="708" t="s">
        <v>362</v>
      </c>
      <c r="F470" s="708"/>
      <c r="G470" s="708"/>
      <c r="J470" s="712" t="s">
        <v>789</v>
      </c>
      <c r="K470" s="712"/>
      <c r="L470" s="712"/>
      <c r="M470" s="712"/>
      <c r="N470" s="712"/>
      <c r="O470" s="712"/>
      <c r="P470" s="712"/>
      <c r="R470" s="1306"/>
      <c r="S470" s="1306"/>
      <c r="T470" s="1306"/>
    </row>
    <row r="471" spans="1:20">
      <c r="A471" s="906" t="s">
        <v>55</v>
      </c>
      <c r="C471" s="870">
        <f>CALCULADORA_2021!Q20</f>
        <v>4907.4296000000004</v>
      </c>
      <c r="D471" s="1103"/>
      <c r="E471" s="708" t="s">
        <v>720</v>
      </c>
      <c r="F471" s="708"/>
      <c r="G471" s="708"/>
      <c r="J471" s="712" t="s">
        <v>790</v>
      </c>
      <c r="K471" s="712"/>
      <c r="L471" s="712"/>
      <c r="M471" s="712"/>
      <c r="N471" s="712"/>
      <c r="O471" s="712"/>
      <c r="P471" s="712"/>
    </row>
    <row r="472" spans="1:20" ht="15" customHeight="1">
      <c r="A472" s="906" t="s">
        <v>55</v>
      </c>
      <c r="C472" s="871">
        <f>CALCULADORA_2021!R20</f>
        <v>175.26534285714285</v>
      </c>
      <c r="D472" s="1104"/>
      <c r="E472" s="709" t="s">
        <v>363</v>
      </c>
      <c r="F472" s="710"/>
      <c r="G472" s="708"/>
      <c r="J472" s="712" t="s">
        <v>462</v>
      </c>
      <c r="K472" s="712"/>
      <c r="L472" s="712"/>
      <c r="M472" s="712"/>
      <c r="N472" s="712"/>
      <c r="O472" s="712"/>
      <c r="P472" s="712"/>
    </row>
    <row r="473" spans="1:20" ht="15" customHeight="1">
      <c r="A473" s="906" t="s">
        <v>55</v>
      </c>
      <c r="C473" s="871">
        <f>CALCULADORA_2021!S20</f>
        <v>245.37148000000002</v>
      </c>
      <c r="D473" s="1104"/>
      <c r="E473" s="709" t="s">
        <v>432</v>
      </c>
      <c r="F473" s="710"/>
      <c r="G473" s="708"/>
      <c r="J473" s="712" t="s">
        <v>791</v>
      </c>
      <c r="K473" s="712"/>
      <c r="L473" s="712"/>
      <c r="M473" s="712"/>
      <c r="N473" s="712"/>
      <c r="O473" s="712"/>
      <c r="P473" s="712"/>
    </row>
    <row r="474" spans="1:20" ht="15" customHeight="1">
      <c r="A474" s="906" t="s">
        <v>55</v>
      </c>
      <c r="C474" s="871">
        <f>CALCULADORA_2021!T20</f>
        <v>943.73646153846153</v>
      </c>
      <c r="D474" s="1104"/>
      <c r="E474" s="709" t="s">
        <v>431</v>
      </c>
      <c r="F474" s="710"/>
      <c r="G474" s="708"/>
      <c r="J474" s="712" t="s">
        <v>792</v>
      </c>
      <c r="K474" s="712"/>
      <c r="L474" s="712"/>
      <c r="M474" s="712"/>
      <c r="N474" s="712"/>
      <c r="O474" s="712"/>
      <c r="P474" s="712"/>
    </row>
    <row r="475" spans="1:20" ht="15" customHeight="1">
      <c r="A475" s="906" t="s">
        <v>55</v>
      </c>
      <c r="C475" s="871">
        <f>CALCULADORA_2021!U20</f>
        <v>490.74296000000004</v>
      </c>
      <c r="D475" s="1104"/>
      <c r="E475" s="709" t="s">
        <v>721</v>
      </c>
      <c r="F475" s="710"/>
      <c r="G475" s="708"/>
      <c r="J475" s="712" t="s">
        <v>793</v>
      </c>
      <c r="K475" s="712"/>
      <c r="L475" s="712"/>
      <c r="M475" s="712"/>
      <c r="N475" s="712"/>
      <c r="O475" s="712"/>
      <c r="P475" s="712"/>
    </row>
    <row r="476" spans="1:20">
      <c r="A476" s="906" t="s">
        <v>55</v>
      </c>
      <c r="C476" s="872">
        <f>CALCULADORA_2021!V20</f>
        <v>3.2716197333333336E-3</v>
      </c>
      <c r="D476" s="1105"/>
      <c r="E476" s="708" t="s">
        <v>420</v>
      </c>
      <c r="F476" s="710"/>
      <c r="G476" s="708"/>
      <c r="J476" s="712" t="s">
        <v>794</v>
      </c>
      <c r="K476" s="712"/>
      <c r="L476" s="712"/>
      <c r="M476" s="712"/>
      <c r="N476" s="712"/>
      <c r="O476" s="712"/>
      <c r="P476" s="712"/>
    </row>
    <row r="477" spans="1:20">
      <c r="A477" s="906" t="s">
        <v>55</v>
      </c>
      <c r="C477" s="872">
        <f>CALCULADORA_2021!X20</f>
        <v>2044.7623333333333</v>
      </c>
      <c r="D477" s="1105"/>
      <c r="E477" s="708" t="s">
        <v>421</v>
      </c>
      <c r="F477" s="710"/>
      <c r="G477" s="708"/>
      <c r="J477" s="712" t="s">
        <v>795</v>
      </c>
      <c r="K477" s="712"/>
      <c r="L477" s="712"/>
      <c r="M477" s="712"/>
      <c r="N477" s="712"/>
      <c r="O477" s="712"/>
      <c r="P477" s="712"/>
    </row>
    <row r="478" spans="1:20">
      <c r="A478" s="906" t="s">
        <v>55</v>
      </c>
      <c r="C478" s="873"/>
      <c r="D478" s="132"/>
      <c r="F478" s="520"/>
    </row>
    <row r="479" spans="1:20">
      <c r="A479" s="906" t="s">
        <v>55</v>
      </c>
      <c r="C479" s="874">
        <f>CALCULADORA_2021!Z20</f>
        <v>9.5822479999999999</v>
      </c>
      <c r="D479" s="1106"/>
      <c r="E479" s="716" t="s">
        <v>422</v>
      </c>
      <c r="F479" s="716"/>
      <c r="G479" s="716"/>
      <c r="J479" s="715" t="s">
        <v>390</v>
      </c>
      <c r="K479" s="715"/>
      <c r="L479" s="715"/>
      <c r="M479" s="715"/>
      <c r="N479" s="715"/>
      <c r="O479" s="715"/>
      <c r="P479" s="715"/>
    </row>
    <row r="480" spans="1:20">
      <c r="A480" s="906" t="s">
        <v>55</v>
      </c>
      <c r="C480" s="874">
        <f>CALCULADORA_2021!AB20</f>
        <v>2.5389491534405555E-5</v>
      </c>
      <c r="D480" s="1106"/>
      <c r="E480" s="716" t="s">
        <v>267</v>
      </c>
      <c r="F480" s="716"/>
      <c r="G480" s="716"/>
      <c r="J480" s="715" t="s">
        <v>852</v>
      </c>
      <c r="K480" s="715"/>
      <c r="L480" s="715"/>
      <c r="M480" s="715"/>
      <c r="N480" s="715"/>
      <c r="O480" s="715"/>
      <c r="P480" s="715"/>
    </row>
    <row r="481" spans="1:20" ht="15" customHeight="1">
      <c r="A481" s="906" t="s">
        <v>55</v>
      </c>
      <c r="C481" s="874">
        <f>CALCULADORA_2021!AD20</f>
        <v>8.3339999999999996</v>
      </c>
      <c r="D481" s="1106"/>
      <c r="E481" s="716" t="s">
        <v>837</v>
      </c>
      <c r="F481" s="716"/>
      <c r="G481" s="716"/>
      <c r="J481" s="1316" t="s">
        <v>871</v>
      </c>
      <c r="K481" s="1316"/>
      <c r="L481" s="1316"/>
      <c r="M481" s="1316"/>
      <c r="N481" s="1316"/>
      <c r="O481" s="1316"/>
      <c r="P481" s="1316"/>
      <c r="R481" s="1306" t="s">
        <v>847</v>
      </c>
      <c r="S481" s="1306"/>
      <c r="T481" s="1306"/>
    </row>
    <row r="482" spans="1:20">
      <c r="A482" s="906" t="s">
        <v>55</v>
      </c>
      <c r="C482" s="873"/>
      <c r="D482" s="132"/>
      <c r="F482" s="520"/>
      <c r="J482" s="1309"/>
      <c r="K482" s="1309"/>
      <c r="L482" s="1309"/>
      <c r="M482" s="1309"/>
      <c r="N482" s="1309"/>
      <c r="O482" s="1309"/>
      <c r="P482" s="1309"/>
      <c r="R482" s="1306"/>
      <c r="S482" s="1306"/>
      <c r="T482" s="1306"/>
    </row>
    <row r="483" spans="1:20" ht="15" customHeight="1">
      <c r="A483" s="906" t="s">
        <v>55</v>
      </c>
      <c r="C483" s="875">
        <f>CALCULADORA_2021!AF20</f>
        <v>1.0649</v>
      </c>
      <c r="D483" s="1107"/>
      <c r="E483" s="717" t="s">
        <v>796</v>
      </c>
      <c r="F483" s="717"/>
      <c r="G483" s="717"/>
      <c r="J483" s="718" t="s">
        <v>848</v>
      </c>
      <c r="K483" s="718"/>
      <c r="L483" s="718"/>
      <c r="M483" s="718"/>
      <c r="N483" s="718"/>
      <c r="O483" s="718"/>
      <c r="P483" s="718"/>
      <c r="R483" s="1306" t="s">
        <v>849</v>
      </c>
      <c r="S483" s="1306"/>
      <c r="T483" s="1306"/>
    </row>
    <row r="484" spans="1:20">
      <c r="A484" s="906" t="s">
        <v>55</v>
      </c>
      <c r="C484" s="875">
        <f>CALCULADORA_2021!AG20</f>
        <v>0.10649</v>
      </c>
      <c r="D484" s="1107"/>
      <c r="E484" s="717" t="s">
        <v>423</v>
      </c>
      <c r="F484" s="717"/>
      <c r="G484" s="717"/>
      <c r="J484" s="719" t="s">
        <v>764</v>
      </c>
      <c r="K484" s="719"/>
      <c r="L484" s="719"/>
      <c r="M484" s="719"/>
      <c r="N484" s="719"/>
      <c r="O484" s="719"/>
      <c r="P484" s="719"/>
      <c r="R484" s="1306"/>
      <c r="S484" s="1306"/>
      <c r="T484" s="1306"/>
    </row>
    <row r="485" spans="1:20">
      <c r="A485" s="906" t="s">
        <v>55</v>
      </c>
      <c r="C485" s="876">
        <f>CALCULADORA_2021!AH20</f>
        <v>1.0649E-6</v>
      </c>
      <c r="D485" s="1108"/>
      <c r="E485" s="717" t="s">
        <v>424</v>
      </c>
      <c r="F485" s="717"/>
      <c r="G485" s="717"/>
      <c r="J485" s="719" t="s">
        <v>765</v>
      </c>
      <c r="K485" s="719"/>
      <c r="L485" s="719"/>
      <c r="M485" s="719"/>
      <c r="N485" s="719"/>
      <c r="O485" s="719"/>
      <c r="P485" s="719"/>
    </row>
    <row r="486" spans="1:20">
      <c r="A486" s="906" t="s">
        <v>55</v>
      </c>
      <c r="C486" s="876"/>
      <c r="D486" s="1108"/>
      <c r="E486" s="717"/>
      <c r="F486" s="717"/>
      <c r="G486" s="717"/>
      <c r="J486" s="718"/>
      <c r="K486" s="719"/>
      <c r="L486" s="719"/>
      <c r="M486" s="719"/>
      <c r="N486" s="719"/>
      <c r="O486" s="719"/>
      <c r="P486" s="719"/>
    </row>
    <row r="487" spans="1:20">
      <c r="A487" s="906" t="s">
        <v>55</v>
      </c>
      <c r="C487" s="724">
        <f>CALCULADORA_2021!AJ20</f>
        <v>5.8236139999999992</v>
      </c>
      <c r="D487" s="1109"/>
      <c r="E487" s="723" t="s">
        <v>170</v>
      </c>
      <c r="F487" s="723"/>
      <c r="G487" s="723"/>
      <c r="J487" s="720" t="s">
        <v>872</v>
      </c>
      <c r="K487" s="720"/>
      <c r="L487" s="720"/>
      <c r="M487" s="720"/>
      <c r="N487" s="720"/>
      <c r="O487" s="720"/>
      <c r="P487" s="720"/>
      <c r="R487" s="27" t="s">
        <v>842</v>
      </c>
    </row>
    <row r="488" spans="1:20">
      <c r="A488" s="906" t="s">
        <v>55</v>
      </c>
      <c r="C488" s="724"/>
      <c r="D488" s="1109"/>
      <c r="E488" s="723" t="s">
        <v>425</v>
      </c>
      <c r="F488" s="723"/>
      <c r="G488" s="723"/>
      <c r="J488" s="1311"/>
      <c r="K488" s="1311"/>
      <c r="L488" s="1311"/>
      <c r="M488" s="1311"/>
      <c r="N488" s="1311"/>
      <c r="O488" s="1311"/>
      <c r="P488" s="1311"/>
    </row>
    <row r="489" spans="1:20">
      <c r="A489" s="906" t="s">
        <v>55</v>
      </c>
      <c r="C489" s="724"/>
      <c r="D489" s="1109"/>
      <c r="E489" s="723"/>
      <c r="F489" s="723"/>
      <c r="G489" s="723"/>
      <c r="J489" s="1312"/>
      <c r="K489" s="1312"/>
      <c r="L489" s="1312"/>
      <c r="M489" s="1312"/>
      <c r="N489" s="1312"/>
      <c r="O489" s="1312"/>
      <c r="P489" s="1312"/>
    </row>
    <row r="490" spans="1:20">
      <c r="A490" s="906" t="s">
        <v>55</v>
      </c>
      <c r="C490" s="724">
        <f>CALCULADORA_2021!AK20</f>
        <v>925.95462599999985</v>
      </c>
      <c r="D490" s="1109"/>
      <c r="E490" s="723" t="s">
        <v>766</v>
      </c>
      <c r="F490" s="723"/>
      <c r="G490" s="723"/>
      <c r="J490" s="721" t="s">
        <v>778</v>
      </c>
      <c r="K490" s="721"/>
      <c r="L490" s="721"/>
      <c r="M490" s="721"/>
      <c r="N490" s="721"/>
      <c r="O490" s="721"/>
      <c r="P490" s="721"/>
    </row>
    <row r="491" spans="1:20">
      <c r="A491" s="906" t="s">
        <v>55</v>
      </c>
      <c r="C491" s="877">
        <f>CALCULADORA_2021!AN20</f>
        <v>384.35852399999993</v>
      </c>
      <c r="D491" s="1110"/>
      <c r="E491" s="723" t="s">
        <v>426</v>
      </c>
      <c r="F491" s="723"/>
      <c r="G491" s="723"/>
      <c r="J491" s="721" t="s">
        <v>779</v>
      </c>
      <c r="K491" s="721"/>
      <c r="L491" s="721"/>
      <c r="M491" s="721"/>
      <c r="N491" s="721"/>
      <c r="O491" s="721"/>
      <c r="P491" s="721"/>
    </row>
    <row r="492" spans="1:20" ht="15" customHeight="1">
      <c r="A492" s="906" t="s">
        <v>55</v>
      </c>
      <c r="C492" s="878">
        <f>CALCULADORA_2021!AO20</f>
        <v>4.6297731299999992E-2</v>
      </c>
      <c r="D492" s="1111"/>
      <c r="E492" s="727" t="s">
        <v>767</v>
      </c>
      <c r="F492" s="728"/>
      <c r="G492" s="723"/>
      <c r="J492" s="721" t="s">
        <v>780</v>
      </c>
      <c r="K492" s="721"/>
      <c r="L492" s="721"/>
      <c r="M492" s="721"/>
      <c r="N492" s="721"/>
      <c r="O492" s="721"/>
      <c r="P492" s="721"/>
    </row>
    <row r="493" spans="1:20" ht="15" customHeight="1">
      <c r="A493" s="906" t="s">
        <v>55</v>
      </c>
      <c r="C493" s="879">
        <f>CALCULADORA_2021!AP20</f>
        <v>7721.762747159999</v>
      </c>
      <c r="D493" s="1112"/>
      <c r="E493" s="723" t="s">
        <v>427</v>
      </c>
      <c r="F493" s="728"/>
      <c r="G493" s="723"/>
      <c r="J493" s="1311" t="s">
        <v>798</v>
      </c>
      <c r="K493" s="1311"/>
      <c r="L493" s="1311"/>
      <c r="M493" s="1311"/>
      <c r="N493" s="1311"/>
      <c r="O493" s="1311"/>
      <c r="P493" s="1311"/>
    </row>
    <row r="494" spans="1:20">
      <c r="A494" s="906" t="s">
        <v>55</v>
      </c>
      <c r="C494" s="879">
        <f>CALCULADORA_2021!AQ20</f>
        <v>4211.870589359999</v>
      </c>
      <c r="D494" s="1112"/>
      <c r="E494" s="723" t="s">
        <v>83</v>
      </c>
      <c r="F494" s="728"/>
      <c r="G494" s="723"/>
      <c r="J494" s="1306"/>
      <c r="K494" s="1306"/>
      <c r="L494" s="1306"/>
      <c r="M494" s="1306"/>
      <c r="N494" s="1306"/>
      <c r="O494" s="1306"/>
      <c r="P494" s="1306"/>
    </row>
    <row r="495" spans="1:20">
      <c r="A495" s="906" t="s">
        <v>55</v>
      </c>
      <c r="C495" s="879">
        <f>CALCULADORA_2021!AR20</f>
        <v>70.19784315599999</v>
      </c>
      <c r="D495" s="1112"/>
      <c r="E495" s="723" t="s">
        <v>84</v>
      </c>
      <c r="F495" s="728"/>
      <c r="G495" s="723"/>
      <c r="J495" s="1312"/>
      <c r="K495" s="1312"/>
      <c r="L495" s="1312"/>
      <c r="M495" s="1312"/>
      <c r="N495" s="1312"/>
      <c r="O495" s="1312"/>
      <c r="P495" s="1312"/>
    </row>
    <row r="496" spans="1:20">
      <c r="A496" s="906" t="s">
        <v>55</v>
      </c>
      <c r="C496" s="878">
        <f>CALCULADORA_2021!AS20</f>
        <v>10.388068216216215</v>
      </c>
      <c r="D496" s="1111"/>
      <c r="E496" s="727" t="s">
        <v>769</v>
      </c>
      <c r="F496" s="728"/>
      <c r="G496" s="723"/>
      <c r="J496" s="721" t="s">
        <v>799</v>
      </c>
      <c r="K496" s="721"/>
      <c r="L496" s="721"/>
      <c r="M496" s="721"/>
      <c r="N496" s="721"/>
      <c r="O496" s="721"/>
      <c r="P496" s="721"/>
    </row>
    <row r="497" spans="1:20">
      <c r="A497" s="906" t="s">
        <v>55</v>
      </c>
      <c r="C497" s="873"/>
      <c r="D497" s="132"/>
    </row>
    <row r="498" spans="1:20">
      <c r="A498" s="906" t="s">
        <v>55</v>
      </c>
      <c r="C498" s="873"/>
      <c r="D498" s="132"/>
      <c r="F498" s="520"/>
    </row>
    <row r="499" spans="1:20" ht="15" customHeight="1">
      <c r="A499" s="906" t="s">
        <v>55</v>
      </c>
      <c r="C499" s="738">
        <f>CALCULADORA_2021!AU20</f>
        <v>368.548</v>
      </c>
      <c r="D499" s="1113"/>
      <c r="E499" s="739" t="s">
        <v>810</v>
      </c>
      <c r="F499" s="739"/>
      <c r="G499" s="739"/>
      <c r="J499" s="1306" t="s">
        <v>850</v>
      </c>
      <c r="K499" s="1306"/>
      <c r="L499" s="1306"/>
      <c r="M499" s="1306"/>
      <c r="N499" s="1306"/>
      <c r="O499" s="1306"/>
      <c r="P499" s="1306"/>
      <c r="R499" s="1306" t="s">
        <v>851</v>
      </c>
      <c r="S499" s="1306"/>
      <c r="T499" s="1306"/>
    </row>
    <row r="500" spans="1:20">
      <c r="A500" s="906" t="s">
        <v>55</v>
      </c>
      <c r="C500" s="730"/>
      <c r="D500" s="1084"/>
      <c r="E500" s="731"/>
      <c r="F500" s="731"/>
      <c r="G500" s="731"/>
      <c r="J500" s="1314"/>
      <c r="K500" s="1314"/>
      <c r="L500" s="1314"/>
      <c r="M500" s="1314"/>
      <c r="N500" s="1314"/>
      <c r="O500" s="1314"/>
      <c r="P500" s="1314"/>
      <c r="R500" s="1306"/>
      <c r="S500" s="1306"/>
      <c r="T500" s="1306"/>
    </row>
    <row r="501" spans="1:20">
      <c r="A501" s="906" t="s">
        <v>55</v>
      </c>
      <c r="C501" s="732">
        <f>CALCULADORA_2021!AX20</f>
        <v>153.56166666666667</v>
      </c>
      <c r="D501" s="1085"/>
      <c r="E501" s="733" t="s">
        <v>772</v>
      </c>
      <c r="F501" s="733"/>
      <c r="G501" s="733"/>
      <c r="J501" s="737" t="s">
        <v>771</v>
      </c>
      <c r="K501" s="737"/>
      <c r="L501" s="737"/>
      <c r="M501" s="737"/>
      <c r="N501" s="737"/>
      <c r="O501" s="737"/>
      <c r="P501" s="737"/>
    </row>
    <row r="502" spans="1:20">
      <c r="A502" s="906" t="s">
        <v>55</v>
      </c>
      <c r="C502" s="734">
        <f>CALCULADORA_2021!AY20</f>
        <v>3085.0538833333335</v>
      </c>
      <c r="D502" s="1086"/>
      <c r="E502" s="733" t="s">
        <v>773</v>
      </c>
      <c r="F502" s="733"/>
      <c r="G502" s="733"/>
    </row>
    <row r="503" spans="1:20">
      <c r="A503" s="906" t="s">
        <v>55</v>
      </c>
      <c r="C503" s="734">
        <f>CALCULADORA_2021!BA20</f>
        <v>1682.7566636363638</v>
      </c>
      <c r="D503" s="1086"/>
      <c r="E503" s="733" t="s">
        <v>774</v>
      </c>
      <c r="F503" s="733"/>
      <c r="G503" s="733"/>
    </row>
    <row r="504" spans="1:20" ht="15" customHeight="1">
      <c r="A504" s="906" t="s">
        <v>55</v>
      </c>
      <c r="C504" s="735">
        <f>CALCULADORA_2021!BB20</f>
        <v>28.045944393939397</v>
      </c>
      <c r="D504" s="1087"/>
      <c r="E504" s="733" t="s">
        <v>775</v>
      </c>
      <c r="F504" s="736"/>
      <c r="G504" s="733"/>
    </row>
    <row r="505" spans="1:20">
      <c r="A505" s="906" t="s">
        <v>55</v>
      </c>
    </row>
    <row r="506" spans="1:20">
      <c r="A506" s="906" t="s">
        <v>55</v>
      </c>
    </row>
    <row r="507" spans="1:20">
      <c r="A507" s="906" t="s">
        <v>55</v>
      </c>
    </row>
    <row r="508" spans="1:20">
      <c r="A508" s="906" t="s">
        <v>55</v>
      </c>
    </row>
    <row r="509" spans="1:20">
      <c r="A509" s="906" t="s">
        <v>55</v>
      </c>
    </row>
    <row r="510" spans="1:20">
      <c r="A510" s="906" t="s">
        <v>55</v>
      </c>
    </row>
    <row r="511" spans="1:20">
      <c r="A511" s="906" t="s">
        <v>55</v>
      </c>
    </row>
    <row r="512" spans="1:20">
      <c r="A512" s="906" t="s">
        <v>55</v>
      </c>
    </row>
    <row r="513" spans="1:5">
      <c r="A513" s="906" t="s">
        <v>55</v>
      </c>
    </row>
    <row r="514" spans="1:5">
      <c r="A514" s="906" t="s">
        <v>55</v>
      </c>
      <c r="E514" s="27" t="s">
        <v>1401</v>
      </c>
    </row>
  </sheetData>
  <mergeCells count="73">
    <mergeCell ref="J217:P223"/>
    <mergeCell ref="R386:T388"/>
    <mergeCell ref="J499:P500"/>
    <mergeCell ref="R99:T101"/>
    <mergeCell ref="R102:T103"/>
    <mergeCell ref="R345:T346"/>
    <mergeCell ref="R402:T403"/>
    <mergeCell ref="R410:T411"/>
    <mergeCell ref="R459:T460"/>
    <mergeCell ref="R467:T468"/>
    <mergeCell ref="R469:T470"/>
    <mergeCell ref="R481:T482"/>
    <mergeCell ref="R483:T484"/>
    <mergeCell ref="R499:T500"/>
    <mergeCell ref="J462:P462"/>
    <mergeCell ref="J463:P463"/>
    <mergeCell ref="J481:P482"/>
    <mergeCell ref="J488:P489"/>
    <mergeCell ref="J493:P495"/>
    <mergeCell ref="E459:G459"/>
    <mergeCell ref="J459:P460"/>
    <mergeCell ref="J465:P466"/>
    <mergeCell ref="J431:P432"/>
    <mergeCell ref="J436:P438"/>
    <mergeCell ref="J442:P443"/>
    <mergeCell ref="J402:P403"/>
    <mergeCell ref="J411:P412"/>
    <mergeCell ref="J424:P425"/>
    <mergeCell ref="E402:G402"/>
    <mergeCell ref="J408:P409"/>
    <mergeCell ref="E230:G230"/>
    <mergeCell ref="J230:P231"/>
    <mergeCell ref="J236:P237"/>
    <mergeCell ref="J258:P259"/>
    <mergeCell ref="J263:P265"/>
    <mergeCell ref="J238:P238"/>
    <mergeCell ref="E345:G345"/>
    <mergeCell ref="J385:P386"/>
    <mergeCell ref="J373:P374"/>
    <mergeCell ref="J378:P380"/>
    <mergeCell ref="J348:P348"/>
    <mergeCell ref="J349:P349"/>
    <mergeCell ref="J351:P352"/>
    <mergeCell ref="J206:P207"/>
    <mergeCell ref="J211:P213"/>
    <mergeCell ref="J88:P89"/>
    <mergeCell ref="J93:P95"/>
    <mergeCell ref="E174:G174"/>
    <mergeCell ref="J174:P175"/>
    <mergeCell ref="J180:P181"/>
    <mergeCell ref="J145:P146"/>
    <mergeCell ref="J150:P152"/>
    <mergeCell ref="E117:G117"/>
    <mergeCell ref="J117:P118"/>
    <mergeCell ref="J123:P124"/>
    <mergeCell ref="J156:P158"/>
    <mergeCell ref="J5:P6"/>
    <mergeCell ref="A2:T2"/>
    <mergeCell ref="E5:G5"/>
    <mergeCell ref="E60:G60"/>
    <mergeCell ref="J60:P61"/>
    <mergeCell ref="J66:P67"/>
    <mergeCell ref="J11:P12"/>
    <mergeCell ref="J38:P40"/>
    <mergeCell ref="J33:P34"/>
    <mergeCell ref="R46:T47"/>
    <mergeCell ref="R272:T273"/>
    <mergeCell ref="E289:G289"/>
    <mergeCell ref="J294:P296"/>
    <mergeCell ref="R329:T330"/>
    <mergeCell ref="J297:P297"/>
    <mergeCell ref="J317:P318"/>
    <mergeCell ref="J322:P324"/>
  </mergeCells>
  <phoneticPr fontId="85" type="noConversion"/>
  <pageMargins left="0.19685039370078741" right="0.31496062992125984" top="0.74803149606299213" bottom="0.74803149606299213" header="0.19685039370078741" footer="0.31496062992125984"/>
  <pageSetup scale="57" orientation="landscape" r:id="rId1"/>
  <rowBreaks count="1" manualBreakCount="1">
    <brk id="224" max="16383" man="1"/>
  </rowBreaks>
  <colBreaks count="2" manualBreakCount="2">
    <brk id="16" max="1048575" man="1"/>
    <brk id="20"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518"/>
  <sheetViews>
    <sheetView zoomScale="90" zoomScaleNormal="90" workbookViewId="0">
      <selection activeCell="C86" sqref="C86"/>
    </sheetView>
  </sheetViews>
  <sheetFormatPr baseColWidth="10" defaultColWidth="10.85546875" defaultRowHeight="15.75"/>
  <cols>
    <col min="1" max="1" width="10.7109375" style="479" customWidth="1"/>
    <col min="2" max="2" width="47.42578125" style="527" customWidth="1"/>
    <col min="3" max="8" width="8.7109375" style="481" customWidth="1"/>
    <col min="9" max="9" width="36.42578125" style="480" customWidth="1"/>
    <col min="10" max="10" width="38.42578125" style="480" customWidth="1"/>
    <col min="11" max="11" width="37.28515625" style="480" customWidth="1"/>
    <col min="12" max="12" width="28.85546875" style="480" customWidth="1"/>
    <col min="13" max="13" width="42.28515625" style="948" customWidth="1"/>
    <col min="14" max="16384" width="10.85546875" style="480"/>
  </cols>
  <sheetData>
    <row r="1" spans="1:14" ht="58.5" customHeight="1">
      <c r="C1" s="496"/>
    </row>
    <row r="2" spans="1:14" ht="58.5" customHeight="1">
      <c r="C2" s="496"/>
    </row>
    <row r="3" spans="1:14" ht="25.5" customHeight="1">
      <c r="A3" s="1318" t="s">
        <v>374</v>
      </c>
      <c r="B3" s="1329" t="s">
        <v>375</v>
      </c>
      <c r="C3" s="1330" t="s">
        <v>192</v>
      </c>
      <c r="D3" s="1330"/>
      <c r="E3" s="1330"/>
      <c r="F3" s="1330"/>
      <c r="G3" s="1330"/>
      <c r="H3" s="1330"/>
      <c r="I3" s="1318" t="s">
        <v>379</v>
      </c>
      <c r="J3" s="1318" t="s">
        <v>376</v>
      </c>
      <c r="K3" s="1318" t="s">
        <v>377</v>
      </c>
      <c r="L3" s="526" t="s">
        <v>276</v>
      </c>
      <c r="M3" s="1321" t="s">
        <v>373</v>
      </c>
      <c r="N3" s="1318" t="s">
        <v>378</v>
      </c>
    </row>
    <row r="4" spans="1:14" s="481" customFormat="1" ht="39.950000000000003" customHeight="1">
      <c r="A4" s="1318"/>
      <c r="B4" s="1329"/>
      <c r="C4" s="505" t="s">
        <v>24</v>
      </c>
      <c r="D4" s="490"/>
      <c r="E4" s="490"/>
      <c r="F4" s="490"/>
      <c r="G4" s="490"/>
      <c r="H4" s="490"/>
      <c r="I4" s="1318"/>
      <c r="J4" s="1318"/>
      <c r="K4" s="1318"/>
      <c r="L4" s="526"/>
      <c r="M4" s="1328"/>
      <c r="N4" s="1318"/>
    </row>
    <row r="5" spans="1:14" s="482" customFormat="1" ht="115.5" customHeight="1">
      <c r="A5" s="494" t="s">
        <v>48</v>
      </c>
      <c r="B5" s="513"/>
      <c r="C5" s="509" t="s">
        <v>388</v>
      </c>
      <c r="D5" s="487"/>
      <c r="E5" s="486"/>
      <c r="F5" s="486"/>
      <c r="G5" s="487"/>
      <c r="H5" s="486"/>
      <c r="I5" s="493" t="s">
        <v>384</v>
      </c>
      <c r="J5" s="288"/>
      <c r="K5" s="483"/>
      <c r="L5" s="288" t="s">
        <v>1226</v>
      </c>
      <c r="M5" s="944" t="s">
        <v>1220</v>
      </c>
      <c r="N5" s="961"/>
    </row>
    <row r="6" spans="1:14" s="482" customFormat="1" ht="115.5" customHeight="1">
      <c r="A6" s="495"/>
      <c r="B6" s="513"/>
      <c r="C6" s="509" t="s">
        <v>388</v>
      </c>
      <c r="D6" s="487"/>
      <c r="E6" s="486"/>
      <c r="F6" s="486"/>
      <c r="G6" s="487" t="s">
        <v>388</v>
      </c>
      <c r="H6" s="486"/>
      <c r="I6" s="493"/>
      <c r="J6" s="288"/>
      <c r="K6" s="483"/>
      <c r="L6" s="288" t="s">
        <v>762</v>
      </c>
      <c r="M6" s="944" t="s">
        <v>1219</v>
      </c>
      <c r="N6" s="689" t="s">
        <v>681</v>
      </c>
    </row>
    <row r="7" spans="1:14" s="482" customFormat="1" ht="111" customHeight="1">
      <c r="A7" s="495"/>
      <c r="B7" s="513" t="s">
        <v>1221</v>
      </c>
      <c r="C7" s="486"/>
      <c r="D7" s="509" t="s">
        <v>388</v>
      </c>
      <c r="E7" s="486"/>
      <c r="F7" s="486"/>
      <c r="G7" s="487"/>
      <c r="H7" s="486"/>
      <c r="I7" s="493" t="s">
        <v>498</v>
      </c>
      <c r="J7" s="506"/>
      <c r="K7" s="507"/>
      <c r="L7" s="288" t="s">
        <v>753</v>
      </c>
      <c r="M7" s="944" t="s">
        <v>1222</v>
      </c>
      <c r="N7" s="689" t="s">
        <v>681</v>
      </c>
    </row>
    <row r="8" spans="1:14" s="482" customFormat="1" ht="115.5" customHeight="1">
      <c r="A8" s="495"/>
      <c r="B8" s="513" t="s">
        <v>468</v>
      </c>
      <c r="C8" s="486"/>
      <c r="D8" s="525" t="s">
        <v>388</v>
      </c>
      <c r="E8" s="486"/>
      <c r="F8" s="486"/>
      <c r="G8" s="487"/>
      <c r="H8" s="486"/>
      <c r="I8" s="493" t="s">
        <v>499</v>
      </c>
      <c r="J8" s="506"/>
      <c r="K8" s="507"/>
      <c r="L8" s="288" t="s">
        <v>754</v>
      </c>
      <c r="M8" s="944" t="s">
        <v>469</v>
      </c>
      <c r="N8" s="689" t="s">
        <v>681</v>
      </c>
    </row>
    <row r="9" spans="1:14" s="482" customFormat="1" ht="151.5" customHeight="1">
      <c r="A9" s="495"/>
      <c r="B9" s="513" t="s">
        <v>680</v>
      </c>
      <c r="C9" s="486"/>
      <c r="D9" s="525" t="s">
        <v>388</v>
      </c>
      <c r="E9" s="486"/>
      <c r="F9" s="486"/>
      <c r="G9" s="487"/>
      <c r="H9" s="486"/>
      <c r="I9" s="493" t="s">
        <v>500</v>
      </c>
      <c r="J9" s="506"/>
      <c r="K9" s="507"/>
      <c r="L9" s="288" t="s">
        <v>1223</v>
      </c>
      <c r="M9" s="944" t="s">
        <v>471</v>
      </c>
      <c r="N9" s="296"/>
    </row>
    <row r="10" spans="1:14" s="482" customFormat="1" ht="111" customHeight="1">
      <c r="A10" s="495"/>
      <c r="B10" s="513" t="s">
        <v>679</v>
      </c>
      <c r="C10" s="486"/>
      <c r="D10" s="487"/>
      <c r="E10" s="509" t="s">
        <v>388</v>
      </c>
      <c r="F10" s="486"/>
      <c r="G10" s="487"/>
      <c r="H10" s="296"/>
      <c r="I10" s="498" t="s">
        <v>501</v>
      </c>
      <c r="J10" s="498"/>
      <c r="K10" s="288"/>
      <c r="L10" s="288" t="s">
        <v>1482</v>
      </c>
      <c r="M10" s="944" t="s">
        <v>1483</v>
      </c>
      <c r="N10" s="689" t="s">
        <v>681</v>
      </c>
    </row>
    <row r="11" spans="1:14" s="482" customFormat="1" ht="144.75" customHeight="1">
      <c r="A11" s="495"/>
      <c r="B11" s="513" t="s">
        <v>502</v>
      </c>
      <c r="C11" s="486"/>
      <c r="D11" s="487"/>
      <c r="E11" s="486"/>
      <c r="F11" s="486" t="s">
        <v>512</v>
      </c>
      <c r="G11" s="509"/>
      <c r="H11" s="296"/>
      <c r="I11" s="498" t="s">
        <v>428</v>
      </c>
      <c r="J11" s="508"/>
      <c r="K11" s="288"/>
      <c r="L11" s="288" t="s">
        <v>755</v>
      </c>
      <c r="M11" s="954" t="s">
        <v>1224</v>
      </c>
      <c r="N11" s="689" t="s">
        <v>681</v>
      </c>
    </row>
    <row r="12" spans="1:14" s="482" customFormat="1" ht="115.5" customHeight="1">
      <c r="A12" s="495"/>
      <c r="B12" s="954" t="s">
        <v>467</v>
      </c>
      <c r="C12" s="486" t="s">
        <v>388</v>
      </c>
      <c r="D12" s="487"/>
      <c r="E12" s="486"/>
      <c r="F12" s="486"/>
      <c r="G12" s="525"/>
      <c r="H12" s="486"/>
      <c r="I12" s="498" t="s">
        <v>450</v>
      </c>
      <c r="J12" s="508"/>
      <c r="K12" s="288"/>
      <c r="L12" s="288" t="s">
        <v>1243</v>
      </c>
      <c r="M12" s="944" t="s">
        <v>449</v>
      </c>
      <c r="N12" s="296"/>
    </row>
    <row r="13" spans="1:14" s="482" customFormat="1" ht="175.5" customHeight="1">
      <c r="A13" s="495"/>
      <c r="B13" s="954" t="s">
        <v>757</v>
      </c>
      <c r="C13" s="486" t="s">
        <v>388</v>
      </c>
      <c r="D13" s="487"/>
      <c r="E13" s="486"/>
      <c r="F13" s="486"/>
      <c r="G13" s="525"/>
      <c r="H13" s="486"/>
      <c r="I13" s="498" t="s">
        <v>472</v>
      </c>
      <c r="J13" s="508"/>
      <c r="K13" s="288"/>
      <c r="L13" s="288" t="s">
        <v>756</v>
      </c>
      <c r="M13" s="944" t="s">
        <v>1225</v>
      </c>
      <c r="N13" s="689" t="s">
        <v>681</v>
      </c>
    </row>
    <row r="14" spans="1:14" s="482" customFormat="1">
      <c r="B14" s="527"/>
      <c r="I14" s="488"/>
      <c r="J14" s="488"/>
      <c r="M14" s="527"/>
    </row>
    <row r="15" spans="1:14">
      <c r="A15" s="1318" t="s">
        <v>374</v>
      </c>
      <c r="B15" s="1319" t="s">
        <v>375</v>
      </c>
      <c r="C15" s="1324" t="s">
        <v>69</v>
      </c>
      <c r="D15" s="1324"/>
      <c r="E15" s="1324"/>
      <c r="F15" s="1324"/>
      <c r="G15" s="1324"/>
      <c r="H15" s="1324"/>
      <c r="I15" s="1318" t="s">
        <v>379</v>
      </c>
      <c r="J15" s="1318" t="s">
        <v>376</v>
      </c>
      <c r="K15" s="1318" t="s">
        <v>377</v>
      </c>
      <c r="L15" s="526"/>
      <c r="M15" s="1321" t="s">
        <v>373</v>
      </c>
      <c r="N15" s="1318" t="s">
        <v>378</v>
      </c>
    </row>
    <row r="16" spans="1:14" s="481" customFormat="1" ht="39.75" customHeight="1">
      <c r="A16" s="1318"/>
      <c r="B16" s="1319"/>
      <c r="C16" s="491"/>
      <c r="D16" s="491"/>
      <c r="E16" s="491"/>
      <c r="F16" s="491"/>
      <c r="G16" s="491"/>
      <c r="H16" s="491"/>
      <c r="I16" s="1318"/>
      <c r="J16" s="1318"/>
      <c r="K16" s="1318"/>
      <c r="L16" s="526"/>
      <c r="M16" s="1321"/>
      <c r="N16" s="1318"/>
    </row>
    <row r="17" spans="1:14" s="482" customFormat="1" ht="111" customHeight="1">
      <c r="A17" s="615" t="s">
        <v>48</v>
      </c>
      <c r="B17" s="497" t="s">
        <v>383</v>
      </c>
      <c r="C17" s="509" t="s">
        <v>388</v>
      </c>
      <c r="D17" s="487"/>
      <c r="E17" s="486"/>
      <c r="F17" s="486"/>
      <c r="G17" s="487"/>
      <c r="H17" s="486"/>
      <c r="I17" s="498"/>
      <c r="J17" s="288"/>
      <c r="K17" s="288"/>
      <c r="L17" s="288" t="s">
        <v>397</v>
      </c>
      <c r="M17" s="513" t="s">
        <v>457</v>
      </c>
      <c r="N17" s="296" t="s">
        <v>873</v>
      </c>
    </row>
    <row r="18" spans="1:14" s="482" customFormat="1" ht="111" customHeight="1">
      <c r="A18" s="495"/>
      <c r="B18" s="513"/>
      <c r="C18" s="509"/>
      <c r="D18" s="487"/>
      <c r="E18" s="486"/>
      <c r="F18" s="486"/>
      <c r="G18" s="487"/>
      <c r="H18" s="486"/>
      <c r="I18" s="493"/>
      <c r="J18" s="288"/>
      <c r="K18" s="483"/>
      <c r="L18" s="288" t="s">
        <v>763</v>
      </c>
      <c r="M18" s="497" t="s">
        <v>887</v>
      </c>
      <c r="N18" s="558" t="s">
        <v>681</v>
      </c>
    </row>
    <row r="19" spans="1:14" s="482" customFormat="1" ht="111" customHeight="1">
      <c r="A19" s="615"/>
      <c r="B19" s="497" t="s">
        <v>504</v>
      </c>
      <c r="C19" s="486"/>
      <c r="D19" s="509" t="s">
        <v>388</v>
      </c>
      <c r="E19" s="486"/>
      <c r="F19" s="486"/>
      <c r="G19" s="487"/>
      <c r="H19" s="486"/>
      <c r="I19" s="484"/>
      <c r="J19" s="288"/>
      <c r="K19" s="296"/>
      <c r="L19" s="288"/>
      <c r="M19" s="513" t="s">
        <v>389</v>
      </c>
      <c r="N19" s="558" t="s">
        <v>681</v>
      </c>
    </row>
    <row r="20" spans="1:14" s="482" customFormat="1" ht="111" customHeight="1">
      <c r="A20" s="615"/>
      <c r="B20" s="497" t="s">
        <v>473</v>
      </c>
      <c r="C20" s="486"/>
      <c r="D20" s="487"/>
      <c r="E20" s="509" t="s">
        <v>388</v>
      </c>
      <c r="F20" s="486"/>
      <c r="G20" s="487"/>
      <c r="H20" s="486"/>
      <c r="I20" s="484"/>
      <c r="J20" s="288"/>
      <c r="K20" s="296"/>
      <c r="L20" s="288"/>
      <c r="M20" s="513" t="s">
        <v>460</v>
      </c>
      <c r="N20" s="558" t="s">
        <v>681</v>
      </c>
    </row>
    <row r="21" spans="1:14" s="482" customFormat="1" ht="111" customHeight="1">
      <c r="A21" s="615"/>
      <c r="B21" s="497" t="s">
        <v>474</v>
      </c>
      <c r="C21" s="486"/>
      <c r="D21" s="487"/>
      <c r="E21" s="486"/>
      <c r="F21" s="509" t="s">
        <v>388</v>
      </c>
      <c r="G21" s="487"/>
      <c r="H21" s="486"/>
      <c r="I21" s="484"/>
      <c r="J21" s="288"/>
      <c r="K21" s="296"/>
      <c r="L21" s="288" t="s">
        <v>722</v>
      </c>
      <c r="M21" s="513" t="s">
        <v>462</v>
      </c>
      <c r="N21" s="558" t="s">
        <v>681</v>
      </c>
    </row>
    <row r="22" spans="1:14" s="482" customFormat="1" ht="111" customHeight="1">
      <c r="A22" s="615"/>
      <c r="B22" s="497" t="s">
        <v>463</v>
      </c>
      <c r="C22" s="486"/>
      <c r="D22" s="487"/>
      <c r="E22" s="486"/>
      <c r="F22" s="509" t="s">
        <v>388</v>
      </c>
      <c r="G22" s="487"/>
      <c r="H22" s="486"/>
      <c r="I22" s="484"/>
      <c r="J22" s="288"/>
      <c r="K22" s="296"/>
      <c r="L22" s="288" t="s">
        <v>1227</v>
      </c>
      <c r="M22" s="513" t="s">
        <v>462</v>
      </c>
      <c r="N22" s="558" t="s">
        <v>681</v>
      </c>
    </row>
    <row r="23" spans="1:14" s="482" customFormat="1" ht="111" customHeight="1">
      <c r="A23" s="615"/>
      <c r="B23" s="497" t="s">
        <v>464</v>
      </c>
      <c r="C23" s="486"/>
      <c r="D23" s="487"/>
      <c r="E23" s="486"/>
      <c r="F23" s="509" t="s">
        <v>388</v>
      </c>
      <c r="G23" s="487"/>
      <c r="H23" s="486"/>
      <c r="I23" s="484"/>
      <c r="J23" s="288"/>
      <c r="K23" s="296"/>
      <c r="L23" s="288"/>
      <c r="M23" s="513" t="s">
        <v>462</v>
      </c>
      <c r="N23" s="558" t="s">
        <v>681</v>
      </c>
    </row>
    <row r="24" spans="1:14" s="482" customFormat="1" ht="111" customHeight="1">
      <c r="A24" s="615"/>
      <c r="B24" s="497" t="s">
        <v>465</v>
      </c>
      <c r="C24" s="486"/>
      <c r="D24" s="487"/>
      <c r="E24" s="486"/>
      <c r="F24" s="509" t="s">
        <v>388</v>
      </c>
      <c r="G24" s="487"/>
      <c r="H24" s="486"/>
      <c r="I24" s="484"/>
      <c r="J24" s="288"/>
      <c r="K24" s="296"/>
      <c r="L24" s="288"/>
      <c r="M24" s="513" t="s">
        <v>462</v>
      </c>
      <c r="N24" s="558" t="s">
        <v>681</v>
      </c>
    </row>
    <row r="25" spans="1:14" s="482" customFormat="1" ht="111" customHeight="1">
      <c r="A25" s="615"/>
      <c r="B25" s="497" t="s">
        <v>505</v>
      </c>
      <c r="C25" s="486"/>
      <c r="D25" s="487"/>
      <c r="E25" s="486"/>
      <c r="F25" s="486"/>
      <c r="G25" s="509" t="s">
        <v>388</v>
      </c>
      <c r="H25" s="486"/>
      <c r="I25" s="484"/>
      <c r="J25" s="288"/>
      <c r="K25" s="510" t="s">
        <v>400</v>
      </c>
      <c r="L25" s="288" t="s">
        <v>1229</v>
      </c>
      <c r="M25" s="527" t="s">
        <v>466</v>
      </c>
      <c r="N25" s="558" t="s">
        <v>681</v>
      </c>
    </row>
    <row r="26" spans="1:14" ht="111" customHeight="1">
      <c r="A26" s="616"/>
      <c r="B26" s="497" t="s">
        <v>682</v>
      </c>
      <c r="C26" s="503"/>
      <c r="D26" s="503"/>
      <c r="E26" s="503"/>
      <c r="F26" s="503"/>
      <c r="G26" s="503"/>
      <c r="H26" s="509" t="s">
        <v>388</v>
      </c>
      <c r="I26" s="498" t="s">
        <v>398</v>
      </c>
      <c r="J26" s="504"/>
      <c r="K26" s="504"/>
      <c r="L26" s="288" t="s">
        <v>1228</v>
      </c>
      <c r="M26" s="513"/>
      <c r="N26" s="558" t="s">
        <v>681</v>
      </c>
    </row>
    <row r="27" spans="1:14" ht="111" customHeight="1">
      <c r="A27" s="616"/>
      <c r="B27" s="497" t="s">
        <v>475</v>
      </c>
      <c r="C27" s="503"/>
      <c r="D27" s="503"/>
      <c r="E27" s="503"/>
      <c r="F27" s="503"/>
      <c r="G27" s="503"/>
      <c r="H27" s="509" t="s">
        <v>388</v>
      </c>
      <c r="I27" s="498" t="s">
        <v>398</v>
      </c>
      <c r="J27" s="504"/>
      <c r="K27" s="504"/>
      <c r="L27" s="288" t="s">
        <v>1230</v>
      </c>
      <c r="M27" s="513" t="s">
        <v>476</v>
      </c>
      <c r="N27" s="504"/>
    </row>
    <row r="29" spans="1:14">
      <c r="A29" s="1318" t="s">
        <v>374</v>
      </c>
      <c r="B29" s="1319" t="s">
        <v>375</v>
      </c>
      <c r="C29" s="1322" t="s">
        <v>68</v>
      </c>
      <c r="D29" s="1322"/>
      <c r="E29" s="1322"/>
      <c r="F29" s="1322"/>
      <c r="G29" s="1322"/>
      <c r="H29" s="1322"/>
      <c r="I29" s="1318" t="s">
        <v>379</v>
      </c>
      <c r="J29" s="1318" t="s">
        <v>376</v>
      </c>
      <c r="K29" s="1318" t="s">
        <v>377</v>
      </c>
      <c r="L29" s="526"/>
      <c r="M29" s="1321" t="s">
        <v>373</v>
      </c>
      <c r="N29" s="1318" t="s">
        <v>378</v>
      </c>
    </row>
    <row r="30" spans="1:14" s="481" customFormat="1" ht="39.75" customHeight="1">
      <c r="A30" s="1318"/>
      <c r="B30" s="1319"/>
      <c r="C30" s="499"/>
      <c r="D30" s="499"/>
      <c r="E30" s="499"/>
      <c r="F30" s="499"/>
      <c r="G30" s="499"/>
      <c r="H30" s="499"/>
      <c r="I30" s="1318"/>
      <c r="J30" s="1318"/>
      <c r="K30" s="1318"/>
      <c r="L30" s="526"/>
      <c r="M30" s="1321"/>
      <c r="N30" s="1318"/>
    </row>
    <row r="31" spans="1:14" s="482" customFormat="1" ht="111" customHeight="1">
      <c r="A31" s="494" t="s">
        <v>48</v>
      </c>
      <c r="B31" s="513" t="s">
        <v>1465</v>
      </c>
      <c r="C31" s="486" t="s">
        <v>388</v>
      </c>
      <c r="D31" s="487"/>
      <c r="E31" s="486"/>
      <c r="F31" s="486"/>
      <c r="G31" s="487"/>
      <c r="H31" s="486"/>
      <c r="I31" s="484"/>
      <c r="J31" s="288"/>
      <c r="K31" s="296" t="s">
        <v>1471</v>
      </c>
      <c r="L31" s="288"/>
      <c r="M31" s="513" t="s">
        <v>1467</v>
      </c>
      <c r="N31" s="531" t="s">
        <v>1466</v>
      </c>
    </row>
    <row r="32" spans="1:14" s="482" customFormat="1" ht="150" customHeight="1">
      <c r="B32" s="513" t="s">
        <v>456</v>
      </c>
      <c r="C32" s="509" t="s">
        <v>388</v>
      </c>
      <c r="D32" s="487"/>
      <c r="E32" s="486"/>
      <c r="F32" s="486"/>
      <c r="G32" s="487"/>
      <c r="H32" s="486"/>
      <c r="I32" s="498"/>
      <c r="J32" s="288"/>
      <c r="K32" s="511" t="s">
        <v>401</v>
      </c>
      <c r="L32" s="288" t="s">
        <v>429</v>
      </c>
      <c r="M32" s="513" t="s">
        <v>390</v>
      </c>
      <c r="N32" s="962" t="s">
        <v>873</v>
      </c>
    </row>
    <row r="33" spans="1:14" s="482" customFormat="1" ht="131.25" customHeight="1">
      <c r="A33" s="296"/>
      <c r="B33" s="513" t="s">
        <v>1476</v>
      </c>
      <c r="C33" s="486"/>
      <c r="D33" s="509" t="s">
        <v>388</v>
      </c>
      <c r="E33" s="486"/>
      <c r="F33" s="486"/>
      <c r="G33" s="487"/>
      <c r="H33" s="486"/>
      <c r="I33" s="484"/>
      <c r="J33" s="288"/>
      <c r="K33" s="512" t="s">
        <v>400</v>
      </c>
      <c r="L33" s="288" t="s">
        <v>399</v>
      </c>
      <c r="M33" s="513" t="s">
        <v>390</v>
      </c>
      <c r="N33" s="962" t="s">
        <v>873</v>
      </c>
    </row>
    <row r="34" spans="1:14" s="482" customFormat="1" ht="111" customHeight="1">
      <c r="A34" s="296"/>
      <c r="B34" s="513" t="s">
        <v>1475</v>
      </c>
      <c r="C34" s="486"/>
      <c r="D34" s="487"/>
      <c r="E34" s="486"/>
      <c r="F34" s="486"/>
      <c r="G34" s="487"/>
      <c r="H34" s="486"/>
      <c r="I34" s="484"/>
      <c r="J34" s="288"/>
      <c r="K34" s="296"/>
      <c r="L34" s="288"/>
      <c r="M34" s="513" t="s">
        <v>1477</v>
      </c>
      <c r="N34" s="531" t="s">
        <v>1466</v>
      </c>
    </row>
    <row r="35" spans="1:14" s="482" customFormat="1" ht="111" customHeight="1">
      <c r="A35" s="296"/>
      <c r="B35" s="513" t="s">
        <v>478</v>
      </c>
      <c r="C35" s="486"/>
      <c r="D35" s="487"/>
      <c r="E35" s="486"/>
      <c r="F35" s="486"/>
      <c r="G35" s="487"/>
      <c r="H35" s="486"/>
      <c r="I35" s="484"/>
      <c r="J35" s="288"/>
      <c r="K35" s="296"/>
      <c r="L35" s="288"/>
      <c r="M35" s="513"/>
      <c r="N35" s="296"/>
    </row>
    <row r="36" spans="1:14" s="482" customFormat="1" ht="111" customHeight="1">
      <c r="B36" s="527"/>
      <c r="I36" s="488"/>
      <c r="J36" s="488"/>
      <c r="L36" s="488"/>
      <c r="M36" s="527"/>
    </row>
    <row r="37" spans="1:14" s="482" customFormat="1" ht="26.25" customHeight="1">
      <c r="B37" s="527"/>
      <c r="I37" s="488"/>
      <c r="J37" s="488"/>
      <c r="L37" s="488"/>
      <c r="M37" s="527"/>
    </row>
    <row r="40" spans="1:14">
      <c r="A40" s="1318" t="s">
        <v>374</v>
      </c>
      <c r="B40" s="1319" t="s">
        <v>375</v>
      </c>
      <c r="C40" s="1323" t="s">
        <v>392</v>
      </c>
      <c r="D40" s="1323"/>
      <c r="E40" s="1323"/>
      <c r="F40" s="1323"/>
      <c r="G40" s="1323"/>
      <c r="H40" s="1323"/>
      <c r="I40" s="1318" t="s">
        <v>379</v>
      </c>
      <c r="J40" s="1318" t="s">
        <v>376</v>
      </c>
      <c r="K40" s="1318" t="s">
        <v>377</v>
      </c>
      <c r="L40" s="526"/>
      <c r="M40" s="1321" t="s">
        <v>373</v>
      </c>
      <c r="N40" s="1318" t="s">
        <v>378</v>
      </c>
    </row>
    <row r="41" spans="1:14" s="481" customFormat="1" ht="39.75" customHeight="1">
      <c r="A41" s="1318"/>
      <c r="B41" s="1319"/>
      <c r="C41" s="500"/>
      <c r="D41" s="500"/>
      <c r="E41" s="500"/>
      <c r="F41" s="500"/>
      <c r="G41" s="500"/>
      <c r="H41" s="500"/>
      <c r="I41" s="1318"/>
      <c r="J41" s="1318"/>
      <c r="K41" s="1318"/>
      <c r="L41" s="526"/>
      <c r="M41" s="1321"/>
      <c r="N41" s="1318"/>
    </row>
    <row r="42" spans="1:14" s="482" customFormat="1" ht="111" customHeight="1">
      <c r="A42" s="615" t="s">
        <v>48</v>
      </c>
      <c r="B42" s="497" t="s">
        <v>479</v>
      </c>
      <c r="C42" s="509" t="s">
        <v>388</v>
      </c>
      <c r="D42" s="487"/>
      <c r="E42" s="486"/>
      <c r="F42" s="486"/>
      <c r="G42" s="487"/>
      <c r="H42" s="486"/>
      <c r="I42" s="498"/>
      <c r="J42" s="288"/>
      <c r="K42" s="288"/>
      <c r="L42" s="288" t="s">
        <v>393</v>
      </c>
      <c r="M42" s="513" t="s">
        <v>390</v>
      </c>
      <c r="N42" s="962"/>
    </row>
    <row r="43" spans="1:14" s="482" customFormat="1" ht="111" customHeight="1">
      <c r="A43" s="615"/>
      <c r="B43" s="497" t="s">
        <v>707</v>
      </c>
      <c r="C43" s="509" t="s">
        <v>388</v>
      </c>
      <c r="D43" s="487"/>
      <c r="E43" s="486"/>
      <c r="F43" s="486"/>
      <c r="G43" s="487"/>
      <c r="H43" s="486"/>
      <c r="I43" s="498"/>
      <c r="J43" s="288"/>
      <c r="K43" s="288"/>
      <c r="L43" s="288" t="s">
        <v>708</v>
      </c>
      <c r="M43" s="513" t="s">
        <v>394</v>
      </c>
      <c r="N43" s="558" t="s">
        <v>681</v>
      </c>
    </row>
    <row r="44" spans="1:14" s="482" customFormat="1" ht="111" customHeight="1">
      <c r="A44" s="615"/>
      <c r="B44" s="497" t="s">
        <v>1004</v>
      </c>
      <c r="C44" s="486" t="s">
        <v>512</v>
      </c>
      <c r="D44" s="525"/>
      <c r="E44" s="486"/>
      <c r="F44" s="486"/>
      <c r="G44" s="487"/>
      <c r="H44" s="486"/>
      <c r="I44" s="498"/>
      <c r="J44" s="288"/>
      <c r="K44" s="288"/>
      <c r="L44" s="288" t="s">
        <v>1007</v>
      </c>
      <c r="M44" s="513" t="s">
        <v>1006</v>
      </c>
      <c r="N44" s="962"/>
    </row>
    <row r="45" spans="1:14" s="482" customFormat="1" ht="111" customHeight="1">
      <c r="A45" s="615"/>
      <c r="B45" s="497" t="s">
        <v>480</v>
      </c>
      <c r="C45" s="486"/>
      <c r="D45" s="509" t="s">
        <v>388</v>
      </c>
      <c r="E45" s="486"/>
      <c r="F45" s="486"/>
      <c r="G45" s="487"/>
      <c r="H45" s="486"/>
      <c r="I45" s="498" t="s">
        <v>395</v>
      </c>
      <c r="J45" s="288"/>
      <c r="K45" s="288"/>
      <c r="L45" s="288" t="s">
        <v>481</v>
      </c>
      <c r="M45" s="513" t="s">
        <v>394</v>
      </c>
      <c r="N45" s="535" t="s">
        <v>681</v>
      </c>
    </row>
    <row r="46" spans="1:14" s="482" customFormat="1" ht="126" customHeight="1">
      <c r="A46" s="615"/>
      <c r="B46" s="497" t="s">
        <v>1231</v>
      </c>
      <c r="C46" s="296"/>
      <c r="D46" s="296"/>
      <c r="E46" s="509" t="s">
        <v>388</v>
      </c>
      <c r="F46" s="296"/>
      <c r="G46" s="296"/>
      <c r="H46" s="296"/>
      <c r="I46" s="498" t="s">
        <v>430</v>
      </c>
      <c r="J46" s="288"/>
      <c r="K46" s="511" t="s">
        <v>400</v>
      </c>
      <c r="L46" s="288" t="s">
        <v>396</v>
      </c>
      <c r="M46" s="513" t="s">
        <v>390</v>
      </c>
      <c r="N46" s="535" t="s">
        <v>681</v>
      </c>
    </row>
    <row r="47" spans="1:14" s="482" customFormat="1" ht="111" customHeight="1">
      <c r="A47" s="615"/>
      <c r="B47" s="497"/>
      <c r="C47" s="296"/>
      <c r="D47" s="296"/>
      <c r="E47" s="516"/>
      <c r="F47" s="296"/>
      <c r="G47" s="296"/>
      <c r="H47" s="296"/>
      <c r="I47" s="498"/>
      <c r="J47" s="288"/>
      <c r="K47" s="511"/>
      <c r="L47" s="288"/>
      <c r="M47" s="513"/>
      <c r="N47" s="296"/>
    </row>
    <row r="48" spans="1:14" s="482" customFormat="1" ht="111" customHeight="1">
      <c r="B48" s="527"/>
      <c r="E48" s="528"/>
      <c r="I48" s="529"/>
      <c r="J48" s="488"/>
      <c r="K48" s="530"/>
      <c r="L48" s="488"/>
      <c r="M48" s="527"/>
    </row>
    <row r="49" spans="1:17" s="482" customFormat="1">
      <c r="B49" s="527"/>
      <c r="E49" s="528"/>
      <c r="I49" s="529"/>
      <c r="J49" s="488"/>
      <c r="K49" s="530"/>
      <c r="L49" s="488"/>
      <c r="M49" s="527"/>
    </row>
    <row r="50" spans="1:17" ht="33" customHeight="1"/>
    <row r="51" spans="1:17">
      <c r="A51" s="1318" t="s">
        <v>374</v>
      </c>
      <c r="B51" s="1319" t="s">
        <v>375</v>
      </c>
      <c r="C51" s="1320" t="s">
        <v>99</v>
      </c>
      <c r="D51" s="1320"/>
      <c r="E51" s="1320"/>
      <c r="F51" s="1320"/>
      <c r="G51" s="1320"/>
      <c r="H51" s="1320"/>
      <c r="I51" s="1318" t="s">
        <v>379</v>
      </c>
      <c r="J51" s="1318" t="s">
        <v>376</v>
      </c>
      <c r="K51" s="1318" t="s">
        <v>377</v>
      </c>
      <c r="L51" s="526"/>
      <c r="M51" s="1321" t="s">
        <v>373</v>
      </c>
      <c r="N51" s="1318" t="s">
        <v>378</v>
      </c>
    </row>
    <row r="52" spans="1:17" s="481" customFormat="1" ht="40.5" customHeight="1">
      <c r="A52" s="1318"/>
      <c r="B52" s="1319"/>
      <c r="C52" s="501"/>
      <c r="D52" s="501"/>
      <c r="E52" s="501"/>
      <c r="F52" s="501"/>
      <c r="G52" s="501"/>
      <c r="H52" s="501"/>
      <c r="I52" s="1318"/>
      <c r="J52" s="1318"/>
      <c r="K52" s="1318"/>
      <c r="L52" s="526"/>
      <c r="M52" s="1321"/>
      <c r="N52" s="1318"/>
    </row>
    <row r="53" spans="1:17" s="482" customFormat="1" ht="111" customHeight="1">
      <c r="A53" s="615" t="s">
        <v>48</v>
      </c>
      <c r="B53" s="497" t="s">
        <v>482</v>
      </c>
      <c r="C53" s="509" t="s">
        <v>388</v>
      </c>
      <c r="D53" s="487"/>
      <c r="E53" s="486"/>
      <c r="F53" s="486"/>
      <c r="G53" s="487"/>
      <c r="H53" s="486"/>
      <c r="I53" s="288"/>
      <c r="J53" s="288"/>
      <c r="K53" s="288"/>
      <c r="L53" s="288" t="s">
        <v>402</v>
      </c>
      <c r="M53" s="513" t="s">
        <v>390</v>
      </c>
      <c r="N53" s="689" t="s">
        <v>681</v>
      </c>
    </row>
    <row r="54" spans="1:17" s="482" customFormat="1" ht="111" customHeight="1">
      <c r="A54" s="615"/>
      <c r="B54" s="497" t="s">
        <v>483</v>
      </c>
      <c r="C54" s="509" t="s">
        <v>388</v>
      </c>
      <c r="D54" s="487"/>
      <c r="E54" s="486"/>
      <c r="F54" s="486"/>
      <c r="G54" s="487"/>
      <c r="H54" s="486"/>
      <c r="I54" s="498" t="s">
        <v>484</v>
      </c>
      <c r="J54" s="288"/>
      <c r="K54" s="288"/>
      <c r="L54" s="288" t="s">
        <v>485</v>
      </c>
      <c r="M54" s="513" t="s">
        <v>436</v>
      </c>
      <c r="N54" s="689" t="s">
        <v>681</v>
      </c>
    </row>
    <row r="55" spans="1:17" s="482" customFormat="1" ht="111" customHeight="1">
      <c r="A55" s="615"/>
      <c r="B55" s="497" t="s">
        <v>701</v>
      </c>
      <c r="C55" s="486"/>
      <c r="D55" s="509" t="s">
        <v>388</v>
      </c>
      <c r="E55" s="486"/>
      <c r="F55" s="486"/>
      <c r="G55" s="487"/>
      <c r="H55" s="486"/>
      <c r="I55" s="498"/>
      <c r="J55" s="288"/>
      <c r="K55" s="288"/>
      <c r="L55" s="288" t="s">
        <v>702</v>
      </c>
      <c r="M55" s="513" t="s">
        <v>403</v>
      </c>
      <c r="N55" s="689" t="s">
        <v>681</v>
      </c>
    </row>
    <row r="56" spans="1:17" s="482" customFormat="1" ht="111" customHeight="1">
      <c r="A56" s="615"/>
      <c r="B56" s="497" t="s">
        <v>1004</v>
      </c>
      <c r="C56" s="486" t="s">
        <v>512</v>
      </c>
      <c r="D56" s="525"/>
      <c r="E56" s="486"/>
      <c r="F56" s="486"/>
      <c r="G56" s="487"/>
      <c r="H56" s="486"/>
      <c r="I56" s="498"/>
      <c r="J56" s="288"/>
      <c r="K56" s="288"/>
      <c r="L56" s="288" t="s">
        <v>1005</v>
      </c>
      <c r="M56" s="513" t="s">
        <v>1006</v>
      </c>
      <c r="N56" s="962"/>
    </row>
    <row r="57" spans="1:17" s="482" customFormat="1" ht="111" customHeight="1">
      <c r="A57" s="615"/>
      <c r="B57" s="497" t="s">
        <v>486</v>
      </c>
      <c r="C57" s="486"/>
      <c r="D57" s="487"/>
      <c r="E57" s="509" t="s">
        <v>388</v>
      </c>
      <c r="F57" s="486"/>
      <c r="G57" s="487"/>
      <c r="H57" s="486"/>
      <c r="I57" s="498" t="s">
        <v>404</v>
      </c>
      <c r="J57" s="288"/>
      <c r="K57" s="288"/>
      <c r="L57" s="288" t="s">
        <v>405</v>
      </c>
      <c r="M57" s="513" t="s">
        <v>436</v>
      </c>
      <c r="N57" s="689" t="s">
        <v>681</v>
      </c>
      <c r="P57" s="488"/>
      <c r="Q57" s="488"/>
    </row>
    <row r="58" spans="1:17" s="482" customFormat="1" ht="111" customHeight="1">
      <c r="A58" s="615"/>
      <c r="B58" s="497" t="s">
        <v>506</v>
      </c>
      <c r="C58" s="486"/>
      <c r="D58" s="487"/>
      <c r="E58" s="486"/>
      <c r="F58" s="509" t="s">
        <v>388</v>
      </c>
      <c r="G58" s="487"/>
      <c r="H58" s="486"/>
      <c r="I58" s="498" t="s">
        <v>406</v>
      </c>
      <c r="J58" s="288"/>
      <c r="K58" s="511" t="s">
        <v>400</v>
      </c>
      <c r="L58" s="288" t="s">
        <v>533</v>
      </c>
      <c r="M58" s="513" t="s">
        <v>525</v>
      </c>
      <c r="N58" s="689" t="s">
        <v>681</v>
      </c>
    </row>
    <row r="59" spans="1:17" s="482" customFormat="1" ht="349.5" customHeight="1">
      <c r="A59" s="615"/>
      <c r="B59" s="497" t="s">
        <v>487</v>
      </c>
      <c r="C59" s="486"/>
      <c r="D59" s="487"/>
      <c r="E59" s="486"/>
      <c r="F59" s="509"/>
      <c r="G59" s="509" t="s">
        <v>388</v>
      </c>
      <c r="H59" s="486"/>
      <c r="I59" s="498"/>
      <c r="J59" s="288"/>
      <c r="K59" s="511"/>
      <c r="L59" s="288" t="s">
        <v>534</v>
      </c>
      <c r="M59" s="513" t="s">
        <v>488</v>
      </c>
      <c r="N59" s="296" t="s">
        <v>535</v>
      </c>
    </row>
    <row r="60" spans="1:17" ht="111" customHeight="1">
      <c r="A60" s="616"/>
      <c r="B60" s="497" t="s">
        <v>1232</v>
      </c>
      <c r="C60" s="503"/>
      <c r="D60" s="503"/>
      <c r="E60" s="503"/>
      <c r="F60" s="503"/>
      <c r="G60" s="509" t="s">
        <v>388</v>
      </c>
      <c r="H60" s="503"/>
      <c r="I60" s="504"/>
      <c r="J60" s="504"/>
      <c r="K60" s="504"/>
      <c r="L60" s="288" t="s">
        <v>489</v>
      </c>
      <c r="M60" s="513" t="s">
        <v>1233</v>
      </c>
      <c r="N60" s="689" t="s">
        <v>681</v>
      </c>
    </row>
    <row r="61" spans="1:17" ht="111" customHeight="1">
      <c r="G61" s="528"/>
      <c r="L61" s="488"/>
      <c r="M61" s="527"/>
    </row>
    <row r="62" spans="1:17" ht="111" customHeight="1">
      <c r="G62" s="528"/>
      <c r="L62" s="488"/>
      <c r="M62" s="527"/>
    </row>
    <row r="63" spans="1:17">
      <c r="A63" s="1318" t="s">
        <v>374</v>
      </c>
      <c r="B63" s="1319" t="s">
        <v>375</v>
      </c>
      <c r="C63" s="1326" t="s">
        <v>356</v>
      </c>
      <c r="D63" s="1326"/>
      <c r="E63" s="1326"/>
      <c r="F63" s="1326"/>
      <c r="G63" s="1326"/>
      <c r="H63" s="1326"/>
      <c r="I63" s="1318" t="s">
        <v>379</v>
      </c>
      <c r="J63" s="1318" t="s">
        <v>376</v>
      </c>
      <c r="K63" s="1318" t="s">
        <v>377</v>
      </c>
      <c r="L63" s="526"/>
      <c r="M63" s="1321" t="s">
        <v>373</v>
      </c>
      <c r="N63" s="1318" t="s">
        <v>378</v>
      </c>
    </row>
    <row r="64" spans="1:17" ht="40.5" customHeight="1">
      <c r="A64" s="1318"/>
      <c r="B64" s="1325"/>
      <c r="C64" s="514"/>
      <c r="D64" s="514"/>
      <c r="E64" s="514"/>
      <c r="F64" s="514"/>
      <c r="G64" s="514"/>
      <c r="H64" s="514"/>
      <c r="I64" s="1327"/>
      <c r="J64" s="1327"/>
      <c r="K64" s="1327"/>
      <c r="L64" s="526"/>
      <c r="M64" s="1328"/>
      <c r="N64" s="1327"/>
    </row>
    <row r="65" spans="1:16" s="481" customFormat="1" ht="110.25" customHeight="1">
      <c r="A65" s="615" t="s">
        <v>48</v>
      </c>
      <c r="B65" s="497" t="s">
        <v>492</v>
      </c>
      <c r="C65" s="509" t="s">
        <v>388</v>
      </c>
      <c r="D65" s="487"/>
      <c r="E65" s="486"/>
      <c r="F65" s="486"/>
      <c r="G65" s="487"/>
      <c r="H65" s="486"/>
      <c r="I65" s="288"/>
      <c r="J65" s="288"/>
      <c r="K65" s="288"/>
      <c r="L65" s="288" t="s">
        <v>407</v>
      </c>
      <c r="M65" s="513" t="s">
        <v>390</v>
      </c>
      <c r="N65" s="962" t="s">
        <v>873</v>
      </c>
    </row>
    <row r="66" spans="1:16" s="482" customFormat="1" ht="111" customHeight="1">
      <c r="A66" s="615"/>
      <c r="B66" s="497" t="s">
        <v>1147</v>
      </c>
      <c r="C66" s="509" t="s">
        <v>388</v>
      </c>
      <c r="D66" s="487"/>
      <c r="E66" s="486"/>
      <c r="F66" s="486"/>
      <c r="G66" s="487"/>
      <c r="H66" s="486"/>
      <c r="I66" s="493" t="s">
        <v>409</v>
      </c>
      <c r="J66" s="288"/>
      <c r="K66" s="288"/>
      <c r="L66" s="288" t="s">
        <v>1274</v>
      </c>
      <c r="M66" s="513" t="s">
        <v>493</v>
      </c>
      <c r="N66" s="296"/>
    </row>
    <row r="67" spans="1:16" s="482" customFormat="1" ht="111" customHeight="1">
      <c r="A67" s="495"/>
      <c r="B67" s="513"/>
      <c r="C67" s="509" t="s">
        <v>388</v>
      </c>
      <c r="D67" s="487"/>
      <c r="E67" s="486"/>
      <c r="F67" s="486"/>
      <c r="G67" s="487"/>
      <c r="H67" s="486"/>
      <c r="I67" s="493"/>
      <c r="J67" s="288"/>
      <c r="K67" s="483"/>
      <c r="L67" s="288" t="s">
        <v>1234</v>
      </c>
      <c r="M67" s="497" t="s">
        <v>1122</v>
      </c>
      <c r="N67" s="559" t="s">
        <v>681</v>
      </c>
      <c r="P67" s="482">
        <f>2.78-0.91</f>
        <v>1.8699999999999997</v>
      </c>
    </row>
    <row r="68" spans="1:16" s="482" customFormat="1" ht="125.25" customHeight="1">
      <c r="A68" s="615"/>
      <c r="B68" s="497" t="s">
        <v>1395</v>
      </c>
      <c r="C68" s="509" t="s">
        <v>388</v>
      </c>
      <c r="D68" s="487"/>
      <c r="E68" s="486"/>
      <c r="F68" s="486"/>
      <c r="G68" s="487"/>
      <c r="H68" s="486"/>
      <c r="I68" s="493"/>
      <c r="J68" s="288"/>
      <c r="K68" s="483"/>
      <c r="L68" s="288" t="s">
        <v>1393</v>
      </c>
      <c r="M68" s="497" t="s">
        <v>1394</v>
      </c>
      <c r="N68" s="296"/>
    </row>
    <row r="69" spans="1:16" s="482" customFormat="1" ht="111" customHeight="1">
      <c r="A69" s="615"/>
      <c r="B69" s="497" t="s">
        <v>495</v>
      </c>
      <c r="C69" s="516"/>
      <c r="D69" s="296" t="s">
        <v>388</v>
      </c>
      <c r="E69" s="296"/>
      <c r="F69" s="296"/>
      <c r="G69" s="296"/>
      <c r="H69" s="296"/>
      <c r="I69" s="498"/>
      <c r="J69" s="288"/>
      <c r="K69" s="288"/>
      <c r="L69" s="288" t="s">
        <v>1249</v>
      </c>
      <c r="M69" s="513" t="s">
        <v>494</v>
      </c>
      <c r="N69" s="559" t="s">
        <v>681</v>
      </c>
    </row>
    <row r="70" spans="1:16" s="482" customFormat="1" ht="150.75" customHeight="1">
      <c r="A70" s="615"/>
      <c r="B70" s="640" t="s">
        <v>496</v>
      </c>
      <c r="C70" s="561"/>
      <c r="E70" s="561" t="s">
        <v>388</v>
      </c>
      <c r="F70" s="562"/>
      <c r="G70" s="562"/>
      <c r="H70" s="561"/>
      <c r="I70" s="682"/>
      <c r="J70" s="563"/>
      <c r="K70" s="564"/>
      <c r="L70" s="563" t="s">
        <v>1268</v>
      </c>
      <c r="M70" s="945" t="s">
        <v>497</v>
      </c>
      <c r="N70" s="559" t="s">
        <v>681</v>
      </c>
    </row>
    <row r="71" spans="1:16" s="482" customFormat="1" ht="150.75" customHeight="1">
      <c r="A71" s="615"/>
      <c r="B71" s="640" t="s">
        <v>1488</v>
      </c>
      <c r="C71" s="561"/>
      <c r="E71" s="561" t="s">
        <v>512</v>
      </c>
      <c r="F71" s="562"/>
      <c r="G71" s="562"/>
      <c r="H71" s="561"/>
      <c r="I71" s="682"/>
      <c r="J71" s="563"/>
      <c r="K71" s="564"/>
      <c r="L71" s="563" t="s">
        <v>1489</v>
      </c>
      <c r="M71" s="945"/>
      <c r="N71" s="559" t="s">
        <v>681</v>
      </c>
    </row>
    <row r="72" spans="1:16" s="482" customFormat="1" ht="111" customHeight="1">
      <c r="A72" s="919"/>
      <c r="B72" s="497" t="s">
        <v>1149</v>
      </c>
      <c r="C72" s="516"/>
      <c r="D72" s="483"/>
      <c r="E72" s="296"/>
      <c r="F72" s="296" t="s">
        <v>388</v>
      </c>
      <c r="G72" s="296"/>
      <c r="H72" s="296"/>
      <c r="I72" s="498"/>
      <c r="J72" s="288"/>
      <c r="K72" s="288" t="s">
        <v>1150</v>
      </c>
      <c r="L72" s="288"/>
      <c r="M72" s="945" t="s">
        <v>1151</v>
      </c>
    </row>
    <row r="73" spans="1:16" s="482" customFormat="1" ht="111" customHeight="1">
      <c r="B73" s="527"/>
      <c r="F73" s="528"/>
      <c r="G73" s="528"/>
      <c r="I73" s="529"/>
      <c r="J73" s="488"/>
      <c r="K73" s="530"/>
      <c r="L73" s="488"/>
      <c r="M73" s="527"/>
    </row>
    <row r="74" spans="1:16" s="482" customFormat="1" ht="111" customHeight="1">
      <c r="B74" s="527"/>
      <c r="F74" s="528"/>
      <c r="G74" s="528"/>
      <c r="I74" s="529"/>
      <c r="J74" s="488"/>
      <c r="K74" s="530"/>
      <c r="L74" s="488"/>
      <c r="M74" s="527"/>
    </row>
    <row r="75" spans="1:16" s="482" customFormat="1" ht="111" customHeight="1">
      <c r="B75" s="527"/>
      <c r="F75" s="528"/>
      <c r="G75" s="528"/>
      <c r="I75" s="529"/>
      <c r="J75" s="488"/>
      <c r="K75" s="530"/>
      <c r="L75" s="488"/>
      <c r="M75" s="527"/>
    </row>
    <row r="76" spans="1:16" s="482" customFormat="1" ht="111" customHeight="1">
      <c r="B76" s="527"/>
      <c r="F76" s="528"/>
      <c r="G76" s="528"/>
      <c r="I76" s="529"/>
      <c r="J76" s="488"/>
      <c r="K76" s="530"/>
      <c r="L76" s="488"/>
      <c r="M76" s="527"/>
    </row>
    <row r="77" spans="1:16" s="482" customFormat="1" ht="111" customHeight="1">
      <c r="B77" s="527"/>
      <c r="F77" s="528"/>
      <c r="G77" s="528"/>
      <c r="I77" s="529"/>
      <c r="J77" s="488"/>
      <c r="K77" s="530"/>
      <c r="L77" s="488"/>
      <c r="M77" s="527"/>
    </row>
    <row r="78" spans="1:16" s="482" customFormat="1" ht="111" customHeight="1">
      <c r="B78" s="527"/>
      <c r="F78" s="528"/>
      <c r="G78" s="528"/>
      <c r="I78" s="529"/>
      <c r="J78" s="488"/>
      <c r="K78" s="530"/>
      <c r="L78" s="488"/>
      <c r="M78" s="527"/>
    </row>
    <row r="79" spans="1:16">
      <c r="J79" s="515"/>
      <c r="K79" s="515"/>
    </row>
    <row r="80" spans="1:16">
      <c r="A80" s="1318" t="s">
        <v>374</v>
      </c>
      <c r="B80" s="1319" t="s">
        <v>375</v>
      </c>
      <c r="C80" s="1331" t="s">
        <v>410</v>
      </c>
      <c r="D80" s="1331"/>
      <c r="E80" s="1331"/>
      <c r="F80" s="1331"/>
      <c r="G80" s="1331"/>
      <c r="H80" s="1331"/>
      <c r="I80" s="1318" t="s">
        <v>379</v>
      </c>
      <c r="J80" s="1318" t="s">
        <v>376</v>
      </c>
      <c r="K80" s="1318" t="s">
        <v>377</v>
      </c>
      <c r="L80" s="526"/>
      <c r="M80" s="1321" t="s">
        <v>373</v>
      </c>
      <c r="N80" s="1318" t="s">
        <v>378</v>
      </c>
    </row>
    <row r="81" spans="1:14" ht="40.5" customHeight="1">
      <c r="A81" s="1318"/>
      <c r="B81" s="1319"/>
      <c r="C81" s="517"/>
      <c r="D81" s="517"/>
      <c r="E81" s="517"/>
      <c r="F81" s="517"/>
      <c r="G81" s="517"/>
      <c r="H81" s="517"/>
      <c r="I81" s="1318"/>
      <c r="J81" s="1318"/>
      <c r="K81" s="1318"/>
      <c r="L81" s="526"/>
      <c r="M81" s="1321"/>
      <c r="N81" s="1318"/>
    </row>
    <row r="82" spans="1:14" ht="111" customHeight="1">
      <c r="A82" s="615" t="s">
        <v>48</v>
      </c>
      <c r="B82" s="497" t="s">
        <v>509</v>
      </c>
      <c r="C82" s="503"/>
      <c r="D82" s="503"/>
      <c r="E82" s="503"/>
      <c r="F82" s="503"/>
      <c r="G82" s="503"/>
      <c r="H82" s="503"/>
      <c r="I82" s="504"/>
      <c r="J82" s="504"/>
      <c r="K82" s="504"/>
      <c r="L82" s="288" t="s">
        <v>507</v>
      </c>
      <c r="M82" s="554" t="s">
        <v>394</v>
      </c>
      <c r="N82" s="504"/>
    </row>
    <row r="83" spans="1:14" ht="111" customHeight="1">
      <c r="A83" s="616"/>
      <c r="B83" s="497" t="s">
        <v>508</v>
      </c>
      <c r="C83" s="503"/>
      <c r="D83" s="503"/>
      <c r="E83" s="503"/>
      <c r="F83" s="503"/>
      <c r="G83" s="503"/>
      <c r="H83" s="503"/>
      <c r="I83" s="504"/>
      <c r="J83" s="504"/>
      <c r="K83" s="504"/>
      <c r="L83" s="288" t="s">
        <v>507</v>
      </c>
      <c r="M83" s="554" t="s">
        <v>394</v>
      </c>
      <c r="N83" s="504"/>
    </row>
    <row r="84" spans="1:14" ht="111" customHeight="1">
      <c r="A84" s="616"/>
      <c r="B84" s="497" t="s">
        <v>510</v>
      </c>
      <c r="C84" s="503"/>
      <c r="D84" s="503"/>
      <c r="E84" s="503"/>
      <c r="F84" s="503"/>
      <c r="G84" s="503"/>
      <c r="H84" s="503"/>
      <c r="I84" s="504"/>
      <c r="J84" s="504"/>
      <c r="K84" s="504"/>
      <c r="L84" s="288" t="s">
        <v>511</v>
      </c>
      <c r="M84" s="513"/>
      <c r="N84" s="504"/>
    </row>
    <row r="85" spans="1:14" ht="111" customHeight="1">
      <c r="A85" s="616"/>
      <c r="B85" s="497" t="s">
        <v>411</v>
      </c>
      <c r="C85" s="503"/>
      <c r="D85" s="503"/>
      <c r="E85" s="503"/>
      <c r="F85" s="503"/>
      <c r="G85" s="503"/>
      <c r="H85" s="503"/>
      <c r="I85" s="504"/>
      <c r="J85" s="504"/>
      <c r="K85" s="504"/>
      <c r="L85" s="288" t="s">
        <v>412</v>
      </c>
      <c r="M85" s="949"/>
    </row>
    <row r="86" spans="1:14" ht="110.25" customHeight="1">
      <c r="A86" s="616"/>
      <c r="B86" s="497" t="s">
        <v>413</v>
      </c>
      <c r="C86" s="503"/>
      <c r="D86" s="503"/>
      <c r="E86" s="503"/>
      <c r="F86" s="503"/>
      <c r="G86" s="503"/>
      <c r="H86" s="503"/>
      <c r="I86" s="504"/>
      <c r="J86" s="519"/>
      <c r="K86" s="504"/>
      <c r="L86" s="288" t="s">
        <v>414</v>
      </c>
      <c r="M86" s="554"/>
    </row>
    <row r="87" spans="1:14" ht="110.25" customHeight="1">
      <c r="J87" s="519"/>
      <c r="L87" s="488"/>
    </row>
    <row r="88" spans="1:14" ht="110.25" customHeight="1">
      <c r="J88" s="519"/>
      <c r="L88" s="488"/>
    </row>
    <row r="89" spans="1:14" ht="110.25" customHeight="1">
      <c r="J89" s="519"/>
      <c r="L89" s="488"/>
    </row>
    <row r="90" spans="1:14" ht="110.25" customHeight="1">
      <c r="J90" s="519"/>
      <c r="L90" s="488"/>
    </row>
    <row r="91" spans="1:14" ht="110.25" customHeight="1">
      <c r="J91" s="519"/>
      <c r="L91" s="488"/>
    </row>
    <row r="92" spans="1:14" ht="110.25" customHeight="1">
      <c r="J92" s="519"/>
      <c r="L92" s="488"/>
    </row>
    <row r="94" spans="1:14">
      <c r="A94" s="1318" t="s">
        <v>374</v>
      </c>
      <c r="B94" s="1319" t="s">
        <v>375</v>
      </c>
      <c r="C94" s="1332" t="s">
        <v>43</v>
      </c>
      <c r="D94" s="1332"/>
      <c r="E94" s="1332"/>
      <c r="F94" s="1332"/>
      <c r="G94" s="1332"/>
      <c r="H94" s="1332"/>
      <c r="I94" s="1318" t="s">
        <v>379</v>
      </c>
      <c r="J94" s="1318" t="s">
        <v>376</v>
      </c>
      <c r="K94" s="1318" t="s">
        <v>377</v>
      </c>
      <c r="L94" s="526"/>
      <c r="M94" s="1321" t="s">
        <v>373</v>
      </c>
      <c r="N94" s="1318" t="s">
        <v>378</v>
      </c>
    </row>
    <row r="95" spans="1:14" ht="40.5" customHeight="1">
      <c r="A95" s="1318"/>
      <c r="B95" s="1319"/>
      <c r="C95" s="518"/>
      <c r="D95" s="518"/>
      <c r="E95" s="518"/>
      <c r="F95" s="518"/>
      <c r="G95" s="518"/>
      <c r="H95" s="518"/>
      <c r="I95" s="1318"/>
      <c r="J95" s="1318"/>
      <c r="K95" s="1318"/>
      <c r="L95" s="526"/>
      <c r="M95" s="1321"/>
      <c r="N95" s="1318"/>
    </row>
    <row r="96" spans="1:14" ht="111" customHeight="1">
      <c r="A96" s="502"/>
      <c r="B96" s="513" t="s">
        <v>415</v>
      </c>
      <c r="C96" s="503"/>
      <c r="D96" s="503"/>
      <c r="E96" s="503"/>
      <c r="F96" s="503"/>
      <c r="G96" s="503"/>
      <c r="H96" s="503"/>
      <c r="I96" s="504"/>
      <c r="J96" s="504"/>
      <c r="K96" s="504"/>
      <c r="L96" s="288" t="s">
        <v>416</v>
      </c>
      <c r="M96" s="554"/>
      <c r="N96" s="504"/>
    </row>
    <row r="97" spans="1:14" ht="111" customHeight="1">
      <c r="A97" s="502"/>
      <c r="B97" s="513"/>
      <c r="C97" s="503"/>
      <c r="D97" s="503"/>
      <c r="E97" s="503"/>
      <c r="F97" s="503"/>
      <c r="G97" s="503"/>
      <c r="H97" s="503"/>
      <c r="I97" s="504"/>
      <c r="J97" s="504"/>
      <c r="K97" s="504"/>
      <c r="L97" s="504"/>
      <c r="M97" s="554"/>
      <c r="N97" s="504"/>
    </row>
    <row r="98" spans="1:14">
      <c r="A98" s="502"/>
      <c r="B98" s="513"/>
      <c r="C98" s="503"/>
      <c r="D98" s="503"/>
      <c r="E98" s="503"/>
      <c r="F98" s="503"/>
      <c r="G98" s="503"/>
      <c r="H98" s="503"/>
      <c r="I98" s="504"/>
      <c r="J98" s="504"/>
      <c r="K98" s="504"/>
      <c r="L98" s="504"/>
      <c r="M98" s="554"/>
      <c r="N98" s="504"/>
    </row>
    <row r="138" spans="1:14" ht="25.5" customHeight="1">
      <c r="A138" s="1318" t="s">
        <v>374</v>
      </c>
      <c r="B138" s="1329" t="s">
        <v>375</v>
      </c>
      <c r="C138" s="1330" t="s">
        <v>192</v>
      </c>
      <c r="D138" s="1330"/>
      <c r="E138" s="1330"/>
      <c r="F138" s="1330"/>
      <c r="G138" s="1330"/>
      <c r="H138" s="1330"/>
      <c r="I138" s="1318" t="s">
        <v>379</v>
      </c>
      <c r="J138" s="1318" t="s">
        <v>376</v>
      </c>
      <c r="K138" s="1318" t="s">
        <v>377</v>
      </c>
      <c r="L138" s="526" t="s">
        <v>276</v>
      </c>
      <c r="M138" s="1321" t="s">
        <v>373</v>
      </c>
      <c r="N138" s="1318" t="s">
        <v>378</v>
      </c>
    </row>
    <row r="139" spans="1:14" s="481" customFormat="1" ht="39.950000000000003" customHeight="1">
      <c r="A139" s="1318"/>
      <c r="B139" s="1329"/>
      <c r="C139" s="505" t="s">
        <v>24</v>
      </c>
      <c r="D139" s="490"/>
      <c r="E139" s="490"/>
      <c r="F139" s="490"/>
      <c r="G139" s="490"/>
      <c r="H139" s="490"/>
      <c r="I139" s="1318"/>
      <c r="J139" s="1318"/>
      <c r="K139" s="1318"/>
      <c r="L139" s="526"/>
      <c r="M139" s="1328"/>
      <c r="N139" s="1318"/>
    </row>
    <row r="140" spans="1:14" s="482" customFormat="1" ht="129" customHeight="1">
      <c r="A140" s="533" t="s">
        <v>75</v>
      </c>
      <c r="B140" s="513"/>
      <c r="C140" s="509" t="s">
        <v>388</v>
      </c>
      <c r="D140" s="487"/>
      <c r="E140" s="486"/>
      <c r="F140" s="486"/>
      <c r="G140" s="487"/>
      <c r="H140" s="486"/>
      <c r="I140" s="493" t="s">
        <v>384</v>
      </c>
      <c r="J140" s="288"/>
      <c r="K140" s="483"/>
      <c r="L140" s="288" t="s">
        <v>1235</v>
      </c>
      <c r="M140" s="944" t="s">
        <v>1220</v>
      </c>
      <c r="N140" s="296"/>
    </row>
    <row r="141" spans="1:14" s="482" customFormat="1" ht="111" customHeight="1">
      <c r="A141" s="533" t="s">
        <v>75</v>
      </c>
      <c r="B141" s="513"/>
      <c r="C141" s="509"/>
      <c r="D141" s="487"/>
      <c r="E141" s="486"/>
      <c r="F141" s="486"/>
      <c r="G141" s="487"/>
      <c r="H141" s="486"/>
      <c r="I141" s="493"/>
      <c r="J141" s="288"/>
      <c r="K141" s="483"/>
      <c r="L141" s="288" t="s">
        <v>1236</v>
      </c>
      <c r="M141" s="944" t="s">
        <v>1219</v>
      </c>
      <c r="N141" s="689" t="s">
        <v>681</v>
      </c>
    </row>
    <row r="142" spans="1:14" s="482" customFormat="1" ht="111" customHeight="1">
      <c r="A142" s="534"/>
      <c r="B142" s="513" t="s">
        <v>386</v>
      </c>
      <c r="C142" s="486"/>
      <c r="D142" s="509" t="s">
        <v>388</v>
      </c>
      <c r="E142" s="486"/>
      <c r="F142" s="486"/>
      <c r="G142" s="487"/>
      <c r="H142" s="486"/>
      <c r="I142" s="493" t="s">
        <v>498</v>
      </c>
      <c r="J142" s="506"/>
      <c r="K142" s="507"/>
      <c r="L142" s="288" t="s">
        <v>1237</v>
      </c>
      <c r="M142" s="944" t="s">
        <v>1222</v>
      </c>
      <c r="N142" s="689" t="s">
        <v>681</v>
      </c>
    </row>
    <row r="143" spans="1:14" s="482" customFormat="1" ht="120" customHeight="1">
      <c r="A143" s="534"/>
      <c r="B143" s="513" t="s">
        <v>468</v>
      </c>
      <c r="C143" s="486"/>
      <c r="D143" s="525" t="s">
        <v>388</v>
      </c>
      <c r="E143" s="486"/>
      <c r="F143" s="486"/>
      <c r="G143" s="487"/>
      <c r="H143" s="486"/>
      <c r="I143" s="493" t="s">
        <v>499</v>
      </c>
      <c r="J143" s="506"/>
      <c r="K143" s="507"/>
      <c r="L143" s="288" t="s">
        <v>1238</v>
      </c>
      <c r="M143" s="944" t="s">
        <v>469</v>
      </c>
      <c r="N143" s="689" t="s">
        <v>681</v>
      </c>
    </row>
    <row r="144" spans="1:14" s="482" customFormat="1" ht="167.25" customHeight="1">
      <c r="A144" s="534"/>
      <c r="B144" s="513" t="s">
        <v>470</v>
      </c>
      <c r="C144" s="486"/>
      <c r="D144" s="525" t="s">
        <v>388</v>
      </c>
      <c r="E144" s="486"/>
      <c r="F144" s="486"/>
      <c r="G144" s="487"/>
      <c r="H144" s="486"/>
      <c r="I144" s="493" t="s">
        <v>500</v>
      </c>
      <c r="J144" s="506"/>
      <c r="K144" s="507"/>
      <c r="L144" s="288" t="s">
        <v>513</v>
      </c>
      <c r="M144" s="944" t="s">
        <v>471</v>
      </c>
      <c r="N144" s="296" t="s">
        <v>1239</v>
      </c>
    </row>
    <row r="145" spans="1:14" s="482" customFormat="1" ht="144.75" customHeight="1">
      <c r="A145" s="534"/>
      <c r="B145" s="513" t="s">
        <v>380</v>
      </c>
      <c r="C145" s="486"/>
      <c r="D145" s="487"/>
      <c r="E145" s="509" t="s">
        <v>388</v>
      </c>
      <c r="F145" s="486"/>
      <c r="G145" s="487"/>
      <c r="H145" s="296"/>
      <c r="I145" s="498" t="s">
        <v>501</v>
      </c>
      <c r="J145" s="498"/>
      <c r="K145" s="288"/>
      <c r="L145" s="288" t="s">
        <v>1240</v>
      </c>
      <c r="M145" s="497" t="s">
        <v>387</v>
      </c>
      <c r="N145" s="689" t="s">
        <v>681</v>
      </c>
    </row>
    <row r="146" spans="1:14" s="482" customFormat="1" ht="135" customHeight="1">
      <c r="A146" s="534"/>
      <c r="B146" s="513" t="s">
        <v>502</v>
      </c>
      <c r="C146" s="486"/>
      <c r="D146" s="487"/>
      <c r="E146" s="486"/>
      <c r="F146" s="486" t="s">
        <v>512</v>
      </c>
      <c r="G146" s="509"/>
      <c r="H146" s="296"/>
      <c r="I146" s="498" t="s">
        <v>428</v>
      </c>
      <c r="J146" s="508"/>
      <c r="K146" s="288"/>
      <c r="L146" s="288" t="s">
        <v>1241</v>
      </c>
      <c r="M146" s="954" t="s">
        <v>1224</v>
      </c>
      <c r="N146" s="689" t="s">
        <v>681</v>
      </c>
    </row>
    <row r="147" spans="1:14" s="482" customFormat="1" ht="111" customHeight="1">
      <c r="A147" s="534"/>
      <c r="B147" s="954" t="s">
        <v>467</v>
      </c>
      <c r="C147" s="486" t="s">
        <v>388</v>
      </c>
      <c r="D147" s="487"/>
      <c r="E147" s="486"/>
      <c r="F147" s="486"/>
      <c r="G147" s="525"/>
      <c r="H147" s="486"/>
      <c r="I147" s="498" t="s">
        <v>450</v>
      </c>
      <c r="J147" s="508"/>
      <c r="K147" s="288"/>
      <c r="L147" s="288" t="s">
        <v>1242</v>
      </c>
      <c r="M147" s="944" t="s">
        <v>449</v>
      </c>
      <c r="N147" s="296"/>
    </row>
    <row r="148" spans="1:14" s="482" customFormat="1" ht="186" customHeight="1">
      <c r="A148" s="534"/>
      <c r="B148" s="954" t="s">
        <v>503</v>
      </c>
      <c r="C148" s="486" t="s">
        <v>388</v>
      </c>
      <c r="D148" s="487"/>
      <c r="E148" s="486"/>
      <c r="F148" s="486"/>
      <c r="G148" s="525"/>
      <c r="H148" s="486"/>
      <c r="I148" s="498" t="s">
        <v>472</v>
      </c>
      <c r="J148" s="508"/>
      <c r="K148" s="288"/>
      <c r="L148" s="288" t="s">
        <v>1244</v>
      </c>
      <c r="M148" s="944" t="s">
        <v>1225</v>
      </c>
      <c r="N148" s="689" t="s">
        <v>681</v>
      </c>
    </row>
    <row r="149" spans="1:14" s="482" customFormat="1" ht="111" customHeight="1">
      <c r="B149" s="527"/>
      <c r="H149" s="528"/>
      <c r="I149" s="529"/>
      <c r="J149" s="488"/>
      <c r="L149" s="488"/>
      <c r="M149" s="527"/>
    </row>
    <row r="150" spans="1:14" s="482" customFormat="1" ht="24.75" customHeight="1">
      <c r="B150" s="527"/>
      <c r="H150" s="528"/>
      <c r="I150" s="529"/>
      <c r="J150" s="488"/>
      <c r="L150" s="488"/>
      <c r="M150" s="527"/>
    </row>
    <row r="151" spans="1:14">
      <c r="A151" s="1318" t="s">
        <v>374</v>
      </c>
      <c r="B151" s="1319" t="s">
        <v>375</v>
      </c>
      <c r="C151" s="1324" t="s">
        <v>69</v>
      </c>
      <c r="D151" s="1324"/>
      <c r="E151" s="1324"/>
      <c r="F151" s="1324"/>
      <c r="G151" s="1324"/>
      <c r="H151" s="1324"/>
      <c r="I151" s="1318" t="s">
        <v>379</v>
      </c>
      <c r="J151" s="1318" t="s">
        <v>376</v>
      </c>
      <c r="K151" s="1318" t="s">
        <v>377</v>
      </c>
      <c r="L151" s="526"/>
      <c r="M151" s="1321" t="s">
        <v>373</v>
      </c>
      <c r="N151" s="1318" t="s">
        <v>378</v>
      </c>
    </row>
    <row r="152" spans="1:14" s="481" customFormat="1" ht="39.75" customHeight="1">
      <c r="A152" s="1318"/>
      <c r="B152" s="1319"/>
      <c r="C152" s="532"/>
      <c r="D152" s="532"/>
      <c r="E152" s="532"/>
      <c r="F152" s="532"/>
      <c r="G152" s="532"/>
      <c r="H152" s="532"/>
      <c r="I152" s="1318"/>
      <c r="J152" s="1318"/>
      <c r="K152" s="1318"/>
      <c r="L152" s="526"/>
      <c r="M152" s="1321"/>
      <c r="N152" s="1318"/>
    </row>
    <row r="153" spans="1:14" s="482" customFormat="1" ht="111" customHeight="1">
      <c r="A153" s="533" t="s">
        <v>75</v>
      </c>
      <c r="B153" s="513"/>
      <c r="C153" s="509" t="s">
        <v>388</v>
      </c>
      <c r="D153" s="487"/>
      <c r="E153" s="486"/>
      <c r="F153" s="486"/>
      <c r="G153" s="487"/>
      <c r="H153" s="486"/>
      <c r="I153" s="493"/>
      <c r="J153" s="288"/>
      <c r="K153" s="484" t="s">
        <v>1309</v>
      </c>
      <c r="L153" s="288" t="s">
        <v>1246</v>
      </c>
      <c r="M153" s="497" t="s">
        <v>887</v>
      </c>
      <c r="N153" s="558" t="s">
        <v>681</v>
      </c>
    </row>
    <row r="154" spans="1:14">
      <c r="A154" s="502"/>
      <c r="B154" s="513"/>
      <c r="C154" s="503"/>
      <c r="D154" s="503"/>
      <c r="E154" s="503"/>
      <c r="F154" s="503"/>
      <c r="G154" s="503"/>
      <c r="H154" s="503"/>
      <c r="I154" s="504"/>
      <c r="J154" s="504"/>
      <c r="K154" s="504"/>
      <c r="L154" s="504"/>
      <c r="M154" s="554"/>
      <c r="N154" s="504"/>
    </row>
    <row r="155" spans="1:14">
      <c r="A155" s="502"/>
      <c r="B155" s="513"/>
      <c r="C155" s="503"/>
      <c r="D155" s="503"/>
      <c r="E155" s="503"/>
      <c r="F155" s="503"/>
      <c r="G155" s="503"/>
      <c r="H155" s="503"/>
      <c r="I155" s="504"/>
      <c r="J155" s="504"/>
      <c r="K155" s="504"/>
      <c r="L155" s="504"/>
      <c r="M155" s="554"/>
      <c r="N155" s="504"/>
    </row>
    <row r="156" spans="1:14">
      <c r="A156" s="502"/>
      <c r="B156" s="513"/>
      <c r="C156" s="503"/>
      <c r="D156" s="503"/>
      <c r="E156" s="503"/>
      <c r="F156" s="503"/>
      <c r="G156" s="503"/>
      <c r="H156" s="503"/>
      <c r="I156" s="504"/>
      <c r="J156" s="504"/>
      <c r="K156" s="504"/>
      <c r="L156" s="504"/>
      <c r="M156" s="554"/>
      <c r="N156" s="504"/>
    </row>
    <row r="157" spans="1:14">
      <c r="A157" s="502"/>
      <c r="B157" s="513"/>
      <c r="C157" s="503"/>
      <c r="D157" s="503"/>
      <c r="E157" s="503"/>
      <c r="F157" s="503"/>
      <c r="G157" s="503"/>
      <c r="H157" s="503"/>
      <c r="I157" s="504"/>
      <c r="J157" s="504"/>
      <c r="K157" s="504"/>
      <c r="L157" s="504"/>
      <c r="M157" s="554"/>
      <c r="N157" s="504"/>
    </row>
    <row r="158" spans="1:14">
      <c r="A158" s="502"/>
      <c r="B158" s="513"/>
      <c r="C158" s="503"/>
      <c r="D158" s="503"/>
      <c r="E158" s="503"/>
      <c r="F158" s="503"/>
      <c r="G158" s="503"/>
      <c r="H158" s="503"/>
      <c r="I158" s="504"/>
      <c r="J158" s="504"/>
      <c r="K158" s="504"/>
      <c r="L158" s="504"/>
      <c r="M158" s="554"/>
      <c r="N158" s="504"/>
    </row>
    <row r="159" spans="1:14">
      <c r="A159" s="502"/>
      <c r="B159" s="513"/>
      <c r="C159" s="503"/>
      <c r="D159" s="503"/>
      <c r="E159" s="503"/>
      <c r="F159" s="503"/>
      <c r="G159" s="503"/>
      <c r="H159" s="503"/>
      <c r="I159" s="504"/>
      <c r="J159" s="504"/>
      <c r="K159" s="504"/>
      <c r="L159" s="504"/>
      <c r="M159" s="554"/>
      <c r="N159" s="504"/>
    </row>
    <row r="162" spans="1:14">
      <c r="A162" s="1318" t="s">
        <v>374</v>
      </c>
      <c r="B162" s="1319" t="s">
        <v>375</v>
      </c>
      <c r="C162" s="1322" t="s">
        <v>68</v>
      </c>
      <c r="D162" s="1322"/>
      <c r="E162" s="1322"/>
      <c r="F162" s="1322"/>
      <c r="G162" s="1322"/>
      <c r="H162" s="1322"/>
      <c r="I162" s="1318" t="s">
        <v>379</v>
      </c>
      <c r="J162" s="1318" t="s">
        <v>376</v>
      </c>
      <c r="K162" s="1318" t="s">
        <v>377</v>
      </c>
      <c r="L162" s="526"/>
      <c r="M162" s="1321" t="s">
        <v>373</v>
      </c>
      <c r="N162" s="1318" t="s">
        <v>378</v>
      </c>
    </row>
    <row r="163" spans="1:14" s="481" customFormat="1" ht="39.75" customHeight="1">
      <c r="A163" s="1318"/>
      <c r="B163" s="1319"/>
      <c r="C163" s="499"/>
      <c r="D163" s="499"/>
      <c r="E163" s="499"/>
      <c r="F163" s="499"/>
      <c r="G163" s="499"/>
      <c r="H163" s="499"/>
      <c r="I163" s="1318"/>
      <c r="J163" s="1318"/>
      <c r="K163" s="1318"/>
      <c r="L163" s="526"/>
      <c r="M163" s="1321"/>
      <c r="N163" s="1318"/>
    </row>
    <row r="164" spans="1:14" s="482" customFormat="1" ht="135.75" customHeight="1">
      <c r="A164" s="617" t="s">
        <v>75</v>
      </c>
      <c r="B164" s="497" t="s">
        <v>515</v>
      </c>
      <c r="C164" s="509" t="s">
        <v>388</v>
      </c>
      <c r="D164" s="487"/>
      <c r="E164" s="486"/>
      <c r="F164" s="486"/>
      <c r="G164" s="487"/>
      <c r="H164" s="486"/>
      <c r="I164" s="498"/>
      <c r="J164" s="288"/>
      <c r="K164" s="511" t="s">
        <v>401</v>
      </c>
      <c r="L164" s="288" t="s">
        <v>514</v>
      </c>
      <c r="M164" s="513" t="s">
        <v>390</v>
      </c>
      <c r="N164" s="296"/>
    </row>
    <row r="165" spans="1:14" s="482" customFormat="1" ht="126" customHeight="1">
      <c r="A165" s="617"/>
      <c r="B165" s="497" t="s">
        <v>391</v>
      </c>
      <c r="C165" s="486"/>
      <c r="D165" s="509" t="s">
        <v>388</v>
      </c>
      <c r="E165" s="486"/>
      <c r="F165" s="486"/>
      <c r="G165" s="487"/>
      <c r="H165" s="486"/>
      <c r="I165" s="484"/>
      <c r="J165" s="288"/>
      <c r="K165" s="512" t="s">
        <v>400</v>
      </c>
      <c r="L165" s="288" t="s">
        <v>516</v>
      </c>
      <c r="M165" s="513" t="s">
        <v>390</v>
      </c>
      <c r="N165" s="531" t="s">
        <v>535</v>
      </c>
    </row>
    <row r="196" spans="1:14">
      <c r="A196" s="1318" t="s">
        <v>374</v>
      </c>
      <c r="B196" s="1319" t="s">
        <v>375</v>
      </c>
      <c r="C196" s="1323" t="s">
        <v>392</v>
      </c>
      <c r="D196" s="1323"/>
      <c r="E196" s="1323"/>
      <c r="F196" s="1323"/>
      <c r="G196" s="1323"/>
      <c r="H196" s="1323"/>
      <c r="I196" s="1318" t="s">
        <v>379</v>
      </c>
      <c r="J196" s="1318" t="s">
        <v>376</v>
      </c>
      <c r="K196" s="1318" t="s">
        <v>377</v>
      </c>
      <c r="L196" s="526"/>
      <c r="M196" s="1321" t="s">
        <v>373</v>
      </c>
      <c r="N196" s="1318" t="s">
        <v>378</v>
      </c>
    </row>
    <row r="197" spans="1:14" s="481" customFormat="1" ht="39.75" customHeight="1">
      <c r="A197" s="1318"/>
      <c r="B197" s="1319"/>
      <c r="C197" s="500"/>
      <c r="D197" s="500"/>
      <c r="E197" s="500"/>
      <c r="F197" s="500"/>
      <c r="G197" s="500"/>
      <c r="H197" s="500"/>
      <c r="I197" s="1318"/>
      <c r="J197" s="1318"/>
      <c r="K197" s="1318"/>
      <c r="L197" s="526"/>
      <c r="M197" s="1321"/>
      <c r="N197" s="1318"/>
    </row>
    <row r="198" spans="1:14" s="482" customFormat="1" ht="111" customHeight="1">
      <c r="A198" s="617" t="s">
        <v>75</v>
      </c>
      <c r="B198" s="497" t="s">
        <v>517</v>
      </c>
      <c r="C198" s="509" t="s">
        <v>388</v>
      </c>
      <c r="D198" s="487"/>
      <c r="E198" s="486"/>
      <c r="F198" s="486"/>
      <c r="G198" s="487"/>
      <c r="H198" s="486"/>
      <c r="I198" s="498"/>
      <c r="J198" s="288"/>
      <c r="K198" s="288"/>
      <c r="L198" s="288" t="s">
        <v>518</v>
      </c>
      <c r="M198" s="513" t="s">
        <v>394</v>
      </c>
      <c r="N198" s="558" t="s">
        <v>681</v>
      </c>
    </row>
    <row r="199" spans="1:14" s="482" customFormat="1" ht="111" customHeight="1">
      <c r="A199" s="617"/>
      <c r="B199" s="497" t="s">
        <v>480</v>
      </c>
      <c r="C199" s="486"/>
      <c r="D199" s="509" t="s">
        <v>388</v>
      </c>
      <c r="E199" s="486"/>
      <c r="F199" s="486"/>
      <c r="G199" s="487"/>
      <c r="H199" s="486"/>
      <c r="I199" s="498" t="s">
        <v>395</v>
      </c>
      <c r="J199" s="288"/>
      <c r="K199" s="288"/>
      <c r="L199" s="288" t="s">
        <v>519</v>
      </c>
      <c r="M199" s="513" t="s">
        <v>394</v>
      </c>
      <c r="N199" s="558" t="s">
        <v>681</v>
      </c>
    </row>
    <row r="200" spans="1:14" s="482" customFormat="1" ht="111" customHeight="1">
      <c r="A200" s="617"/>
      <c r="B200" s="497" t="s">
        <v>520</v>
      </c>
      <c r="C200" s="296"/>
      <c r="D200" s="296"/>
      <c r="E200" s="509" t="s">
        <v>388</v>
      </c>
      <c r="F200" s="296"/>
      <c r="G200" s="296"/>
      <c r="H200" s="296"/>
      <c r="I200" s="498" t="s">
        <v>430</v>
      </c>
      <c r="J200" s="288"/>
      <c r="K200" s="511"/>
      <c r="L200" s="288"/>
      <c r="M200" s="513"/>
      <c r="N200" s="296"/>
    </row>
    <row r="201" spans="1:14" s="482" customFormat="1" ht="111" customHeight="1">
      <c r="A201" s="617"/>
      <c r="B201" s="497"/>
      <c r="C201" s="296"/>
      <c r="D201" s="296"/>
      <c r="E201" s="516"/>
      <c r="F201" s="296"/>
      <c r="G201" s="296"/>
      <c r="H201" s="296"/>
      <c r="I201" s="498"/>
      <c r="J201" s="288"/>
      <c r="K201" s="511"/>
      <c r="L201" s="288"/>
      <c r="M201" s="513"/>
      <c r="N201" s="296"/>
    </row>
    <row r="202" spans="1:14" s="482" customFormat="1" ht="111" customHeight="1">
      <c r="A202" s="617"/>
      <c r="B202" s="497"/>
      <c r="C202" s="296"/>
      <c r="D202" s="296"/>
      <c r="E202" s="516"/>
      <c r="F202" s="296"/>
      <c r="G202" s="296"/>
      <c r="H202" s="296"/>
      <c r="I202" s="498"/>
      <c r="J202" s="288"/>
      <c r="K202" s="511"/>
      <c r="L202" s="288"/>
      <c r="M202" s="513"/>
      <c r="N202" s="296"/>
    </row>
    <row r="203" spans="1:14" s="482" customFormat="1" ht="111" customHeight="1">
      <c r="A203" s="617"/>
      <c r="B203" s="497"/>
      <c r="C203" s="296"/>
      <c r="D203" s="296"/>
      <c r="E203" s="516"/>
      <c r="F203" s="296"/>
      <c r="G203" s="296"/>
      <c r="H203" s="296"/>
      <c r="I203" s="498"/>
      <c r="J203" s="288"/>
      <c r="K203" s="511"/>
      <c r="L203" s="288"/>
      <c r="M203" s="513"/>
      <c r="N203" s="296"/>
    </row>
    <row r="204" spans="1:14" s="482" customFormat="1" ht="111" customHeight="1">
      <c r="A204" s="617"/>
      <c r="B204" s="497"/>
      <c r="C204" s="296"/>
      <c r="D204" s="296"/>
      <c r="E204" s="516"/>
      <c r="F204" s="296"/>
      <c r="G204" s="296"/>
      <c r="H204" s="296"/>
      <c r="I204" s="498"/>
      <c r="J204" s="288"/>
      <c r="K204" s="511"/>
      <c r="L204" s="288"/>
      <c r="M204" s="513"/>
      <c r="N204" s="296"/>
    </row>
    <row r="205" spans="1:14" s="482" customFormat="1" ht="111" customHeight="1">
      <c r="A205" s="617"/>
      <c r="B205" s="497"/>
      <c r="C205" s="296"/>
      <c r="D205" s="296"/>
      <c r="E205" s="516"/>
      <c r="F205" s="296"/>
      <c r="G205" s="296"/>
      <c r="H205" s="296"/>
      <c r="I205" s="498"/>
      <c r="J205" s="288"/>
      <c r="K205" s="511"/>
      <c r="L205" s="288"/>
      <c r="M205" s="513"/>
      <c r="N205" s="296"/>
    </row>
    <row r="223" spans="1:14">
      <c r="A223" s="1318" t="s">
        <v>374</v>
      </c>
      <c r="B223" s="1319" t="s">
        <v>375</v>
      </c>
      <c r="C223" s="1320" t="s">
        <v>99</v>
      </c>
      <c r="D223" s="1320"/>
      <c r="E223" s="1320"/>
      <c r="F223" s="1320"/>
      <c r="G223" s="1320"/>
      <c r="H223" s="1320"/>
      <c r="I223" s="1318" t="s">
        <v>379</v>
      </c>
      <c r="J223" s="1318" t="s">
        <v>376</v>
      </c>
      <c r="K223" s="1318" t="s">
        <v>377</v>
      </c>
      <c r="L223" s="526"/>
      <c r="M223" s="1321" t="s">
        <v>373</v>
      </c>
      <c r="N223" s="1318" t="s">
        <v>378</v>
      </c>
    </row>
    <row r="224" spans="1:14" s="481" customFormat="1" ht="40.5" customHeight="1">
      <c r="A224" s="1318"/>
      <c r="B224" s="1319"/>
      <c r="C224" s="501"/>
      <c r="D224" s="501"/>
      <c r="E224" s="501"/>
      <c r="F224" s="501"/>
      <c r="G224" s="501"/>
      <c r="H224" s="501"/>
      <c r="I224" s="1318"/>
      <c r="J224" s="1318"/>
      <c r="K224" s="1318"/>
      <c r="L224" s="526"/>
      <c r="M224" s="1321"/>
      <c r="N224" s="1318"/>
    </row>
    <row r="225" spans="1:14" s="482" customFormat="1" ht="111" customHeight="1">
      <c r="A225" s="617" t="s">
        <v>75</v>
      </c>
      <c r="B225" s="497" t="s">
        <v>521</v>
      </c>
      <c r="C225" s="509" t="s">
        <v>388</v>
      </c>
      <c r="D225" s="487"/>
      <c r="E225" s="486"/>
      <c r="F225" s="486"/>
      <c r="G225" s="487"/>
      <c r="H225" s="486"/>
      <c r="I225" s="288"/>
      <c r="J225" s="288"/>
      <c r="K225" s="288"/>
      <c r="L225" s="288" t="s">
        <v>522</v>
      </c>
      <c r="M225" s="513" t="s">
        <v>390</v>
      </c>
      <c r="N225" s="296" t="s">
        <v>681</v>
      </c>
    </row>
    <row r="226" spans="1:14" s="482" customFormat="1" ht="111" customHeight="1">
      <c r="A226" s="617"/>
      <c r="B226" s="497" t="s">
        <v>483</v>
      </c>
      <c r="C226" s="509" t="s">
        <v>388</v>
      </c>
      <c r="D226" s="487"/>
      <c r="E226" s="486"/>
      <c r="F226" s="486"/>
      <c r="G226" s="487"/>
      <c r="H226" s="486"/>
      <c r="I226" s="498" t="s">
        <v>484</v>
      </c>
      <c r="J226" s="288"/>
      <c r="K226" s="288"/>
      <c r="L226" s="288" t="s">
        <v>523</v>
      </c>
      <c r="M226" s="513" t="s">
        <v>436</v>
      </c>
      <c r="N226" s="296" t="s">
        <v>681</v>
      </c>
    </row>
    <row r="227" spans="1:14" s="482" customFormat="1" ht="111" customHeight="1">
      <c r="A227" s="617"/>
      <c r="B227" s="497" t="s">
        <v>1250</v>
      </c>
      <c r="C227" s="486"/>
      <c r="D227" s="509" t="s">
        <v>388</v>
      </c>
      <c r="E227" s="486"/>
      <c r="F227" s="486"/>
      <c r="G227" s="487"/>
      <c r="H227" s="486"/>
      <c r="I227" s="498"/>
      <c r="J227" s="288"/>
      <c r="K227" s="288"/>
      <c r="L227" s="288" t="s">
        <v>703</v>
      </c>
      <c r="M227" s="513" t="s">
        <v>524</v>
      </c>
      <c r="N227" s="296" t="s">
        <v>681</v>
      </c>
    </row>
    <row r="228" spans="1:14" s="482" customFormat="1" ht="111" customHeight="1">
      <c r="A228" s="617"/>
      <c r="B228" s="497" t="s">
        <v>486</v>
      </c>
      <c r="C228" s="486"/>
      <c r="D228" s="487"/>
      <c r="E228" s="509" t="s">
        <v>388</v>
      </c>
      <c r="F228" s="486"/>
      <c r="G228" s="487"/>
      <c r="H228" s="486"/>
      <c r="I228" s="498" t="s">
        <v>404</v>
      </c>
      <c r="J228" s="288"/>
      <c r="K228" s="288"/>
      <c r="L228" s="288" t="s">
        <v>529</v>
      </c>
      <c r="M228" s="513" t="s">
        <v>436</v>
      </c>
      <c r="N228" s="689" t="s">
        <v>681</v>
      </c>
    </row>
    <row r="229" spans="1:14" s="482" customFormat="1" ht="111" customHeight="1">
      <c r="A229" s="617"/>
      <c r="B229" s="497" t="s">
        <v>506</v>
      </c>
      <c r="C229" s="486"/>
      <c r="D229" s="487"/>
      <c r="E229" s="486"/>
      <c r="F229" s="509" t="s">
        <v>388</v>
      </c>
      <c r="G229" s="487"/>
      <c r="H229" s="486"/>
      <c r="I229" s="498" t="s">
        <v>406</v>
      </c>
      <c r="J229" s="288"/>
      <c r="K229" s="511" t="s">
        <v>400</v>
      </c>
      <c r="L229" s="288" t="s">
        <v>531</v>
      </c>
      <c r="M229" s="513" t="s">
        <v>525</v>
      </c>
      <c r="N229" s="689" t="s">
        <v>681</v>
      </c>
    </row>
    <row r="230" spans="1:14" s="482" customFormat="1" ht="299.25">
      <c r="A230" s="617"/>
      <c r="B230" s="497" t="s">
        <v>487</v>
      </c>
      <c r="C230" s="486"/>
      <c r="D230" s="487"/>
      <c r="E230" s="486"/>
      <c r="F230" s="509"/>
      <c r="G230" s="509" t="s">
        <v>388</v>
      </c>
      <c r="H230" s="486"/>
      <c r="I230" s="498"/>
      <c r="J230" s="288"/>
      <c r="K230" s="511"/>
      <c r="L230" s="288" t="s">
        <v>532</v>
      </c>
      <c r="M230" s="513" t="s">
        <v>488</v>
      </c>
      <c r="N230" s="689" t="s">
        <v>681</v>
      </c>
    </row>
    <row r="231" spans="1:14" ht="111" customHeight="1">
      <c r="A231" s="618"/>
      <c r="B231" s="497" t="s">
        <v>491</v>
      </c>
      <c r="C231" s="503"/>
      <c r="D231" s="503"/>
      <c r="E231" s="503"/>
      <c r="F231" s="503"/>
      <c r="G231" s="509" t="s">
        <v>388</v>
      </c>
      <c r="H231" s="503"/>
      <c r="I231" s="504"/>
      <c r="J231" s="504"/>
      <c r="K231" s="504"/>
      <c r="L231" s="288" t="s">
        <v>526</v>
      </c>
      <c r="M231" s="513" t="s">
        <v>1233</v>
      </c>
      <c r="N231" s="689" t="s">
        <v>681</v>
      </c>
    </row>
    <row r="232" spans="1:14" ht="111" customHeight="1">
      <c r="G232" s="528"/>
      <c r="L232" s="488"/>
      <c r="M232" s="527"/>
    </row>
    <row r="233" spans="1:14">
      <c r="A233" s="1318" t="s">
        <v>374</v>
      </c>
      <c r="B233" s="1319" t="s">
        <v>375</v>
      </c>
      <c r="C233" s="1326" t="s">
        <v>356</v>
      </c>
      <c r="D233" s="1326"/>
      <c r="E233" s="1326"/>
      <c r="F233" s="1326"/>
      <c r="G233" s="1326"/>
      <c r="H233" s="1326"/>
      <c r="I233" s="1318" t="s">
        <v>379</v>
      </c>
      <c r="J233" s="1318" t="s">
        <v>376</v>
      </c>
      <c r="K233" s="1318" t="s">
        <v>377</v>
      </c>
      <c r="L233" s="526"/>
      <c r="M233" s="1321" t="s">
        <v>373</v>
      </c>
      <c r="N233" s="1318" t="s">
        <v>378</v>
      </c>
    </row>
    <row r="234" spans="1:14" ht="40.5" customHeight="1">
      <c r="A234" s="1318"/>
      <c r="B234" s="1325"/>
      <c r="C234" s="514"/>
      <c r="D234" s="514"/>
      <c r="E234" s="514"/>
      <c r="F234" s="514"/>
      <c r="G234" s="514"/>
      <c r="H234" s="514"/>
      <c r="I234" s="1327"/>
      <c r="J234" s="1327"/>
      <c r="K234" s="1327"/>
      <c r="L234" s="526"/>
      <c r="M234" s="1328"/>
      <c r="N234" s="1327"/>
    </row>
    <row r="235" spans="1:14" s="481" customFormat="1" ht="110.25" customHeight="1">
      <c r="A235" s="617" t="s">
        <v>75</v>
      </c>
      <c r="B235" s="497" t="s">
        <v>527</v>
      </c>
      <c r="C235" s="509" t="s">
        <v>388</v>
      </c>
      <c r="D235" s="487"/>
      <c r="E235" s="486"/>
      <c r="F235" s="486"/>
      <c r="G235" s="487"/>
      <c r="H235" s="486"/>
      <c r="I235" s="288"/>
      <c r="J235" s="288"/>
      <c r="K235" s="288"/>
      <c r="L235" s="288" t="s">
        <v>528</v>
      </c>
      <c r="M235" s="513" t="s">
        <v>408</v>
      </c>
      <c r="N235" s="296" t="s">
        <v>873</v>
      </c>
    </row>
    <row r="236" spans="1:14" s="481" customFormat="1" ht="123" customHeight="1">
      <c r="A236" s="617"/>
      <c r="B236" s="497" t="s">
        <v>536</v>
      </c>
      <c r="C236" s="509"/>
      <c r="D236" s="487"/>
      <c r="E236" s="486"/>
      <c r="F236" s="486"/>
      <c r="G236" s="487"/>
      <c r="H236" s="486"/>
      <c r="I236" s="493" t="s">
        <v>537</v>
      </c>
      <c r="J236" s="288"/>
      <c r="K236" s="483"/>
      <c r="L236" s="288" t="s">
        <v>1247</v>
      </c>
      <c r="M236" s="513" t="s">
        <v>493</v>
      </c>
      <c r="N236" s="296"/>
    </row>
    <row r="237" spans="1:14" s="482" customFormat="1" ht="111" customHeight="1">
      <c r="A237" s="533" t="s">
        <v>75</v>
      </c>
      <c r="B237" s="513"/>
      <c r="C237" s="509"/>
      <c r="D237" s="487"/>
      <c r="E237" s="486"/>
      <c r="F237" s="486"/>
      <c r="G237" s="487"/>
      <c r="H237" s="486"/>
      <c r="I237" s="493"/>
      <c r="J237" s="288"/>
      <c r="K237" s="483"/>
      <c r="L237" s="288" t="s">
        <v>1398</v>
      </c>
      <c r="M237" s="497" t="s">
        <v>1122</v>
      </c>
      <c r="N237" s="689" t="s">
        <v>681</v>
      </c>
    </row>
    <row r="238" spans="1:14" s="482" customFormat="1" ht="111" customHeight="1">
      <c r="A238" s="617"/>
      <c r="B238" s="497" t="s">
        <v>495</v>
      </c>
      <c r="C238" s="516"/>
      <c r="D238" s="296" t="s">
        <v>388</v>
      </c>
      <c r="E238" s="296"/>
      <c r="F238" s="296"/>
      <c r="G238" s="296"/>
      <c r="H238" s="296"/>
      <c r="I238" s="498"/>
      <c r="J238" s="288"/>
      <c r="K238" s="288"/>
      <c r="L238" s="288" t="s">
        <v>1248</v>
      </c>
      <c r="M238" s="513" t="s">
        <v>494</v>
      </c>
      <c r="N238" s="689" t="s">
        <v>681</v>
      </c>
    </row>
    <row r="239" spans="1:14" s="482" customFormat="1" ht="111" customHeight="1">
      <c r="A239" s="617"/>
      <c r="B239" s="497" t="s">
        <v>496</v>
      </c>
      <c r="C239" s="486"/>
      <c r="D239" s="487"/>
      <c r="E239" s="486" t="s">
        <v>388</v>
      </c>
      <c r="F239" s="509"/>
      <c r="G239" s="509"/>
      <c r="H239" s="486"/>
      <c r="I239" s="498"/>
      <c r="J239" s="288"/>
      <c r="K239" s="511"/>
      <c r="L239" s="288" t="s">
        <v>530</v>
      </c>
      <c r="M239" s="513" t="s">
        <v>497</v>
      </c>
      <c r="N239" s="689" t="s">
        <v>681</v>
      </c>
    </row>
    <row r="240" spans="1:14" s="482" customFormat="1" ht="111" customHeight="1">
      <c r="A240" s="617"/>
      <c r="B240" s="497"/>
      <c r="C240" s="296"/>
      <c r="D240" s="296"/>
      <c r="E240" s="296"/>
      <c r="F240" s="516"/>
      <c r="G240" s="516"/>
      <c r="H240" s="296"/>
      <c r="I240" s="498"/>
      <c r="J240" s="288"/>
      <c r="K240" s="511"/>
      <c r="L240" s="288"/>
      <c r="M240" s="513"/>
      <c r="N240" s="296"/>
    </row>
    <row r="241" spans="1:14" s="482" customFormat="1" ht="111" customHeight="1">
      <c r="A241" s="617"/>
      <c r="B241" s="497"/>
      <c r="C241" s="296"/>
      <c r="D241" s="296"/>
      <c r="E241" s="296"/>
      <c r="F241" s="516"/>
      <c r="G241" s="516"/>
      <c r="H241" s="296"/>
      <c r="I241" s="498"/>
      <c r="J241" s="288"/>
      <c r="K241" s="511"/>
      <c r="L241" s="288"/>
      <c r="M241" s="513"/>
      <c r="N241" s="296"/>
    </row>
    <row r="242" spans="1:14" s="482" customFormat="1" ht="111" customHeight="1">
      <c r="A242" s="617"/>
      <c r="B242" s="497"/>
      <c r="C242" s="296"/>
      <c r="D242" s="296"/>
      <c r="E242" s="296"/>
      <c r="F242" s="516"/>
      <c r="G242" s="516"/>
      <c r="H242" s="296"/>
      <c r="I242" s="498"/>
      <c r="J242" s="288"/>
      <c r="K242" s="511"/>
      <c r="L242" s="288"/>
      <c r="M242" s="513"/>
      <c r="N242" s="296"/>
    </row>
    <row r="243" spans="1:14" s="482" customFormat="1" ht="111" customHeight="1">
      <c r="A243" s="617"/>
      <c r="B243" s="497"/>
      <c r="C243" s="296"/>
      <c r="D243" s="296"/>
      <c r="E243" s="296"/>
      <c r="F243" s="516"/>
      <c r="G243" s="516"/>
      <c r="H243" s="296"/>
      <c r="I243" s="498"/>
      <c r="J243" s="288"/>
      <c r="K243" s="511"/>
      <c r="L243" s="288"/>
      <c r="M243" s="513"/>
      <c r="N243" s="296"/>
    </row>
    <row r="244" spans="1:14" s="482" customFormat="1" ht="111" customHeight="1">
      <c r="A244" s="617"/>
      <c r="B244" s="497"/>
      <c r="C244" s="296"/>
      <c r="D244" s="296"/>
      <c r="E244" s="296"/>
      <c r="F244" s="516"/>
      <c r="G244" s="516"/>
      <c r="H244" s="296"/>
      <c r="I244" s="498"/>
      <c r="J244" s="288"/>
      <c r="K244" s="511"/>
      <c r="L244" s="288"/>
      <c r="M244" s="513"/>
      <c r="N244" s="296"/>
    </row>
    <row r="245" spans="1:14" ht="111" customHeight="1">
      <c r="G245" s="528"/>
      <c r="L245" s="488"/>
      <c r="M245" s="527"/>
    </row>
    <row r="246" spans="1:14" ht="111" customHeight="1">
      <c r="G246" s="528"/>
      <c r="L246" s="488"/>
      <c r="M246" s="527"/>
    </row>
    <row r="247" spans="1:14" ht="25.5" customHeight="1">
      <c r="A247" s="1318" t="s">
        <v>374</v>
      </c>
      <c r="B247" s="1329" t="s">
        <v>375</v>
      </c>
      <c r="C247" s="1330" t="s">
        <v>192</v>
      </c>
      <c r="D247" s="1330"/>
      <c r="E247" s="1330"/>
      <c r="F247" s="1330"/>
      <c r="G247" s="1330"/>
      <c r="H247" s="1330"/>
      <c r="I247" s="1318" t="s">
        <v>379</v>
      </c>
      <c r="J247" s="1318" t="s">
        <v>376</v>
      </c>
      <c r="K247" s="1318" t="s">
        <v>377</v>
      </c>
      <c r="L247" s="526" t="s">
        <v>276</v>
      </c>
      <c r="M247" s="1321" t="s">
        <v>373</v>
      </c>
      <c r="N247" s="1318" t="s">
        <v>378</v>
      </c>
    </row>
    <row r="248" spans="1:14" s="481" customFormat="1" ht="39.950000000000003" customHeight="1">
      <c r="A248" s="1318"/>
      <c r="B248" s="1329"/>
      <c r="C248" s="538" t="s">
        <v>24</v>
      </c>
      <c r="D248" s="539"/>
      <c r="E248" s="539"/>
      <c r="F248" s="539"/>
      <c r="G248" s="539"/>
      <c r="H248" s="539"/>
      <c r="I248" s="1318"/>
      <c r="J248" s="1318"/>
      <c r="K248" s="1318"/>
      <c r="L248" s="526"/>
      <c r="M248" s="1321"/>
      <c r="N248" s="1318"/>
    </row>
    <row r="249" spans="1:14" s="481" customFormat="1">
      <c r="A249" s="502" t="s">
        <v>53</v>
      </c>
      <c r="B249" s="955"/>
      <c r="C249" s="540"/>
      <c r="D249" s="541"/>
      <c r="E249" s="541"/>
      <c r="F249" s="541"/>
      <c r="G249" s="541"/>
      <c r="H249" s="541"/>
      <c r="I249" s="542"/>
      <c r="J249" s="542"/>
      <c r="K249" s="542"/>
      <c r="L249" s="542"/>
      <c r="M249" s="950"/>
      <c r="N249" s="542"/>
    </row>
    <row r="250" spans="1:14" s="481" customFormat="1">
      <c r="A250" s="502" t="s">
        <v>237</v>
      </c>
      <c r="B250" s="955"/>
      <c r="C250" s="540"/>
      <c r="D250" s="541"/>
      <c r="E250" s="541"/>
      <c r="F250" s="541"/>
      <c r="G250" s="541"/>
      <c r="H250" s="541"/>
      <c r="I250" s="542"/>
      <c r="J250" s="542"/>
      <c r="K250" s="542"/>
      <c r="L250" s="542"/>
      <c r="M250" s="950"/>
      <c r="N250" s="542"/>
    </row>
    <row r="251" spans="1:14">
      <c r="A251" s="502" t="s">
        <v>459</v>
      </c>
      <c r="B251" s="513"/>
      <c r="C251" s="503"/>
      <c r="D251" s="503"/>
      <c r="E251" s="503"/>
      <c r="F251" s="503"/>
      <c r="G251" s="516"/>
      <c r="H251" s="503"/>
      <c r="I251" s="504"/>
      <c r="J251" s="504"/>
      <c r="K251" s="504"/>
      <c r="L251" s="288"/>
      <c r="M251" s="513"/>
      <c r="N251" s="504"/>
    </row>
    <row r="252" spans="1:14" s="482" customFormat="1" ht="111" customHeight="1">
      <c r="A252" s="502" t="s">
        <v>459</v>
      </c>
      <c r="B252" s="513"/>
      <c r="C252" s="509"/>
      <c r="D252" s="487"/>
      <c r="E252" s="486"/>
      <c r="F252" s="486"/>
      <c r="G252" s="487"/>
      <c r="H252" s="486"/>
      <c r="I252" s="493"/>
      <c r="J252" s="288"/>
      <c r="K252" s="483"/>
      <c r="L252" s="288" t="s">
        <v>857</v>
      </c>
      <c r="M252" s="497" t="s">
        <v>856</v>
      </c>
      <c r="N252" s="558" t="s">
        <v>681</v>
      </c>
    </row>
    <row r="253" spans="1:14">
      <c r="A253" s="1318" t="s">
        <v>374</v>
      </c>
      <c r="B253" s="1319" t="s">
        <v>375</v>
      </c>
      <c r="C253" s="1324" t="s">
        <v>69</v>
      </c>
      <c r="D253" s="1324"/>
      <c r="E253" s="1324"/>
      <c r="F253" s="1324"/>
      <c r="G253" s="1324"/>
      <c r="H253" s="1324"/>
      <c r="I253" s="1318" t="s">
        <v>379</v>
      </c>
      <c r="J253" s="1318" t="s">
        <v>376</v>
      </c>
      <c r="K253" s="1318" t="s">
        <v>377</v>
      </c>
      <c r="L253" s="526"/>
      <c r="M253" s="1321" t="s">
        <v>373</v>
      </c>
      <c r="N253" s="1318" t="s">
        <v>378</v>
      </c>
    </row>
    <row r="254" spans="1:14" s="481" customFormat="1" ht="39.75" customHeight="1">
      <c r="A254" s="1318"/>
      <c r="B254" s="1319"/>
      <c r="C254" s="491"/>
      <c r="D254" s="491"/>
      <c r="E254" s="491"/>
      <c r="F254" s="491"/>
      <c r="G254" s="491"/>
      <c r="H254" s="491"/>
      <c r="I254" s="1318"/>
      <c r="J254" s="1318"/>
      <c r="K254" s="1318"/>
      <c r="L254" s="526"/>
      <c r="M254" s="1321"/>
      <c r="N254" s="1318"/>
    </row>
    <row r="255" spans="1:14" s="481" customFormat="1">
      <c r="A255" s="502" t="s">
        <v>53</v>
      </c>
      <c r="B255" s="955"/>
      <c r="C255" s="540"/>
      <c r="D255" s="541"/>
      <c r="E255" s="541"/>
      <c r="F255" s="541"/>
      <c r="G255" s="541"/>
      <c r="H255" s="541"/>
      <c r="I255" s="542"/>
      <c r="J255" s="542"/>
      <c r="K255" s="542"/>
      <c r="L255" s="542"/>
      <c r="M255" s="950"/>
      <c r="N255" s="542"/>
    </row>
    <row r="256" spans="1:14" s="481" customFormat="1">
      <c r="A256" s="502" t="s">
        <v>237</v>
      </c>
      <c r="B256" s="955"/>
      <c r="C256" s="540"/>
      <c r="D256" s="541"/>
      <c r="E256" s="541"/>
      <c r="F256" s="541"/>
      <c r="G256" s="541"/>
      <c r="H256" s="541"/>
      <c r="I256" s="542"/>
      <c r="J256" s="542"/>
      <c r="K256" s="542"/>
      <c r="L256" s="542"/>
      <c r="M256" s="950"/>
      <c r="N256" s="542"/>
    </row>
    <row r="257" spans="1:14" s="482" customFormat="1" ht="111" customHeight="1">
      <c r="A257" s="502" t="s">
        <v>459</v>
      </c>
      <c r="B257" s="513"/>
      <c r="C257" s="509" t="s">
        <v>388</v>
      </c>
      <c r="D257" s="487"/>
      <c r="E257" s="486"/>
      <c r="F257" s="486"/>
      <c r="G257" s="487"/>
      <c r="H257" s="486"/>
      <c r="I257" s="493"/>
      <c r="J257" s="288"/>
      <c r="K257" s="483"/>
      <c r="L257" s="288" t="s">
        <v>711</v>
      </c>
      <c r="M257" s="497" t="s">
        <v>712</v>
      </c>
      <c r="N257" s="866" t="s">
        <v>683</v>
      </c>
    </row>
    <row r="258" spans="1:14">
      <c r="A258" s="1318" t="s">
        <v>374</v>
      </c>
      <c r="B258" s="1319" t="s">
        <v>375</v>
      </c>
      <c r="C258" s="1322" t="s">
        <v>68</v>
      </c>
      <c r="D258" s="1322"/>
      <c r="E258" s="1322"/>
      <c r="F258" s="1322"/>
      <c r="G258" s="1322"/>
      <c r="H258" s="1322"/>
      <c r="I258" s="1318" t="s">
        <v>379</v>
      </c>
      <c r="J258" s="1318" t="s">
        <v>376</v>
      </c>
      <c r="K258" s="1318" t="s">
        <v>377</v>
      </c>
      <c r="L258" s="526"/>
      <c r="M258" s="1321" t="s">
        <v>373</v>
      </c>
      <c r="N258" s="1318" t="s">
        <v>378</v>
      </c>
    </row>
    <row r="259" spans="1:14" s="481" customFormat="1" ht="39.75" customHeight="1">
      <c r="A259" s="1318"/>
      <c r="B259" s="1319"/>
      <c r="C259" s="499"/>
      <c r="D259" s="499"/>
      <c r="E259" s="499"/>
      <c r="F259" s="499"/>
      <c r="G259" s="499"/>
      <c r="H259" s="499"/>
      <c r="I259" s="1318"/>
      <c r="J259" s="1318"/>
      <c r="K259" s="1318"/>
      <c r="L259" s="526"/>
      <c r="M259" s="1321"/>
      <c r="N259" s="1318"/>
    </row>
    <row r="260" spans="1:14" s="481" customFormat="1">
      <c r="A260" s="502" t="s">
        <v>53</v>
      </c>
      <c r="B260" s="955"/>
      <c r="C260" s="540" t="s">
        <v>388</v>
      </c>
      <c r="D260" s="541"/>
      <c r="E260" s="541"/>
      <c r="F260" s="541"/>
      <c r="G260" s="541"/>
      <c r="H260" s="541"/>
      <c r="I260" s="542"/>
      <c r="J260" s="542"/>
      <c r="K260" s="542"/>
      <c r="L260" s="542"/>
      <c r="M260" s="950"/>
      <c r="N260" s="542"/>
    </row>
    <row r="261" spans="1:14" s="481" customFormat="1">
      <c r="A261" s="502" t="s">
        <v>237</v>
      </c>
      <c r="B261" s="955"/>
      <c r="C261" s="540" t="s">
        <v>388</v>
      </c>
      <c r="D261" s="541"/>
      <c r="E261" s="541"/>
      <c r="F261" s="541"/>
      <c r="G261" s="541"/>
      <c r="H261" s="541"/>
      <c r="I261" s="542"/>
      <c r="J261" s="542"/>
      <c r="K261" s="542"/>
      <c r="L261" s="542"/>
      <c r="M261" s="950"/>
      <c r="N261" s="542"/>
    </row>
    <row r="262" spans="1:14">
      <c r="A262" s="502" t="s">
        <v>459</v>
      </c>
      <c r="B262" s="513"/>
      <c r="C262" s="503" t="s">
        <v>388</v>
      </c>
      <c r="D262" s="503"/>
      <c r="E262" s="503"/>
      <c r="F262" s="503"/>
      <c r="G262" s="516"/>
      <c r="H262" s="503"/>
      <c r="I262" s="504"/>
      <c r="J262" s="504"/>
      <c r="K262" s="504"/>
      <c r="L262" s="288"/>
      <c r="M262" s="513"/>
      <c r="N262" s="504"/>
    </row>
    <row r="263" spans="1:14">
      <c r="A263" s="1318" t="s">
        <v>374</v>
      </c>
      <c r="B263" s="1319" t="s">
        <v>375</v>
      </c>
      <c r="C263" s="1323" t="s">
        <v>392</v>
      </c>
      <c r="D263" s="1323"/>
      <c r="E263" s="1323"/>
      <c r="F263" s="1323"/>
      <c r="G263" s="1323"/>
      <c r="H263" s="1323"/>
      <c r="I263" s="1318" t="s">
        <v>379</v>
      </c>
      <c r="J263" s="1318" t="s">
        <v>376</v>
      </c>
      <c r="K263" s="1318" t="s">
        <v>377</v>
      </c>
      <c r="L263" s="526"/>
      <c r="M263" s="1321" t="s">
        <v>373</v>
      </c>
      <c r="N263" s="1318" t="s">
        <v>378</v>
      </c>
    </row>
    <row r="264" spans="1:14" s="481" customFormat="1" ht="39.75" customHeight="1">
      <c r="A264" s="1318"/>
      <c r="B264" s="1319"/>
      <c r="C264" s="500"/>
      <c r="D264" s="500"/>
      <c r="E264" s="500"/>
      <c r="F264" s="500"/>
      <c r="G264" s="500"/>
      <c r="H264" s="500"/>
      <c r="I264" s="1318"/>
      <c r="J264" s="1318"/>
      <c r="K264" s="1318"/>
      <c r="L264" s="526"/>
      <c r="M264" s="1321"/>
      <c r="N264" s="1318"/>
    </row>
    <row r="265" spans="1:14" s="481" customFormat="1" ht="111" customHeight="1">
      <c r="A265" s="543" t="s">
        <v>53</v>
      </c>
      <c r="B265" s="513" t="s">
        <v>540</v>
      </c>
      <c r="C265" s="509" t="s">
        <v>388</v>
      </c>
      <c r="D265" s="487"/>
      <c r="E265" s="486"/>
      <c r="F265" s="486"/>
      <c r="G265" s="487"/>
      <c r="H265" s="486"/>
      <c r="I265" s="498"/>
      <c r="J265" s="288"/>
      <c r="K265" s="288"/>
      <c r="L265" s="288" t="s">
        <v>541</v>
      </c>
      <c r="M265" s="513" t="s">
        <v>394</v>
      </c>
      <c r="N265" s="296"/>
    </row>
    <row r="266" spans="1:14" s="481" customFormat="1" ht="111" customHeight="1">
      <c r="A266" s="543" t="s">
        <v>53</v>
      </c>
      <c r="B266" s="513" t="s">
        <v>480</v>
      </c>
      <c r="C266" s="486"/>
      <c r="D266" s="509" t="s">
        <v>388</v>
      </c>
      <c r="E266" s="486"/>
      <c r="F266" s="486"/>
      <c r="G266" s="487"/>
      <c r="H266" s="486"/>
      <c r="I266" s="498" t="s">
        <v>395</v>
      </c>
      <c r="J266" s="288"/>
      <c r="K266" s="288"/>
      <c r="L266" s="288" t="s">
        <v>545</v>
      </c>
      <c r="M266" s="513" t="s">
        <v>394</v>
      </c>
      <c r="N266" s="296" t="s">
        <v>535</v>
      </c>
    </row>
    <row r="267" spans="1:14" s="481" customFormat="1" ht="111" customHeight="1">
      <c r="A267" s="544" t="s">
        <v>237</v>
      </c>
      <c r="B267" s="513" t="s">
        <v>1315</v>
      </c>
      <c r="C267" s="509" t="s">
        <v>388</v>
      </c>
      <c r="D267" s="487"/>
      <c r="E267" s="486"/>
      <c r="F267" s="486"/>
      <c r="G267" s="487"/>
      <c r="H267" s="486"/>
      <c r="I267" s="498"/>
      <c r="J267" s="288"/>
      <c r="K267" s="288"/>
      <c r="L267" s="288" t="s">
        <v>542</v>
      </c>
      <c r="M267" s="513" t="s">
        <v>394</v>
      </c>
      <c r="N267" s="296"/>
    </row>
    <row r="268" spans="1:14" s="481" customFormat="1" ht="111" customHeight="1">
      <c r="A268" s="544" t="s">
        <v>237</v>
      </c>
      <c r="B268" s="513" t="s">
        <v>480</v>
      </c>
      <c r="C268" s="486"/>
      <c r="D268" s="509" t="s">
        <v>388</v>
      </c>
      <c r="E268" s="486"/>
      <c r="F268" s="486"/>
      <c r="G268" s="487"/>
      <c r="H268" s="486"/>
      <c r="I268" s="498" t="s">
        <v>395</v>
      </c>
      <c r="J268" s="288"/>
      <c r="K268" s="288"/>
      <c r="L268" s="288" t="s">
        <v>546</v>
      </c>
      <c r="M268" s="513" t="s">
        <v>394</v>
      </c>
      <c r="N268" s="296" t="s">
        <v>535</v>
      </c>
    </row>
    <row r="269" spans="1:14" ht="111" customHeight="1">
      <c r="A269" s="545" t="s">
        <v>459</v>
      </c>
      <c r="B269" s="513" t="s">
        <v>543</v>
      </c>
      <c r="C269" s="509" t="s">
        <v>388</v>
      </c>
      <c r="D269" s="487"/>
      <c r="E269" s="486"/>
      <c r="F269" s="486"/>
      <c r="G269" s="487"/>
      <c r="H269" s="486"/>
      <c r="I269" s="498"/>
      <c r="J269" s="288"/>
      <c r="K269" s="288"/>
      <c r="L269" s="288" t="s">
        <v>544</v>
      </c>
      <c r="M269" s="513" t="s">
        <v>394</v>
      </c>
      <c r="N269" s="296"/>
    </row>
    <row r="270" spans="1:14" s="481" customFormat="1" ht="111" customHeight="1">
      <c r="A270" s="545" t="s">
        <v>459</v>
      </c>
      <c r="B270" s="513" t="s">
        <v>480</v>
      </c>
      <c r="C270" s="486"/>
      <c r="D270" s="509" t="s">
        <v>388</v>
      </c>
      <c r="E270" s="486"/>
      <c r="F270" s="486"/>
      <c r="G270" s="487"/>
      <c r="H270" s="486"/>
      <c r="I270" s="498" t="s">
        <v>395</v>
      </c>
      <c r="J270" s="288"/>
      <c r="K270" s="288"/>
      <c r="L270" s="288" t="s">
        <v>547</v>
      </c>
      <c r="M270" s="513" t="s">
        <v>394</v>
      </c>
      <c r="N270" s="296" t="s">
        <v>535</v>
      </c>
    </row>
    <row r="271" spans="1:14">
      <c r="A271" s="1318" t="s">
        <v>374</v>
      </c>
      <c r="B271" s="1319" t="s">
        <v>375</v>
      </c>
      <c r="C271" s="1320" t="s">
        <v>99</v>
      </c>
      <c r="D271" s="1320"/>
      <c r="E271" s="1320"/>
      <c r="F271" s="1320"/>
      <c r="G271" s="1320"/>
      <c r="H271" s="1320"/>
      <c r="I271" s="1318" t="s">
        <v>379</v>
      </c>
      <c r="J271" s="1318" t="s">
        <v>376</v>
      </c>
      <c r="K271" s="1318" t="s">
        <v>377</v>
      </c>
      <c r="L271" s="526"/>
      <c r="M271" s="1321" t="s">
        <v>373</v>
      </c>
      <c r="N271" s="1318" t="s">
        <v>378</v>
      </c>
    </row>
    <row r="272" spans="1:14" s="481" customFormat="1" ht="40.5" customHeight="1">
      <c r="A272" s="1318"/>
      <c r="B272" s="1319"/>
      <c r="C272" s="501"/>
      <c r="D272" s="501"/>
      <c r="E272" s="501"/>
      <c r="F272" s="501"/>
      <c r="G272" s="501"/>
      <c r="H272" s="501"/>
      <c r="I272" s="1318"/>
      <c r="J272" s="1318"/>
      <c r="K272" s="1318"/>
      <c r="L272" s="526"/>
      <c r="M272" s="1321"/>
      <c r="N272" s="1318"/>
    </row>
    <row r="273" spans="1:14" s="481" customFormat="1" ht="111" customHeight="1">
      <c r="A273" s="543" t="s">
        <v>53</v>
      </c>
      <c r="B273" s="513" t="s">
        <v>554</v>
      </c>
      <c r="C273" s="509" t="s">
        <v>388</v>
      </c>
      <c r="D273" s="487"/>
      <c r="E273" s="486"/>
      <c r="F273" s="486"/>
      <c r="G273" s="487"/>
      <c r="H273" s="486"/>
      <c r="I273" s="288"/>
      <c r="J273" s="288"/>
      <c r="K273" s="288"/>
      <c r="L273" s="288" t="s">
        <v>548</v>
      </c>
      <c r="M273" s="513" t="s">
        <v>390</v>
      </c>
      <c r="N273" s="296" t="s">
        <v>681</v>
      </c>
    </row>
    <row r="274" spans="1:14" s="481" customFormat="1" ht="111" customHeight="1">
      <c r="A274" s="543" t="s">
        <v>53</v>
      </c>
      <c r="B274" s="513" t="s">
        <v>483</v>
      </c>
      <c r="C274" s="509" t="s">
        <v>388</v>
      </c>
      <c r="D274" s="487"/>
      <c r="E274" s="486"/>
      <c r="F274" s="486"/>
      <c r="G274" s="487"/>
      <c r="H274" s="486"/>
      <c r="I274" s="498" t="s">
        <v>484</v>
      </c>
      <c r="J274" s="288"/>
      <c r="K274" s="288"/>
      <c r="L274" s="288" t="s">
        <v>555</v>
      </c>
      <c r="M274" s="513" t="s">
        <v>436</v>
      </c>
      <c r="N274" s="296"/>
    </row>
    <row r="275" spans="1:14" s="481" customFormat="1" ht="111" customHeight="1">
      <c r="A275" s="543" t="s">
        <v>53</v>
      </c>
      <c r="B275" s="513" t="s">
        <v>704</v>
      </c>
      <c r="C275" s="486"/>
      <c r="D275" s="509" t="s">
        <v>388</v>
      </c>
      <c r="E275" s="486"/>
      <c r="F275" s="486"/>
      <c r="G275" s="487"/>
      <c r="H275" s="486"/>
      <c r="I275" s="498"/>
      <c r="J275" s="288"/>
      <c r="K275" s="288"/>
      <c r="L275" s="288" t="s">
        <v>705</v>
      </c>
      <c r="M275" s="513" t="s">
        <v>557</v>
      </c>
      <c r="N275" s="296" t="s">
        <v>535</v>
      </c>
    </row>
    <row r="276" spans="1:14" s="481" customFormat="1" ht="111" customHeight="1">
      <c r="A276" s="543" t="s">
        <v>53</v>
      </c>
      <c r="B276" s="513" t="s">
        <v>558</v>
      </c>
      <c r="C276" s="486"/>
      <c r="D276" s="509"/>
      <c r="E276" s="486"/>
      <c r="F276" s="486"/>
      <c r="G276" s="487"/>
      <c r="H276" s="486"/>
      <c r="I276" s="498"/>
      <c r="J276" s="288"/>
      <c r="K276" s="288"/>
      <c r="L276" s="288" t="s">
        <v>559</v>
      </c>
      <c r="M276" s="513"/>
      <c r="N276" s="296"/>
    </row>
    <row r="277" spans="1:14" s="481" customFormat="1" ht="131.25" customHeight="1">
      <c r="A277" s="544" t="s">
        <v>237</v>
      </c>
      <c r="B277" s="956" t="s">
        <v>550</v>
      </c>
      <c r="C277" s="509" t="s">
        <v>388</v>
      </c>
      <c r="D277" s="541"/>
      <c r="E277" s="541"/>
      <c r="F277" s="541"/>
      <c r="G277" s="541"/>
      <c r="H277" s="541"/>
      <c r="I277" s="498" t="s">
        <v>549</v>
      </c>
      <c r="J277" s="542"/>
      <c r="K277" s="288"/>
      <c r="L277" s="288" t="s">
        <v>551</v>
      </c>
      <c r="M277" s="951" t="s">
        <v>552</v>
      </c>
      <c r="N277" s="542"/>
    </row>
    <row r="278" spans="1:14" s="481" customFormat="1" ht="111" customHeight="1">
      <c r="A278" s="544" t="s">
        <v>237</v>
      </c>
      <c r="B278" s="513" t="s">
        <v>483</v>
      </c>
      <c r="C278" s="509" t="s">
        <v>388</v>
      </c>
      <c r="D278" s="487"/>
      <c r="E278" s="486"/>
      <c r="F278" s="486"/>
      <c r="G278" s="487"/>
      <c r="H278" s="486"/>
      <c r="I278" s="498" t="s">
        <v>484</v>
      </c>
      <c r="J278" s="288"/>
      <c r="K278" s="288"/>
      <c r="L278" s="288" t="s">
        <v>556</v>
      </c>
      <c r="M278" s="513" t="s">
        <v>436</v>
      </c>
      <c r="N278" s="542"/>
    </row>
    <row r="279" spans="1:14" s="481" customFormat="1" ht="111" customHeight="1">
      <c r="A279" s="544" t="s">
        <v>237</v>
      </c>
      <c r="B279" s="513" t="s">
        <v>558</v>
      </c>
      <c r="C279" s="486"/>
      <c r="D279" s="509"/>
      <c r="E279" s="486"/>
      <c r="F279" s="486"/>
      <c r="G279" s="487"/>
      <c r="H279" s="486"/>
      <c r="I279" s="498"/>
      <c r="J279" s="288"/>
      <c r="K279" s="288"/>
      <c r="L279" s="288" t="s">
        <v>560</v>
      </c>
      <c r="M279" s="513"/>
      <c r="N279" s="296"/>
    </row>
    <row r="280" spans="1:14" ht="132" customHeight="1">
      <c r="A280" s="545" t="s">
        <v>459</v>
      </c>
      <c r="B280" s="956" t="s">
        <v>550</v>
      </c>
      <c r="C280" s="509" t="s">
        <v>388</v>
      </c>
      <c r="D280" s="541"/>
      <c r="E280" s="541"/>
      <c r="F280" s="541"/>
      <c r="G280" s="541"/>
      <c r="H280" s="541"/>
      <c r="I280" s="498" t="s">
        <v>549</v>
      </c>
      <c r="J280" s="542"/>
      <c r="K280" s="288"/>
      <c r="L280" s="288" t="s">
        <v>553</v>
      </c>
      <c r="M280" s="951" t="s">
        <v>552</v>
      </c>
      <c r="N280" s="542"/>
    </row>
    <row r="281" spans="1:14" s="481" customFormat="1" ht="111" customHeight="1">
      <c r="A281" s="545" t="s">
        <v>459</v>
      </c>
      <c r="B281" s="513" t="s">
        <v>483</v>
      </c>
      <c r="C281" s="509" t="s">
        <v>388</v>
      </c>
      <c r="D281" s="487"/>
      <c r="E281" s="486"/>
      <c r="F281" s="486"/>
      <c r="G281" s="487"/>
      <c r="H281" s="486"/>
      <c r="I281" s="498" t="s">
        <v>484</v>
      </c>
      <c r="J281" s="288"/>
      <c r="K281" s="288"/>
      <c r="L281" s="288" t="s">
        <v>556</v>
      </c>
      <c r="M281" s="513" t="s">
        <v>436</v>
      </c>
      <c r="N281" s="542"/>
    </row>
    <row r="282" spans="1:14" s="481" customFormat="1" ht="111" customHeight="1">
      <c r="A282" s="545" t="s">
        <v>459</v>
      </c>
      <c r="B282" s="513" t="s">
        <v>558</v>
      </c>
      <c r="C282" s="486"/>
      <c r="D282" s="509"/>
      <c r="E282" s="486"/>
      <c r="F282" s="486"/>
      <c r="G282" s="487"/>
      <c r="H282" s="486"/>
      <c r="I282" s="498"/>
      <c r="J282" s="288"/>
      <c r="K282" s="288"/>
      <c r="L282" s="288" t="s">
        <v>560</v>
      </c>
      <c r="M282" s="513"/>
      <c r="N282" s="296"/>
    </row>
    <row r="283" spans="1:14" ht="111" customHeight="1">
      <c r="B283" s="957"/>
      <c r="C283" s="528"/>
      <c r="D283" s="536"/>
      <c r="E283" s="536"/>
      <c r="F283" s="536"/>
      <c r="G283" s="536"/>
      <c r="H283" s="536"/>
      <c r="I283" s="529"/>
      <c r="J283" s="537"/>
      <c r="K283" s="488"/>
      <c r="L283" s="488"/>
      <c r="M283" s="952"/>
      <c r="N283" s="537"/>
    </row>
    <row r="284" spans="1:14" ht="15.75" customHeight="1">
      <c r="A284" s="1318" t="s">
        <v>374</v>
      </c>
      <c r="B284" s="1333" t="s">
        <v>375</v>
      </c>
      <c r="C284" s="1334" t="s">
        <v>356</v>
      </c>
      <c r="D284" s="1334"/>
      <c r="E284" s="1334"/>
      <c r="F284" s="1334"/>
      <c r="G284" s="1334"/>
      <c r="H284" s="1334"/>
      <c r="I284" s="1318" t="s">
        <v>379</v>
      </c>
      <c r="J284" s="1318" t="s">
        <v>376</v>
      </c>
      <c r="K284" s="1318" t="s">
        <v>377</v>
      </c>
      <c r="L284" s="526"/>
      <c r="M284" s="1321" t="s">
        <v>373</v>
      </c>
      <c r="N284" s="1318" t="s">
        <v>378</v>
      </c>
    </row>
    <row r="285" spans="1:14" ht="40.5" customHeight="1">
      <c r="A285" s="1327"/>
      <c r="B285" s="1325"/>
      <c r="C285" s="514"/>
      <c r="D285" s="514"/>
      <c r="E285" s="514"/>
      <c r="F285" s="514"/>
      <c r="G285" s="514"/>
      <c r="H285" s="514"/>
      <c r="I285" s="1327"/>
      <c r="J285" s="1327"/>
      <c r="K285" s="1327"/>
      <c r="L285" s="526"/>
      <c r="M285" s="1328"/>
      <c r="N285" s="1327"/>
    </row>
    <row r="286" spans="1:14" s="481" customFormat="1" ht="111.75" customHeight="1">
      <c r="A286" s="543" t="s">
        <v>53</v>
      </c>
      <c r="B286" s="513" t="s">
        <v>538</v>
      </c>
      <c r="C286" s="540" t="s">
        <v>388</v>
      </c>
      <c r="D286" s="541"/>
      <c r="E286" s="541"/>
      <c r="F286" s="541"/>
      <c r="G286" s="541"/>
      <c r="H286" s="541"/>
      <c r="I286" s="493" t="s">
        <v>539</v>
      </c>
      <c r="J286" s="288"/>
      <c r="K286" s="288"/>
      <c r="L286" s="288" t="s">
        <v>1399</v>
      </c>
      <c r="M286" s="513" t="s">
        <v>493</v>
      </c>
      <c r="N286" s="689" t="s">
        <v>681</v>
      </c>
    </row>
    <row r="287" spans="1:14" s="481" customFormat="1" ht="111.75" customHeight="1">
      <c r="A287" s="543" t="s">
        <v>53</v>
      </c>
      <c r="B287" s="513" t="s">
        <v>558</v>
      </c>
      <c r="C287" s="540"/>
      <c r="D287" s="541"/>
      <c r="E287" s="541"/>
      <c r="F287" s="541"/>
      <c r="G287" s="541"/>
      <c r="H287" s="541"/>
      <c r="I287" s="493"/>
      <c r="J287" s="288"/>
      <c r="K287" s="288" t="s">
        <v>563</v>
      </c>
      <c r="L287" s="288"/>
      <c r="M287" s="513"/>
      <c r="N287" s="296"/>
    </row>
    <row r="288" spans="1:14" s="481" customFormat="1" ht="128.25" customHeight="1">
      <c r="A288" s="544" t="s">
        <v>237</v>
      </c>
      <c r="B288" s="513" t="s">
        <v>561</v>
      </c>
      <c r="C288" s="540" t="s">
        <v>388</v>
      </c>
      <c r="D288" s="541"/>
      <c r="E288" s="541"/>
      <c r="F288" s="541"/>
      <c r="G288" s="541"/>
      <c r="H288" s="541"/>
      <c r="I288" s="493" t="s">
        <v>539</v>
      </c>
      <c r="J288" s="288"/>
      <c r="K288" s="288"/>
      <c r="L288" s="288" t="s">
        <v>562</v>
      </c>
      <c r="M288" s="513" t="s">
        <v>493</v>
      </c>
      <c r="N288" s="296"/>
    </row>
    <row r="289" spans="1:14" s="481" customFormat="1" ht="132.75" customHeight="1">
      <c r="A289" s="544" t="s">
        <v>237</v>
      </c>
      <c r="B289" s="513" t="s">
        <v>558</v>
      </c>
      <c r="C289" s="540"/>
      <c r="D289" s="541"/>
      <c r="E289" s="541"/>
      <c r="F289" s="541"/>
      <c r="G289" s="541"/>
      <c r="H289" s="541"/>
      <c r="I289" s="493"/>
      <c r="J289" s="288"/>
      <c r="K289" s="288" t="s">
        <v>564</v>
      </c>
      <c r="L289" s="288"/>
      <c r="M289" s="513"/>
      <c r="N289" s="296"/>
    </row>
    <row r="290" spans="1:14" s="481" customFormat="1" ht="139.5" customHeight="1">
      <c r="A290" s="545" t="s">
        <v>459</v>
      </c>
      <c r="B290" s="513" t="s">
        <v>561</v>
      </c>
      <c r="C290" s="540" t="s">
        <v>388</v>
      </c>
      <c r="D290" s="541"/>
      <c r="E290" s="541"/>
      <c r="F290" s="541"/>
      <c r="G290" s="541"/>
      <c r="H290" s="541"/>
      <c r="I290" s="493" t="s">
        <v>539</v>
      </c>
      <c r="J290" s="288"/>
      <c r="K290" s="288"/>
      <c r="L290" s="288" t="s">
        <v>562</v>
      </c>
      <c r="M290" s="513" t="s">
        <v>493</v>
      </c>
      <c r="N290" s="296"/>
    </row>
    <row r="291" spans="1:14" s="481" customFormat="1" ht="111.75" customHeight="1">
      <c r="A291" s="545" t="s">
        <v>459</v>
      </c>
      <c r="B291" s="513" t="s">
        <v>558</v>
      </c>
      <c r="C291" s="540"/>
      <c r="D291" s="541"/>
      <c r="E291" s="541"/>
      <c r="F291" s="541"/>
      <c r="G291" s="541"/>
      <c r="H291" s="541"/>
      <c r="I291" s="493"/>
      <c r="J291" s="288"/>
      <c r="K291" s="288" t="s">
        <v>564</v>
      </c>
      <c r="L291" s="288"/>
      <c r="M291" s="513"/>
      <c r="N291" s="296"/>
    </row>
    <row r="292" spans="1:14" s="482" customFormat="1" ht="111" customHeight="1">
      <c r="A292" s="545" t="s">
        <v>459</v>
      </c>
      <c r="B292" s="513"/>
      <c r="C292" s="509" t="s">
        <v>388</v>
      </c>
      <c r="D292" s="487"/>
      <c r="E292" s="486"/>
      <c r="F292" s="486"/>
      <c r="G292" s="487"/>
      <c r="H292" s="486"/>
      <c r="I292" s="493"/>
      <c r="J292" s="288"/>
      <c r="K292" s="483"/>
      <c r="L292" s="288" t="s">
        <v>713</v>
      </c>
      <c r="M292" s="497" t="s">
        <v>1128</v>
      </c>
      <c r="N292" s="689" t="s">
        <v>681</v>
      </c>
    </row>
    <row r="293" spans="1:14" ht="111" customHeight="1">
      <c r="G293" s="528"/>
      <c r="L293" s="488"/>
      <c r="M293" s="527"/>
    </row>
    <row r="294" spans="1:14" ht="111" customHeight="1">
      <c r="G294" s="528"/>
      <c r="L294" s="488"/>
      <c r="M294" s="527"/>
    </row>
    <row r="295" spans="1:14" ht="111" customHeight="1">
      <c r="G295" s="528"/>
      <c r="L295" s="488"/>
      <c r="M295" s="527"/>
    </row>
    <row r="296" spans="1:14" ht="111" customHeight="1">
      <c r="G296" s="528"/>
      <c r="L296" s="488"/>
      <c r="M296" s="527"/>
    </row>
    <row r="299" spans="1:14" ht="25.5" customHeight="1">
      <c r="A299" s="1318" t="s">
        <v>374</v>
      </c>
      <c r="B299" s="1329" t="s">
        <v>375</v>
      </c>
      <c r="C299" s="1330" t="s">
        <v>192</v>
      </c>
      <c r="D299" s="1330"/>
      <c r="E299" s="1330"/>
      <c r="F299" s="1330"/>
      <c r="G299" s="1330"/>
      <c r="H299" s="1330"/>
      <c r="I299" s="1318" t="s">
        <v>379</v>
      </c>
      <c r="J299" s="1318" t="s">
        <v>376</v>
      </c>
      <c r="K299" s="1318" t="s">
        <v>377</v>
      </c>
      <c r="L299" s="526" t="s">
        <v>276</v>
      </c>
      <c r="M299" s="1321" t="s">
        <v>373</v>
      </c>
      <c r="N299" s="1318" t="s">
        <v>378</v>
      </c>
    </row>
    <row r="300" spans="1:14" s="481" customFormat="1" ht="39.950000000000003" customHeight="1">
      <c r="A300" s="1318"/>
      <c r="B300" s="1329"/>
      <c r="C300" s="505" t="s">
        <v>24</v>
      </c>
      <c r="D300" s="490"/>
      <c r="E300" s="490"/>
      <c r="F300" s="490"/>
      <c r="G300" s="490"/>
      <c r="H300" s="490"/>
      <c r="I300" s="1318"/>
      <c r="J300" s="1318"/>
      <c r="K300" s="1318"/>
      <c r="L300" s="526"/>
      <c r="M300" s="1328"/>
      <c r="N300" s="1318"/>
    </row>
    <row r="301" spans="1:14" s="482" customFormat="1" ht="111" customHeight="1">
      <c r="A301" s="619" t="s">
        <v>18</v>
      </c>
      <c r="B301" s="497"/>
      <c r="C301" s="509" t="s">
        <v>388</v>
      </c>
      <c r="D301" s="487"/>
      <c r="E301" s="486"/>
      <c r="F301" s="486"/>
      <c r="G301" s="487"/>
      <c r="H301" s="486" t="s">
        <v>388</v>
      </c>
      <c r="I301" s="493" t="s">
        <v>384</v>
      </c>
      <c r="J301" s="288"/>
      <c r="K301" s="483"/>
      <c r="L301" s="288" t="s">
        <v>730</v>
      </c>
      <c r="M301" s="497" t="s">
        <v>451</v>
      </c>
      <c r="N301" s="296"/>
    </row>
    <row r="302" spans="1:14" s="482" customFormat="1" ht="111" customHeight="1">
      <c r="A302" s="619"/>
      <c r="B302" s="497" t="s">
        <v>565</v>
      </c>
      <c r="C302" s="509" t="s">
        <v>388</v>
      </c>
      <c r="D302" s="487"/>
      <c r="E302" s="486"/>
      <c r="F302" s="486"/>
      <c r="G302" s="487"/>
      <c r="H302" s="486"/>
      <c r="J302" s="288"/>
      <c r="K302" s="483"/>
      <c r="L302" s="288" t="s">
        <v>731</v>
      </c>
      <c r="M302" s="497" t="s">
        <v>566</v>
      </c>
      <c r="N302" s="296"/>
    </row>
    <row r="303" spans="1:14" s="482" customFormat="1" ht="111" customHeight="1">
      <c r="A303" s="619"/>
      <c r="B303" s="497" t="s">
        <v>748</v>
      </c>
      <c r="C303" s="509"/>
      <c r="D303" s="487"/>
      <c r="E303" s="486"/>
      <c r="F303" s="486"/>
      <c r="G303" s="487"/>
      <c r="H303" s="486"/>
      <c r="I303" s="493" t="s">
        <v>384</v>
      </c>
      <c r="J303" s="288"/>
      <c r="K303" s="483"/>
      <c r="L303" s="288" t="s">
        <v>749</v>
      </c>
      <c r="M303" s="497" t="s">
        <v>1016</v>
      </c>
      <c r="N303" s="962"/>
    </row>
    <row r="304" spans="1:14" s="482" customFormat="1" ht="111" customHeight="1">
      <c r="A304" s="619"/>
      <c r="B304" s="497" t="s">
        <v>567</v>
      </c>
      <c r="C304" s="509" t="s">
        <v>388</v>
      </c>
      <c r="D304" s="487"/>
      <c r="E304" s="486"/>
      <c r="F304" s="486"/>
      <c r="G304" s="487"/>
      <c r="H304" s="486" t="s">
        <v>388</v>
      </c>
      <c r="I304" s="493" t="s">
        <v>384</v>
      </c>
      <c r="J304" s="288"/>
      <c r="K304" s="483"/>
      <c r="L304" s="288" t="s">
        <v>568</v>
      </c>
      <c r="M304" s="497" t="s">
        <v>569</v>
      </c>
      <c r="N304" s="296" t="s">
        <v>889</v>
      </c>
    </row>
    <row r="305" spans="1:14" s="482" customFormat="1" ht="111" customHeight="1">
      <c r="A305" s="619"/>
      <c r="B305" s="497" t="s">
        <v>1215</v>
      </c>
      <c r="C305" s="509"/>
      <c r="D305" s="487"/>
      <c r="E305" s="486"/>
      <c r="F305" s="486"/>
      <c r="G305" s="487"/>
      <c r="H305" s="486"/>
      <c r="I305" s="493"/>
      <c r="J305" s="288"/>
      <c r="K305" s="483"/>
      <c r="L305" s="288" t="s">
        <v>1216</v>
      </c>
      <c r="M305" s="497" t="s">
        <v>1217</v>
      </c>
      <c r="N305" s="296"/>
    </row>
    <row r="306" spans="1:14" s="482" customFormat="1" ht="222.75" customHeight="1">
      <c r="A306" s="619"/>
      <c r="B306" s="497" t="s">
        <v>1190</v>
      </c>
      <c r="C306" s="509" t="s">
        <v>388</v>
      </c>
      <c r="D306" s="487"/>
      <c r="E306" s="486"/>
      <c r="F306" s="486"/>
      <c r="G306" s="487"/>
      <c r="H306" s="486" t="s">
        <v>388</v>
      </c>
      <c r="I306" s="493" t="s">
        <v>1185</v>
      </c>
      <c r="J306" s="288"/>
      <c r="K306" s="483"/>
      <c r="L306" s="288" t="s">
        <v>1186</v>
      </c>
      <c r="M306" s="497" t="s">
        <v>1218</v>
      </c>
      <c r="N306" s="972" t="s">
        <v>681</v>
      </c>
    </row>
    <row r="307" spans="1:14" s="482" customFormat="1" ht="222.75" customHeight="1">
      <c r="A307" s="619"/>
      <c r="B307" s="497"/>
      <c r="C307" s="509"/>
      <c r="D307" s="487"/>
      <c r="E307" s="486"/>
      <c r="F307" s="486"/>
      <c r="G307" s="487"/>
      <c r="H307" s="486"/>
      <c r="I307" s="493"/>
      <c r="J307" s="288"/>
      <c r="K307" s="484" t="s">
        <v>1299</v>
      </c>
      <c r="L307" s="288"/>
      <c r="M307" s="497"/>
      <c r="N307" s="972"/>
    </row>
    <row r="308" spans="1:14" s="482" customFormat="1" ht="279" customHeight="1">
      <c r="A308" s="619"/>
      <c r="B308" s="497" t="s">
        <v>1265</v>
      </c>
      <c r="C308" s="509" t="s">
        <v>388</v>
      </c>
      <c r="D308" s="487"/>
      <c r="E308" s="486"/>
      <c r="F308" s="486"/>
      <c r="G308" s="487"/>
      <c r="H308" s="486" t="s">
        <v>388</v>
      </c>
      <c r="I308" s="493" t="s">
        <v>1185</v>
      </c>
      <c r="J308" s="288"/>
      <c r="K308" s="483"/>
      <c r="L308" s="288" t="s">
        <v>1191</v>
      </c>
      <c r="M308" s="497" t="s">
        <v>1193</v>
      </c>
      <c r="N308" s="288"/>
    </row>
    <row r="312" spans="1:14" ht="15" customHeight="1"/>
    <row r="331" spans="1:14">
      <c r="A331" s="1318" t="s">
        <v>374</v>
      </c>
      <c r="B331" s="1319" t="s">
        <v>375</v>
      </c>
      <c r="C331" s="1324" t="s">
        <v>69</v>
      </c>
      <c r="D331" s="1324"/>
      <c r="E331" s="1324"/>
      <c r="F331" s="1324"/>
      <c r="G331" s="1324"/>
      <c r="H331" s="1324"/>
      <c r="I331" s="1318" t="s">
        <v>379</v>
      </c>
      <c r="J331" s="1318" t="s">
        <v>376</v>
      </c>
      <c r="K331" s="1318" t="s">
        <v>377</v>
      </c>
      <c r="L331" s="526"/>
      <c r="M331" s="1321" t="s">
        <v>373</v>
      </c>
      <c r="N331" s="1318" t="s">
        <v>378</v>
      </c>
    </row>
    <row r="332" spans="1:14" s="481" customFormat="1" ht="39.75" customHeight="1">
      <c r="A332" s="1318"/>
      <c r="B332" s="1319"/>
      <c r="C332" s="491"/>
      <c r="D332" s="491"/>
      <c r="E332" s="491"/>
      <c r="F332" s="491"/>
      <c r="G332" s="491"/>
      <c r="H332" s="491"/>
      <c r="I332" s="1318"/>
      <c r="J332" s="1318"/>
      <c r="K332" s="1318"/>
      <c r="L332" s="526"/>
      <c r="M332" s="1321"/>
      <c r="N332" s="1318"/>
    </row>
    <row r="333" spans="1:14" s="548" customFormat="1" ht="63">
      <c r="A333" s="547" t="s">
        <v>18</v>
      </c>
      <c r="B333" s="956" t="s">
        <v>570</v>
      </c>
      <c r="C333" s="540" t="s">
        <v>388</v>
      </c>
      <c r="D333" s="540"/>
      <c r="E333" s="540"/>
      <c r="F333" s="540"/>
      <c r="G333" s="540"/>
      <c r="H333" s="540"/>
      <c r="I333" s="295"/>
      <c r="J333" s="295"/>
      <c r="K333" s="295"/>
      <c r="L333" s="546" t="s">
        <v>572</v>
      </c>
      <c r="M333" s="951" t="s">
        <v>571</v>
      </c>
      <c r="N333" s="1154" t="s">
        <v>681</v>
      </c>
    </row>
    <row r="334" spans="1:14" s="548" customFormat="1" ht="76.5" customHeight="1">
      <c r="A334" s="1153"/>
      <c r="B334" s="956" t="s">
        <v>1484</v>
      </c>
      <c r="C334" s="540" t="s">
        <v>512</v>
      </c>
      <c r="D334" s="540"/>
      <c r="E334" s="540"/>
      <c r="F334" s="540"/>
      <c r="G334" s="540"/>
      <c r="H334" s="540"/>
      <c r="I334" s="295"/>
      <c r="J334" s="295"/>
      <c r="K334" s="295"/>
      <c r="L334" s="295"/>
      <c r="M334" s="295" t="s">
        <v>1485</v>
      </c>
      <c r="N334" s="1154"/>
    </row>
    <row r="335" spans="1:14">
      <c r="A335" s="502"/>
      <c r="B335" s="513"/>
      <c r="C335" s="503"/>
      <c r="D335" s="503"/>
      <c r="E335" s="503"/>
      <c r="F335" s="503"/>
      <c r="G335" s="516"/>
      <c r="H335" s="503"/>
      <c r="I335" s="504"/>
      <c r="J335" s="504"/>
      <c r="K335" s="504"/>
      <c r="L335" s="288"/>
      <c r="M335" s="513"/>
      <c r="N335" s="504"/>
    </row>
    <row r="336" spans="1:14">
      <c r="A336" s="1318" t="s">
        <v>374</v>
      </c>
      <c r="B336" s="1319" t="s">
        <v>375</v>
      </c>
      <c r="C336" s="1322" t="s">
        <v>68</v>
      </c>
      <c r="D336" s="1322"/>
      <c r="E336" s="1322"/>
      <c r="F336" s="1322"/>
      <c r="G336" s="1322"/>
      <c r="H336" s="1322"/>
      <c r="I336" s="1318" t="s">
        <v>379</v>
      </c>
      <c r="J336" s="1318" t="s">
        <v>376</v>
      </c>
      <c r="K336" s="1318" t="s">
        <v>377</v>
      </c>
      <c r="L336" s="526"/>
      <c r="M336" s="1321" t="s">
        <v>373</v>
      </c>
      <c r="N336" s="1318" t="s">
        <v>378</v>
      </c>
    </row>
    <row r="337" spans="1:14" s="481" customFormat="1" ht="39.75" customHeight="1">
      <c r="A337" s="1318"/>
      <c r="B337" s="1319"/>
      <c r="C337" s="499"/>
      <c r="D337" s="499"/>
      <c r="E337" s="499"/>
      <c r="F337" s="499"/>
      <c r="G337" s="499"/>
      <c r="H337" s="499"/>
      <c r="I337" s="1318"/>
      <c r="J337" s="1318"/>
      <c r="K337" s="1318"/>
      <c r="L337" s="526"/>
      <c r="M337" s="1321"/>
      <c r="N337" s="1318"/>
    </row>
    <row r="338" spans="1:14" ht="111.75" customHeight="1">
      <c r="A338" s="619" t="s">
        <v>18</v>
      </c>
      <c r="B338" s="497" t="s">
        <v>515</v>
      </c>
      <c r="C338" s="509" t="s">
        <v>388</v>
      </c>
      <c r="D338" s="487"/>
      <c r="E338" s="486"/>
      <c r="F338" s="486"/>
      <c r="G338" s="487"/>
      <c r="H338" s="486"/>
      <c r="I338" s="498"/>
      <c r="J338" s="288"/>
      <c r="K338" s="511"/>
      <c r="L338" s="288" t="s">
        <v>573</v>
      </c>
      <c r="M338" s="513" t="s">
        <v>390</v>
      </c>
      <c r="N338" s="296" t="s">
        <v>535</v>
      </c>
    </row>
    <row r="339" spans="1:14" ht="111" customHeight="1">
      <c r="A339" s="619"/>
      <c r="B339" s="497" t="s">
        <v>391</v>
      </c>
      <c r="C339" s="486"/>
      <c r="D339" s="509" t="s">
        <v>388</v>
      </c>
      <c r="E339" s="486"/>
      <c r="F339" s="486"/>
      <c r="G339" s="487"/>
      <c r="H339" s="486"/>
      <c r="I339" s="484"/>
      <c r="J339" s="288"/>
      <c r="K339" s="512"/>
      <c r="L339" s="288" t="s">
        <v>574</v>
      </c>
      <c r="M339" s="513" t="s">
        <v>390</v>
      </c>
      <c r="N339" s="531" t="s">
        <v>535</v>
      </c>
    </row>
    <row r="340" spans="1:14" ht="111" customHeight="1">
      <c r="A340" s="619"/>
      <c r="B340" s="497" t="s">
        <v>477</v>
      </c>
      <c r="C340" s="486"/>
      <c r="D340" s="487"/>
      <c r="E340" s="486"/>
      <c r="F340" s="486"/>
      <c r="G340" s="487"/>
      <c r="H340" s="486"/>
      <c r="I340" s="511"/>
      <c r="J340" s="288"/>
      <c r="K340" s="296"/>
      <c r="L340" s="288"/>
      <c r="M340" s="513"/>
      <c r="N340" s="531"/>
    </row>
    <row r="341" spans="1:14" ht="111" customHeight="1">
      <c r="A341" s="619"/>
      <c r="B341" s="497" t="s">
        <v>478</v>
      </c>
      <c r="C341" s="486"/>
      <c r="D341" s="487"/>
      <c r="E341" s="486"/>
      <c r="F341" s="486"/>
      <c r="G341" s="487"/>
      <c r="H341" s="486"/>
      <c r="I341" s="484"/>
      <c r="J341" s="288"/>
      <c r="K341" s="512"/>
      <c r="L341" s="288"/>
      <c r="M341" s="513"/>
      <c r="N341" s="296"/>
    </row>
    <row r="342" spans="1:14" s="481" customFormat="1" ht="111" customHeight="1">
      <c r="A342" s="620"/>
      <c r="B342" s="958"/>
      <c r="C342" s="621"/>
      <c r="D342" s="622"/>
      <c r="E342" s="622"/>
      <c r="F342" s="622"/>
      <c r="G342" s="622"/>
      <c r="H342" s="622"/>
      <c r="I342" s="623"/>
      <c r="J342" s="623"/>
      <c r="K342" s="623"/>
      <c r="L342" s="623"/>
      <c r="M342" s="953"/>
      <c r="N342" s="623"/>
    </row>
    <row r="343" spans="1:14" ht="111" customHeight="1">
      <c r="G343" s="528"/>
      <c r="L343" s="488"/>
      <c r="M343" s="527"/>
    </row>
    <row r="344" spans="1:14">
      <c r="A344" s="1318" t="s">
        <v>374</v>
      </c>
      <c r="B344" s="1319" t="s">
        <v>375</v>
      </c>
      <c r="C344" s="1323" t="s">
        <v>392</v>
      </c>
      <c r="D344" s="1323"/>
      <c r="E344" s="1323"/>
      <c r="F344" s="1323"/>
      <c r="G344" s="1323"/>
      <c r="H344" s="1323"/>
      <c r="I344" s="1318" t="s">
        <v>379</v>
      </c>
      <c r="J344" s="1318" t="s">
        <v>376</v>
      </c>
      <c r="K344" s="1318" t="s">
        <v>377</v>
      </c>
      <c r="L344" s="526"/>
      <c r="M344" s="1321" t="s">
        <v>373</v>
      </c>
      <c r="N344" s="1318" t="s">
        <v>378</v>
      </c>
    </row>
    <row r="345" spans="1:14" s="481" customFormat="1" ht="39.75" customHeight="1">
      <c r="A345" s="1318"/>
      <c r="B345" s="1319"/>
      <c r="C345" s="500"/>
      <c r="D345" s="500"/>
      <c r="E345" s="500"/>
      <c r="F345" s="500"/>
      <c r="G345" s="500"/>
      <c r="H345" s="500"/>
      <c r="I345" s="1318"/>
      <c r="J345" s="1318"/>
      <c r="K345" s="1318"/>
      <c r="L345" s="526"/>
      <c r="M345" s="1321"/>
      <c r="N345" s="1318"/>
    </row>
    <row r="346" spans="1:14" s="481" customFormat="1" ht="111" customHeight="1">
      <c r="A346" s="620" t="s">
        <v>18</v>
      </c>
      <c r="B346" s="497" t="s">
        <v>575</v>
      </c>
      <c r="C346" s="509" t="s">
        <v>388</v>
      </c>
      <c r="D346" s="487"/>
      <c r="E346" s="486"/>
      <c r="F346" s="486"/>
      <c r="G346" s="487"/>
      <c r="H346" s="486"/>
      <c r="I346" s="498"/>
      <c r="J346" s="288"/>
      <c r="K346" s="288"/>
      <c r="L346" s="288" t="s">
        <v>576</v>
      </c>
      <c r="M346" s="513" t="s">
        <v>394</v>
      </c>
      <c r="N346" s="296"/>
    </row>
    <row r="347" spans="1:14" s="481" customFormat="1" ht="111" customHeight="1">
      <c r="A347" s="620"/>
      <c r="B347" s="497" t="s">
        <v>480</v>
      </c>
      <c r="C347" s="486"/>
      <c r="D347" s="509" t="s">
        <v>388</v>
      </c>
      <c r="E347" s="486"/>
      <c r="F347" s="486"/>
      <c r="G347" s="487"/>
      <c r="H347" s="486"/>
      <c r="I347" s="498" t="s">
        <v>395</v>
      </c>
      <c r="J347" s="288"/>
      <c r="K347" s="288"/>
      <c r="L347" s="288" t="s">
        <v>577</v>
      </c>
      <c r="M347" s="513" t="s">
        <v>394</v>
      </c>
      <c r="N347" s="296" t="s">
        <v>535</v>
      </c>
    </row>
    <row r="352" spans="1:14">
      <c r="A352" s="1318" t="s">
        <v>374</v>
      </c>
      <c r="B352" s="1319" t="s">
        <v>375</v>
      </c>
      <c r="C352" s="1320" t="s">
        <v>99</v>
      </c>
      <c r="D352" s="1320"/>
      <c r="E352" s="1320"/>
      <c r="F352" s="1320"/>
      <c r="G352" s="1320"/>
      <c r="H352" s="1320"/>
      <c r="I352" s="1318" t="s">
        <v>379</v>
      </c>
      <c r="J352" s="1318" t="s">
        <v>376</v>
      </c>
      <c r="K352" s="1318" t="s">
        <v>377</v>
      </c>
      <c r="L352" s="526"/>
      <c r="M352" s="1321" t="s">
        <v>373</v>
      </c>
      <c r="N352" s="1318" t="s">
        <v>378</v>
      </c>
    </row>
    <row r="353" spans="1:14" s="481" customFormat="1" ht="40.5" customHeight="1">
      <c r="A353" s="1318"/>
      <c r="B353" s="1319"/>
      <c r="C353" s="501"/>
      <c r="D353" s="501"/>
      <c r="E353" s="501"/>
      <c r="F353" s="501"/>
      <c r="G353" s="501"/>
      <c r="H353" s="501"/>
      <c r="I353" s="1318"/>
      <c r="J353" s="1318"/>
      <c r="K353" s="1318"/>
      <c r="L353" s="526"/>
      <c r="M353" s="1321"/>
      <c r="N353" s="1318"/>
    </row>
    <row r="354" spans="1:14" s="482" customFormat="1" ht="217.5" customHeight="1">
      <c r="A354" s="624" t="s">
        <v>18</v>
      </c>
      <c r="B354" s="497" t="s">
        <v>578</v>
      </c>
      <c r="C354" s="509" t="s">
        <v>388</v>
      </c>
      <c r="D354" s="487"/>
      <c r="E354" s="486"/>
      <c r="F354" s="486"/>
      <c r="G354" s="487"/>
      <c r="H354" s="486"/>
      <c r="I354" s="288"/>
      <c r="J354" s="288"/>
      <c r="K354" s="288"/>
      <c r="L354" s="288" t="s">
        <v>579</v>
      </c>
      <c r="M354" s="513" t="s">
        <v>390</v>
      </c>
      <c r="N354" s="296" t="s">
        <v>889</v>
      </c>
    </row>
    <row r="355" spans="1:14" s="482" customFormat="1" ht="111" customHeight="1">
      <c r="A355" s="624"/>
      <c r="B355" s="497" t="s">
        <v>483</v>
      </c>
      <c r="C355" s="509" t="s">
        <v>388</v>
      </c>
      <c r="D355" s="487"/>
      <c r="E355" s="486"/>
      <c r="F355" s="486"/>
      <c r="G355" s="487"/>
      <c r="H355" s="486"/>
      <c r="I355" s="498" t="s">
        <v>484</v>
      </c>
      <c r="J355" s="288"/>
      <c r="K355" s="288"/>
      <c r="L355" s="288" t="s">
        <v>580</v>
      </c>
      <c r="M355" s="513" t="s">
        <v>436</v>
      </c>
      <c r="N355" s="296"/>
    </row>
    <row r="356" spans="1:14" s="482" customFormat="1" ht="194.25" customHeight="1">
      <c r="A356" s="624"/>
      <c r="B356" s="497" t="s">
        <v>706</v>
      </c>
      <c r="C356" s="509"/>
      <c r="D356" s="487"/>
      <c r="E356" s="486"/>
      <c r="F356" s="486"/>
      <c r="G356" s="487"/>
      <c r="H356" s="486"/>
      <c r="I356" s="498"/>
      <c r="J356" s="288"/>
      <c r="K356" s="288"/>
      <c r="L356" s="288" t="s">
        <v>1199</v>
      </c>
      <c r="M356" s="513" t="s">
        <v>582</v>
      </c>
      <c r="N356" s="689" t="s">
        <v>681</v>
      </c>
    </row>
    <row r="357" spans="1:14" s="482" customFormat="1" ht="194.25" customHeight="1">
      <c r="A357" s="624"/>
      <c r="B357" s="497" t="s">
        <v>893</v>
      </c>
      <c r="C357" s="509"/>
      <c r="D357" s="487"/>
      <c r="E357" s="486"/>
      <c r="F357" s="486"/>
      <c r="G357" s="487"/>
      <c r="H357" s="486"/>
      <c r="I357" s="498"/>
      <c r="J357" s="288"/>
      <c r="K357" s="288"/>
      <c r="L357" s="288"/>
      <c r="M357" s="513"/>
      <c r="N357" s="689"/>
    </row>
    <row r="358" spans="1:14" s="482" customFormat="1" ht="194.25" customHeight="1">
      <c r="A358" s="624"/>
      <c r="B358" s="497" t="s">
        <v>1212</v>
      </c>
      <c r="C358" s="509"/>
      <c r="D358" s="487"/>
      <c r="E358" s="486"/>
      <c r="F358" s="486"/>
      <c r="G358" s="487"/>
      <c r="H358" s="486"/>
      <c r="I358" s="498"/>
      <c r="J358" s="288"/>
      <c r="K358" s="288"/>
      <c r="L358" s="288" t="s">
        <v>1214</v>
      </c>
      <c r="M358" s="513" t="s">
        <v>1213</v>
      </c>
      <c r="N358" s="689"/>
    </row>
    <row r="359" spans="1:14" s="482" customFormat="1" ht="226.5" customHeight="1">
      <c r="A359" s="624"/>
      <c r="B359" s="497" t="s">
        <v>1209</v>
      </c>
      <c r="C359" s="509" t="s">
        <v>388</v>
      </c>
      <c r="D359" s="487"/>
      <c r="E359" s="486"/>
      <c r="F359" s="486"/>
      <c r="G359" s="487"/>
      <c r="H359" s="486"/>
      <c r="I359" s="498"/>
      <c r="J359" s="288"/>
      <c r="K359" s="288"/>
      <c r="L359" s="288" t="s">
        <v>1211</v>
      </c>
      <c r="M359" s="513" t="s">
        <v>1210</v>
      </c>
      <c r="N359" s="689"/>
    </row>
    <row r="360" spans="1:14" s="482" customFormat="1" ht="111" customHeight="1">
      <c r="A360" s="624"/>
      <c r="B360" s="497" t="s">
        <v>486</v>
      </c>
      <c r="C360" s="486"/>
      <c r="D360" s="487"/>
      <c r="E360" s="509" t="s">
        <v>388</v>
      </c>
      <c r="F360" s="486"/>
      <c r="G360" s="487"/>
      <c r="H360" s="486"/>
      <c r="I360" s="498" t="s">
        <v>404</v>
      </c>
      <c r="J360" s="288"/>
      <c r="K360" s="288"/>
      <c r="L360" s="288" t="s">
        <v>581</v>
      </c>
      <c r="M360" s="513" t="s">
        <v>436</v>
      </c>
      <c r="N360" s="296"/>
    </row>
    <row r="361" spans="1:14" s="482" customFormat="1" ht="111" customHeight="1">
      <c r="A361" s="624"/>
      <c r="B361" s="497" t="s">
        <v>506</v>
      </c>
      <c r="C361" s="486"/>
      <c r="D361" s="487"/>
      <c r="E361" s="486"/>
      <c r="F361" s="509" t="s">
        <v>388</v>
      </c>
      <c r="G361" s="487"/>
      <c r="H361" s="486"/>
      <c r="I361" s="498" t="s">
        <v>406</v>
      </c>
      <c r="J361" s="288"/>
      <c r="K361" s="511" t="s">
        <v>400</v>
      </c>
      <c r="L361" s="288" t="s">
        <v>531</v>
      </c>
      <c r="M361" s="513" t="s">
        <v>525</v>
      </c>
      <c r="N361" s="296"/>
    </row>
    <row r="362" spans="1:14" s="482" customFormat="1" ht="299.25">
      <c r="A362" s="624"/>
      <c r="B362" s="497" t="s">
        <v>487</v>
      </c>
      <c r="C362" s="486"/>
      <c r="D362" s="487"/>
      <c r="E362" s="486"/>
      <c r="F362" s="509"/>
      <c r="G362" s="509" t="s">
        <v>388</v>
      </c>
      <c r="H362" s="486"/>
      <c r="I362" s="498"/>
      <c r="J362" s="288"/>
      <c r="K362" s="511"/>
      <c r="L362" s="288" t="s">
        <v>532</v>
      </c>
      <c r="M362" s="513" t="s">
        <v>488</v>
      </c>
      <c r="N362" s="296"/>
    </row>
    <row r="363" spans="1:14" ht="111" customHeight="1">
      <c r="A363" s="625"/>
      <c r="B363" s="497" t="s">
        <v>491</v>
      </c>
      <c r="C363" s="503"/>
      <c r="D363" s="503"/>
      <c r="E363" s="503"/>
      <c r="F363" s="503"/>
      <c r="G363" s="509" t="s">
        <v>388</v>
      </c>
      <c r="H363" s="503"/>
      <c r="I363" s="504"/>
      <c r="J363" s="504"/>
      <c r="K363" s="504"/>
      <c r="L363" s="288" t="s">
        <v>526</v>
      </c>
      <c r="M363" s="513" t="s">
        <v>490</v>
      </c>
      <c r="N363" s="504"/>
    </row>
    <row r="365" spans="1:14" ht="15.75" customHeight="1">
      <c r="A365" s="1318" t="s">
        <v>374</v>
      </c>
      <c r="B365" s="1333" t="s">
        <v>375</v>
      </c>
      <c r="C365" s="1334" t="s">
        <v>356</v>
      </c>
      <c r="D365" s="1334"/>
      <c r="E365" s="1334"/>
      <c r="F365" s="1334"/>
      <c r="G365" s="1334"/>
      <c r="H365" s="1334"/>
      <c r="I365" s="1318" t="s">
        <v>379</v>
      </c>
      <c r="J365" s="1318" t="s">
        <v>376</v>
      </c>
      <c r="K365" s="1318" t="s">
        <v>377</v>
      </c>
      <c r="L365" s="526"/>
      <c r="M365" s="1321" t="s">
        <v>373</v>
      </c>
      <c r="N365" s="1318" t="s">
        <v>378</v>
      </c>
    </row>
    <row r="366" spans="1:14" ht="40.5" customHeight="1">
      <c r="A366" s="1318"/>
      <c r="B366" s="1319"/>
      <c r="C366" s="549"/>
      <c r="D366" s="549"/>
      <c r="E366" s="549"/>
      <c r="F366" s="549"/>
      <c r="G366" s="549"/>
      <c r="H366" s="549"/>
      <c r="I366" s="1318"/>
      <c r="J366" s="1318"/>
      <c r="K366" s="1318"/>
      <c r="L366" s="526"/>
      <c r="M366" s="1321"/>
      <c r="N366" s="1318"/>
    </row>
    <row r="367" spans="1:14" ht="111" customHeight="1">
      <c r="A367" s="625" t="s">
        <v>249</v>
      </c>
      <c r="B367" s="497" t="s">
        <v>583</v>
      </c>
      <c r="C367" s="503" t="s">
        <v>388</v>
      </c>
      <c r="D367" s="503"/>
      <c r="E367" s="503"/>
      <c r="F367" s="503"/>
      <c r="G367" s="503"/>
      <c r="H367" s="503"/>
      <c r="I367" s="504"/>
      <c r="J367" s="288"/>
      <c r="K367" s="288"/>
      <c r="L367" s="288" t="s">
        <v>584</v>
      </c>
      <c r="M367" s="513" t="s">
        <v>457</v>
      </c>
      <c r="N367" s="962" t="s">
        <v>889</v>
      </c>
    </row>
    <row r="368" spans="1:14" s="482" customFormat="1" ht="111" customHeight="1">
      <c r="A368" s="624"/>
      <c r="B368" s="497" t="s">
        <v>1148</v>
      </c>
      <c r="C368" s="509" t="s">
        <v>388</v>
      </c>
      <c r="D368" s="487"/>
      <c r="E368" s="486"/>
      <c r="F368" s="486"/>
      <c r="G368" s="486"/>
      <c r="H368" s="486"/>
      <c r="I368" s="498"/>
      <c r="J368" s="288"/>
      <c r="K368" s="288"/>
      <c r="L368" s="288"/>
      <c r="M368" s="513"/>
    </row>
    <row r="369" spans="1:14" ht="111" customHeight="1">
      <c r="A369" s="625"/>
      <c r="B369" s="497" t="s">
        <v>688</v>
      </c>
      <c r="C369" s="503"/>
      <c r="D369" s="503"/>
      <c r="E369" s="503"/>
      <c r="F369" s="503"/>
      <c r="G369" s="503"/>
      <c r="H369" s="503"/>
      <c r="I369" s="504"/>
      <c r="J369" s="288"/>
      <c r="K369" s="288"/>
      <c r="L369" s="288" t="s">
        <v>689</v>
      </c>
      <c r="M369" s="497" t="s">
        <v>451</v>
      </c>
      <c r="N369" s="482"/>
    </row>
    <row r="370" spans="1:14" s="482" customFormat="1" ht="200.25" customHeight="1">
      <c r="A370" s="619"/>
      <c r="B370" s="497" t="s">
        <v>1184</v>
      </c>
      <c r="C370" s="509" t="s">
        <v>388</v>
      </c>
      <c r="D370" s="487"/>
      <c r="E370" s="486"/>
      <c r="F370" s="486"/>
      <c r="G370" s="487"/>
      <c r="H370" s="486" t="s">
        <v>388</v>
      </c>
      <c r="I370" s="493" t="s">
        <v>1187</v>
      </c>
      <c r="J370" s="288"/>
      <c r="K370" s="484"/>
      <c r="L370" s="288" t="s">
        <v>1192</v>
      </c>
      <c r="M370" s="497" t="s">
        <v>1188</v>
      </c>
      <c r="N370" s="972" t="s">
        <v>681</v>
      </c>
    </row>
    <row r="371" spans="1:14" s="482" customFormat="1" ht="111" customHeight="1">
      <c r="A371" s="624"/>
      <c r="B371" s="497" t="s">
        <v>495</v>
      </c>
      <c r="C371" s="516"/>
      <c r="D371" s="296" t="s">
        <v>388</v>
      </c>
      <c r="E371" s="296"/>
      <c r="F371" s="296"/>
      <c r="G371" s="296"/>
      <c r="H371" s="296"/>
      <c r="I371" s="498"/>
      <c r="J371" s="288"/>
      <c r="K371" s="288"/>
      <c r="L371" s="288" t="s">
        <v>1266</v>
      </c>
      <c r="M371" s="513" t="s">
        <v>494</v>
      </c>
      <c r="N371" s="972" t="s">
        <v>681</v>
      </c>
    </row>
    <row r="372" spans="1:14" s="482" customFormat="1" ht="124.5" customHeight="1">
      <c r="A372" s="624"/>
      <c r="B372" s="497" t="s">
        <v>496</v>
      </c>
      <c r="C372" s="486"/>
      <c r="D372" s="487"/>
      <c r="E372" s="486" t="s">
        <v>388</v>
      </c>
      <c r="F372" s="509"/>
      <c r="G372" s="509"/>
      <c r="H372" s="486"/>
      <c r="I372" s="498"/>
      <c r="J372" s="288"/>
      <c r="K372" s="511"/>
      <c r="L372" s="288" t="s">
        <v>1267</v>
      </c>
      <c r="M372" s="513" t="s">
        <v>497</v>
      </c>
      <c r="N372" s="972" t="s">
        <v>681</v>
      </c>
    </row>
    <row r="377" spans="1:14" ht="25.5" customHeight="1">
      <c r="A377" s="1318" t="s">
        <v>374</v>
      </c>
      <c r="B377" s="1329" t="s">
        <v>375</v>
      </c>
      <c r="C377" s="1330" t="s">
        <v>192</v>
      </c>
      <c r="D377" s="1330"/>
      <c r="E377" s="1330"/>
      <c r="F377" s="1330"/>
      <c r="G377" s="1330"/>
      <c r="H377" s="1330"/>
      <c r="I377" s="1318" t="s">
        <v>379</v>
      </c>
      <c r="J377" s="1318" t="s">
        <v>376</v>
      </c>
      <c r="K377" s="1318" t="s">
        <v>377</v>
      </c>
      <c r="L377" s="526" t="s">
        <v>276</v>
      </c>
      <c r="M377" s="1321" t="s">
        <v>373</v>
      </c>
      <c r="N377" s="1318" t="s">
        <v>378</v>
      </c>
    </row>
    <row r="378" spans="1:14" s="481" customFormat="1" ht="39.950000000000003" customHeight="1">
      <c r="A378" s="1318"/>
      <c r="B378" s="1329"/>
      <c r="C378" s="538" t="s">
        <v>24</v>
      </c>
      <c r="D378" s="539"/>
      <c r="E378" s="539"/>
      <c r="F378" s="539"/>
      <c r="G378" s="539"/>
      <c r="H378" s="539"/>
      <c r="I378" s="1318"/>
      <c r="J378" s="1318"/>
      <c r="K378" s="1318"/>
      <c r="L378" s="526"/>
      <c r="M378" s="1321"/>
      <c r="N378" s="1318"/>
    </row>
    <row r="379" spans="1:14" ht="90" customHeight="1">
      <c r="A379" s="553" t="s">
        <v>250</v>
      </c>
      <c r="B379" s="513" t="s">
        <v>598</v>
      </c>
      <c r="C379" s="503"/>
      <c r="D379" s="503"/>
      <c r="E379" s="503"/>
      <c r="F379" s="503"/>
      <c r="G379" s="503"/>
      <c r="H379" s="503"/>
      <c r="I379" s="504"/>
      <c r="J379" s="504"/>
      <c r="K379" s="504"/>
      <c r="L379" s="504"/>
      <c r="M379" s="513" t="s">
        <v>589</v>
      </c>
      <c r="N379" s="504"/>
    </row>
    <row r="380" spans="1:14" ht="63.75">
      <c r="A380" s="553"/>
      <c r="B380" s="513" t="s">
        <v>690</v>
      </c>
      <c r="C380" s="503"/>
      <c r="D380" s="503"/>
      <c r="E380" s="503"/>
      <c r="F380" s="503"/>
      <c r="G380" s="503"/>
      <c r="H380" s="503" t="s">
        <v>388</v>
      </c>
      <c r="I380" s="504"/>
      <c r="J380" s="504"/>
      <c r="K380" s="504"/>
      <c r="L380" s="673" t="s">
        <v>693</v>
      </c>
      <c r="M380" s="513" t="s">
        <v>691</v>
      </c>
      <c r="N380" s="504"/>
    </row>
    <row r="381" spans="1:14" s="482" customFormat="1" ht="111" customHeight="1">
      <c r="A381" s="553"/>
      <c r="B381" s="513" t="s">
        <v>732</v>
      </c>
      <c r="C381" s="516"/>
      <c r="D381" s="296"/>
      <c r="E381" s="296"/>
      <c r="F381" s="296"/>
      <c r="G381" s="296"/>
      <c r="H381" s="296" t="s">
        <v>388</v>
      </c>
      <c r="I381" s="498"/>
      <c r="J381" s="288"/>
      <c r="K381" s="296"/>
      <c r="L381" s="288" t="s">
        <v>733</v>
      </c>
      <c r="M381" s="513" t="s">
        <v>734</v>
      </c>
      <c r="N381" s="296" t="s">
        <v>687</v>
      </c>
    </row>
    <row r="382" spans="1:14" ht="47.25">
      <c r="A382" s="553"/>
      <c r="B382" s="513" t="s">
        <v>692</v>
      </c>
      <c r="C382" s="503"/>
      <c r="D382" s="503"/>
      <c r="E382" s="503"/>
      <c r="F382" s="503"/>
      <c r="G382" s="503"/>
      <c r="H382" s="503" t="s">
        <v>388</v>
      </c>
      <c r="I382" s="504"/>
      <c r="J382" s="504"/>
      <c r="K382" s="504"/>
      <c r="L382" s="554" t="s">
        <v>694</v>
      </c>
      <c r="M382" s="513" t="s">
        <v>569</v>
      </c>
      <c r="N382" s="504"/>
    </row>
    <row r="383" spans="1:14" s="482" customFormat="1" ht="111" customHeight="1">
      <c r="A383" s="553"/>
      <c r="B383" s="497" t="s">
        <v>748</v>
      </c>
      <c r="C383" s="509"/>
      <c r="D383" s="487"/>
      <c r="E383" s="486"/>
      <c r="F383" s="486"/>
      <c r="G383" s="487"/>
      <c r="H383" s="486"/>
      <c r="I383" s="493"/>
      <c r="J383" s="288"/>
      <c r="K383" s="483"/>
      <c r="L383" s="288" t="s">
        <v>751</v>
      </c>
      <c r="M383" s="497" t="s">
        <v>750</v>
      </c>
      <c r="N383" s="296"/>
    </row>
    <row r="385" spans="1:14">
      <c r="A385" s="1318" t="s">
        <v>374</v>
      </c>
      <c r="B385" s="1319" t="s">
        <v>375</v>
      </c>
      <c r="C385" s="1324" t="s">
        <v>69</v>
      </c>
      <c r="D385" s="1324"/>
      <c r="E385" s="1324"/>
      <c r="F385" s="1324"/>
      <c r="G385" s="1324"/>
      <c r="H385" s="1324"/>
      <c r="I385" s="1318" t="s">
        <v>379</v>
      </c>
      <c r="J385" s="1318" t="s">
        <v>376</v>
      </c>
      <c r="K385" s="1318" t="s">
        <v>377</v>
      </c>
      <c r="L385" s="526"/>
      <c r="M385" s="1321" t="s">
        <v>373</v>
      </c>
      <c r="N385" s="1318" t="s">
        <v>378</v>
      </c>
    </row>
    <row r="386" spans="1:14" s="481" customFormat="1" ht="39.75" customHeight="1">
      <c r="A386" s="1318"/>
      <c r="B386" s="1319"/>
      <c r="C386" s="491"/>
      <c r="D386" s="491"/>
      <c r="E386" s="491"/>
      <c r="F386" s="491"/>
      <c r="G386" s="491"/>
      <c r="H386" s="491"/>
      <c r="I386" s="1318"/>
      <c r="J386" s="1318"/>
      <c r="K386" s="1318"/>
      <c r="L386" s="526"/>
      <c r="M386" s="1321"/>
      <c r="N386" s="1318"/>
    </row>
    <row r="387" spans="1:14">
      <c r="A387" s="553" t="s">
        <v>250</v>
      </c>
      <c r="B387" s="513" t="s">
        <v>585</v>
      </c>
      <c r="C387" s="503"/>
      <c r="D387" s="503"/>
      <c r="E387" s="503"/>
      <c r="F387" s="503"/>
      <c r="G387" s="503"/>
      <c r="H387" s="503"/>
      <c r="I387" s="504"/>
      <c r="J387" s="504"/>
      <c r="K387" s="504"/>
      <c r="L387" s="504"/>
      <c r="M387" s="554"/>
      <c r="N387" s="504"/>
    </row>
    <row r="389" spans="1:14">
      <c r="A389" s="1318" t="s">
        <v>374</v>
      </c>
      <c r="B389" s="1319" t="s">
        <v>375</v>
      </c>
      <c r="C389" s="1322" t="s">
        <v>68</v>
      </c>
      <c r="D389" s="1322"/>
      <c r="E389" s="1322"/>
      <c r="F389" s="1322"/>
      <c r="G389" s="1322"/>
      <c r="H389" s="1322"/>
      <c r="I389" s="1318" t="s">
        <v>379</v>
      </c>
      <c r="J389" s="1318" t="s">
        <v>376</v>
      </c>
      <c r="K389" s="1318" t="s">
        <v>377</v>
      </c>
      <c r="L389" s="526"/>
      <c r="M389" s="1321" t="s">
        <v>373</v>
      </c>
      <c r="N389" s="1318" t="s">
        <v>378</v>
      </c>
    </row>
    <row r="390" spans="1:14" s="481" customFormat="1" ht="39.75" customHeight="1">
      <c r="A390" s="1318"/>
      <c r="B390" s="1319"/>
      <c r="C390" s="499"/>
      <c r="D390" s="499"/>
      <c r="E390" s="499"/>
      <c r="F390" s="499"/>
      <c r="G390" s="499"/>
      <c r="H390" s="499"/>
      <c r="I390" s="1318"/>
      <c r="J390" s="1318"/>
      <c r="K390" s="1318"/>
      <c r="L390" s="526"/>
      <c r="M390" s="1321"/>
      <c r="N390" s="1318"/>
    </row>
    <row r="391" spans="1:14">
      <c r="A391" s="553" t="s">
        <v>250</v>
      </c>
      <c r="B391" s="513" t="s">
        <v>585</v>
      </c>
      <c r="C391" s="503"/>
      <c r="D391" s="503"/>
      <c r="E391" s="503"/>
      <c r="F391" s="503"/>
      <c r="G391" s="503"/>
      <c r="H391" s="503"/>
      <c r="I391" s="504"/>
      <c r="J391" s="504"/>
      <c r="K391" s="504"/>
      <c r="L391" s="504"/>
      <c r="M391" s="554"/>
      <c r="N391" s="504"/>
    </row>
    <row r="393" spans="1:14">
      <c r="A393" s="1318" t="s">
        <v>374</v>
      </c>
      <c r="B393" s="1319" t="s">
        <v>375</v>
      </c>
      <c r="C393" s="1323" t="s">
        <v>392</v>
      </c>
      <c r="D393" s="1323"/>
      <c r="E393" s="1323"/>
      <c r="F393" s="1323"/>
      <c r="G393" s="1323"/>
      <c r="H393" s="1323"/>
      <c r="I393" s="1318" t="s">
        <v>379</v>
      </c>
      <c r="J393" s="1318" t="s">
        <v>376</v>
      </c>
      <c r="K393" s="1318" t="s">
        <v>377</v>
      </c>
      <c r="L393" s="526"/>
      <c r="M393" s="1321" t="s">
        <v>373</v>
      </c>
      <c r="N393" s="1318" t="s">
        <v>378</v>
      </c>
    </row>
    <row r="394" spans="1:14" s="481" customFormat="1" ht="39.75" customHeight="1">
      <c r="A394" s="1318"/>
      <c r="B394" s="1319"/>
      <c r="C394" s="500"/>
      <c r="D394" s="500"/>
      <c r="E394" s="500"/>
      <c r="F394" s="500"/>
      <c r="G394" s="500"/>
      <c r="H394" s="500"/>
      <c r="I394" s="1318"/>
      <c r="J394" s="1318"/>
      <c r="K394" s="1318"/>
      <c r="L394" s="526"/>
      <c r="M394" s="1321"/>
      <c r="N394" s="1318"/>
    </row>
    <row r="395" spans="1:14" ht="76.5" customHeight="1">
      <c r="A395" s="626" t="s">
        <v>250</v>
      </c>
      <c r="B395" s="497" t="s">
        <v>586</v>
      </c>
      <c r="C395" s="509" t="s">
        <v>388</v>
      </c>
      <c r="D395" s="487"/>
      <c r="E395" s="486"/>
      <c r="F395" s="486"/>
      <c r="G395" s="487"/>
      <c r="H395" s="486"/>
      <c r="I395" s="498"/>
      <c r="J395" s="288"/>
      <c r="K395" s="288"/>
      <c r="L395" s="288" t="s">
        <v>587</v>
      </c>
      <c r="M395" s="513" t="s">
        <v>394</v>
      </c>
      <c r="N395" s="296"/>
    </row>
    <row r="396" spans="1:14" s="482" customFormat="1" ht="111" customHeight="1">
      <c r="A396" s="626"/>
      <c r="B396" s="497" t="s">
        <v>480</v>
      </c>
      <c r="C396" s="486"/>
      <c r="D396" s="509" t="s">
        <v>388</v>
      </c>
      <c r="E396" s="486"/>
      <c r="F396" s="486"/>
      <c r="G396" s="487"/>
      <c r="H396" s="486"/>
      <c r="I396" s="498" t="s">
        <v>395</v>
      </c>
      <c r="J396" s="288"/>
      <c r="K396" s="288"/>
      <c r="L396" s="288" t="s">
        <v>588</v>
      </c>
      <c r="M396" s="513" t="s">
        <v>394</v>
      </c>
      <c r="N396" s="296" t="s">
        <v>535</v>
      </c>
    </row>
    <row r="398" spans="1:14">
      <c r="A398" s="1318" t="s">
        <v>374</v>
      </c>
      <c r="B398" s="1319" t="s">
        <v>375</v>
      </c>
      <c r="C398" s="1320" t="s">
        <v>99</v>
      </c>
      <c r="D398" s="1320"/>
      <c r="E398" s="1320"/>
      <c r="F398" s="1320"/>
      <c r="G398" s="1320"/>
      <c r="H398" s="1320"/>
      <c r="I398" s="1318" t="s">
        <v>379</v>
      </c>
      <c r="J398" s="1318" t="s">
        <v>376</v>
      </c>
      <c r="K398" s="1318" t="s">
        <v>377</v>
      </c>
      <c r="L398" s="526"/>
      <c r="M398" s="1321" t="s">
        <v>373</v>
      </c>
      <c r="N398" s="1318" t="s">
        <v>378</v>
      </c>
    </row>
    <row r="399" spans="1:14" s="481" customFormat="1" ht="40.5" customHeight="1">
      <c r="A399" s="1318"/>
      <c r="B399" s="1319"/>
      <c r="C399" s="550"/>
      <c r="D399" s="550"/>
      <c r="E399" s="550"/>
      <c r="F399" s="550"/>
      <c r="G399" s="550"/>
      <c r="H399" s="550"/>
      <c r="I399" s="1318"/>
      <c r="J399" s="1318"/>
      <c r="K399" s="1318"/>
      <c r="L399" s="526"/>
      <c r="M399" s="1321"/>
      <c r="N399" s="1318"/>
    </row>
    <row r="400" spans="1:14" ht="153" customHeight="1">
      <c r="A400" s="626" t="s">
        <v>250</v>
      </c>
      <c r="B400" s="497" t="s">
        <v>1008</v>
      </c>
      <c r="C400" s="509" t="s">
        <v>388</v>
      </c>
      <c r="D400" s="503"/>
      <c r="E400" s="503"/>
      <c r="F400" s="503"/>
      <c r="G400" s="503"/>
      <c r="H400" s="503"/>
      <c r="I400" s="504"/>
      <c r="J400" s="288"/>
      <c r="K400" s="288"/>
      <c r="L400" s="288" t="s">
        <v>686</v>
      </c>
      <c r="M400" s="513" t="s">
        <v>569</v>
      </c>
      <c r="N400" s="504"/>
    </row>
    <row r="401" spans="1:14" s="482" customFormat="1" ht="111" customHeight="1">
      <c r="A401" s="627"/>
      <c r="B401" s="959" t="s">
        <v>483</v>
      </c>
      <c r="C401" s="509" t="s">
        <v>388</v>
      </c>
      <c r="D401" s="487"/>
      <c r="E401" s="486"/>
      <c r="F401" s="486"/>
      <c r="G401" s="487"/>
      <c r="H401" s="486"/>
      <c r="I401" s="551" t="s">
        <v>484</v>
      </c>
      <c r="J401" s="552"/>
      <c r="K401" s="552"/>
      <c r="L401" s="552" t="s">
        <v>593</v>
      </c>
      <c r="M401" s="946" t="s">
        <v>436</v>
      </c>
      <c r="N401" s="486" t="s">
        <v>535</v>
      </c>
    </row>
    <row r="402" spans="1:14" s="482" customFormat="1" ht="161.25" customHeight="1">
      <c r="A402" s="627"/>
      <c r="B402" s="497" t="s">
        <v>1009</v>
      </c>
      <c r="C402" s="486"/>
      <c r="D402" s="509" t="s">
        <v>388</v>
      </c>
      <c r="E402" s="486"/>
      <c r="F402" s="486"/>
      <c r="G402" s="487"/>
      <c r="H402" s="486"/>
      <c r="I402" s="498"/>
      <c r="J402" s="288"/>
      <c r="K402" s="288"/>
      <c r="L402" s="288" t="s">
        <v>590</v>
      </c>
      <c r="M402" s="513" t="s">
        <v>589</v>
      </c>
      <c r="N402" s="296"/>
    </row>
    <row r="403" spans="1:14" s="482" customFormat="1" ht="111" customHeight="1">
      <c r="A403" s="627"/>
      <c r="B403" s="497" t="s">
        <v>1014</v>
      </c>
      <c r="C403" s="486"/>
      <c r="D403" s="525" t="s">
        <v>388</v>
      </c>
      <c r="E403" s="486"/>
      <c r="F403" s="486"/>
      <c r="G403" s="487"/>
      <c r="H403" s="486"/>
      <c r="I403" s="498"/>
      <c r="J403" s="288"/>
      <c r="K403" s="288"/>
      <c r="L403" s="288" t="s">
        <v>591</v>
      </c>
      <c r="M403" s="513" t="s">
        <v>592</v>
      </c>
      <c r="N403" s="296"/>
    </row>
    <row r="404" spans="1:14" s="482" customFormat="1" ht="111" customHeight="1">
      <c r="A404" s="627"/>
      <c r="B404" s="497" t="s">
        <v>1010</v>
      </c>
      <c r="C404" s="486"/>
      <c r="D404" s="525" t="s">
        <v>388</v>
      </c>
      <c r="E404" s="486"/>
      <c r="F404" s="486"/>
      <c r="G404" s="487"/>
      <c r="H404" s="486"/>
      <c r="I404" s="498"/>
      <c r="J404" s="288"/>
      <c r="K404" s="288"/>
      <c r="L404" s="288" t="s">
        <v>684</v>
      </c>
      <c r="M404" s="513" t="s">
        <v>740</v>
      </c>
      <c r="N404" s="296"/>
    </row>
    <row r="405" spans="1:14" s="482" customFormat="1" ht="111" customHeight="1">
      <c r="A405" s="627"/>
      <c r="B405" s="497" t="s">
        <v>1012</v>
      </c>
      <c r="C405" s="486"/>
      <c r="D405" s="525"/>
      <c r="E405" s="486"/>
      <c r="F405" s="486"/>
      <c r="G405" s="487"/>
      <c r="H405" s="486"/>
      <c r="I405" s="498"/>
      <c r="J405" s="288"/>
      <c r="K405" s="288"/>
      <c r="L405" s="288"/>
      <c r="M405" s="513" t="s">
        <v>1013</v>
      </c>
      <c r="N405" s="296"/>
    </row>
    <row r="406" spans="1:14" s="482" customFormat="1" ht="111" customHeight="1">
      <c r="A406" s="627"/>
      <c r="B406" s="497" t="s">
        <v>1011</v>
      </c>
      <c r="C406" s="486"/>
      <c r="D406" s="525"/>
      <c r="E406" s="486"/>
      <c r="F406" s="486"/>
      <c r="G406" s="487"/>
      <c r="H406" s="486"/>
      <c r="I406" s="498"/>
      <c r="J406" s="288"/>
      <c r="K406" s="288"/>
      <c r="L406" s="288" t="s">
        <v>738</v>
      </c>
      <c r="M406" s="513" t="s">
        <v>739</v>
      </c>
      <c r="N406" s="535" t="s">
        <v>687</v>
      </c>
    </row>
    <row r="407" spans="1:14" s="482" customFormat="1" ht="111" customHeight="1">
      <c r="A407" s="627"/>
      <c r="B407" s="497" t="s">
        <v>486</v>
      </c>
      <c r="C407" s="486"/>
      <c r="D407" s="487"/>
      <c r="E407" s="509" t="s">
        <v>388</v>
      </c>
      <c r="F407" s="486"/>
      <c r="G407" s="487"/>
      <c r="H407" s="486"/>
      <c r="I407" s="498" t="s">
        <v>404</v>
      </c>
      <c r="J407" s="288"/>
      <c r="K407" s="288"/>
      <c r="L407" s="288" t="s">
        <v>594</v>
      </c>
      <c r="M407" s="513" t="s">
        <v>436</v>
      </c>
      <c r="N407" s="296" t="s">
        <v>535</v>
      </c>
    </row>
    <row r="408" spans="1:14" s="482" customFormat="1" ht="111" customHeight="1">
      <c r="A408" s="627"/>
      <c r="B408" s="497" t="s">
        <v>506</v>
      </c>
      <c r="C408" s="486"/>
      <c r="D408" s="487"/>
      <c r="E408" s="486"/>
      <c r="F408" s="509" t="s">
        <v>388</v>
      </c>
      <c r="G408" s="487"/>
      <c r="H408" s="486"/>
      <c r="I408" s="498" t="s">
        <v>406</v>
      </c>
      <c r="J408" s="288"/>
      <c r="K408" s="511" t="s">
        <v>400</v>
      </c>
      <c r="L408" s="288" t="s">
        <v>595</v>
      </c>
      <c r="M408" s="513" t="s">
        <v>525</v>
      </c>
      <c r="N408" s="296" t="s">
        <v>535</v>
      </c>
    </row>
    <row r="409" spans="1:14" s="482" customFormat="1" ht="299.25">
      <c r="A409" s="627"/>
      <c r="B409" s="497" t="s">
        <v>487</v>
      </c>
      <c r="C409" s="486"/>
      <c r="D409" s="487"/>
      <c r="E409" s="486"/>
      <c r="F409" s="509"/>
      <c r="G409" s="509" t="s">
        <v>388</v>
      </c>
      <c r="H409" s="486"/>
      <c r="I409" s="498"/>
      <c r="J409" s="288"/>
      <c r="K409" s="511"/>
      <c r="L409" s="288" t="s">
        <v>596</v>
      </c>
      <c r="M409" s="513" t="s">
        <v>488</v>
      </c>
      <c r="N409" s="296" t="s">
        <v>535</v>
      </c>
    </row>
    <row r="410" spans="1:14" ht="111" customHeight="1">
      <c r="A410" s="626"/>
      <c r="B410" s="497" t="s">
        <v>491</v>
      </c>
      <c r="C410" s="503"/>
      <c r="D410" s="503"/>
      <c r="E410" s="503"/>
      <c r="F410" s="503"/>
      <c r="G410" s="509" t="s">
        <v>388</v>
      </c>
      <c r="H410" s="503"/>
      <c r="I410" s="504"/>
      <c r="J410" s="504"/>
      <c r="K410" s="504"/>
      <c r="L410" s="288" t="s">
        <v>597</v>
      </c>
      <c r="M410" s="513" t="s">
        <v>490</v>
      </c>
      <c r="N410" s="504" t="s">
        <v>535</v>
      </c>
    </row>
    <row r="412" spans="1:14" ht="15.75" customHeight="1">
      <c r="A412" s="1318" t="s">
        <v>374</v>
      </c>
      <c r="B412" s="1333" t="s">
        <v>375</v>
      </c>
      <c r="C412" s="1334" t="s">
        <v>356</v>
      </c>
      <c r="D412" s="1334"/>
      <c r="E412" s="1334"/>
      <c r="F412" s="1334"/>
      <c r="G412" s="1334"/>
      <c r="H412" s="1334"/>
      <c r="I412" s="1318" t="s">
        <v>379</v>
      </c>
      <c r="J412" s="1318" t="s">
        <v>376</v>
      </c>
      <c r="K412" s="1318" t="s">
        <v>377</v>
      </c>
      <c r="L412" s="526"/>
      <c r="M412" s="1321" t="s">
        <v>373</v>
      </c>
      <c r="N412" s="1318" t="s">
        <v>378</v>
      </c>
    </row>
    <row r="413" spans="1:14" ht="40.5" customHeight="1">
      <c r="A413" s="1327"/>
      <c r="B413" s="1325"/>
      <c r="C413" s="514"/>
      <c r="D413" s="514"/>
      <c r="E413" s="514"/>
      <c r="F413" s="514"/>
      <c r="G413" s="514"/>
      <c r="H413" s="514"/>
      <c r="I413" s="1327"/>
      <c r="J413" s="1327"/>
      <c r="K413" s="1327"/>
      <c r="L413" s="526"/>
      <c r="M413" s="1328"/>
      <c r="N413" s="1327"/>
    </row>
    <row r="414" spans="1:14">
      <c r="A414" s="553" t="s">
        <v>250</v>
      </c>
      <c r="B414" s="513" t="s">
        <v>585</v>
      </c>
      <c r="C414" s="503"/>
      <c r="D414" s="503"/>
      <c r="E414" s="503"/>
      <c r="F414" s="503"/>
      <c r="G414" s="503"/>
      <c r="H414" s="503"/>
      <c r="I414" s="504"/>
      <c r="J414" s="504"/>
      <c r="K414" s="504"/>
      <c r="L414" s="504"/>
      <c r="M414" s="554"/>
      <c r="N414" s="504"/>
    </row>
    <row r="415" spans="1:14" s="482" customFormat="1" ht="111" customHeight="1">
      <c r="A415" s="553"/>
      <c r="B415" s="513" t="s">
        <v>735</v>
      </c>
      <c r="C415" s="516"/>
      <c r="D415" s="296"/>
      <c r="E415" s="296"/>
      <c r="F415" s="296"/>
      <c r="G415" s="296"/>
      <c r="H415" s="296" t="s">
        <v>388</v>
      </c>
      <c r="I415" s="498"/>
      <c r="J415" s="288" t="s">
        <v>736</v>
      </c>
      <c r="K415" s="296"/>
      <c r="L415" s="288" t="s">
        <v>737</v>
      </c>
      <c r="M415" s="513" t="s">
        <v>734</v>
      </c>
      <c r="N415" s="296" t="s">
        <v>687</v>
      </c>
    </row>
    <row r="421" spans="1:14" ht="25.5" customHeight="1">
      <c r="A421" s="1318" t="s">
        <v>374</v>
      </c>
      <c r="B421" s="1329" t="s">
        <v>375</v>
      </c>
      <c r="C421" s="1330" t="s">
        <v>192</v>
      </c>
      <c r="D421" s="1330"/>
      <c r="E421" s="1330"/>
      <c r="F421" s="1330"/>
      <c r="G421" s="1330"/>
      <c r="H421" s="1330"/>
      <c r="I421" s="1318" t="s">
        <v>379</v>
      </c>
      <c r="J421" s="1318" t="s">
        <v>376</v>
      </c>
      <c r="K421" s="1318" t="s">
        <v>377</v>
      </c>
      <c r="L421" s="526" t="s">
        <v>276</v>
      </c>
      <c r="M421" s="1321" t="s">
        <v>373</v>
      </c>
      <c r="N421" s="1318" t="s">
        <v>378</v>
      </c>
    </row>
    <row r="422" spans="1:14" s="481" customFormat="1" ht="39.950000000000003" customHeight="1">
      <c r="A422" s="1318"/>
      <c r="B422" s="1329"/>
      <c r="C422" s="538" t="s">
        <v>24</v>
      </c>
      <c r="D422" s="539"/>
      <c r="E422" s="539"/>
      <c r="F422" s="539"/>
      <c r="G422" s="539"/>
      <c r="H422" s="539"/>
      <c r="I422" s="1318"/>
      <c r="J422" s="1318"/>
      <c r="K422" s="1318"/>
      <c r="L422" s="526"/>
      <c r="M422" s="1321"/>
      <c r="N422" s="1318"/>
    </row>
    <row r="423" spans="1:14" ht="111" customHeight="1">
      <c r="A423" s="628" t="s">
        <v>240</v>
      </c>
      <c r="B423" s="497" t="s">
        <v>600</v>
      </c>
      <c r="C423" s="503" t="s">
        <v>388</v>
      </c>
      <c r="D423" s="503"/>
      <c r="E423" s="503"/>
      <c r="F423" s="503"/>
      <c r="G423" s="503"/>
      <c r="H423" s="503"/>
      <c r="I423" s="288"/>
      <c r="J423" s="288"/>
      <c r="K423" s="288"/>
      <c r="L423" s="288" t="s">
        <v>601</v>
      </c>
      <c r="M423" s="554" t="s">
        <v>602</v>
      </c>
      <c r="N423" s="504"/>
    </row>
    <row r="424" spans="1:14" ht="111" customHeight="1">
      <c r="A424" s="628"/>
      <c r="B424" s="497" t="s">
        <v>603</v>
      </c>
      <c r="C424" s="503" t="s">
        <v>388</v>
      </c>
      <c r="D424" s="503"/>
      <c r="E424" s="503"/>
      <c r="F424" s="503"/>
      <c r="G424" s="503"/>
      <c r="H424" s="503"/>
      <c r="I424" s="288"/>
      <c r="J424" s="288"/>
      <c r="K424" s="288"/>
      <c r="L424" s="288" t="s">
        <v>599</v>
      </c>
      <c r="M424" s="497" t="s">
        <v>604</v>
      </c>
      <c r="N424" s="565" t="s">
        <v>681</v>
      </c>
    </row>
    <row r="425" spans="1:14" ht="111" customHeight="1">
      <c r="A425" s="628"/>
      <c r="B425" s="497" t="s">
        <v>697</v>
      </c>
      <c r="C425" s="503"/>
      <c r="D425" s="503"/>
      <c r="E425" s="503"/>
      <c r="F425" s="503"/>
      <c r="G425" s="503"/>
      <c r="H425" s="503"/>
      <c r="I425" s="288"/>
      <c r="J425" s="288"/>
      <c r="K425" s="288"/>
      <c r="L425" s="288"/>
      <c r="M425" s="497" t="s">
        <v>698</v>
      </c>
      <c r="N425" s="565"/>
    </row>
    <row r="426" spans="1:14" ht="120.75" customHeight="1">
      <c r="A426" s="628"/>
      <c r="B426" s="497" t="s">
        <v>1407</v>
      </c>
      <c r="C426" s="503"/>
      <c r="D426" s="503"/>
      <c r="E426" s="503"/>
      <c r="F426" s="503"/>
      <c r="G426" s="503"/>
      <c r="H426" s="503" t="s">
        <v>512</v>
      </c>
      <c r="I426" s="288"/>
      <c r="J426" s="288"/>
      <c r="K426" s="288"/>
      <c r="L426" s="288" t="s">
        <v>1408</v>
      </c>
      <c r="M426" s="513" t="s">
        <v>1409</v>
      </c>
      <c r="N426" s="504" t="s">
        <v>1410</v>
      </c>
    </row>
    <row r="428" spans="1:14">
      <c r="A428" s="1318" t="s">
        <v>374</v>
      </c>
      <c r="B428" s="1319" t="s">
        <v>375</v>
      </c>
      <c r="C428" s="1324" t="s">
        <v>69</v>
      </c>
      <c r="D428" s="1324"/>
      <c r="E428" s="1324"/>
      <c r="F428" s="1324"/>
      <c r="G428" s="1324"/>
      <c r="H428" s="1324"/>
      <c r="I428" s="1318" t="s">
        <v>379</v>
      </c>
      <c r="J428" s="1318" t="s">
        <v>376</v>
      </c>
      <c r="K428" s="1318" t="s">
        <v>377</v>
      </c>
      <c r="L428" s="526"/>
      <c r="M428" s="1321" t="s">
        <v>373</v>
      </c>
      <c r="N428" s="1318" t="s">
        <v>378</v>
      </c>
    </row>
    <row r="429" spans="1:14" s="481" customFormat="1" ht="39.75" customHeight="1">
      <c r="A429" s="1318"/>
      <c r="B429" s="1319"/>
      <c r="C429" s="532"/>
      <c r="D429" s="532"/>
      <c r="E429" s="532"/>
      <c r="F429" s="532"/>
      <c r="G429" s="532"/>
      <c r="H429" s="532"/>
      <c r="I429" s="1318"/>
      <c r="J429" s="1318"/>
      <c r="K429" s="1318"/>
      <c r="L429" s="526"/>
      <c r="M429" s="1321"/>
      <c r="N429" s="1318"/>
    </row>
    <row r="430" spans="1:14">
      <c r="A430" s="555" t="s">
        <v>240</v>
      </c>
      <c r="B430" s="513" t="s">
        <v>585</v>
      </c>
      <c r="C430" s="503"/>
      <c r="D430" s="503"/>
      <c r="E430" s="503"/>
      <c r="F430" s="503"/>
      <c r="G430" s="503"/>
      <c r="H430" s="503"/>
      <c r="I430" s="504"/>
      <c r="J430" s="504"/>
      <c r="K430" s="504"/>
      <c r="L430" s="504"/>
      <c r="M430" s="554"/>
      <c r="N430" s="504"/>
    </row>
    <row r="432" spans="1:14">
      <c r="A432" s="1318" t="s">
        <v>374</v>
      </c>
      <c r="B432" s="1319" t="s">
        <v>375</v>
      </c>
      <c r="C432" s="1322" t="s">
        <v>68</v>
      </c>
      <c r="D432" s="1322"/>
      <c r="E432" s="1322"/>
      <c r="F432" s="1322"/>
      <c r="G432" s="1322"/>
      <c r="H432" s="1322"/>
      <c r="I432" s="1318" t="s">
        <v>379</v>
      </c>
      <c r="J432" s="1318" t="s">
        <v>376</v>
      </c>
      <c r="K432" s="1318" t="s">
        <v>377</v>
      </c>
      <c r="L432" s="526"/>
      <c r="M432" s="1321" t="s">
        <v>373</v>
      </c>
      <c r="N432" s="1318" t="s">
        <v>378</v>
      </c>
    </row>
    <row r="433" spans="1:14" s="481" customFormat="1" ht="39.75" customHeight="1">
      <c r="A433" s="1318"/>
      <c r="B433" s="1319"/>
      <c r="C433" s="499"/>
      <c r="D433" s="499"/>
      <c r="E433" s="499"/>
      <c r="F433" s="499"/>
      <c r="G433" s="499"/>
      <c r="H433" s="499"/>
      <c r="I433" s="1318"/>
      <c r="J433" s="1318"/>
      <c r="K433" s="1318"/>
      <c r="L433" s="526"/>
      <c r="M433" s="1321"/>
      <c r="N433" s="1318"/>
    </row>
    <row r="434" spans="1:14" ht="111.75" customHeight="1">
      <c r="A434" s="628" t="s">
        <v>240</v>
      </c>
      <c r="B434" s="497" t="s">
        <v>515</v>
      </c>
      <c r="C434" s="509" t="s">
        <v>388</v>
      </c>
      <c r="D434" s="487"/>
      <c r="E434" s="486"/>
      <c r="F434" s="486"/>
      <c r="G434" s="487"/>
      <c r="H434" s="486"/>
      <c r="I434" s="498"/>
      <c r="J434" s="288"/>
      <c r="K434" s="511"/>
      <c r="L434" s="288" t="s">
        <v>605</v>
      </c>
      <c r="M434" s="513" t="s">
        <v>390</v>
      </c>
      <c r="N434" s="296" t="s">
        <v>535</v>
      </c>
    </row>
    <row r="435" spans="1:14" ht="111" customHeight="1">
      <c r="A435" s="629"/>
      <c r="B435" s="497" t="s">
        <v>391</v>
      </c>
      <c r="C435" s="486"/>
      <c r="D435" s="509" t="s">
        <v>388</v>
      </c>
      <c r="E435" s="486"/>
      <c r="F435" s="486"/>
      <c r="G435" s="487"/>
      <c r="H435" s="486"/>
      <c r="I435" s="484"/>
      <c r="J435" s="288"/>
      <c r="K435" s="512"/>
      <c r="L435" s="288" t="s">
        <v>606</v>
      </c>
      <c r="M435" s="513" t="s">
        <v>390</v>
      </c>
      <c r="N435" s="531" t="s">
        <v>535</v>
      </c>
    </row>
    <row r="436" spans="1:14" ht="111" customHeight="1">
      <c r="A436" s="629"/>
      <c r="B436" s="497" t="s">
        <v>477</v>
      </c>
      <c r="C436" s="486"/>
      <c r="D436" s="487"/>
      <c r="E436" s="486"/>
      <c r="F436" s="486"/>
      <c r="G436" s="487"/>
      <c r="H436" s="486"/>
      <c r="I436" s="511"/>
      <c r="J436" s="288"/>
      <c r="K436" s="296"/>
      <c r="L436" s="288"/>
      <c r="M436" s="513"/>
      <c r="N436" s="531"/>
    </row>
    <row r="437" spans="1:14" ht="111" customHeight="1">
      <c r="A437" s="629"/>
      <c r="B437" s="497" t="s">
        <v>478</v>
      </c>
      <c r="C437" s="486"/>
      <c r="D437" s="487"/>
      <c r="E437" s="486"/>
      <c r="F437" s="486"/>
      <c r="G437" s="487"/>
      <c r="H437" s="486"/>
      <c r="I437" s="484"/>
      <c r="J437" s="288"/>
      <c r="K437" s="512"/>
      <c r="L437" s="288"/>
      <c r="M437" s="513"/>
      <c r="N437" s="296"/>
    </row>
    <row r="440" spans="1:14">
      <c r="A440" s="1318" t="s">
        <v>374</v>
      </c>
      <c r="B440" s="1319" t="s">
        <v>375</v>
      </c>
      <c r="C440" s="1323" t="s">
        <v>392</v>
      </c>
      <c r="D440" s="1323"/>
      <c r="E440" s="1323"/>
      <c r="F440" s="1323"/>
      <c r="G440" s="1323"/>
      <c r="H440" s="1323"/>
      <c r="I440" s="1318" t="s">
        <v>379</v>
      </c>
      <c r="J440" s="1318" t="s">
        <v>376</v>
      </c>
      <c r="K440" s="1318" t="s">
        <v>377</v>
      </c>
      <c r="L440" s="526"/>
      <c r="M440" s="1321" t="s">
        <v>373</v>
      </c>
      <c r="N440" s="1318" t="s">
        <v>378</v>
      </c>
    </row>
    <row r="441" spans="1:14" s="481" customFormat="1" ht="39.75" customHeight="1">
      <c r="A441" s="1318"/>
      <c r="B441" s="1319"/>
      <c r="C441" s="556"/>
      <c r="D441" s="556"/>
      <c r="E441" s="556"/>
      <c r="F441" s="556"/>
      <c r="G441" s="556"/>
      <c r="H441" s="556"/>
      <c r="I441" s="1318"/>
      <c r="J441" s="1318"/>
      <c r="K441" s="1318"/>
      <c r="L441" s="526"/>
      <c r="M441" s="1321"/>
      <c r="N441" s="1318"/>
    </row>
    <row r="442" spans="1:14" ht="111" customHeight="1">
      <c r="A442" s="628" t="s">
        <v>240</v>
      </c>
      <c r="B442" s="497" t="s">
        <v>607</v>
      </c>
      <c r="C442" s="503" t="s">
        <v>388</v>
      </c>
      <c r="D442" s="503"/>
      <c r="E442" s="503"/>
      <c r="F442" s="503"/>
      <c r="G442" s="503"/>
      <c r="H442" s="503"/>
      <c r="I442" s="288"/>
      <c r="J442" s="288"/>
      <c r="K442" s="288" t="s">
        <v>608</v>
      </c>
      <c r="L442" s="485" t="s">
        <v>394</v>
      </c>
      <c r="M442" s="554"/>
      <c r="N442" s="504"/>
    </row>
    <row r="443" spans="1:14" ht="111" customHeight="1">
      <c r="A443" s="628"/>
      <c r="B443" s="497" t="s">
        <v>716</v>
      </c>
      <c r="C443" s="676"/>
      <c r="D443" s="676"/>
      <c r="E443" s="676"/>
      <c r="F443" s="676"/>
      <c r="G443" s="677"/>
      <c r="H443" s="676"/>
      <c r="I443" s="288"/>
      <c r="J443" s="288"/>
      <c r="K443" s="288" t="s">
        <v>717</v>
      </c>
      <c r="L443" s="485" t="s">
        <v>394</v>
      </c>
      <c r="M443" s="554"/>
      <c r="N443" s="504" t="s">
        <v>687</v>
      </c>
    </row>
    <row r="444" spans="1:14" s="482" customFormat="1" ht="111" customHeight="1">
      <c r="A444" s="628"/>
      <c r="B444" s="497" t="s">
        <v>480</v>
      </c>
      <c r="C444" s="486"/>
      <c r="D444" s="509" t="s">
        <v>388</v>
      </c>
      <c r="E444" s="486"/>
      <c r="F444" s="486"/>
      <c r="G444" s="487"/>
      <c r="H444" s="486"/>
      <c r="I444" s="498" t="s">
        <v>395</v>
      </c>
      <c r="J444" s="288"/>
      <c r="K444" s="288"/>
      <c r="L444" s="288" t="s">
        <v>609</v>
      </c>
      <c r="M444" s="513" t="s">
        <v>394</v>
      </c>
      <c r="N444" s="296" t="s">
        <v>535</v>
      </c>
    </row>
    <row r="446" spans="1:14">
      <c r="A446" s="1318" t="s">
        <v>374</v>
      </c>
      <c r="B446" s="1319" t="s">
        <v>375</v>
      </c>
      <c r="C446" s="1320" t="s">
        <v>99</v>
      </c>
      <c r="D446" s="1320"/>
      <c r="E446" s="1320"/>
      <c r="F446" s="1320"/>
      <c r="G446" s="1320"/>
      <c r="H446" s="1320"/>
      <c r="I446" s="1318" t="s">
        <v>379</v>
      </c>
      <c r="J446" s="1318" t="s">
        <v>376</v>
      </c>
      <c r="K446" s="1318" t="s">
        <v>377</v>
      </c>
      <c r="L446" s="526"/>
      <c r="M446" s="1321" t="s">
        <v>373</v>
      </c>
      <c r="N446" s="1318" t="s">
        <v>378</v>
      </c>
    </row>
    <row r="447" spans="1:14" s="481" customFormat="1" ht="40.5" customHeight="1">
      <c r="A447" s="1318"/>
      <c r="B447" s="1319"/>
      <c r="C447" s="550"/>
      <c r="D447" s="550"/>
      <c r="E447" s="550"/>
      <c r="F447" s="550"/>
      <c r="G447" s="550"/>
      <c r="H447" s="550"/>
      <c r="I447" s="1318"/>
      <c r="J447" s="1318"/>
      <c r="K447" s="1318"/>
      <c r="L447" s="526"/>
      <c r="M447" s="1321"/>
      <c r="N447" s="1318"/>
    </row>
    <row r="448" spans="1:14" s="481" customFormat="1" ht="111" customHeight="1">
      <c r="A448" s="628" t="s">
        <v>240</v>
      </c>
      <c r="B448" s="497" t="s">
        <v>585</v>
      </c>
      <c r="C448" s="503" t="s">
        <v>388</v>
      </c>
      <c r="D448" s="503"/>
      <c r="E448" s="503" t="s">
        <v>388</v>
      </c>
      <c r="F448" s="503" t="s">
        <v>388</v>
      </c>
      <c r="G448" s="503" t="s">
        <v>388</v>
      </c>
      <c r="H448" s="503"/>
      <c r="I448" s="504"/>
      <c r="J448" s="504"/>
      <c r="K448" s="504"/>
      <c r="L448" s="504"/>
      <c r="M448" s="554"/>
      <c r="N448" s="504"/>
    </row>
    <row r="449" spans="1:14" s="481" customFormat="1" ht="111" customHeight="1">
      <c r="A449" s="628"/>
      <c r="B449" s="497" t="s">
        <v>610</v>
      </c>
      <c r="C449" s="503"/>
      <c r="D449" s="503" t="s">
        <v>388</v>
      </c>
      <c r="E449" s="503"/>
      <c r="F449" s="503"/>
      <c r="G449" s="503"/>
      <c r="H449" s="503"/>
      <c r="I449" s="504"/>
      <c r="J449" s="288"/>
      <c r="K449" s="288"/>
      <c r="L449" s="288" t="s">
        <v>613</v>
      </c>
      <c r="M449" s="513" t="s">
        <v>695</v>
      </c>
      <c r="N449" s="565" t="s">
        <v>681</v>
      </c>
    </row>
    <row r="450" spans="1:14" s="548" customFormat="1" ht="111" customHeight="1">
      <c r="A450" s="630" t="s">
        <v>240</v>
      </c>
      <c r="B450" s="960" t="s">
        <v>611</v>
      </c>
      <c r="C450" s="540"/>
      <c r="D450" s="540" t="s">
        <v>388</v>
      </c>
      <c r="E450" s="540"/>
      <c r="F450" s="540"/>
      <c r="G450" s="540"/>
      <c r="H450" s="540"/>
      <c r="I450" s="288"/>
      <c r="J450" s="288"/>
      <c r="K450" s="288"/>
      <c r="L450" s="288" t="s">
        <v>612</v>
      </c>
      <c r="M450" s="497" t="s">
        <v>614</v>
      </c>
      <c r="N450" s="565"/>
    </row>
    <row r="451" spans="1:14" ht="111" customHeight="1">
      <c r="A451" s="628"/>
      <c r="B451" s="497" t="s">
        <v>1057</v>
      </c>
      <c r="C451" s="503"/>
      <c r="D451" s="503"/>
      <c r="E451" s="503"/>
      <c r="F451" s="503"/>
      <c r="G451" s="503"/>
      <c r="H451" s="503"/>
      <c r="I451" s="504"/>
      <c r="J451" s="504"/>
      <c r="K451" s="503" t="s">
        <v>1058</v>
      </c>
      <c r="L451" s="288" t="s">
        <v>1060</v>
      </c>
      <c r="M451" s="554" t="s">
        <v>1059</v>
      </c>
      <c r="N451" s="504"/>
    </row>
    <row r="453" spans="1:14" ht="15.75" customHeight="1">
      <c r="A453" s="1318" t="s">
        <v>374</v>
      </c>
      <c r="B453" s="1333" t="s">
        <v>375</v>
      </c>
      <c r="C453" s="1334" t="s">
        <v>356</v>
      </c>
      <c r="D453" s="1334"/>
      <c r="E453" s="1334"/>
      <c r="F453" s="1334"/>
      <c r="G453" s="1334"/>
      <c r="H453" s="1334"/>
      <c r="I453" s="1318" t="s">
        <v>379</v>
      </c>
      <c r="J453" s="1318" t="s">
        <v>376</v>
      </c>
      <c r="K453" s="1318" t="s">
        <v>377</v>
      </c>
      <c r="L453" s="526"/>
      <c r="M453" s="1321" t="s">
        <v>373</v>
      </c>
      <c r="N453" s="1318" t="s">
        <v>378</v>
      </c>
    </row>
    <row r="454" spans="1:14" ht="40.5" customHeight="1">
      <c r="A454" s="1318"/>
      <c r="B454" s="1325"/>
      <c r="C454" s="514"/>
      <c r="D454" s="514"/>
      <c r="E454" s="514"/>
      <c r="F454" s="514"/>
      <c r="G454" s="514"/>
      <c r="H454" s="514"/>
      <c r="I454" s="1327"/>
      <c r="J454" s="1327"/>
      <c r="K454" s="1327"/>
      <c r="L454" s="526"/>
      <c r="M454" s="1328"/>
      <c r="N454" s="1327"/>
    </row>
    <row r="455" spans="1:14" ht="111" customHeight="1">
      <c r="A455" s="630" t="s">
        <v>240</v>
      </c>
      <c r="B455" s="497" t="s">
        <v>615</v>
      </c>
      <c r="C455" s="503" t="s">
        <v>388</v>
      </c>
      <c r="D455" s="503"/>
      <c r="E455" s="503"/>
      <c r="F455" s="503"/>
      <c r="G455" s="503"/>
      <c r="H455" s="503"/>
      <c r="I455" s="504"/>
      <c r="J455" s="288"/>
      <c r="K455" s="288"/>
      <c r="L455" s="288" t="s">
        <v>617</v>
      </c>
      <c r="M455" s="513" t="s">
        <v>616</v>
      </c>
      <c r="N455" s="296"/>
    </row>
    <row r="456" spans="1:14" ht="111" customHeight="1">
      <c r="A456" s="630"/>
      <c r="B456" s="497" t="s">
        <v>618</v>
      </c>
      <c r="C456" s="503" t="s">
        <v>388</v>
      </c>
      <c r="D456" s="503"/>
      <c r="E456" s="503"/>
      <c r="F456" s="503"/>
      <c r="G456" s="503"/>
      <c r="H456" s="503"/>
      <c r="I456" s="504"/>
      <c r="J456" s="288"/>
      <c r="K456" s="288"/>
      <c r="L456" s="288" t="s">
        <v>620</v>
      </c>
      <c r="M456" s="513" t="s">
        <v>619</v>
      </c>
      <c r="N456" s="482" t="s">
        <v>889</v>
      </c>
    </row>
    <row r="457" spans="1:14" ht="111" customHeight="1">
      <c r="A457" s="630"/>
      <c r="B457" s="497" t="s">
        <v>1116</v>
      </c>
      <c r="C457" s="503" t="s">
        <v>512</v>
      </c>
      <c r="D457" s="503"/>
      <c r="E457" s="503"/>
      <c r="F457" s="503"/>
      <c r="G457" s="503"/>
      <c r="H457" s="503"/>
      <c r="I457" s="504"/>
      <c r="J457" s="288"/>
      <c r="K457" s="288"/>
      <c r="L457" s="288" t="s">
        <v>1117</v>
      </c>
      <c r="M457" s="947" t="s">
        <v>1118</v>
      </c>
      <c r="N457" s="629" t="s">
        <v>1119</v>
      </c>
    </row>
    <row r="458" spans="1:14" ht="111" customHeight="1">
      <c r="A458" s="630"/>
      <c r="B458" s="497" t="s">
        <v>1061</v>
      </c>
      <c r="C458" s="503"/>
      <c r="D458" s="503"/>
      <c r="E458" s="503"/>
      <c r="F458" s="503"/>
      <c r="G458" s="503"/>
      <c r="H458" s="503"/>
      <c r="I458" s="504"/>
      <c r="J458" s="288"/>
      <c r="K458" s="288" t="s">
        <v>1324</v>
      </c>
      <c r="L458" s="288" t="s">
        <v>1062</v>
      </c>
      <c r="M458" s="554" t="s">
        <v>1059</v>
      </c>
      <c r="N458" s="482" t="s">
        <v>687</v>
      </c>
    </row>
    <row r="459" spans="1:14" s="482" customFormat="1" ht="111" customHeight="1">
      <c r="A459" s="629"/>
      <c r="B459" s="497" t="s">
        <v>495</v>
      </c>
      <c r="C459" s="516"/>
      <c r="D459" s="296" t="s">
        <v>388</v>
      </c>
      <c r="E459" s="296"/>
      <c r="F459" s="296"/>
      <c r="G459" s="296"/>
      <c r="H459" s="296"/>
      <c r="I459" s="498"/>
      <c r="J459" s="288"/>
      <c r="K459" s="288"/>
      <c r="L459" s="288" t="s">
        <v>1327</v>
      </c>
      <c r="M459" s="513" t="s">
        <v>494</v>
      </c>
      <c r="N459" s="482" t="s">
        <v>535</v>
      </c>
    </row>
    <row r="460" spans="1:14" s="482" customFormat="1" ht="111" customHeight="1">
      <c r="A460" s="629"/>
      <c r="B460" s="640" t="s">
        <v>496</v>
      </c>
      <c r="C460" s="561"/>
      <c r="E460" s="561" t="s">
        <v>388</v>
      </c>
      <c r="F460" s="562"/>
      <c r="G460" s="562"/>
      <c r="H460" s="561"/>
      <c r="I460" s="1123"/>
      <c r="J460" s="563"/>
      <c r="K460" s="564"/>
      <c r="L460" s="563" t="s">
        <v>621</v>
      </c>
      <c r="M460" s="945" t="s">
        <v>497</v>
      </c>
      <c r="N460" s="560" t="s">
        <v>535</v>
      </c>
    </row>
    <row r="461" spans="1:14" s="482" customFormat="1" ht="111" customHeight="1">
      <c r="A461" s="558"/>
      <c r="B461" s="513" t="s">
        <v>1411</v>
      </c>
      <c r="C461" s="296"/>
      <c r="D461" s="296"/>
      <c r="E461" s="296"/>
      <c r="F461" s="516"/>
      <c r="G461" s="516"/>
      <c r="H461" s="296" t="s">
        <v>388</v>
      </c>
      <c r="I461" s="498"/>
      <c r="J461" s="288"/>
      <c r="K461" s="511"/>
      <c r="L461" s="288" t="s">
        <v>1412</v>
      </c>
      <c r="M461" s="513" t="s">
        <v>1409</v>
      </c>
      <c r="N461" s="504" t="s">
        <v>1410</v>
      </c>
    </row>
    <row r="467" spans="1:14" ht="25.5" customHeight="1">
      <c r="A467" s="1318" t="s">
        <v>374</v>
      </c>
      <c r="B467" s="1329" t="s">
        <v>375</v>
      </c>
      <c r="C467" s="1330" t="s">
        <v>192</v>
      </c>
      <c r="D467" s="1330"/>
      <c r="E467" s="1330"/>
      <c r="F467" s="1330"/>
      <c r="G467" s="1330"/>
      <c r="H467" s="1330"/>
      <c r="I467" s="1318" t="s">
        <v>379</v>
      </c>
      <c r="J467" s="1318" t="s">
        <v>376</v>
      </c>
      <c r="K467" s="1318" t="s">
        <v>377</v>
      </c>
      <c r="L467" s="526" t="s">
        <v>276</v>
      </c>
      <c r="M467" s="1321" t="s">
        <v>373</v>
      </c>
      <c r="N467" s="1318" t="s">
        <v>378</v>
      </c>
    </row>
    <row r="468" spans="1:14" s="481" customFormat="1" ht="39.950000000000003" customHeight="1">
      <c r="A468" s="1318"/>
      <c r="B468" s="1329"/>
      <c r="C468" s="538" t="s">
        <v>24</v>
      </c>
      <c r="D468" s="539"/>
      <c r="E468" s="539"/>
      <c r="F468" s="539"/>
      <c r="G468" s="539"/>
      <c r="H468" s="539"/>
      <c r="I468" s="1318"/>
      <c r="J468" s="1318"/>
      <c r="K468" s="1318"/>
      <c r="L468" s="526"/>
      <c r="M468" s="1321"/>
      <c r="N468" s="1318"/>
    </row>
    <row r="469" spans="1:14" ht="111" customHeight="1">
      <c r="A469" s="632" t="s">
        <v>261</v>
      </c>
      <c r="B469" s="497" t="s">
        <v>630</v>
      </c>
      <c r="C469" s="503" t="s">
        <v>388</v>
      </c>
      <c r="D469" s="503"/>
      <c r="E469" s="503"/>
      <c r="F469" s="503"/>
      <c r="G469" s="503"/>
      <c r="H469" s="503"/>
      <c r="I469" s="504"/>
      <c r="J469" s="504"/>
      <c r="K469" s="504"/>
      <c r="L469" s="503" t="s">
        <v>622</v>
      </c>
      <c r="M469" s="513" t="s">
        <v>623</v>
      </c>
      <c r="N469" s="296"/>
    </row>
    <row r="470" spans="1:14" ht="111" customHeight="1">
      <c r="A470" s="631"/>
      <c r="B470" s="497" t="s">
        <v>624</v>
      </c>
      <c r="C470" s="503" t="s">
        <v>388</v>
      </c>
      <c r="D470" s="503"/>
      <c r="E470" s="503"/>
      <c r="F470" s="503"/>
      <c r="G470" s="503"/>
      <c r="H470" s="503"/>
      <c r="I470" s="504"/>
      <c r="J470" s="504"/>
      <c r="K470" s="504"/>
      <c r="L470" s="503" t="s">
        <v>625</v>
      </c>
      <c r="M470" s="513" t="s">
        <v>569</v>
      </c>
      <c r="N470" s="504" t="s">
        <v>873</v>
      </c>
    </row>
    <row r="471" spans="1:14" ht="127.5" customHeight="1">
      <c r="A471" s="631"/>
      <c r="B471" s="497" t="s">
        <v>1341</v>
      </c>
      <c r="C471" s="503" t="s">
        <v>512</v>
      </c>
      <c r="D471" s="503"/>
      <c r="E471" s="503"/>
      <c r="F471" s="503"/>
      <c r="G471" s="503"/>
      <c r="H471" s="503"/>
      <c r="I471" s="504"/>
      <c r="J471" s="504"/>
      <c r="K471" s="504"/>
      <c r="L471" s="513" t="s">
        <v>1056</v>
      </c>
      <c r="M471" s="513" t="s">
        <v>1333</v>
      </c>
      <c r="N471" s="982" t="s">
        <v>681</v>
      </c>
    </row>
    <row r="472" spans="1:14" ht="111" customHeight="1">
      <c r="A472" s="631"/>
      <c r="B472" s="497" t="s">
        <v>741</v>
      </c>
      <c r="C472" s="503"/>
      <c r="D472" s="503"/>
      <c r="E472" s="503"/>
      <c r="F472" s="503"/>
      <c r="G472" s="503"/>
      <c r="H472" s="503"/>
      <c r="I472" s="504"/>
      <c r="J472" s="504"/>
      <c r="K472" s="504"/>
      <c r="L472" s="513" t="s">
        <v>742</v>
      </c>
      <c r="M472" s="513" t="s">
        <v>743</v>
      </c>
      <c r="N472" s="504"/>
    </row>
    <row r="473" spans="1:14" ht="111" customHeight="1">
      <c r="A473" s="631"/>
      <c r="B473" s="497" t="s">
        <v>1334</v>
      </c>
      <c r="C473" s="503"/>
      <c r="D473" s="503"/>
      <c r="E473" s="503"/>
      <c r="F473" s="503"/>
      <c r="G473" s="503"/>
      <c r="H473" s="503"/>
      <c r="I473" s="504"/>
      <c r="J473" s="504"/>
      <c r="K473" s="504"/>
      <c r="L473" s="513" t="s">
        <v>1342</v>
      </c>
      <c r="M473" s="513" t="s">
        <v>1338</v>
      </c>
      <c r="N473" s="983"/>
    </row>
    <row r="474" spans="1:14" ht="111" customHeight="1">
      <c r="A474" s="631"/>
      <c r="B474" s="497" t="s">
        <v>626</v>
      </c>
      <c r="C474" s="503" t="s">
        <v>388</v>
      </c>
      <c r="D474" s="503"/>
      <c r="E474" s="503"/>
      <c r="F474" s="503"/>
      <c r="G474" s="503"/>
      <c r="H474" s="503"/>
      <c r="I474" s="504"/>
      <c r="J474" s="504"/>
      <c r="K474" s="504"/>
      <c r="L474" s="513" t="s">
        <v>628</v>
      </c>
      <c r="M474" s="513" t="s">
        <v>627</v>
      </c>
      <c r="N474" s="504"/>
    </row>
    <row r="475" spans="1:14" ht="111" customHeight="1">
      <c r="A475" s="631"/>
      <c r="B475" s="497" t="s">
        <v>1343</v>
      </c>
      <c r="C475" s="503" t="s">
        <v>388</v>
      </c>
      <c r="D475" s="503"/>
      <c r="E475" s="503"/>
      <c r="F475" s="503"/>
      <c r="G475" s="503"/>
      <c r="H475" s="503"/>
      <c r="I475" s="504"/>
      <c r="J475" s="504"/>
      <c r="K475" s="504"/>
      <c r="L475" s="513" t="s">
        <v>629</v>
      </c>
      <c r="M475" s="513" t="s">
        <v>569</v>
      </c>
      <c r="N475" s="982" t="s">
        <v>681</v>
      </c>
    </row>
    <row r="476" spans="1:14" ht="111" customHeight="1">
      <c r="A476" s="631"/>
      <c r="B476" s="513" t="s">
        <v>746</v>
      </c>
      <c r="C476" s="503"/>
      <c r="D476" s="503"/>
      <c r="E476" s="503"/>
      <c r="F476" s="503"/>
      <c r="G476" s="503"/>
      <c r="H476" s="503"/>
      <c r="I476" s="504"/>
      <c r="J476" s="504"/>
      <c r="K476" s="504"/>
      <c r="L476" s="513" t="s">
        <v>747</v>
      </c>
      <c r="M476" s="513" t="s">
        <v>743</v>
      </c>
      <c r="N476" s="504"/>
    </row>
    <row r="478" spans="1:14">
      <c r="A478" s="1318" t="s">
        <v>374</v>
      </c>
      <c r="B478" s="1319" t="s">
        <v>375</v>
      </c>
      <c r="C478" s="1324" t="s">
        <v>69</v>
      </c>
      <c r="D478" s="1324"/>
      <c r="E478" s="1324"/>
      <c r="F478" s="1324"/>
      <c r="G478" s="1324"/>
      <c r="H478" s="1324"/>
      <c r="I478" s="1318" t="s">
        <v>379</v>
      </c>
      <c r="J478" s="1318" t="s">
        <v>376</v>
      </c>
      <c r="K478" s="1318" t="s">
        <v>377</v>
      </c>
      <c r="L478" s="526"/>
      <c r="M478" s="1321" t="s">
        <v>373</v>
      </c>
      <c r="N478" s="1318" t="s">
        <v>378</v>
      </c>
    </row>
    <row r="479" spans="1:14" s="481" customFormat="1" ht="39.75" customHeight="1">
      <c r="A479" s="1318"/>
      <c r="B479" s="1319"/>
      <c r="C479" s="491"/>
      <c r="D479" s="491"/>
      <c r="E479" s="491"/>
      <c r="F479" s="491"/>
      <c r="G479" s="491"/>
      <c r="H479" s="491"/>
      <c r="I479" s="1318"/>
      <c r="J479" s="1318"/>
      <c r="K479" s="1318"/>
      <c r="L479" s="526"/>
      <c r="M479" s="1321"/>
      <c r="N479" s="1318"/>
    </row>
    <row r="480" spans="1:14" ht="111" customHeight="1">
      <c r="A480" s="631" t="s">
        <v>261</v>
      </c>
      <c r="B480" s="497" t="s">
        <v>724</v>
      </c>
      <c r="C480" s="503" t="s">
        <v>388</v>
      </c>
      <c r="D480" s="503"/>
      <c r="E480" s="503"/>
      <c r="F480" s="503"/>
      <c r="G480" s="503"/>
      <c r="H480" s="503"/>
      <c r="I480" s="504"/>
      <c r="J480" s="504"/>
      <c r="K480" s="504"/>
      <c r="L480" s="513" t="s">
        <v>631</v>
      </c>
      <c r="M480" s="513" t="s">
        <v>623</v>
      </c>
      <c r="N480" s="296" t="s">
        <v>873</v>
      </c>
    </row>
    <row r="481" spans="1:14" ht="111" customHeight="1">
      <c r="A481" s="631"/>
      <c r="B481" s="497" t="s">
        <v>854</v>
      </c>
      <c r="C481" s="503"/>
      <c r="D481" s="503"/>
      <c r="E481" s="503"/>
      <c r="F481" s="503"/>
      <c r="G481" s="503"/>
      <c r="H481" s="503"/>
      <c r="I481" s="504"/>
      <c r="J481" s="504"/>
      <c r="K481" s="504"/>
      <c r="L481" s="503" t="s">
        <v>725</v>
      </c>
      <c r="M481" s="513"/>
      <c r="N481" s="983" t="s">
        <v>889</v>
      </c>
    </row>
    <row r="482" spans="1:14" s="679" customFormat="1" ht="111" customHeight="1">
      <c r="A482" s="684"/>
      <c r="B482" s="513" t="s">
        <v>1344</v>
      </c>
      <c r="C482" s="685" t="s">
        <v>388</v>
      </c>
      <c r="D482" s="686"/>
      <c r="E482" s="686"/>
      <c r="F482" s="686"/>
      <c r="G482" s="686"/>
      <c r="H482" s="686"/>
      <c r="I482" s="498"/>
      <c r="J482" s="687"/>
      <c r="K482" s="687"/>
      <c r="L482" s="687" t="s">
        <v>727</v>
      </c>
      <c r="M482" s="513" t="s">
        <v>726</v>
      </c>
      <c r="N482" s="686"/>
    </row>
    <row r="483" spans="1:14" ht="157.5" customHeight="1">
      <c r="A483" s="631"/>
      <c r="B483" s="497" t="s">
        <v>1341</v>
      </c>
      <c r="C483" s="503" t="s">
        <v>512</v>
      </c>
      <c r="D483" s="503"/>
      <c r="E483" s="503"/>
      <c r="F483" s="503"/>
      <c r="G483" s="503"/>
      <c r="H483" s="503"/>
      <c r="I483" s="504"/>
      <c r="J483" s="504"/>
      <c r="K483" s="504"/>
      <c r="L483" s="513" t="s">
        <v>1339</v>
      </c>
      <c r="M483" s="513" t="s">
        <v>1333</v>
      </c>
      <c r="N483" s="982" t="s">
        <v>681</v>
      </c>
    </row>
    <row r="484" spans="1:14" ht="157.5" customHeight="1">
      <c r="A484" s="631"/>
      <c r="B484" s="497" t="s">
        <v>1413</v>
      </c>
      <c r="C484" s="503"/>
      <c r="D484" s="503"/>
      <c r="E484" s="503"/>
      <c r="F484" s="503"/>
      <c r="G484" s="503"/>
      <c r="H484" s="503"/>
      <c r="I484" s="504"/>
      <c r="J484" s="504"/>
      <c r="K484" s="504"/>
      <c r="L484" s="513"/>
      <c r="M484" s="513" t="s">
        <v>1414</v>
      </c>
      <c r="N484" s="513"/>
    </row>
    <row r="485" spans="1:14" ht="111" customHeight="1">
      <c r="A485" s="631"/>
      <c r="B485" s="497" t="s">
        <v>1345</v>
      </c>
      <c r="C485" s="503"/>
      <c r="D485" s="503"/>
      <c r="E485" s="503"/>
      <c r="F485" s="503"/>
      <c r="G485" s="503"/>
      <c r="H485" s="503"/>
      <c r="I485" s="504"/>
      <c r="J485" s="504"/>
      <c r="K485" s="504"/>
      <c r="L485" s="687" t="s">
        <v>745</v>
      </c>
      <c r="M485" s="513" t="s">
        <v>743</v>
      </c>
      <c r="N485" s="504"/>
    </row>
    <row r="486" spans="1:14" ht="111" customHeight="1">
      <c r="A486" s="631"/>
      <c r="B486" s="497" t="s">
        <v>641</v>
      </c>
      <c r="C486" s="503" t="s">
        <v>388</v>
      </c>
      <c r="D486" s="503"/>
      <c r="E486" s="503"/>
      <c r="F486" s="503"/>
      <c r="G486" s="503"/>
      <c r="H486" s="503"/>
      <c r="I486" s="504"/>
      <c r="J486" s="504"/>
      <c r="K486" s="504"/>
      <c r="L486" s="971" t="s">
        <v>642</v>
      </c>
      <c r="M486" s="513" t="s">
        <v>637</v>
      </c>
      <c r="N486" s="296"/>
    </row>
    <row r="489" spans="1:14">
      <c r="A489" s="1318" t="s">
        <v>374</v>
      </c>
      <c r="B489" s="1319" t="s">
        <v>375</v>
      </c>
      <c r="C489" s="1322" t="s">
        <v>68</v>
      </c>
      <c r="D489" s="1322"/>
      <c r="E489" s="1322"/>
      <c r="F489" s="1322"/>
      <c r="G489" s="1322"/>
      <c r="H489" s="1322"/>
      <c r="I489" s="1318" t="s">
        <v>379</v>
      </c>
      <c r="J489" s="1318" t="s">
        <v>376</v>
      </c>
      <c r="K489" s="1318" t="s">
        <v>377</v>
      </c>
      <c r="L489" s="526"/>
      <c r="M489" s="1321" t="s">
        <v>373</v>
      </c>
      <c r="N489" s="1318" t="s">
        <v>378</v>
      </c>
    </row>
    <row r="490" spans="1:14" s="481" customFormat="1" ht="39.75" customHeight="1">
      <c r="A490" s="1318"/>
      <c r="B490" s="1319"/>
      <c r="C490" s="499"/>
      <c r="D490" s="499"/>
      <c r="E490" s="499"/>
      <c r="F490" s="499"/>
      <c r="G490" s="499"/>
      <c r="H490" s="499"/>
      <c r="I490" s="1318"/>
      <c r="J490" s="1318"/>
      <c r="K490" s="1318"/>
      <c r="L490" s="526"/>
      <c r="M490" s="1321"/>
      <c r="N490" s="1318"/>
    </row>
    <row r="491" spans="1:14" ht="111.75" customHeight="1">
      <c r="A491" s="631" t="s">
        <v>261</v>
      </c>
      <c r="B491" s="497" t="s">
        <v>515</v>
      </c>
      <c r="C491" s="509" t="s">
        <v>388</v>
      </c>
      <c r="D491" s="487"/>
      <c r="E491" s="486"/>
      <c r="F491" s="486"/>
      <c r="G491" s="487"/>
      <c r="H491" s="486"/>
      <c r="I491" s="498"/>
      <c r="J491" s="288"/>
      <c r="K491" s="511"/>
      <c r="L491" s="288" t="s">
        <v>644</v>
      </c>
      <c r="M491" s="513" t="s">
        <v>623</v>
      </c>
      <c r="N491" s="296"/>
    </row>
    <row r="492" spans="1:14" ht="111" customHeight="1">
      <c r="A492" s="633"/>
      <c r="B492" s="497" t="s">
        <v>391</v>
      </c>
      <c r="C492" s="486"/>
      <c r="D492" s="509" t="s">
        <v>388</v>
      </c>
      <c r="E492" s="486"/>
      <c r="F492" s="486"/>
      <c r="G492" s="487"/>
      <c r="H492" s="486"/>
      <c r="I492" s="484"/>
      <c r="J492" s="288"/>
      <c r="K492" s="512"/>
      <c r="L492" s="288" t="s">
        <v>645</v>
      </c>
      <c r="M492" s="513" t="s">
        <v>623</v>
      </c>
      <c r="N492" s="531"/>
    </row>
    <row r="493" spans="1:14" ht="111" customHeight="1">
      <c r="A493" s="633"/>
      <c r="B493" s="497" t="s">
        <v>630</v>
      </c>
      <c r="C493" s="486"/>
      <c r="D493" s="487"/>
      <c r="E493" s="486" t="s">
        <v>388</v>
      </c>
      <c r="F493" s="486"/>
      <c r="G493" s="487"/>
      <c r="H493" s="486"/>
      <c r="I493" s="511"/>
      <c r="J493" s="288"/>
      <c r="K493" s="296"/>
      <c r="L493" s="288" t="s">
        <v>636</v>
      </c>
      <c r="M493" s="513" t="s">
        <v>623</v>
      </c>
      <c r="N493" s="531"/>
    </row>
    <row r="494" spans="1:14" ht="111" customHeight="1">
      <c r="A494" s="633"/>
      <c r="B494" s="497" t="s">
        <v>638</v>
      </c>
      <c r="C494" s="486"/>
      <c r="D494" s="487"/>
      <c r="E494" s="486" t="s">
        <v>388</v>
      </c>
      <c r="F494" s="486"/>
      <c r="G494" s="487"/>
      <c r="H494" s="486"/>
      <c r="I494" s="557"/>
      <c r="J494" s="288"/>
      <c r="K494" s="296"/>
      <c r="L494" s="288" t="s">
        <v>646</v>
      </c>
      <c r="M494" s="513" t="s">
        <v>637</v>
      </c>
      <c r="N494" s="531"/>
    </row>
    <row r="495" spans="1:14" s="679" customFormat="1" ht="111" customHeight="1">
      <c r="A495" s="684"/>
      <c r="B495" s="513" t="s">
        <v>1344</v>
      </c>
      <c r="C495" s="685"/>
      <c r="D495" s="686"/>
      <c r="E495" s="685" t="s">
        <v>388</v>
      </c>
      <c r="F495" s="686"/>
      <c r="G495" s="686"/>
      <c r="H495" s="686"/>
      <c r="I495" s="498"/>
      <c r="J495" s="687"/>
      <c r="K495" s="687"/>
      <c r="L495" s="687" t="s">
        <v>728</v>
      </c>
      <c r="M495" s="513" t="s">
        <v>726</v>
      </c>
      <c r="N495" s="686"/>
    </row>
    <row r="496" spans="1:14" ht="111" customHeight="1">
      <c r="A496" s="633"/>
      <c r="B496" s="640" t="s">
        <v>647</v>
      </c>
      <c r="C496" s="561"/>
      <c r="D496" s="482"/>
      <c r="E496" s="561"/>
      <c r="F496" s="561"/>
      <c r="G496" s="482"/>
      <c r="H496" s="561"/>
      <c r="I496" s="634"/>
      <c r="J496" s="563"/>
      <c r="K496" s="560"/>
      <c r="L496" s="563" t="s">
        <v>648</v>
      </c>
      <c r="M496" s="945" t="s">
        <v>634</v>
      </c>
      <c r="N496" s="984" t="s">
        <v>683</v>
      </c>
    </row>
    <row r="497" spans="1:14" ht="111" customHeight="1">
      <c r="A497" s="631"/>
      <c r="B497" s="497" t="s">
        <v>1345</v>
      </c>
      <c r="C497" s="503"/>
      <c r="D497" s="503"/>
      <c r="E497" s="503"/>
      <c r="F497" s="503"/>
      <c r="G497" s="503"/>
      <c r="H497" s="503"/>
      <c r="I497" s="504"/>
      <c r="J497" s="504"/>
      <c r="K497" s="504"/>
      <c r="L497" s="563" t="s">
        <v>744</v>
      </c>
      <c r="M497" s="513" t="s">
        <v>743</v>
      </c>
      <c r="N497" s="504"/>
    </row>
    <row r="498" spans="1:14" ht="111.75" customHeight="1">
      <c r="A498" s="633"/>
      <c r="B498" s="639" t="s">
        <v>1346</v>
      </c>
      <c r="C498" s="635"/>
      <c r="D498" s="635"/>
      <c r="E498" s="635"/>
      <c r="F498" s="635"/>
      <c r="G498" s="635"/>
      <c r="H498" s="635"/>
      <c r="I498" s="636"/>
      <c r="J498" s="636"/>
      <c r="K498" s="637"/>
      <c r="L498" s="638" t="s">
        <v>649</v>
      </c>
      <c r="M498" s="513" t="s">
        <v>569</v>
      </c>
      <c r="N498" s="504"/>
    </row>
    <row r="500" spans="1:14">
      <c r="A500" s="1318" t="s">
        <v>374</v>
      </c>
      <c r="B500" s="1319" t="s">
        <v>375</v>
      </c>
      <c r="C500" s="1323" t="s">
        <v>392</v>
      </c>
      <c r="D500" s="1323"/>
      <c r="E500" s="1323"/>
      <c r="F500" s="1323"/>
      <c r="G500" s="1323"/>
      <c r="H500" s="1323"/>
      <c r="I500" s="1318" t="s">
        <v>379</v>
      </c>
      <c r="J500" s="1318" t="s">
        <v>376</v>
      </c>
      <c r="K500" s="1318" t="s">
        <v>377</v>
      </c>
      <c r="L500" s="526"/>
      <c r="M500" s="1321" t="s">
        <v>373</v>
      </c>
      <c r="N500" s="1318" t="s">
        <v>378</v>
      </c>
    </row>
    <row r="501" spans="1:14" s="481" customFormat="1" ht="39.75" customHeight="1">
      <c r="A501" s="1318"/>
      <c r="B501" s="1319"/>
      <c r="C501" s="500"/>
      <c r="D501" s="500"/>
      <c r="E501" s="500"/>
      <c r="F501" s="500"/>
      <c r="G501" s="500"/>
      <c r="H501" s="500"/>
      <c r="I501" s="1318"/>
      <c r="J501" s="1318"/>
      <c r="K501" s="1318"/>
      <c r="L501" s="526"/>
      <c r="M501" s="1321"/>
      <c r="N501" s="1318"/>
    </row>
    <row r="502" spans="1:14" ht="111" customHeight="1">
      <c r="A502" s="631" t="s">
        <v>261</v>
      </c>
      <c r="B502" s="497" t="s">
        <v>714</v>
      </c>
      <c r="C502" s="509" t="s">
        <v>388</v>
      </c>
      <c r="D502" s="487"/>
      <c r="E502" s="486"/>
      <c r="F502" s="486"/>
      <c r="G502" s="487"/>
      <c r="H502" s="486"/>
      <c r="I502" s="498"/>
      <c r="J502" s="288"/>
      <c r="K502" s="288"/>
      <c r="L502" s="288" t="s">
        <v>715</v>
      </c>
      <c r="M502" s="513"/>
      <c r="N502" s="984" t="s">
        <v>687</v>
      </c>
    </row>
    <row r="503" spans="1:14" ht="111" customHeight="1">
      <c r="A503" s="631" t="s">
        <v>261</v>
      </c>
      <c r="B503" s="497" t="s">
        <v>632</v>
      </c>
      <c r="C503" s="509" t="s">
        <v>388</v>
      </c>
      <c r="D503" s="487"/>
      <c r="E503" s="486"/>
      <c r="F503" s="486"/>
      <c r="G503" s="487"/>
      <c r="H503" s="486"/>
      <c r="I503" s="498"/>
      <c r="J503" s="288"/>
      <c r="K503" s="288"/>
      <c r="L503" s="288" t="s">
        <v>633</v>
      </c>
      <c r="M503" s="945" t="s">
        <v>634</v>
      </c>
      <c r="N503" s="296" t="s">
        <v>1347</v>
      </c>
    </row>
    <row r="504" spans="1:14" ht="111" customHeight="1">
      <c r="A504" s="631"/>
      <c r="B504" s="497" t="s">
        <v>639</v>
      </c>
      <c r="C504" s="509"/>
      <c r="D504" s="487"/>
      <c r="E504" s="486"/>
      <c r="F504" s="486"/>
      <c r="G504" s="487"/>
      <c r="H504" s="486"/>
      <c r="I504" s="498"/>
      <c r="J504" s="288"/>
      <c r="K504" s="288"/>
      <c r="L504" s="288" t="s">
        <v>640</v>
      </c>
      <c r="M504" s="513" t="s">
        <v>637</v>
      </c>
      <c r="N504" s="296"/>
    </row>
    <row r="505" spans="1:14" s="482" customFormat="1" ht="111" customHeight="1">
      <c r="A505" s="631"/>
      <c r="B505" s="497" t="s">
        <v>480</v>
      </c>
      <c r="C505" s="486"/>
      <c r="D505" s="509" t="s">
        <v>388</v>
      </c>
      <c r="E505" s="486"/>
      <c r="F505" s="486"/>
      <c r="G505" s="487"/>
      <c r="H505" s="486"/>
      <c r="I505" s="498" t="s">
        <v>395</v>
      </c>
      <c r="J505" s="288"/>
      <c r="K505" s="288"/>
      <c r="L505" s="288" t="s">
        <v>635</v>
      </c>
      <c r="M505" s="513" t="s">
        <v>394</v>
      </c>
      <c r="N505" s="984" t="s">
        <v>681</v>
      </c>
    </row>
    <row r="506" spans="1:14" s="986" customFormat="1" ht="111" customHeight="1">
      <c r="A506" s="985"/>
      <c r="B506" s="975"/>
      <c r="D506" s="821"/>
      <c r="I506" s="987"/>
      <c r="J506" s="988"/>
      <c r="K506" s="988"/>
      <c r="L506" s="988"/>
      <c r="M506" s="975"/>
    </row>
    <row r="507" spans="1:14">
      <c r="A507" s="1318" t="s">
        <v>374</v>
      </c>
      <c r="B507" s="1319" t="s">
        <v>375</v>
      </c>
      <c r="C507" s="1320" t="s">
        <v>99</v>
      </c>
      <c r="D507" s="1320"/>
      <c r="E507" s="1320"/>
      <c r="F507" s="1320"/>
      <c r="G507" s="1320"/>
      <c r="H507" s="1320"/>
      <c r="I507" s="1318" t="s">
        <v>379</v>
      </c>
      <c r="J507" s="1318" t="s">
        <v>376</v>
      </c>
      <c r="K507" s="1318" t="s">
        <v>377</v>
      </c>
      <c r="L507" s="526"/>
      <c r="M507" s="1321" t="s">
        <v>373</v>
      </c>
      <c r="N507" s="1318" t="s">
        <v>378</v>
      </c>
    </row>
    <row r="508" spans="1:14" s="481" customFormat="1" ht="40.5" customHeight="1">
      <c r="A508" s="1318"/>
      <c r="B508" s="1319"/>
      <c r="C508" s="501"/>
      <c r="D508" s="501"/>
      <c r="E508" s="501"/>
      <c r="F508" s="501"/>
      <c r="G508" s="501"/>
      <c r="H508" s="501"/>
      <c r="I508" s="1318"/>
      <c r="J508" s="1318"/>
      <c r="K508" s="1318"/>
      <c r="L508" s="526"/>
      <c r="M508" s="1321"/>
      <c r="N508" s="1318"/>
    </row>
    <row r="509" spans="1:14" ht="111.75" customHeight="1">
      <c r="A509" s="632" t="s">
        <v>261</v>
      </c>
      <c r="B509" s="990" t="s">
        <v>1349</v>
      </c>
      <c r="C509" s="509" t="s">
        <v>388</v>
      </c>
      <c r="D509" s="503"/>
      <c r="E509" s="503"/>
      <c r="F509" s="503"/>
      <c r="G509" s="503"/>
      <c r="H509" s="503"/>
      <c r="I509" s="504"/>
      <c r="J509" s="288"/>
      <c r="K509" s="288"/>
      <c r="L509" s="288" t="s">
        <v>1350</v>
      </c>
      <c r="M509" s="945" t="s">
        <v>634</v>
      </c>
      <c r="N509" s="989" t="s">
        <v>681</v>
      </c>
    </row>
    <row r="510" spans="1:14" s="679" customFormat="1" ht="111" customHeight="1">
      <c r="A510" s="678"/>
      <c r="B510" s="640" t="s">
        <v>723</v>
      </c>
      <c r="C510" s="680" t="s">
        <v>388</v>
      </c>
      <c r="E510" s="681"/>
      <c r="F510" s="681"/>
      <c r="H510" s="681"/>
      <c r="I510" s="682" t="s">
        <v>484</v>
      </c>
      <c r="J510" s="683"/>
      <c r="K510" s="683"/>
      <c r="L510" s="687" t="s">
        <v>1351</v>
      </c>
      <c r="M510" s="513" t="s">
        <v>623</v>
      </c>
      <c r="N510" s="681"/>
    </row>
    <row r="511" spans="1:14" ht="111" customHeight="1">
      <c r="A511" s="631"/>
      <c r="B511" s="497" t="s">
        <v>1352</v>
      </c>
      <c r="C511" s="503"/>
      <c r="D511" s="503"/>
      <c r="E511" s="503"/>
      <c r="F511" s="503"/>
      <c r="G511" s="503"/>
      <c r="H511" s="503"/>
      <c r="I511" s="504"/>
      <c r="J511" s="504"/>
      <c r="K511" s="504"/>
      <c r="L511" s="687" t="s">
        <v>1348</v>
      </c>
      <c r="M511" s="513" t="s">
        <v>743</v>
      </c>
      <c r="N511" s="504"/>
    </row>
    <row r="512" spans="1:14" s="679" customFormat="1" ht="124.5" customHeight="1">
      <c r="A512" s="684"/>
      <c r="B512" s="513" t="s">
        <v>1344</v>
      </c>
      <c r="C512" s="685"/>
      <c r="D512" s="686" t="s">
        <v>388</v>
      </c>
      <c r="E512" s="686"/>
      <c r="F512" s="686"/>
      <c r="G512" s="686"/>
      <c r="H512" s="686"/>
      <c r="I512" s="498"/>
      <c r="J512" s="687"/>
      <c r="K512" s="687"/>
      <c r="L512" s="687"/>
      <c r="M512" s="513" t="s">
        <v>726</v>
      </c>
      <c r="N512" s="686"/>
    </row>
    <row r="515" spans="1:14" ht="15.75" customHeight="1">
      <c r="A515" s="1318" t="s">
        <v>374</v>
      </c>
      <c r="B515" s="1333" t="s">
        <v>375</v>
      </c>
      <c r="C515" s="1334" t="s">
        <v>356</v>
      </c>
      <c r="D515" s="1334"/>
      <c r="E515" s="1334"/>
      <c r="F515" s="1334"/>
      <c r="G515" s="1334"/>
      <c r="H515" s="1334"/>
      <c r="I515" s="1318" t="s">
        <v>379</v>
      </c>
      <c r="J515" s="1318" t="s">
        <v>376</v>
      </c>
      <c r="K515" s="1318" t="s">
        <v>377</v>
      </c>
      <c r="L515" s="526"/>
      <c r="M515" s="1321" t="s">
        <v>373</v>
      </c>
      <c r="N515" s="1318" t="s">
        <v>378</v>
      </c>
    </row>
    <row r="516" spans="1:14" ht="40.5" customHeight="1">
      <c r="A516" s="1318"/>
      <c r="B516" s="1319"/>
      <c r="C516" s="549"/>
      <c r="D516" s="549"/>
      <c r="E516" s="549"/>
      <c r="F516" s="549"/>
      <c r="G516" s="549"/>
      <c r="H516" s="549"/>
      <c r="I516" s="1318"/>
      <c r="J516" s="1318"/>
      <c r="K516" s="1318"/>
      <c r="L516" s="526"/>
      <c r="M516" s="1321"/>
      <c r="N516" s="1318"/>
    </row>
    <row r="517" spans="1:14" s="482" customFormat="1" ht="111.75" customHeight="1">
      <c r="A517" s="631" t="s">
        <v>261</v>
      </c>
      <c r="B517" s="513" t="s">
        <v>643</v>
      </c>
      <c r="C517" s="516" t="s">
        <v>388</v>
      </c>
      <c r="D517" s="296"/>
      <c r="E517" s="296"/>
      <c r="F517" s="296"/>
      <c r="G517" s="296"/>
      <c r="H517" s="296"/>
      <c r="I517" s="498" t="s">
        <v>539</v>
      </c>
      <c r="J517" s="288"/>
      <c r="K517" s="288"/>
      <c r="L517" s="288" t="s">
        <v>1353</v>
      </c>
      <c r="M517" s="513" t="s">
        <v>493</v>
      </c>
      <c r="N517" s="559" t="s">
        <v>681</v>
      </c>
    </row>
    <row r="518" spans="1:14" ht="111.75" customHeight="1">
      <c r="A518" s="631"/>
      <c r="B518" s="513"/>
      <c r="C518" s="503"/>
      <c r="D518" s="503"/>
      <c r="E518" s="503"/>
      <c r="F518" s="503"/>
      <c r="G518" s="503"/>
      <c r="H518" s="503"/>
      <c r="I518" s="504"/>
      <c r="J518" s="504"/>
      <c r="K518" s="504"/>
      <c r="L518" s="288"/>
      <c r="M518" s="513"/>
      <c r="N518" s="504"/>
    </row>
  </sheetData>
  <mergeCells count="352">
    <mergeCell ref="A515:A516"/>
    <mergeCell ref="B515:B516"/>
    <mergeCell ref="C515:H515"/>
    <mergeCell ref="I515:I516"/>
    <mergeCell ref="J515:J516"/>
    <mergeCell ref="K515:K516"/>
    <mergeCell ref="M515:M516"/>
    <mergeCell ref="N515:N516"/>
    <mergeCell ref="A365:A366"/>
    <mergeCell ref="B365:B366"/>
    <mergeCell ref="C365:H365"/>
    <mergeCell ref="I365:I366"/>
    <mergeCell ref="J365:J366"/>
    <mergeCell ref="K365:K366"/>
    <mergeCell ref="M365:M366"/>
    <mergeCell ref="N365:N366"/>
    <mergeCell ref="A500:A501"/>
    <mergeCell ref="B500:B501"/>
    <mergeCell ref="C500:H500"/>
    <mergeCell ref="I500:I501"/>
    <mergeCell ref="J500:J501"/>
    <mergeCell ref="K500:K501"/>
    <mergeCell ref="M500:M501"/>
    <mergeCell ref="N500:N501"/>
    <mergeCell ref="A507:A508"/>
    <mergeCell ref="B507:B508"/>
    <mergeCell ref="C507:H507"/>
    <mergeCell ref="I507:I508"/>
    <mergeCell ref="J507:J508"/>
    <mergeCell ref="K507:K508"/>
    <mergeCell ref="M507:M508"/>
    <mergeCell ref="N507:N508"/>
    <mergeCell ref="A478:A479"/>
    <mergeCell ref="B478:B479"/>
    <mergeCell ref="C478:H478"/>
    <mergeCell ref="I478:I479"/>
    <mergeCell ref="J478:J479"/>
    <mergeCell ref="K478:K479"/>
    <mergeCell ref="M478:M479"/>
    <mergeCell ref="N478:N479"/>
    <mergeCell ref="A489:A490"/>
    <mergeCell ref="B489:B490"/>
    <mergeCell ref="C489:H489"/>
    <mergeCell ref="I489:I490"/>
    <mergeCell ref="J489:J490"/>
    <mergeCell ref="K489:K490"/>
    <mergeCell ref="M489:M490"/>
    <mergeCell ref="N489:N490"/>
    <mergeCell ref="A453:A454"/>
    <mergeCell ref="B453:B454"/>
    <mergeCell ref="C453:H453"/>
    <mergeCell ref="I453:I454"/>
    <mergeCell ref="J453:J454"/>
    <mergeCell ref="K453:K454"/>
    <mergeCell ref="M453:M454"/>
    <mergeCell ref="N453:N454"/>
    <mergeCell ref="A467:A468"/>
    <mergeCell ref="B467:B468"/>
    <mergeCell ref="C467:H467"/>
    <mergeCell ref="I467:I468"/>
    <mergeCell ref="J467:J468"/>
    <mergeCell ref="K467:K468"/>
    <mergeCell ref="M467:M468"/>
    <mergeCell ref="N467:N468"/>
    <mergeCell ref="A440:A441"/>
    <mergeCell ref="B440:B441"/>
    <mergeCell ref="C440:H440"/>
    <mergeCell ref="I440:I441"/>
    <mergeCell ref="J440:J441"/>
    <mergeCell ref="K440:K441"/>
    <mergeCell ref="M440:M441"/>
    <mergeCell ref="N440:N441"/>
    <mergeCell ref="A446:A447"/>
    <mergeCell ref="B446:B447"/>
    <mergeCell ref="C446:H446"/>
    <mergeCell ref="I446:I447"/>
    <mergeCell ref="J446:J447"/>
    <mergeCell ref="K446:K447"/>
    <mergeCell ref="M446:M447"/>
    <mergeCell ref="N446:N447"/>
    <mergeCell ref="A428:A429"/>
    <mergeCell ref="B428:B429"/>
    <mergeCell ref="C428:H428"/>
    <mergeCell ref="I428:I429"/>
    <mergeCell ref="J428:J429"/>
    <mergeCell ref="K428:K429"/>
    <mergeCell ref="M428:M429"/>
    <mergeCell ref="N428:N429"/>
    <mergeCell ref="A432:A433"/>
    <mergeCell ref="B432:B433"/>
    <mergeCell ref="C432:H432"/>
    <mergeCell ref="I432:I433"/>
    <mergeCell ref="J432:J433"/>
    <mergeCell ref="K432:K433"/>
    <mergeCell ref="M432:M433"/>
    <mergeCell ref="N432:N433"/>
    <mergeCell ref="A412:A413"/>
    <mergeCell ref="B412:B413"/>
    <mergeCell ref="C412:H412"/>
    <mergeCell ref="I412:I413"/>
    <mergeCell ref="J412:J413"/>
    <mergeCell ref="K412:K413"/>
    <mergeCell ref="M412:M413"/>
    <mergeCell ref="N412:N413"/>
    <mergeCell ref="A421:A422"/>
    <mergeCell ref="B421:B422"/>
    <mergeCell ref="C421:H421"/>
    <mergeCell ref="I421:I422"/>
    <mergeCell ref="J421:J422"/>
    <mergeCell ref="K421:K422"/>
    <mergeCell ref="M421:M422"/>
    <mergeCell ref="N421:N422"/>
    <mergeCell ref="A393:A394"/>
    <mergeCell ref="B393:B394"/>
    <mergeCell ref="C393:H393"/>
    <mergeCell ref="I393:I394"/>
    <mergeCell ref="J393:J394"/>
    <mergeCell ref="K393:K394"/>
    <mergeCell ref="M393:M394"/>
    <mergeCell ref="N393:N394"/>
    <mergeCell ref="A398:A399"/>
    <mergeCell ref="B398:B399"/>
    <mergeCell ref="C398:H398"/>
    <mergeCell ref="I398:I399"/>
    <mergeCell ref="J398:J399"/>
    <mergeCell ref="K398:K399"/>
    <mergeCell ref="M398:M399"/>
    <mergeCell ref="N398:N399"/>
    <mergeCell ref="A389:A390"/>
    <mergeCell ref="B389:B390"/>
    <mergeCell ref="C389:H389"/>
    <mergeCell ref="I389:I390"/>
    <mergeCell ref="J389:J390"/>
    <mergeCell ref="K389:K390"/>
    <mergeCell ref="M389:M390"/>
    <mergeCell ref="N389:N390"/>
    <mergeCell ref="A377:A378"/>
    <mergeCell ref="B377:B378"/>
    <mergeCell ref="C377:H377"/>
    <mergeCell ref="I377:I378"/>
    <mergeCell ref="J377:J378"/>
    <mergeCell ref="K377:K378"/>
    <mergeCell ref="M377:M378"/>
    <mergeCell ref="N377:N378"/>
    <mergeCell ref="A385:A386"/>
    <mergeCell ref="B385:B386"/>
    <mergeCell ref="C385:H385"/>
    <mergeCell ref="I385:I386"/>
    <mergeCell ref="J385:J386"/>
    <mergeCell ref="K385:K386"/>
    <mergeCell ref="M385:M386"/>
    <mergeCell ref="N385:N386"/>
    <mergeCell ref="A271:A272"/>
    <mergeCell ref="B271:B272"/>
    <mergeCell ref="C271:H271"/>
    <mergeCell ref="I271:I272"/>
    <mergeCell ref="J271:J272"/>
    <mergeCell ref="K271:K272"/>
    <mergeCell ref="M271:M272"/>
    <mergeCell ref="N271:N272"/>
    <mergeCell ref="A284:A285"/>
    <mergeCell ref="B284:B285"/>
    <mergeCell ref="C284:H284"/>
    <mergeCell ref="I284:I285"/>
    <mergeCell ref="J284:J285"/>
    <mergeCell ref="K284:K285"/>
    <mergeCell ref="M284:M285"/>
    <mergeCell ref="N284:N285"/>
    <mergeCell ref="A258:A259"/>
    <mergeCell ref="B258:B259"/>
    <mergeCell ref="C258:H258"/>
    <mergeCell ref="I258:I259"/>
    <mergeCell ref="J258:J259"/>
    <mergeCell ref="K258:K259"/>
    <mergeCell ref="M258:M259"/>
    <mergeCell ref="N258:N259"/>
    <mergeCell ref="A263:A264"/>
    <mergeCell ref="B263:B264"/>
    <mergeCell ref="C263:H263"/>
    <mergeCell ref="I263:I264"/>
    <mergeCell ref="J263:J264"/>
    <mergeCell ref="K263:K264"/>
    <mergeCell ref="M263:M264"/>
    <mergeCell ref="N263:N264"/>
    <mergeCell ref="A247:A248"/>
    <mergeCell ref="B247:B248"/>
    <mergeCell ref="C247:H247"/>
    <mergeCell ref="I247:I248"/>
    <mergeCell ref="J247:J248"/>
    <mergeCell ref="K247:K248"/>
    <mergeCell ref="M247:M248"/>
    <mergeCell ref="N247:N248"/>
    <mergeCell ref="A253:A254"/>
    <mergeCell ref="B253:B254"/>
    <mergeCell ref="C253:H253"/>
    <mergeCell ref="I253:I254"/>
    <mergeCell ref="J253:J254"/>
    <mergeCell ref="K253:K254"/>
    <mergeCell ref="M253:M254"/>
    <mergeCell ref="N253:N254"/>
    <mergeCell ref="K299:K300"/>
    <mergeCell ref="M299:M300"/>
    <mergeCell ref="N299:N300"/>
    <mergeCell ref="A299:A300"/>
    <mergeCell ref="B299:B300"/>
    <mergeCell ref="C299:H299"/>
    <mergeCell ref="I299:I300"/>
    <mergeCell ref="J299:J300"/>
    <mergeCell ref="A51:A52"/>
    <mergeCell ref="B51:B52"/>
    <mergeCell ref="C51:H51"/>
    <mergeCell ref="I51:I52"/>
    <mergeCell ref="J51:J52"/>
    <mergeCell ref="K63:K64"/>
    <mergeCell ref="M63:M64"/>
    <mergeCell ref="N63:N64"/>
    <mergeCell ref="A63:A64"/>
    <mergeCell ref="B63:B64"/>
    <mergeCell ref="C63:H63"/>
    <mergeCell ref="I63:I64"/>
    <mergeCell ref="J63:J64"/>
    <mergeCell ref="A94:A95"/>
    <mergeCell ref="B94:B95"/>
    <mergeCell ref="C94:H94"/>
    <mergeCell ref="J15:J16"/>
    <mergeCell ref="M15:M16"/>
    <mergeCell ref="N15:N16"/>
    <mergeCell ref="J3:J4"/>
    <mergeCell ref="K3:K4"/>
    <mergeCell ref="M3:M4"/>
    <mergeCell ref="N3:N4"/>
    <mergeCell ref="K15:K16"/>
    <mergeCell ref="K51:K52"/>
    <mergeCell ref="M51:M52"/>
    <mergeCell ref="N51:N52"/>
    <mergeCell ref="J29:J30"/>
    <mergeCell ref="K29:K30"/>
    <mergeCell ref="M29:M30"/>
    <mergeCell ref="N29:N30"/>
    <mergeCell ref="C3:H3"/>
    <mergeCell ref="A3:A4"/>
    <mergeCell ref="B3:B4"/>
    <mergeCell ref="I3:I4"/>
    <mergeCell ref="A29:A30"/>
    <mergeCell ref="B29:B30"/>
    <mergeCell ref="C29:H29"/>
    <mergeCell ref="I29:I30"/>
    <mergeCell ref="A15:A16"/>
    <mergeCell ref="B15:B16"/>
    <mergeCell ref="C15:H15"/>
    <mergeCell ref="I15:I16"/>
    <mergeCell ref="A40:A41"/>
    <mergeCell ref="B40:B41"/>
    <mergeCell ref="C40:H40"/>
    <mergeCell ref="I40:I41"/>
    <mergeCell ref="J40:J41"/>
    <mergeCell ref="K40:K41"/>
    <mergeCell ref="M40:M41"/>
    <mergeCell ref="N40:N41"/>
    <mergeCell ref="K80:K81"/>
    <mergeCell ref="M80:M81"/>
    <mergeCell ref="N80:N81"/>
    <mergeCell ref="I94:I95"/>
    <mergeCell ref="J94:J95"/>
    <mergeCell ref="K94:K95"/>
    <mergeCell ref="M94:M95"/>
    <mergeCell ref="N94:N95"/>
    <mergeCell ref="A80:A81"/>
    <mergeCell ref="B80:B81"/>
    <mergeCell ref="C80:H80"/>
    <mergeCell ref="I80:I81"/>
    <mergeCell ref="J80:J81"/>
    <mergeCell ref="K138:K139"/>
    <mergeCell ref="M138:M139"/>
    <mergeCell ref="N138:N139"/>
    <mergeCell ref="A151:A152"/>
    <mergeCell ref="B151:B152"/>
    <mergeCell ref="C151:H151"/>
    <mergeCell ref="I151:I152"/>
    <mergeCell ref="J151:J152"/>
    <mergeCell ref="K151:K152"/>
    <mergeCell ref="M151:M152"/>
    <mergeCell ref="N151:N152"/>
    <mergeCell ref="A138:A139"/>
    <mergeCell ref="B138:B139"/>
    <mergeCell ref="C138:H138"/>
    <mergeCell ref="I138:I139"/>
    <mergeCell ref="J138:J139"/>
    <mergeCell ref="K162:K163"/>
    <mergeCell ref="M162:M163"/>
    <mergeCell ref="N162:N163"/>
    <mergeCell ref="A196:A197"/>
    <mergeCell ref="B196:B197"/>
    <mergeCell ref="C196:H196"/>
    <mergeCell ref="I196:I197"/>
    <mergeCell ref="J196:J197"/>
    <mergeCell ref="K196:K197"/>
    <mergeCell ref="M196:M197"/>
    <mergeCell ref="N196:N197"/>
    <mergeCell ref="A162:A163"/>
    <mergeCell ref="B162:B163"/>
    <mergeCell ref="C162:H162"/>
    <mergeCell ref="I162:I163"/>
    <mergeCell ref="J162:J163"/>
    <mergeCell ref="A331:A332"/>
    <mergeCell ref="B331:B332"/>
    <mergeCell ref="C331:H331"/>
    <mergeCell ref="I331:I332"/>
    <mergeCell ref="J331:J332"/>
    <mergeCell ref="K331:K332"/>
    <mergeCell ref="M331:M332"/>
    <mergeCell ref="N331:N332"/>
    <mergeCell ref="K223:K224"/>
    <mergeCell ref="M223:M224"/>
    <mergeCell ref="N223:N224"/>
    <mergeCell ref="A233:A234"/>
    <mergeCell ref="B233:B234"/>
    <mergeCell ref="C233:H233"/>
    <mergeCell ref="I233:I234"/>
    <mergeCell ref="J233:J234"/>
    <mergeCell ref="K233:K234"/>
    <mergeCell ref="M233:M234"/>
    <mergeCell ref="N233:N234"/>
    <mergeCell ref="A223:A224"/>
    <mergeCell ref="B223:B224"/>
    <mergeCell ref="C223:H223"/>
    <mergeCell ref="I223:I224"/>
    <mergeCell ref="J223:J224"/>
    <mergeCell ref="A352:A353"/>
    <mergeCell ref="B352:B353"/>
    <mergeCell ref="C352:H352"/>
    <mergeCell ref="I352:I353"/>
    <mergeCell ref="J352:J353"/>
    <mergeCell ref="K352:K353"/>
    <mergeCell ref="M352:M353"/>
    <mergeCell ref="N352:N353"/>
    <mergeCell ref="A336:A337"/>
    <mergeCell ref="B336:B337"/>
    <mergeCell ref="C336:H336"/>
    <mergeCell ref="I336:I337"/>
    <mergeCell ref="J336:J337"/>
    <mergeCell ref="K336:K337"/>
    <mergeCell ref="M336:M337"/>
    <mergeCell ref="N336:N337"/>
    <mergeCell ref="A344:A345"/>
    <mergeCell ref="B344:B345"/>
    <mergeCell ref="C344:H344"/>
    <mergeCell ref="I344:I345"/>
    <mergeCell ref="J344:J345"/>
    <mergeCell ref="K344:K345"/>
    <mergeCell ref="M344:M345"/>
    <mergeCell ref="N344:N345"/>
  </mergeCells>
  <pageMargins left="0.31496062992125984" right="0.39370078740157483" top="3.937007874015748E-2" bottom="0.59055118110236227" header="0.31496062992125984" footer="0.31496062992125984"/>
  <pageSetup scale="38" orientation="landscape" r:id="rId1"/>
  <headerFooter>
    <oddFooter>&amp;C&amp;14ECOCE</oddFooter>
  </headerFooter>
  <rowBreaks count="5" manualBreakCount="5">
    <brk id="14" max="13" man="1"/>
    <brk id="28" max="13" man="1"/>
    <brk id="137" max="13" man="1"/>
    <brk id="493" max="13" man="1"/>
    <brk id="523" max="13"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CE16C-37DE-4B63-A993-6CA865A5944B}">
  <sheetPr>
    <tabColor rgb="FF00B0F0"/>
    <pageSetUpPr fitToPage="1"/>
  </sheetPr>
  <dimension ref="B1:N66"/>
  <sheetViews>
    <sheetView topLeftCell="A3" zoomScale="43" workbookViewId="0"/>
  </sheetViews>
  <sheetFormatPr baseColWidth="10" defaultColWidth="12.42578125" defaultRowHeight="14.25"/>
  <cols>
    <col min="1" max="1" width="12.42578125" style="211"/>
    <col min="2" max="2" width="11.42578125" style="211" customWidth="1"/>
    <col min="3" max="3" width="6.85546875" style="211" customWidth="1"/>
    <col min="4" max="4" width="30.85546875" style="211" customWidth="1"/>
    <col min="5" max="5" width="13" style="211" customWidth="1"/>
    <col min="6" max="6" width="12.140625" style="211" customWidth="1"/>
    <col min="7" max="7" width="14.42578125" style="211" customWidth="1"/>
    <col min="8" max="8" width="19.42578125" style="211" customWidth="1"/>
    <col min="9" max="9" width="23.28515625" style="211" customWidth="1"/>
    <col min="10" max="10" width="19.42578125" style="211" customWidth="1"/>
    <col min="11" max="11" width="14.5703125" style="211" customWidth="1"/>
    <col min="12" max="12" width="5.28515625" style="211" customWidth="1"/>
    <col min="13" max="13" width="15.140625" style="211" customWidth="1"/>
    <col min="14" max="14" width="7.85546875" style="211" customWidth="1"/>
    <col min="15" max="16384" width="12.42578125" style="211"/>
  </cols>
  <sheetData>
    <row r="1" spans="2:14" ht="38.25" customHeight="1"/>
    <row r="2" spans="2:14" ht="23.25">
      <c r="B2" s="1301"/>
      <c r="C2" s="1301"/>
      <c r="D2" s="1301"/>
      <c r="E2" s="1301"/>
      <c r="F2" s="1301"/>
      <c r="G2" s="1301"/>
      <c r="H2" s="1301"/>
      <c r="I2" s="1301"/>
      <c r="J2" s="1301"/>
      <c r="K2" s="1301"/>
      <c r="L2" s="1301"/>
      <c r="M2" s="1301"/>
      <c r="N2" s="1301"/>
    </row>
    <row r="3" spans="2:14" ht="23.25">
      <c r="B3" s="1301"/>
      <c r="C3" s="1301"/>
      <c r="D3" s="1301"/>
      <c r="E3" s="1301"/>
      <c r="F3" s="1301"/>
      <c r="G3" s="1301"/>
      <c r="H3" s="1301"/>
      <c r="I3" s="1301"/>
      <c r="J3" s="1301"/>
      <c r="K3" s="1301"/>
      <c r="L3" s="1301"/>
      <c r="M3" s="1301"/>
      <c r="N3" s="1301"/>
    </row>
    <row r="4" spans="2:14" ht="22.7" customHeight="1">
      <c r="B4" s="212"/>
      <c r="C4" s="212"/>
      <c r="D4" s="212"/>
      <c r="E4" s="212"/>
      <c r="F4" s="213"/>
    </row>
    <row r="5" spans="2:14" ht="57.75" customHeight="1">
      <c r="B5" s="1302" t="s">
        <v>1360</v>
      </c>
      <c r="C5" s="1302"/>
      <c r="D5" s="1302"/>
      <c r="E5" s="1302"/>
      <c r="F5" s="1302"/>
      <c r="G5" s="1302"/>
      <c r="H5" s="1302"/>
      <c r="I5" s="1302"/>
      <c r="J5" s="1302"/>
      <c r="K5" s="1302"/>
      <c r="L5" s="1302"/>
      <c r="M5" s="1302"/>
      <c r="N5" s="1302"/>
    </row>
    <row r="6" spans="2:14" ht="30" customHeight="1">
      <c r="C6" s="1016"/>
      <c r="D6" s="1016"/>
      <c r="E6" s="1016"/>
      <c r="F6" s="1016"/>
      <c r="G6" s="1016"/>
      <c r="H6" s="1016"/>
      <c r="I6" s="1016"/>
      <c r="J6" s="1016"/>
      <c r="K6" s="1016"/>
      <c r="L6" s="1016"/>
      <c r="M6" s="1016"/>
      <c r="N6" s="1016"/>
    </row>
    <row r="7" spans="2:14" ht="23.25" customHeight="1">
      <c r="B7" s="1016"/>
      <c r="C7" s="1016"/>
      <c r="D7" s="1016"/>
      <c r="E7" s="225"/>
      <c r="F7" s="325"/>
      <c r="G7" s="325" t="s">
        <v>242</v>
      </c>
      <c r="H7" s="326" t="s">
        <v>1361</v>
      </c>
      <c r="I7" s="327"/>
      <c r="J7" s="327"/>
      <c r="K7" s="327"/>
      <c r="L7" s="1016"/>
      <c r="M7" s="1016"/>
      <c r="N7" s="1016"/>
    </row>
    <row r="8" spans="2:14" ht="25.5">
      <c r="E8" s="225"/>
      <c r="F8" s="325"/>
      <c r="G8" s="325" t="s">
        <v>243</v>
      </c>
      <c r="H8" s="326" t="s">
        <v>1115</v>
      </c>
      <c r="I8" s="327"/>
      <c r="J8" s="327"/>
      <c r="K8" s="327"/>
    </row>
    <row r="9" spans="2:14" ht="24.75" customHeight="1">
      <c r="E9" s="225"/>
      <c r="F9" s="325"/>
      <c r="G9" s="325" t="s">
        <v>244</v>
      </c>
      <c r="H9" s="1293" t="s">
        <v>1362</v>
      </c>
      <c r="I9" s="1294"/>
      <c r="J9" s="1294"/>
      <c r="K9" s="1294"/>
    </row>
    <row r="10" spans="2:14" ht="14.25" customHeight="1"/>
    <row r="11" spans="2:14" ht="30" customHeight="1">
      <c r="C11" s="320" t="s">
        <v>245</v>
      </c>
      <c r="D11" s="321"/>
      <c r="E11" s="1017" t="s">
        <v>1363</v>
      </c>
      <c r="F11" s="1017" t="s">
        <v>57</v>
      </c>
      <c r="H11" s="323" t="s">
        <v>1364</v>
      </c>
      <c r="I11" s="1017"/>
      <c r="J11" s="1017" t="s">
        <v>1365</v>
      </c>
      <c r="K11" s="1023" t="s">
        <v>1366</v>
      </c>
    </row>
    <row r="12" spans="2:14" ht="23.1" customHeight="1">
      <c r="B12" s="214"/>
      <c r="C12" s="330" t="s">
        <v>249</v>
      </c>
      <c r="D12" s="331"/>
      <c r="E12" s="1014">
        <v>21</v>
      </c>
      <c r="F12" s="333">
        <f>CALCU_AU_MAYO21!D31</f>
        <v>3.5</v>
      </c>
      <c r="H12" s="1019" t="s">
        <v>1367</v>
      </c>
      <c r="I12" s="1020"/>
      <c r="J12" s="1020">
        <v>32</v>
      </c>
      <c r="K12" s="1020">
        <v>1</v>
      </c>
      <c r="L12" s="1289"/>
      <c r="M12" s="1289"/>
      <c r="N12" s="1289"/>
    </row>
    <row r="13" spans="2:14" ht="23.1" customHeight="1">
      <c r="B13" s="214"/>
      <c r="C13" s="334" t="s">
        <v>248</v>
      </c>
      <c r="D13" s="335"/>
      <c r="E13" s="1015">
        <v>1</v>
      </c>
      <c r="F13" s="337">
        <f>CALCU_AU_MAYO21!D29</f>
        <v>224</v>
      </c>
      <c r="H13" s="1021" t="s">
        <v>1368</v>
      </c>
      <c r="I13" s="1022"/>
      <c r="J13" s="1022">
        <v>21</v>
      </c>
      <c r="K13" s="1022">
        <v>2</v>
      </c>
      <c r="L13" s="1289"/>
      <c r="M13" s="1289"/>
      <c r="N13" s="1289"/>
    </row>
    <row r="14" spans="2:14" ht="23.1" customHeight="1">
      <c r="B14" s="214"/>
      <c r="C14" s="334" t="s">
        <v>251</v>
      </c>
      <c r="D14" s="335"/>
      <c r="E14" s="1015">
        <v>4</v>
      </c>
      <c r="F14" s="337">
        <f>CALCU_AU_MAYO21!D26</f>
        <v>0</v>
      </c>
      <c r="H14" s="1021" t="s">
        <v>1369</v>
      </c>
      <c r="I14" s="1022"/>
      <c r="J14" s="1022">
        <v>20</v>
      </c>
      <c r="K14" s="1022">
        <v>3</v>
      </c>
      <c r="L14" s="222"/>
      <c r="M14" s="222"/>
      <c r="N14" s="222"/>
    </row>
    <row r="15" spans="2:14" ht="23.1" customHeight="1">
      <c r="B15" s="214"/>
      <c r="C15" s="334" t="s">
        <v>1120</v>
      </c>
      <c r="D15" s="335"/>
      <c r="E15" s="1015">
        <v>0</v>
      </c>
      <c r="F15" s="337">
        <f>CALCU_AU_MAYO21!D27</f>
        <v>0</v>
      </c>
      <c r="H15" s="1021" t="s">
        <v>1370</v>
      </c>
      <c r="I15" s="1022"/>
      <c r="J15" s="1022">
        <v>17</v>
      </c>
      <c r="K15" s="1022">
        <v>1</v>
      </c>
      <c r="L15" s="222"/>
      <c r="M15" s="222"/>
      <c r="N15" s="222"/>
    </row>
    <row r="16" spans="2:14" ht="23.1" customHeight="1">
      <c r="B16" s="214"/>
      <c r="C16" s="334" t="s">
        <v>75</v>
      </c>
      <c r="D16" s="335"/>
      <c r="E16" s="1015">
        <v>6</v>
      </c>
      <c r="F16" s="337">
        <f>CALCU_AU_MAYO21!D24</f>
        <v>47</v>
      </c>
      <c r="H16" s="1021" t="s">
        <v>1371</v>
      </c>
      <c r="I16" s="1022"/>
      <c r="J16" s="1022">
        <v>15</v>
      </c>
      <c r="K16" s="1022">
        <v>1</v>
      </c>
      <c r="L16" s="222"/>
      <c r="M16" s="222"/>
      <c r="N16" s="222"/>
    </row>
    <row r="17" spans="2:14" ht="24" customHeight="1">
      <c r="B17" s="214"/>
      <c r="C17" s="330" t="s">
        <v>250</v>
      </c>
      <c r="D17" s="331"/>
      <c r="E17" s="1014">
        <v>1</v>
      </c>
      <c r="F17" s="333">
        <f>CALCU_AU_MAYO21!D32</f>
        <v>47</v>
      </c>
      <c r="H17" s="1021" t="s">
        <v>1372</v>
      </c>
      <c r="I17" s="1022"/>
      <c r="J17" s="1022">
        <v>15</v>
      </c>
      <c r="K17" s="1022">
        <v>2</v>
      </c>
      <c r="L17" s="222"/>
      <c r="M17" s="222"/>
      <c r="N17" s="222"/>
    </row>
    <row r="18" spans="2:14" ht="24" customHeight="1">
      <c r="B18" s="214"/>
      <c r="C18" s="334" t="s">
        <v>48</v>
      </c>
      <c r="D18" s="335"/>
      <c r="E18" s="1015">
        <v>8</v>
      </c>
      <c r="F18" s="337">
        <f>CALCU_AU_MAYO21!D23</f>
        <v>180</v>
      </c>
      <c r="H18" s="1021" t="s">
        <v>1373</v>
      </c>
      <c r="I18" s="1022"/>
      <c r="J18" s="1022">
        <v>13</v>
      </c>
      <c r="K18" s="1022">
        <v>1</v>
      </c>
      <c r="L18" s="222"/>
      <c r="M18" s="222"/>
      <c r="N18" s="222"/>
    </row>
    <row r="19" spans="2:14" ht="23.1" customHeight="1">
      <c r="B19" s="214"/>
      <c r="C19" s="334" t="s">
        <v>240</v>
      </c>
      <c r="D19" s="335"/>
      <c r="E19" s="1015">
        <v>1.5</v>
      </c>
      <c r="F19" s="413">
        <f>CALCU_AU_MAYO21!D35</f>
        <v>573.5</v>
      </c>
      <c r="H19" s="1021" t="s">
        <v>1374</v>
      </c>
      <c r="I19" s="1022"/>
      <c r="J19" s="1022">
        <v>11</v>
      </c>
      <c r="K19" s="1022">
        <v>1</v>
      </c>
      <c r="L19" s="222"/>
      <c r="M19" s="222"/>
      <c r="N19" s="222"/>
    </row>
    <row r="20" spans="2:14" ht="23.1" customHeight="1">
      <c r="B20" s="214"/>
      <c r="C20" s="339"/>
      <c r="D20" s="342"/>
      <c r="E20" s="339"/>
      <c r="F20" s="343">
        <f>SUM(F12:F19)</f>
        <v>1075</v>
      </c>
      <c r="H20" s="1021" t="s">
        <v>1375</v>
      </c>
      <c r="I20" s="1022"/>
      <c r="J20" s="1022">
        <v>10</v>
      </c>
      <c r="K20" s="1022">
        <v>4</v>
      </c>
      <c r="L20" s="222"/>
      <c r="M20" s="222"/>
      <c r="N20" s="222"/>
    </row>
    <row r="21" spans="2:14" ht="24.75" customHeight="1">
      <c r="B21" s="214"/>
      <c r="C21" s="214"/>
      <c r="H21" s="1021" t="s">
        <v>1376</v>
      </c>
      <c r="I21" s="1022"/>
      <c r="J21" s="1022">
        <v>10</v>
      </c>
      <c r="K21" s="1022">
        <v>2</v>
      </c>
      <c r="L21" s="222"/>
      <c r="M21" s="222"/>
      <c r="N21" s="222"/>
    </row>
    <row r="22" spans="2:14" ht="24.75" customHeight="1">
      <c r="B22" s="214"/>
      <c r="C22" s="214"/>
      <c r="H22" s="1021" t="s">
        <v>1377</v>
      </c>
      <c r="I22" s="1022"/>
      <c r="J22" s="1022">
        <v>10</v>
      </c>
      <c r="K22" s="1022">
        <v>1</v>
      </c>
      <c r="L22" s="222"/>
      <c r="M22" s="222"/>
      <c r="N22" s="222"/>
    </row>
    <row r="23" spans="2:14" ht="24.75" customHeight="1">
      <c r="B23" s="214"/>
      <c r="C23" s="214"/>
      <c r="H23" s="1021" t="s">
        <v>1378</v>
      </c>
      <c r="I23" s="1022"/>
      <c r="J23" s="1022">
        <v>8</v>
      </c>
      <c r="K23" s="1022">
        <v>2</v>
      </c>
      <c r="L23" s="222"/>
      <c r="M23" s="222"/>
      <c r="N23" s="222"/>
    </row>
    <row r="24" spans="2:14" ht="24" customHeight="1">
      <c r="B24" s="214"/>
      <c r="C24" s="214"/>
      <c r="H24" s="1021" t="s">
        <v>1379</v>
      </c>
      <c r="I24" s="1022"/>
      <c r="J24" s="1022">
        <v>8</v>
      </c>
      <c r="K24" s="1022">
        <v>4</v>
      </c>
      <c r="L24" s="222"/>
      <c r="M24" s="222"/>
      <c r="N24" s="222"/>
    </row>
    <row r="25" spans="2:14" ht="24" customHeight="1">
      <c r="B25" s="214"/>
      <c r="C25" s="214"/>
      <c r="H25" s="1021" t="s">
        <v>1380</v>
      </c>
      <c r="I25" s="1022"/>
      <c r="J25" s="1022">
        <v>6</v>
      </c>
      <c r="K25" s="1022">
        <v>3</v>
      </c>
      <c r="L25" s="222"/>
      <c r="M25" s="222"/>
      <c r="N25" s="222"/>
    </row>
    <row r="26" spans="2:14" ht="24" customHeight="1">
      <c r="B26" s="214"/>
      <c r="C26" s="214"/>
      <c r="H26" s="1021" t="s">
        <v>1381</v>
      </c>
      <c r="I26" s="1022"/>
      <c r="J26" s="1022">
        <v>5</v>
      </c>
      <c r="K26" s="1022">
        <v>5</v>
      </c>
      <c r="L26" s="222"/>
      <c r="M26" s="222"/>
      <c r="N26" s="222"/>
    </row>
    <row r="27" spans="2:14" ht="24" customHeight="1">
      <c r="B27" s="214"/>
      <c r="C27" s="214"/>
      <c r="H27" s="1021" t="s">
        <v>1245</v>
      </c>
      <c r="I27" s="1022"/>
      <c r="J27" s="1022">
        <v>5</v>
      </c>
      <c r="K27" s="1022">
        <v>2</v>
      </c>
      <c r="L27" s="222"/>
      <c r="M27" s="222"/>
      <c r="N27" s="222"/>
    </row>
    <row r="28" spans="2:14" ht="24" customHeight="1">
      <c r="B28" s="214"/>
      <c r="C28" s="214"/>
      <c r="H28" s="1021" t="s">
        <v>1382</v>
      </c>
      <c r="I28" s="1022"/>
      <c r="J28" s="1022">
        <v>3</v>
      </c>
      <c r="K28" s="1022">
        <v>3</v>
      </c>
      <c r="L28" s="222"/>
      <c r="M28" s="222"/>
      <c r="N28" s="222"/>
    </row>
    <row r="29" spans="2:14" ht="24" customHeight="1">
      <c r="B29" s="214"/>
      <c r="C29" s="214"/>
      <c r="H29" s="1021" t="s">
        <v>1383</v>
      </c>
      <c r="I29" s="1022"/>
      <c r="J29" s="1022">
        <v>2</v>
      </c>
      <c r="K29" s="1022">
        <v>15</v>
      </c>
      <c r="L29" s="222"/>
      <c r="M29" s="222"/>
      <c r="N29" s="222"/>
    </row>
    <row r="30" spans="2:14" ht="24" customHeight="1">
      <c r="B30" s="214"/>
      <c r="C30" s="214"/>
      <c r="H30" s="1021" t="s">
        <v>1384</v>
      </c>
      <c r="I30" s="1022"/>
      <c r="J30" s="1022">
        <v>1</v>
      </c>
      <c r="K30" s="1022">
        <v>8</v>
      </c>
      <c r="L30" s="222"/>
      <c r="M30" s="222"/>
      <c r="N30" s="222"/>
    </row>
    <row r="31" spans="2:14" ht="24" customHeight="1">
      <c r="B31" s="214"/>
      <c r="C31" s="214"/>
      <c r="H31" s="1018"/>
      <c r="I31" s="1018"/>
      <c r="J31" s="1018"/>
      <c r="K31" s="1024">
        <f>SUM(K12:K30)</f>
        <v>61</v>
      </c>
      <c r="L31" s="222"/>
      <c r="M31" s="222"/>
      <c r="N31" s="222"/>
    </row>
    <row r="32" spans="2:14" ht="17.25" customHeight="1">
      <c r="B32" s="1303"/>
      <c r="C32" s="1303"/>
      <c r="D32" s="1303"/>
      <c r="E32" s="1303"/>
      <c r="F32" s="1303"/>
      <c r="G32" s="1303"/>
      <c r="H32" s="1303"/>
      <c r="I32" s="1303"/>
      <c r="J32" s="1303"/>
      <c r="K32" s="1303"/>
      <c r="L32" s="1303"/>
      <c r="M32" s="1303"/>
      <c r="N32" s="1303"/>
    </row>
    <row r="33" spans="2:14" ht="32.25" customHeight="1">
      <c r="B33" s="345"/>
      <c r="C33" s="1304" t="s">
        <v>254</v>
      </c>
      <c r="D33" s="1304"/>
      <c r="E33" s="1304"/>
      <c r="F33" s="1304"/>
      <c r="G33" s="1304"/>
      <c r="H33" s="1304"/>
      <c r="I33" s="1304"/>
      <c r="J33" s="1304"/>
      <c r="K33" s="1304"/>
      <c r="L33" s="1304"/>
      <c r="M33" s="1304"/>
      <c r="N33" s="345"/>
    </row>
    <row r="34" spans="2:14" ht="6.75" customHeight="1">
      <c r="B34" s="345"/>
      <c r="C34" s="344"/>
      <c r="D34" s="344"/>
      <c r="E34" s="344"/>
      <c r="F34" s="344"/>
      <c r="G34" s="344"/>
      <c r="H34" s="344"/>
      <c r="I34" s="344"/>
      <c r="J34" s="344"/>
      <c r="K34" s="344"/>
      <c r="L34" s="344"/>
      <c r="M34" s="344"/>
      <c r="N34" s="345"/>
    </row>
    <row r="35" spans="2:14" ht="60" customHeight="1">
      <c r="B35" s="317"/>
      <c r="C35" s="1287" t="s">
        <v>253</v>
      </c>
      <c r="D35" s="1287"/>
      <c r="E35" s="1287"/>
      <c r="F35" s="1287"/>
      <c r="G35" s="1287"/>
      <c r="H35" s="1287"/>
      <c r="I35" s="1287"/>
      <c r="J35" s="1287"/>
      <c r="K35" s="1287"/>
      <c r="L35" s="1287"/>
      <c r="M35" s="1287"/>
      <c r="N35" s="220"/>
    </row>
    <row r="36" spans="2:14" ht="2.25" customHeight="1">
      <c r="B36" s="212"/>
      <c r="C36" s="318"/>
      <c r="D36" s="324"/>
      <c r="E36" s="324"/>
      <c r="F36" s="324"/>
      <c r="G36" s="324"/>
      <c r="H36" s="324"/>
      <c r="I36" s="324"/>
      <c r="J36" s="324"/>
      <c r="K36" s="324"/>
      <c r="L36" s="324"/>
      <c r="M36" s="318"/>
    </row>
    <row r="37" spans="2:14" ht="23.1" customHeight="1">
      <c r="B37" s="212"/>
      <c r="C37" s="347"/>
      <c r="D37" s="1292"/>
      <c r="E37" s="1292"/>
      <c r="F37" s="1292"/>
      <c r="G37" s="1292"/>
      <c r="H37" s="1292"/>
      <c r="I37" s="348"/>
      <c r="J37" s="348"/>
      <c r="K37" s="348"/>
      <c r="L37" s="348"/>
      <c r="M37" s="348"/>
      <c r="N37" s="212"/>
    </row>
    <row r="38" spans="2:14" ht="28.5" customHeight="1">
      <c r="B38" s="212"/>
      <c r="C38" s="1295"/>
      <c r="D38" s="1295"/>
      <c r="E38" s="1295"/>
      <c r="F38" s="1295"/>
      <c r="G38" s="349"/>
      <c r="H38" s="350">
        <f>CALCU_AU_MAYO21!I38</f>
        <v>6.2399150000000008</v>
      </c>
      <c r="I38" s="351" t="s">
        <v>170</v>
      </c>
      <c r="J38" s="351"/>
      <c r="K38" s="351"/>
      <c r="L38" s="351"/>
      <c r="M38" s="351"/>
      <c r="N38" s="215"/>
    </row>
    <row r="39" spans="2:14" ht="27.95" customHeight="1">
      <c r="B39" s="212"/>
      <c r="C39" s="1290">
        <f>F20</f>
        <v>1075</v>
      </c>
      <c r="D39" s="1290"/>
      <c r="E39" s="1290"/>
      <c r="F39" s="348"/>
      <c r="G39" s="348"/>
      <c r="H39" s="348"/>
      <c r="I39" s="352"/>
      <c r="J39" s="352"/>
      <c r="K39" s="352"/>
      <c r="L39" s="352"/>
      <c r="M39" s="352"/>
      <c r="N39" s="346"/>
    </row>
    <row r="40" spans="2:14" ht="30" customHeight="1">
      <c r="B40" s="212"/>
      <c r="C40" s="347"/>
      <c r="D40" s="351"/>
      <c r="E40" s="351"/>
      <c r="F40" s="351"/>
      <c r="G40" s="351"/>
      <c r="H40" s="350">
        <f>CALCU_AU_MAYO21!K38</f>
        <v>12569.945</v>
      </c>
      <c r="I40" s="351" t="s">
        <v>171</v>
      </c>
      <c r="J40" s="351"/>
      <c r="K40" s="351"/>
      <c r="L40" s="351"/>
      <c r="M40" s="351"/>
      <c r="N40" s="215"/>
    </row>
    <row r="41" spans="2:14" ht="27.75" customHeight="1">
      <c r="B41" s="212"/>
      <c r="C41" s="347"/>
      <c r="D41" s="351"/>
      <c r="E41" s="351"/>
      <c r="F41" s="353"/>
      <c r="G41" s="353"/>
      <c r="H41" s="353"/>
      <c r="I41" s="352"/>
      <c r="J41" s="352"/>
      <c r="K41" s="352"/>
      <c r="L41" s="352"/>
      <c r="M41" s="352"/>
      <c r="N41" s="346"/>
    </row>
    <row r="42" spans="2:14" ht="32.25" customHeight="1">
      <c r="B42" s="212"/>
      <c r="C42" s="355"/>
      <c r="D42" s="355"/>
      <c r="E42" s="355"/>
      <c r="F42" s="351"/>
      <c r="G42" s="351"/>
      <c r="H42" s="350">
        <f>CALCU_AU_MAYO21!F38</f>
        <v>994.8642000000001</v>
      </c>
      <c r="I42" s="351" t="s">
        <v>173</v>
      </c>
      <c r="J42" s="351"/>
      <c r="K42" s="351"/>
      <c r="L42" s="351"/>
      <c r="M42" s="351"/>
      <c r="N42" s="215"/>
    </row>
    <row r="43" spans="2:14" ht="27.75" customHeight="1">
      <c r="B43" s="212"/>
      <c r="C43" s="355"/>
      <c r="D43" s="355"/>
      <c r="E43" s="355"/>
      <c r="F43" s="354"/>
      <c r="G43" s="355"/>
      <c r="H43" s="354"/>
      <c r="I43" s="352"/>
      <c r="J43" s="352"/>
      <c r="K43" s="352"/>
      <c r="L43" s="352"/>
      <c r="M43" s="352"/>
      <c r="N43" s="346"/>
    </row>
    <row r="44" spans="2:14" ht="30" customHeight="1">
      <c r="B44" s="212"/>
      <c r="C44" s="1291" t="s">
        <v>255</v>
      </c>
      <c r="D44" s="1291"/>
      <c r="E44" s="1291"/>
      <c r="F44" s="348"/>
      <c r="G44" s="348"/>
      <c r="H44" s="356">
        <f>CALCU_AU_MAYO21!M38</f>
        <v>6327.4801600000001</v>
      </c>
      <c r="I44" s="351" t="s">
        <v>174</v>
      </c>
      <c r="J44" s="351"/>
      <c r="K44" s="351"/>
      <c r="L44" s="351"/>
      <c r="M44" s="351"/>
      <c r="N44" s="215"/>
    </row>
    <row r="45" spans="2:14" ht="27.75" customHeight="1">
      <c r="B45" s="212"/>
      <c r="C45" s="367"/>
      <c r="D45" s="366" t="s">
        <v>256</v>
      </c>
      <c r="E45" s="367"/>
      <c r="F45" s="354"/>
      <c r="G45" s="354"/>
      <c r="H45" s="354"/>
      <c r="I45" s="357"/>
      <c r="J45" s="358"/>
      <c r="K45" s="358"/>
      <c r="L45" s="358"/>
      <c r="M45" s="358"/>
      <c r="N45" s="222"/>
    </row>
    <row r="46" spans="2:14" ht="30" customHeight="1">
      <c r="B46" s="212"/>
      <c r="C46" s="355"/>
      <c r="D46" s="355"/>
      <c r="E46" s="355"/>
      <c r="F46" s="349"/>
      <c r="G46" s="349"/>
      <c r="H46" s="350">
        <f>CALCU_AU_MAYO21!S38</f>
        <v>18.744318</v>
      </c>
      <c r="I46" s="351" t="s">
        <v>175</v>
      </c>
      <c r="J46" s="351"/>
      <c r="K46" s="351"/>
      <c r="L46" s="351"/>
      <c r="M46" s="351"/>
      <c r="N46" s="215"/>
    </row>
    <row r="47" spans="2:14" ht="27.75" customHeight="1">
      <c r="B47" s="213"/>
      <c r="C47" s="347"/>
      <c r="D47" s="355"/>
      <c r="E47" s="359"/>
      <c r="F47" s="359"/>
      <c r="G47" s="355"/>
      <c r="H47" s="359"/>
      <c r="I47" s="355"/>
      <c r="J47" s="355"/>
      <c r="K47" s="360"/>
      <c r="L47" s="360"/>
      <c r="M47" s="360"/>
      <c r="N47" s="224"/>
    </row>
    <row r="48" spans="2:14" ht="3.75" customHeight="1"/>
    <row r="49" spans="2:14">
      <c r="C49" s="355"/>
      <c r="D49" s="355"/>
      <c r="E49" s="355"/>
      <c r="F49" s="355"/>
      <c r="G49" s="355"/>
      <c r="H49" s="355"/>
      <c r="I49" s="355"/>
      <c r="J49" s="355"/>
      <c r="K49" s="355"/>
      <c r="L49" s="355"/>
      <c r="M49" s="355"/>
    </row>
    <row r="50" spans="2:14" ht="53.1" customHeight="1">
      <c r="B50" s="319"/>
      <c r="C50" s="361"/>
      <c r="D50" s="1300" t="s">
        <v>257</v>
      </c>
      <c r="E50" s="1298"/>
      <c r="F50" s="1298"/>
      <c r="G50" s="355"/>
      <c r="H50" s="449">
        <f>CALCU_AU_MAYO21!Q38</f>
        <v>7.4790000000000001</v>
      </c>
      <c r="I50" s="1297" t="s">
        <v>371</v>
      </c>
      <c r="J50" s="1297"/>
      <c r="K50" s="1297"/>
      <c r="L50" s="1297"/>
      <c r="M50" s="1297"/>
      <c r="N50" s="319"/>
    </row>
    <row r="51" spans="2:14" ht="28.5" customHeight="1">
      <c r="B51" s="215"/>
      <c r="C51" s="355"/>
      <c r="D51" s="1300"/>
      <c r="E51" s="351"/>
      <c r="F51" s="351"/>
      <c r="G51" s="355"/>
      <c r="H51" s="355"/>
      <c r="I51" s="1297"/>
      <c r="J51" s="1297"/>
      <c r="K51" s="1297"/>
      <c r="L51" s="1297"/>
      <c r="M51" s="1297"/>
      <c r="N51" s="215"/>
    </row>
    <row r="52" spans="2:14" ht="29.25" customHeight="1">
      <c r="B52" s="215"/>
      <c r="C52" s="362"/>
      <c r="D52" s="1300"/>
      <c r="E52" s="1299"/>
      <c r="F52" s="1299"/>
      <c r="G52" s="351"/>
      <c r="H52" s="363">
        <f>CALCU_AU_MAYO21!O38</f>
        <v>979.904</v>
      </c>
      <c r="I52" s="1296" t="s">
        <v>258</v>
      </c>
      <c r="J52" s="1296"/>
      <c r="K52" s="1296"/>
      <c r="L52" s="1296"/>
      <c r="M52" s="1296"/>
      <c r="N52" s="220"/>
    </row>
    <row r="53" spans="2:14" ht="35.25" customHeight="1">
      <c r="B53" s="319"/>
      <c r="C53" s="364"/>
      <c r="D53" s="365"/>
      <c r="E53" s="365"/>
      <c r="F53" s="365"/>
      <c r="G53" s="364"/>
      <c r="H53" s="364"/>
      <c r="I53" s="1296"/>
      <c r="J53" s="1296"/>
      <c r="K53" s="1296"/>
      <c r="L53" s="1296"/>
      <c r="M53" s="1296"/>
      <c r="N53" s="220"/>
    </row>
    <row r="54" spans="2:14" ht="6" customHeight="1">
      <c r="B54" s="319"/>
      <c r="C54" s="364"/>
      <c r="D54" s="364"/>
      <c r="E54" s="364"/>
      <c r="F54" s="364"/>
      <c r="G54" s="364"/>
      <c r="H54" s="364"/>
      <c r="I54" s="1296"/>
      <c r="J54" s="1296"/>
      <c r="K54" s="1296"/>
      <c r="L54" s="1296"/>
      <c r="M54" s="1296"/>
      <c r="N54" s="319"/>
    </row>
    <row r="55" spans="2:14" ht="35.25" customHeight="1"/>
    <row r="56" spans="2:14" ht="35.25" customHeight="1">
      <c r="C56" s="319"/>
      <c r="D56" s="319"/>
      <c r="E56" s="319"/>
      <c r="F56" s="319"/>
      <c r="G56" s="319"/>
      <c r="H56" s="319"/>
      <c r="I56" s="319"/>
      <c r="J56" s="319"/>
      <c r="K56" s="319"/>
      <c r="L56" s="319"/>
      <c r="M56" s="319"/>
      <c r="N56" s="319"/>
    </row>
    <row r="57" spans="2:14" ht="14.25" customHeight="1">
      <c r="C57" s="319"/>
      <c r="D57" s="319"/>
      <c r="E57" s="319"/>
      <c r="F57" s="319"/>
      <c r="G57" s="319"/>
      <c r="H57" s="319"/>
      <c r="I57" s="319"/>
      <c r="J57" s="319"/>
      <c r="K57" s="319"/>
      <c r="L57" s="319"/>
      <c r="M57" s="319"/>
      <c r="N57" s="319"/>
    </row>
    <row r="58" spans="2:14" ht="14.25" customHeight="1">
      <c r="B58" s="1288" t="s">
        <v>150</v>
      </c>
      <c r="C58" s="1288"/>
      <c r="D58" s="1288"/>
      <c r="E58" s="1288"/>
      <c r="F58" s="1288"/>
      <c r="G58" s="1288"/>
      <c r="H58" s="1288"/>
      <c r="I58" s="1288"/>
      <c r="J58" s="1288"/>
      <c r="K58" s="1288"/>
      <c r="L58" s="1288"/>
      <c r="M58" s="1288"/>
      <c r="N58" s="1288"/>
    </row>
    <row r="59" spans="2:14" ht="14.25" customHeight="1">
      <c r="B59" s="1288"/>
      <c r="C59" s="1288"/>
      <c r="D59" s="1288"/>
      <c r="E59" s="1288"/>
      <c r="F59" s="1288"/>
      <c r="G59" s="1288"/>
      <c r="H59" s="1288"/>
      <c r="I59" s="1288"/>
      <c r="J59" s="1288"/>
      <c r="K59" s="1288"/>
      <c r="L59" s="1288"/>
      <c r="M59" s="1288"/>
      <c r="N59" s="1288"/>
    </row>
    <row r="60" spans="2:14" ht="14.25" customHeight="1">
      <c r="B60" s="319"/>
      <c r="C60" s="319"/>
      <c r="D60" s="319"/>
      <c r="E60" s="319"/>
      <c r="F60" s="319"/>
      <c r="G60" s="319"/>
      <c r="H60" s="319"/>
      <c r="I60" s="319"/>
      <c r="J60" s="319"/>
      <c r="K60" s="319"/>
      <c r="L60" s="319"/>
      <c r="M60" s="319"/>
      <c r="N60" s="319"/>
    </row>
    <row r="61" spans="2:14" ht="14.25" customHeight="1"/>
    <row r="62" spans="2:14" ht="14.25" customHeight="1"/>
    <row r="63" spans="2:14" ht="14.25" customHeight="1">
      <c r="B63" s="319"/>
      <c r="C63" s="319"/>
      <c r="D63" s="319"/>
      <c r="E63" s="319"/>
      <c r="F63" s="319"/>
      <c r="G63" s="319"/>
      <c r="H63" s="319"/>
      <c r="I63" s="319"/>
      <c r="J63" s="319"/>
      <c r="K63" s="319"/>
      <c r="L63" s="319"/>
      <c r="M63" s="319"/>
      <c r="N63" s="319"/>
    </row>
    <row r="64" spans="2:14" ht="14.25" customHeight="1">
      <c r="B64" s="319"/>
      <c r="C64" s="319"/>
      <c r="D64" s="319"/>
      <c r="E64" s="319"/>
      <c r="F64" s="319"/>
      <c r="G64" s="319"/>
      <c r="H64" s="319"/>
      <c r="I64" s="319"/>
      <c r="J64" s="319"/>
      <c r="K64" s="319"/>
      <c r="L64" s="319"/>
      <c r="M64" s="319"/>
      <c r="N64" s="319"/>
    </row>
    <row r="65" spans="2:14" ht="14.25" customHeight="1">
      <c r="B65" s="319"/>
      <c r="C65" s="319"/>
      <c r="D65" s="319"/>
      <c r="E65" s="319"/>
      <c r="F65" s="319"/>
      <c r="G65" s="319"/>
      <c r="H65" s="319"/>
      <c r="I65" s="319"/>
      <c r="J65" s="319"/>
      <c r="K65" s="319"/>
      <c r="L65" s="319"/>
      <c r="M65" s="319"/>
      <c r="N65" s="319"/>
    </row>
    <row r="66" spans="2:14" ht="20.25">
      <c r="H66" s="228"/>
    </row>
  </sheetData>
  <mergeCells count="19">
    <mergeCell ref="B2:N2"/>
    <mergeCell ref="B3:N3"/>
    <mergeCell ref="H9:K9"/>
    <mergeCell ref="L12:N12"/>
    <mergeCell ref="L13:N13"/>
    <mergeCell ref="B5:N5"/>
    <mergeCell ref="B58:N59"/>
    <mergeCell ref="C44:E44"/>
    <mergeCell ref="D50:D52"/>
    <mergeCell ref="E50:F50"/>
    <mergeCell ref="I50:M51"/>
    <mergeCell ref="E52:F52"/>
    <mergeCell ref="I52:M54"/>
    <mergeCell ref="B32:N32"/>
    <mergeCell ref="C33:M33"/>
    <mergeCell ref="C35:M35"/>
    <mergeCell ref="D37:H37"/>
    <mergeCell ref="C39:E39"/>
    <mergeCell ref="C38:F38"/>
  </mergeCells>
  <printOptions horizontalCentered="1" verticalCentered="1"/>
  <pageMargins left="0.2" right="0.25" top="0.26" bottom="0.2" header="0.2" footer="0.23"/>
  <pageSetup paperSize="9" scale="45"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FFC000"/>
  </sheetPr>
  <dimension ref="A3:M52"/>
  <sheetViews>
    <sheetView topLeftCell="C1" zoomScale="58" workbookViewId="0">
      <selection activeCell="B15" sqref="B15:L16"/>
    </sheetView>
  </sheetViews>
  <sheetFormatPr baseColWidth="10" defaultColWidth="12.42578125" defaultRowHeight="14.25"/>
  <cols>
    <col min="1" max="1" width="11.42578125" style="211" customWidth="1"/>
    <col min="2" max="2" width="6.85546875" style="211" customWidth="1"/>
    <col min="3" max="3" width="16.42578125" style="211" customWidth="1"/>
    <col min="4" max="4" width="12.7109375" style="211" customWidth="1"/>
    <col min="5" max="5" width="8" style="211" customWidth="1"/>
    <col min="6" max="6" width="26.140625" style="211" customWidth="1"/>
    <col min="7" max="7" width="19.42578125" style="211" customWidth="1"/>
    <col min="8" max="8" width="21.7109375" style="211" customWidth="1"/>
    <col min="9" max="9" width="12.42578125" style="211" customWidth="1"/>
    <col min="10" max="10" width="9.42578125" style="211" customWidth="1"/>
    <col min="11" max="11" width="5.28515625" style="211" customWidth="1"/>
    <col min="12" max="12" width="25.7109375" style="211" customWidth="1"/>
    <col min="13" max="13" width="15.42578125" style="211" customWidth="1"/>
    <col min="14" max="16384" width="12.42578125" style="211"/>
  </cols>
  <sheetData>
    <row r="3" spans="1:13" ht="23.25">
      <c r="A3" s="1301"/>
      <c r="B3" s="1301"/>
      <c r="C3" s="1301"/>
      <c r="D3" s="1301"/>
      <c r="E3" s="1301"/>
      <c r="F3" s="1301"/>
      <c r="G3" s="1301"/>
      <c r="H3" s="1301"/>
      <c r="I3" s="1301"/>
      <c r="J3" s="1301"/>
      <c r="K3" s="1301"/>
      <c r="L3" s="1301"/>
      <c r="M3" s="1301"/>
    </row>
    <row r="4" spans="1:13" ht="23.1" customHeight="1">
      <c r="A4" s="212"/>
      <c r="B4" s="212"/>
      <c r="C4" s="1301"/>
      <c r="D4" s="1301"/>
      <c r="E4" s="213"/>
    </row>
    <row r="5" spans="1:13" ht="23.25">
      <c r="A5" s="212"/>
      <c r="B5" s="212"/>
      <c r="C5" s="1301"/>
      <c r="D5" s="1301"/>
      <c r="E5" s="213"/>
    </row>
    <row r="6" spans="1:13" ht="23.25">
      <c r="A6" s="212"/>
      <c r="B6" s="212"/>
      <c r="C6" s="1301"/>
      <c r="D6" s="1301"/>
      <c r="E6" s="213"/>
    </row>
    <row r="7" spans="1:13" ht="72.75" customHeight="1">
      <c r="A7" s="1349" t="s">
        <v>165</v>
      </c>
      <c r="B7" s="1349"/>
      <c r="C7" s="1349"/>
      <c r="D7" s="1349"/>
      <c r="E7" s="1349"/>
      <c r="F7" s="1349"/>
      <c r="G7" s="1349"/>
      <c r="H7" s="1349"/>
      <c r="I7" s="1349"/>
      <c r="J7" s="1349"/>
      <c r="K7" s="1349"/>
      <c r="L7" s="1349"/>
      <c r="M7" s="1349"/>
    </row>
    <row r="8" spans="1:13" ht="24.75" customHeight="1"/>
    <row r="9" spans="1:13" ht="23.1" customHeight="1">
      <c r="A9" s="1350" t="str">
        <f>CALCU_AU_MAYO21!F7</f>
        <v>CERTIFICADO MOVIL + SOCIAL</v>
      </c>
      <c r="B9" s="1350"/>
      <c r="C9" s="1350"/>
      <c r="D9" s="1350"/>
      <c r="E9" s="1350"/>
      <c r="F9" s="1350"/>
      <c r="G9" s="1350"/>
      <c r="H9" s="1350"/>
      <c r="I9" s="1350"/>
      <c r="J9" s="1350"/>
      <c r="K9" s="1350"/>
      <c r="L9" s="1350"/>
      <c r="M9" s="1350"/>
    </row>
    <row r="10" spans="1:13" ht="23.1" customHeight="1">
      <c r="A10" s="1350"/>
      <c r="B10" s="1350"/>
      <c r="C10" s="1350"/>
      <c r="D10" s="1350"/>
      <c r="E10" s="1350"/>
      <c r="F10" s="1350"/>
      <c r="G10" s="1350"/>
      <c r="H10" s="1350"/>
      <c r="I10" s="1350"/>
      <c r="J10" s="1350"/>
      <c r="K10" s="1350"/>
      <c r="L10" s="1350"/>
      <c r="M10" s="1350"/>
    </row>
    <row r="11" spans="1:13" ht="35.25">
      <c r="A11" s="214"/>
      <c r="B11" s="214"/>
      <c r="C11" s="1346" t="s">
        <v>264</v>
      </c>
      <c r="D11" s="1346"/>
      <c r="E11" s="1346"/>
      <c r="F11" s="1346"/>
      <c r="G11" s="1289">
        <f>CALCU_AU_MAYO21!F9</f>
        <v>0</v>
      </c>
      <c r="H11" s="1289"/>
      <c r="I11" s="1289"/>
      <c r="J11" s="1289"/>
      <c r="K11" s="1289"/>
      <c r="L11" s="1289"/>
      <c r="M11" s="214"/>
    </row>
    <row r="12" spans="1:13" ht="23.1" customHeight="1">
      <c r="A12" s="214"/>
      <c r="B12" s="214"/>
      <c r="C12" s="1346" t="s">
        <v>265</v>
      </c>
      <c r="D12" s="1346"/>
      <c r="E12" s="1346"/>
      <c r="F12" s="1346"/>
      <c r="G12" s="1347">
        <f>CALCU_AU_MAYO21!F10</f>
        <v>0</v>
      </c>
      <c r="H12" s="1337"/>
      <c r="I12" s="1337"/>
      <c r="J12" s="1337"/>
      <c r="K12" s="214"/>
      <c r="L12" s="214"/>
      <c r="M12" s="214"/>
    </row>
    <row r="13" spans="1:13" ht="23.1" customHeight="1">
      <c r="A13" s="214"/>
      <c r="B13" s="214"/>
      <c r="C13" s="1346" t="s">
        <v>243</v>
      </c>
      <c r="D13" s="1346"/>
      <c r="E13" s="1346"/>
      <c r="F13" s="1346"/>
      <c r="G13" s="1337">
        <f>CALCU_AU_MAYO21!F8</f>
        <v>0</v>
      </c>
      <c r="H13" s="1337"/>
      <c r="I13" s="1337"/>
      <c r="J13" s="1337"/>
      <c r="K13" s="214"/>
      <c r="L13" s="214"/>
      <c r="M13" s="214"/>
    </row>
    <row r="14" spans="1:13" ht="39" customHeight="1">
      <c r="A14" s="213"/>
      <c r="B14" s="213"/>
      <c r="D14" s="1346" t="s">
        <v>266</v>
      </c>
      <c r="E14" s="1346"/>
      <c r="F14" s="1346"/>
      <c r="G14" s="224">
        <f>CALCU_AU_MAYO21!F11</f>
        <v>0</v>
      </c>
      <c r="H14" s="215"/>
      <c r="I14" s="215"/>
      <c r="K14" s="213"/>
      <c r="L14" s="213"/>
      <c r="M14" s="213"/>
    </row>
    <row r="15" spans="1:13" ht="54" customHeight="1">
      <c r="A15" s="1348"/>
      <c r="B15" s="1289" t="s">
        <v>167</v>
      </c>
      <c r="C15" s="1289"/>
      <c r="D15" s="1289"/>
      <c r="E15" s="1289"/>
      <c r="F15" s="1289"/>
      <c r="G15" s="1289"/>
      <c r="H15" s="1289"/>
      <c r="I15" s="1289"/>
      <c r="J15" s="1289"/>
      <c r="K15" s="1289"/>
      <c r="L15" s="1289"/>
      <c r="M15" s="215"/>
    </row>
    <row r="16" spans="1:13" ht="63.75" customHeight="1">
      <c r="A16" s="1348"/>
      <c r="B16" s="1289"/>
      <c r="C16" s="1289"/>
      <c r="D16" s="1289"/>
      <c r="E16" s="1289"/>
      <c r="F16" s="1289"/>
      <c r="G16" s="1289"/>
      <c r="H16" s="1289"/>
      <c r="I16" s="1289"/>
      <c r="J16" s="1289"/>
      <c r="K16" s="1289"/>
      <c r="L16" s="1289"/>
      <c r="M16" s="215"/>
    </row>
    <row r="17" spans="1:13" ht="14.25" customHeight="1">
      <c r="A17" s="1348"/>
      <c r="B17" s="215"/>
      <c r="C17" s="215"/>
      <c r="D17" s="215"/>
      <c r="E17" s="215"/>
      <c r="F17" s="215"/>
      <c r="G17" s="215"/>
      <c r="H17" s="215"/>
      <c r="I17" s="215"/>
      <c r="J17" s="215"/>
      <c r="K17" s="215"/>
      <c r="L17" s="215"/>
      <c r="M17" s="215"/>
    </row>
    <row r="18" spans="1:13" ht="14.25" customHeight="1">
      <c r="A18" s="1348"/>
      <c r="B18" s="215"/>
      <c r="C18" s="215"/>
      <c r="D18" s="215"/>
      <c r="E18" s="215"/>
      <c r="F18" s="215"/>
      <c r="G18" s="215"/>
      <c r="H18" s="215"/>
      <c r="I18" s="215"/>
      <c r="J18" s="215"/>
      <c r="K18" s="215"/>
      <c r="L18" s="215"/>
      <c r="M18" s="215"/>
    </row>
    <row r="19" spans="1:13" ht="30" customHeight="1">
      <c r="A19" s="1301"/>
      <c r="B19" s="212"/>
      <c r="C19" s="1340" t="s">
        <v>168</v>
      </c>
      <c r="D19" s="1340"/>
      <c r="E19" s="1340"/>
      <c r="F19" s="1340"/>
      <c r="G19" s="216"/>
      <c r="H19" s="1340" t="s">
        <v>169</v>
      </c>
      <c r="I19" s="1340"/>
      <c r="J19" s="1340"/>
      <c r="K19" s="1340"/>
      <c r="L19" s="1340"/>
      <c r="M19" s="1340"/>
    </row>
    <row r="20" spans="1:13" ht="23.1" customHeight="1">
      <c r="A20" s="1301"/>
      <c r="B20" s="213"/>
      <c r="C20" s="1301"/>
      <c r="D20" s="1301"/>
      <c r="E20" s="1301"/>
      <c r="F20" s="1301"/>
      <c r="G20" s="1301"/>
      <c r="H20" s="1341"/>
      <c r="I20" s="1341"/>
      <c r="J20" s="1341"/>
      <c r="K20" s="1341"/>
      <c r="L20" s="1341"/>
      <c r="M20" s="1341"/>
    </row>
    <row r="21" spans="1:13" ht="23.25">
      <c r="A21" s="1301"/>
      <c r="B21" s="213"/>
      <c r="C21" s="1336"/>
      <c r="D21" s="1336"/>
      <c r="E21" s="1336"/>
      <c r="F21" s="1336"/>
      <c r="G21" s="1336"/>
      <c r="H21" s="450">
        <f>CALCU_AU_MAYO21!I38</f>
        <v>6.2399150000000008</v>
      </c>
      <c r="I21" s="1337" t="s">
        <v>170</v>
      </c>
      <c r="J21" s="1337"/>
      <c r="K21" s="1337"/>
      <c r="L21" s="1337"/>
      <c r="M21" s="1337"/>
    </row>
    <row r="22" spans="1:13" ht="27.95" customHeight="1">
      <c r="A22" s="1301"/>
      <c r="B22" s="213"/>
      <c r="C22" s="1342"/>
      <c r="D22" s="1342"/>
      <c r="E22" s="1342"/>
      <c r="F22" s="1342"/>
      <c r="G22" s="1342"/>
      <c r="H22" s="1343"/>
      <c r="I22" s="1343"/>
      <c r="J22" s="1343"/>
      <c r="K22" s="1343"/>
      <c r="L22" s="1343"/>
      <c r="M22" s="1343"/>
    </row>
    <row r="23" spans="1:13" ht="23.25">
      <c r="A23" s="1301"/>
      <c r="B23" s="213"/>
      <c r="C23" s="215"/>
      <c r="D23" s="215"/>
      <c r="E23" s="215"/>
      <c r="F23" s="215"/>
      <c r="G23" s="215"/>
      <c r="H23" s="451">
        <f>CALCU_AU_MAYO21!K38</f>
        <v>12569.945</v>
      </c>
      <c r="I23" s="1337" t="s">
        <v>171</v>
      </c>
      <c r="J23" s="1337"/>
      <c r="K23" s="1337"/>
      <c r="L23" s="1337"/>
      <c r="M23" s="1337"/>
    </row>
    <row r="24" spans="1:13" ht="26.25">
      <c r="A24" s="1301"/>
      <c r="B24" s="213"/>
      <c r="C24" s="215"/>
      <c r="D24" s="215"/>
      <c r="E24" s="217"/>
      <c r="F24" s="217"/>
      <c r="G24" s="217"/>
      <c r="H24" s="1343"/>
      <c r="I24" s="1343"/>
      <c r="J24" s="1343"/>
      <c r="K24" s="1343"/>
      <c r="L24" s="1343"/>
      <c r="M24" s="1343"/>
    </row>
    <row r="25" spans="1:13" ht="23.25">
      <c r="A25" s="1301"/>
      <c r="B25" s="213"/>
      <c r="C25" s="1338" t="s">
        <v>172</v>
      </c>
      <c r="D25" s="1338"/>
      <c r="E25" s="1338"/>
      <c r="F25" s="1338"/>
      <c r="G25" s="217"/>
      <c r="H25" s="451">
        <f>CALCU_AU_MAYO21!F38</f>
        <v>994.8642000000001</v>
      </c>
      <c r="I25" s="1337" t="s">
        <v>173</v>
      </c>
      <c r="J25" s="1337"/>
      <c r="K25" s="1337"/>
      <c r="L25" s="1337"/>
      <c r="M25" s="1337"/>
    </row>
    <row r="26" spans="1:13" ht="27.95" customHeight="1">
      <c r="A26" s="1301"/>
      <c r="B26" s="1344">
        <f>CALCU_AU_MAYO21!D38</f>
        <v>1324</v>
      </c>
      <c r="C26" s="1344"/>
      <c r="D26" s="219" t="s">
        <v>162</v>
      </c>
      <c r="E26" s="219"/>
      <c r="G26" s="219"/>
      <c r="H26" s="1343"/>
      <c r="I26" s="1343"/>
      <c r="J26" s="1343"/>
      <c r="K26" s="1343"/>
      <c r="L26" s="1343"/>
      <c r="M26" s="1343"/>
    </row>
    <row r="27" spans="1:13" ht="23.25">
      <c r="A27" s="1301"/>
      <c r="B27" s="213"/>
      <c r="C27" s="1342"/>
      <c r="D27" s="1342"/>
      <c r="E27" s="1342"/>
      <c r="F27" s="1342"/>
      <c r="G27" s="1342"/>
      <c r="H27" s="452">
        <f>CALCU_AU_MAYO21!M38</f>
        <v>6327.4801600000001</v>
      </c>
      <c r="I27" s="1337" t="s">
        <v>174</v>
      </c>
      <c r="J27" s="1337"/>
      <c r="K27" s="1337"/>
      <c r="L27" s="1337"/>
      <c r="M27" s="1337"/>
    </row>
    <row r="28" spans="1:13" ht="26.25">
      <c r="A28" s="1301"/>
      <c r="B28" s="213"/>
      <c r="C28" s="1342"/>
      <c r="D28" s="1342"/>
      <c r="E28" s="1342"/>
      <c r="F28" s="1342"/>
      <c r="G28" s="1342"/>
      <c r="H28" s="1343"/>
      <c r="I28" s="1343"/>
      <c r="J28" s="1343"/>
      <c r="K28" s="1343"/>
      <c r="L28" s="1343"/>
      <c r="M28" s="1343"/>
    </row>
    <row r="29" spans="1:13" ht="23.1" customHeight="1">
      <c r="A29" s="1301"/>
      <c r="B29" s="213"/>
      <c r="C29" s="1342"/>
      <c r="D29" s="1342"/>
      <c r="E29" s="1342"/>
      <c r="F29" s="1342"/>
      <c r="G29" s="1342"/>
      <c r="H29" s="1344">
        <f>CALCU_AU_MAYO21!Q38</f>
        <v>7.4790000000000001</v>
      </c>
      <c r="I29" s="1289" t="s">
        <v>372</v>
      </c>
      <c r="J29" s="1289"/>
      <c r="K29" s="1289"/>
      <c r="L29" s="1289"/>
      <c r="M29" s="220"/>
    </row>
    <row r="30" spans="1:13" ht="23.1" customHeight="1">
      <c r="A30" s="1301"/>
      <c r="B30" s="213"/>
      <c r="C30" s="218"/>
      <c r="D30" s="1345"/>
      <c r="E30" s="1345"/>
      <c r="F30" s="1345"/>
      <c r="G30" s="1345"/>
      <c r="H30" s="1344"/>
      <c r="I30" s="1289"/>
      <c r="J30" s="1289"/>
      <c r="K30" s="1289"/>
      <c r="L30" s="1289"/>
      <c r="M30" s="220"/>
    </row>
    <row r="31" spans="1:13" ht="23.1" customHeight="1">
      <c r="A31" s="1301"/>
      <c r="B31" s="213"/>
      <c r="C31" s="218"/>
      <c r="D31" s="219"/>
      <c r="E31" s="219"/>
      <c r="F31" s="219"/>
      <c r="G31" s="219"/>
      <c r="H31" s="221"/>
      <c r="I31" s="222"/>
      <c r="J31" s="222"/>
      <c r="K31" s="222"/>
      <c r="L31" s="222"/>
      <c r="M31" s="220"/>
    </row>
    <row r="32" spans="1:13" ht="30" customHeight="1">
      <c r="A32" s="1301"/>
      <c r="B32" s="213"/>
      <c r="C32" s="1336"/>
      <c r="D32" s="1336"/>
      <c r="E32" s="1336"/>
      <c r="F32" s="1336"/>
      <c r="G32" s="1336"/>
      <c r="H32" s="451">
        <f>CALCU_AU_MAYO21!S38</f>
        <v>18.744318</v>
      </c>
      <c r="I32" s="1337" t="s">
        <v>175</v>
      </c>
      <c r="J32" s="1337"/>
      <c r="K32" s="1337"/>
      <c r="L32" s="1337"/>
      <c r="M32" s="1337"/>
    </row>
    <row r="33" spans="1:13" ht="30" customHeight="1">
      <c r="A33" s="213"/>
      <c r="B33" s="213"/>
      <c r="C33" s="223"/>
      <c r="D33" s="223"/>
      <c r="E33" s="223"/>
      <c r="F33" s="223"/>
      <c r="G33" s="223"/>
      <c r="H33" s="218"/>
      <c r="I33" s="224"/>
      <c r="J33" s="224"/>
      <c r="K33" s="224"/>
      <c r="L33" s="224"/>
      <c r="M33" s="224"/>
    </row>
    <row r="34" spans="1:13" ht="14.1" customHeight="1">
      <c r="C34" s="1338" t="s">
        <v>176</v>
      </c>
      <c r="D34" s="1338"/>
      <c r="E34" s="1338"/>
      <c r="F34" s="1339">
        <f>CALCU_AU_MAYO21!O38</f>
        <v>979.904</v>
      </c>
      <c r="G34" s="1337" t="s">
        <v>177</v>
      </c>
      <c r="H34" s="1337"/>
      <c r="I34" s="1337"/>
      <c r="J34" s="1337"/>
      <c r="K34" s="1337"/>
      <c r="L34" s="1337"/>
      <c r="M34" s="1337"/>
    </row>
    <row r="35" spans="1:13" ht="14.1" customHeight="1">
      <c r="A35" s="215"/>
      <c r="C35" s="1338"/>
      <c r="D35" s="1338"/>
      <c r="E35" s="1338"/>
      <c r="F35" s="1339"/>
      <c r="G35" s="1337"/>
      <c r="H35" s="1337"/>
      <c r="I35" s="1337"/>
      <c r="J35" s="1337"/>
      <c r="K35" s="1337"/>
      <c r="L35" s="1337"/>
      <c r="M35" s="1337"/>
    </row>
    <row r="36" spans="1:13" ht="42" customHeight="1">
      <c r="A36" s="215"/>
      <c r="B36" s="225"/>
      <c r="C36" s="225"/>
      <c r="D36" s="225"/>
      <c r="E36" s="226"/>
      <c r="F36" s="226"/>
      <c r="G36" s="224"/>
      <c r="H36" s="224"/>
      <c r="I36" s="224"/>
      <c r="J36" s="224"/>
      <c r="K36" s="224"/>
      <c r="L36" s="224"/>
      <c r="M36" s="224"/>
    </row>
    <row r="37" spans="1:13" ht="53.1" customHeight="1">
      <c r="A37" s="1288" t="s">
        <v>178</v>
      </c>
      <c r="B37" s="1288"/>
      <c r="C37" s="1288"/>
      <c r="D37" s="1288"/>
      <c r="E37" s="1288"/>
      <c r="F37" s="1288"/>
      <c r="G37" s="1288"/>
      <c r="H37" s="1288"/>
      <c r="I37" s="1288"/>
      <c r="J37" s="1288"/>
      <c r="K37" s="1288"/>
      <c r="L37" s="1288"/>
      <c r="M37" s="1288"/>
    </row>
    <row r="39" spans="1:13" ht="35.25">
      <c r="A39" s="227"/>
      <c r="B39" s="227"/>
      <c r="C39" s="227"/>
      <c r="D39" s="227"/>
      <c r="E39" s="227"/>
      <c r="F39" s="227"/>
      <c r="G39" s="227"/>
      <c r="H39" s="227"/>
      <c r="I39" s="227"/>
      <c r="J39" s="227"/>
      <c r="K39" s="227"/>
      <c r="L39" s="227"/>
      <c r="M39" s="227"/>
    </row>
    <row r="40" spans="1:13" ht="21" customHeight="1">
      <c r="A40" s="227"/>
      <c r="B40" s="227"/>
      <c r="C40" s="227"/>
      <c r="D40" s="227"/>
      <c r="E40" s="227"/>
      <c r="F40" s="227"/>
      <c r="G40" s="227"/>
      <c r="H40" s="227"/>
      <c r="I40" s="227"/>
      <c r="J40" s="227"/>
      <c r="K40" s="227"/>
      <c r="L40" s="227"/>
      <c r="M40" s="227"/>
    </row>
    <row r="41" spans="1:13" ht="37.5" customHeight="1">
      <c r="A41" s="227"/>
      <c r="B41" s="227"/>
      <c r="C41" s="227"/>
      <c r="D41" s="227"/>
      <c r="E41" s="227"/>
      <c r="F41" s="227"/>
      <c r="G41" s="227"/>
      <c r="H41" s="227"/>
      <c r="I41" s="227"/>
      <c r="J41" s="227"/>
      <c r="K41" s="227"/>
      <c r="L41" s="227"/>
      <c r="M41" s="227"/>
    </row>
    <row r="42" spans="1:13" ht="35.25">
      <c r="A42" s="227"/>
      <c r="B42" s="227"/>
      <c r="C42" s="227"/>
      <c r="D42" s="227"/>
      <c r="E42" s="227"/>
      <c r="F42" s="227"/>
      <c r="G42" s="227"/>
      <c r="H42" s="227"/>
      <c r="I42" s="227"/>
      <c r="J42" s="227"/>
      <c r="K42" s="227"/>
      <c r="L42" s="227"/>
      <c r="M42" s="227"/>
    </row>
    <row r="43" spans="1:13">
      <c r="A43" s="1335"/>
      <c r="B43" s="1335"/>
      <c r="C43" s="1335"/>
      <c r="D43" s="1335"/>
      <c r="E43" s="1335"/>
      <c r="F43" s="1335"/>
      <c r="G43" s="1335"/>
      <c r="H43" s="1335"/>
      <c r="I43" s="1335"/>
      <c r="J43" s="1335"/>
      <c r="K43" s="1335"/>
      <c r="L43" s="1335"/>
      <c r="M43" s="1335"/>
    </row>
    <row r="44" spans="1:13">
      <c r="A44" s="1335"/>
      <c r="B44" s="1335"/>
      <c r="C44" s="1335"/>
      <c r="D44" s="1335"/>
      <c r="E44" s="1335"/>
      <c r="F44" s="1335"/>
      <c r="G44" s="1335"/>
      <c r="H44" s="1335"/>
      <c r="I44" s="1335"/>
      <c r="J44" s="1335"/>
      <c r="K44" s="1335"/>
      <c r="L44" s="1335"/>
      <c r="M44" s="1335"/>
    </row>
    <row r="45" spans="1:13">
      <c r="A45" s="1335"/>
      <c r="B45" s="1335"/>
      <c r="C45" s="1335"/>
      <c r="D45" s="1335"/>
      <c r="E45" s="1335"/>
      <c r="F45" s="1335"/>
      <c r="G45" s="1335"/>
      <c r="H45" s="1335"/>
      <c r="I45" s="1335"/>
      <c r="J45" s="1335"/>
      <c r="K45" s="1335"/>
      <c r="L45" s="1335"/>
      <c r="M45" s="1335"/>
    </row>
    <row r="46" spans="1:13">
      <c r="A46" s="1335"/>
      <c r="B46" s="1335"/>
      <c r="C46" s="1335"/>
      <c r="D46" s="1335"/>
      <c r="E46" s="1335"/>
      <c r="F46" s="1335"/>
      <c r="G46" s="1335"/>
      <c r="H46" s="1335"/>
      <c r="I46" s="1335"/>
      <c r="J46" s="1335"/>
      <c r="K46" s="1335"/>
      <c r="L46" s="1335"/>
      <c r="M46" s="1335"/>
    </row>
    <row r="47" spans="1:13">
      <c r="A47" s="1335"/>
      <c r="B47" s="1335"/>
      <c r="C47" s="1335"/>
      <c r="D47" s="1335"/>
      <c r="E47" s="1335"/>
      <c r="F47" s="1335"/>
      <c r="G47" s="1335"/>
      <c r="H47" s="1335"/>
      <c r="I47" s="1335"/>
      <c r="J47" s="1335"/>
      <c r="K47" s="1335"/>
      <c r="L47" s="1335"/>
      <c r="M47" s="1335"/>
    </row>
    <row r="48" spans="1:13">
      <c r="A48" s="1335"/>
      <c r="B48" s="1335"/>
      <c r="C48" s="1335"/>
      <c r="D48" s="1335"/>
      <c r="E48" s="1335"/>
      <c r="F48" s="1335"/>
      <c r="G48" s="1335"/>
      <c r="H48" s="1335"/>
      <c r="I48" s="1335"/>
      <c r="J48" s="1335"/>
      <c r="K48" s="1335"/>
      <c r="L48" s="1335"/>
      <c r="M48" s="1335"/>
    </row>
    <row r="49" spans="1:13">
      <c r="A49" s="1335"/>
      <c r="B49" s="1335"/>
      <c r="C49" s="1335"/>
      <c r="D49" s="1335"/>
      <c r="E49" s="1335"/>
      <c r="F49" s="1335"/>
      <c r="G49" s="1335"/>
      <c r="H49" s="1335"/>
      <c r="I49" s="1335"/>
      <c r="J49" s="1335"/>
      <c r="K49" s="1335"/>
      <c r="L49" s="1335"/>
      <c r="M49" s="1335"/>
    </row>
    <row r="50" spans="1:13">
      <c r="A50" s="1335"/>
      <c r="B50" s="1335"/>
      <c r="C50" s="1335"/>
      <c r="D50" s="1335"/>
      <c r="E50" s="1335"/>
      <c r="F50" s="1335"/>
      <c r="G50" s="1335"/>
      <c r="H50" s="1335"/>
      <c r="I50" s="1335"/>
      <c r="J50" s="1335"/>
      <c r="K50" s="1335"/>
      <c r="L50" s="1335"/>
      <c r="M50" s="1335"/>
    </row>
    <row r="51" spans="1:13">
      <c r="A51" s="1335"/>
      <c r="B51" s="1335"/>
      <c r="C51" s="1335"/>
      <c r="D51" s="1335"/>
      <c r="E51" s="1335"/>
      <c r="F51" s="1335"/>
      <c r="G51" s="1335"/>
      <c r="H51" s="1335"/>
      <c r="I51" s="1335"/>
      <c r="J51" s="1335"/>
      <c r="K51" s="1335"/>
      <c r="L51" s="1335"/>
      <c r="M51" s="1335"/>
    </row>
    <row r="52" spans="1:13" ht="20.25">
      <c r="G52" s="228"/>
    </row>
  </sheetData>
  <mergeCells count="43">
    <mergeCell ref="A15:A18"/>
    <mergeCell ref="B15:L16"/>
    <mergeCell ref="A3:M3"/>
    <mergeCell ref="C4:D6"/>
    <mergeCell ref="A7:M7"/>
    <mergeCell ref="A9:M10"/>
    <mergeCell ref="C11:F11"/>
    <mergeCell ref="D14:F14"/>
    <mergeCell ref="G11:L11"/>
    <mergeCell ref="I23:M23"/>
    <mergeCell ref="C12:F12"/>
    <mergeCell ref="G12:J12"/>
    <mergeCell ref="C13:F13"/>
    <mergeCell ref="G13:J13"/>
    <mergeCell ref="H24:M24"/>
    <mergeCell ref="C25:F25"/>
    <mergeCell ref="I25:M25"/>
    <mergeCell ref="H26:M26"/>
    <mergeCell ref="C27:G27"/>
    <mergeCell ref="I27:M27"/>
    <mergeCell ref="B26:C26"/>
    <mergeCell ref="C28:G28"/>
    <mergeCell ref="H28:M28"/>
    <mergeCell ref="C29:G29"/>
    <mergeCell ref="H29:H30"/>
    <mergeCell ref="I29:L30"/>
    <mergeCell ref="D30:G30"/>
    <mergeCell ref="A43:M51"/>
    <mergeCell ref="C32:G32"/>
    <mergeCell ref="I32:M32"/>
    <mergeCell ref="C34:E35"/>
    <mergeCell ref="F34:F35"/>
    <mergeCell ref="G34:M35"/>
    <mergeCell ref="A37:M37"/>
    <mergeCell ref="A19:A32"/>
    <mergeCell ref="C19:F19"/>
    <mergeCell ref="H19:M19"/>
    <mergeCell ref="C20:G20"/>
    <mergeCell ref="H20:M20"/>
    <mergeCell ref="C21:G21"/>
    <mergeCell ref="I21:M21"/>
    <mergeCell ref="C22:G22"/>
    <mergeCell ref="H22:M22"/>
  </mergeCells>
  <printOptions horizontalCentered="1" verticalCentered="1"/>
  <pageMargins left="0.12" right="0.12" top="0.46" bottom="0.16" header="0.31496062992125984" footer="0.12"/>
  <pageSetup paperSize="9" scale="5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AB19-37AC-4714-96AE-3B1223C15D7C}">
  <sheetPr>
    <tabColor rgb="FFFFC000"/>
  </sheetPr>
  <dimension ref="A3:M59"/>
  <sheetViews>
    <sheetView workbookViewId="0"/>
  </sheetViews>
  <sheetFormatPr baseColWidth="10" defaultColWidth="12.42578125" defaultRowHeight="14.25"/>
  <cols>
    <col min="1" max="1" width="11.42578125" style="211" customWidth="1"/>
    <col min="2" max="2" width="6.85546875" style="211" customWidth="1"/>
    <col min="3" max="3" width="16.42578125" style="211" customWidth="1"/>
    <col min="4" max="4" width="12.7109375" style="211" customWidth="1"/>
    <col min="5" max="5" width="8" style="211" customWidth="1"/>
    <col min="6" max="6" width="26.140625" style="211" customWidth="1"/>
    <col min="7" max="7" width="19.42578125" style="211" customWidth="1"/>
    <col min="8" max="8" width="21.7109375" style="211" customWidth="1"/>
    <col min="9" max="9" width="12.42578125" style="211" customWidth="1"/>
    <col min="10" max="10" width="9.42578125" style="211" customWidth="1"/>
    <col min="11" max="11" width="5.28515625" style="211" customWidth="1"/>
    <col min="12" max="12" width="25.7109375" style="211" customWidth="1"/>
    <col min="13" max="13" width="15.42578125" style="211" customWidth="1"/>
    <col min="14" max="16384" width="12.42578125" style="211"/>
  </cols>
  <sheetData>
    <row r="3" spans="1:13" ht="23.25">
      <c r="A3" s="1301"/>
      <c r="B3" s="1301"/>
      <c r="C3" s="1301"/>
      <c r="D3" s="1301"/>
      <c r="E3" s="1301"/>
      <c r="F3" s="1301"/>
      <c r="G3" s="1301"/>
      <c r="H3" s="1301"/>
      <c r="I3" s="1301"/>
      <c r="J3" s="1301"/>
      <c r="K3" s="1301"/>
      <c r="L3" s="1301"/>
      <c r="M3" s="1301"/>
    </row>
    <row r="4" spans="1:13" ht="23.1" customHeight="1">
      <c r="A4" s="212"/>
      <c r="B4" s="212"/>
      <c r="C4" s="1301"/>
      <c r="D4" s="1301"/>
      <c r="E4" s="213"/>
    </row>
    <row r="5" spans="1:13" ht="23.25">
      <c r="A5" s="212"/>
      <c r="B5" s="212"/>
      <c r="C5" s="1301"/>
      <c r="D5" s="1301"/>
      <c r="E5" s="213"/>
    </row>
    <row r="6" spans="1:13" ht="23.25">
      <c r="A6" s="212"/>
      <c r="B6" s="212"/>
      <c r="C6" s="1301"/>
      <c r="D6" s="1301"/>
      <c r="E6" s="213"/>
    </row>
    <row r="7" spans="1:13" ht="72.75" customHeight="1">
      <c r="A7" s="1349"/>
      <c r="B7" s="1349"/>
      <c r="C7" s="1349"/>
      <c r="D7" s="1349"/>
      <c r="E7" s="1349"/>
      <c r="F7" s="1349"/>
      <c r="G7" s="1349"/>
      <c r="H7" s="1349"/>
      <c r="I7" s="1349"/>
      <c r="J7" s="1349"/>
      <c r="K7" s="1349"/>
      <c r="L7" s="1349"/>
      <c r="M7" s="1349"/>
    </row>
    <row r="8" spans="1:13" ht="24.75" customHeight="1"/>
    <row r="9" spans="1:13" ht="23.1" customHeight="1">
      <c r="A9" s="1350" t="str">
        <f>CALCU_AU_MAYO21!F7</f>
        <v>CERTIFICADO MOVIL + SOCIAL</v>
      </c>
      <c r="B9" s="1350"/>
      <c r="C9" s="1350"/>
      <c r="D9" s="1350"/>
      <c r="E9" s="1350"/>
      <c r="F9" s="1350"/>
      <c r="G9" s="1350"/>
      <c r="H9" s="1350"/>
      <c r="I9" s="1350"/>
      <c r="J9" s="1350"/>
      <c r="K9" s="1350"/>
      <c r="L9" s="1350"/>
      <c r="M9" s="1350"/>
    </row>
    <row r="10" spans="1:13" ht="23.1" customHeight="1">
      <c r="A10" s="1350"/>
      <c r="B10" s="1350"/>
      <c r="C10" s="1350"/>
      <c r="D10" s="1350"/>
      <c r="E10" s="1350"/>
      <c r="F10" s="1350"/>
      <c r="G10" s="1350"/>
      <c r="H10" s="1350"/>
      <c r="I10" s="1350"/>
      <c r="J10" s="1350"/>
      <c r="K10" s="1350"/>
      <c r="L10" s="1350"/>
      <c r="M10" s="1350"/>
    </row>
    <row r="11" spans="1:13" ht="35.25">
      <c r="A11" s="214"/>
      <c r="B11" s="214"/>
      <c r="C11" s="1364" t="s">
        <v>264</v>
      </c>
      <c r="D11" s="1364"/>
      <c r="E11" s="1364"/>
      <c r="F11" s="1364"/>
      <c r="G11" s="1365">
        <f>CALCU_AU_MAYO21!F9</f>
        <v>0</v>
      </c>
      <c r="H11" s="1365"/>
      <c r="I11" s="1365"/>
      <c r="J11" s="1365"/>
      <c r="K11" s="1365"/>
      <c r="L11" s="1365"/>
      <c r="M11" s="214"/>
    </row>
    <row r="12" spans="1:13" ht="39" customHeight="1">
      <c r="A12" s="213"/>
      <c r="B12" s="213"/>
      <c r="C12" s="910"/>
      <c r="D12" s="1364" t="s">
        <v>266</v>
      </c>
      <c r="E12" s="1364"/>
      <c r="F12" s="1364"/>
      <c r="G12" s="911">
        <f>CALCU_AU_MAYO21!F11</f>
        <v>0</v>
      </c>
      <c r="H12" s="912"/>
      <c r="I12" s="912"/>
      <c r="J12" s="910"/>
      <c r="K12" s="913"/>
      <c r="L12" s="913"/>
      <c r="M12" s="213"/>
    </row>
    <row r="13" spans="1:13" ht="54" customHeight="1">
      <c r="A13" s="1348"/>
      <c r="B13" s="1362" t="s">
        <v>1165</v>
      </c>
      <c r="C13" s="1363"/>
      <c r="D13" s="1363"/>
      <c r="E13" s="1363"/>
      <c r="F13" s="1363"/>
      <c r="G13" s="1363"/>
      <c r="H13" s="1363"/>
      <c r="I13" s="1363"/>
      <c r="J13" s="1363"/>
      <c r="K13" s="1363"/>
      <c r="L13" s="1363"/>
      <c r="M13" s="215"/>
    </row>
    <row r="14" spans="1:13" ht="63.75" customHeight="1">
      <c r="A14" s="1348"/>
      <c r="B14" s="1363"/>
      <c r="C14" s="1363"/>
      <c r="D14" s="1363"/>
      <c r="E14" s="1363"/>
      <c r="F14" s="1363"/>
      <c r="G14" s="1363"/>
      <c r="H14" s="1363"/>
      <c r="I14" s="1363"/>
      <c r="J14" s="1363"/>
      <c r="K14" s="1363"/>
      <c r="L14" s="1363"/>
      <c r="M14" s="215"/>
    </row>
    <row r="15" spans="1:13" ht="14.25" customHeight="1">
      <c r="A15" s="1348"/>
      <c r="B15" s="215"/>
      <c r="C15" s="215"/>
      <c r="D15" s="215"/>
      <c r="E15" s="215"/>
      <c r="F15" s="215"/>
      <c r="G15" s="215"/>
      <c r="H15" s="215"/>
      <c r="I15" s="215"/>
      <c r="J15" s="215"/>
      <c r="K15" s="215"/>
      <c r="L15" s="215"/>
      <c r="M15" s="215"/>
    </row>
    <row r="16" spans="1:13" ht="14.25" customHeight="1">
      <c r="A16" s="1348"/>
      <c r="B16" s="215"/>
      <c r="C16" s="215"/>
      <c r="D16" s="215"/>
      <c r="E16" s="215"/>
      <c r="F16" s="215"/>
      <c r="G16" s="215"/>
      <c r="H16" s="215"/>
      <c r="I16" s="215"/>
      <c r="J16" s="215"/>
      <c r="K16" s="215"/>
      <c r="L16" s="215"/>
      <c r="M16" s="215"/>
    </row>
    <row r="17" spans="1:13" ht="30" customHeight="1">
      <c r="A17" s="1301"/>
      <c r="B17" s="212"/>
      <c r="C17" s="1340" t="s">
        <v>168</v>
      </c>
      <c r="D17" s="1340"/>
      <c r="E17" s="1340"/>
      <c r="F17" s="1340"/>
      <c r="G17" s="216"/>
      <c r="H17" s="1340" t="s">
        <v>169</v>
      </c>
      <c r="I17" s="1340"/>
      <c r="J17" s="1340"/>
      <c r="K17" s="1340"/>
      <c r="L17" s="1340"/>
      <c r="M17" s="1340"/>
    </row>
    <row r="18" spans="1:13" ht="23.1" customHeight="1">
      <c r="A18" s="1301"/>
      <c r="B18" s="213"/>
      <c r="C18" s="1301"/>
      <c r="D18" s="1301"/>
      <c r="E18" s="1301"/>
      <c r="F18" s="1301"/>
      <c r="G18" s="1301"/>
      <c r="H18" s="1341"/>
      <c r="I18" s="1341"/>
      <c r="J18" s="1341"/>
      <c r="K18" s="1341"/>
      <c r="L18" s="1341"/>
      <c r="M18" s="1341"/>
    </row>
    <row r="19" spans="1:13" ht="23.25">
      <c r="A19" s="1301"/>
      <c r="B19" s="213"/>
      <c r="C19" s="1336"/>
      <c r="D19" s="1336"/>
      <c r="E19" s="1336"/>
      <c r="F19" s="1336"/>
      <c r="G19" s="1336"/>
      <c r="H19" s="935">
        <f>CALCULADORA_2021!AJ23</f>
        <v>13.421707999999999</v>
      </c>
      <c r="I19" s="1353" t="s">
        <v>170</v>
      </c>
      <c r="J19" s="1353"/>
      <c r="K19" s="1353"/>
      <c r="L19" s="1353"/>
      <c r="M19" s="1353"/>
    </row>
    <row r="20" spans="1:13" ht="27.95" customHeight="1">
      <c r="A20" s="1301"/>
      <c r="B20" s="213"/>
      <c r="C20" s="1342"/>
      <c r="D20" s="1342"/>
      <c r="E20" s="1342"/>
      <c r="F20" s="1342"/>
      <c r="G20" s="1342"/>
      <c r="H20" s="936"/>
      <c r="I20" s="936"/>
      <c r="J20" s="936"/>
      <c r="K20" s="936"/>
      <c r="L20" s="936"/>
      <c r="M20" s="936"/>
    </row>
    <row r="21" spans="1:13" ht="23.25">
      <c r="A21" s="1301"/>
      <c r="B21" s="213"/>
      <c r="C21" s="215"/>
      <c r="D21" s="215"/>
      <c r="E21" s="215"/>
      <c r="F21" s="215"/>
      <c r="G21" s="215"/>
      <c r="H21" s="933">
        <f>CALCULADORA_2021!N23</f>
        <v>28050.648000000001</v>
      </c>
      <c r="I21" s="1360" t="s">
        <v>1157</v>
      </c>
      <c r="J21" s="1360"/>
      <c r="K21" s="1360"/>
      <c r="L21" s="1360"/>
      <c r="M21" s="1360"/>
    </row>
    <row r="22" spans="1:13" ht="23.25">
      <c r="A22" s="1301"/>
      <c r="B22" s="213"/>
      <c r="C22" s="215"/>
      <c r="D22" s="215"/>
      <c r="E22" s="217"/>
      <c r="F22" s="217"/>
      <c r="G22" s="217"/>
      <c r="H22" s="933">
        <f>CALCULADORA_2021!V23</f>
        <v>7.4801728000000005E-3</v>
      </c>
      <c r="I22" s="1360" t="s">
        <v>1156</v>
      </c>
      <c r="J22" s="1360"/>
      <c r="K22" s="1360"/>
      <c r="L22" s="1360"/>
      <c r="M22" s="1360"/>
    </row>
    <row r="23" spans="1:13" ht="23.25" customHeight="1">
      <c r="A23" s="1301"/>
      <c r="B23" s="213"/>
      <c r="C23" s="215"/>
      <c r="D23" s="215"/>
      <c r="E23" s="217"/>
      <c r="F23" s="217"/>
      <c r="G23" s="217"/>
      <c r="H23" s="937">
        <f>CALCULADORA_2021!BS23</f>
        <v>1.4025323999999999</v>
      </c>
      <c r="I23" s="1353" t="s">
        <v>1158</v>
      </c>
      <c r="J23" s="1353"/>
      <c r="K23" s="1353"/>
      <c r="L23" s="1353"/>
      <c r="M23" s="1353"/>
    </row>
    <row r="24" spans="1:13" ht="26.25">
      <c r="A24" s="1301"/>
      <c r="B24" s="213"/>
      <c r="C24" s="215"/>
      <c r="D24" s="215"/>
      <c r="E24" s="217"/>
      <c r="F24" s="217"/>
      <c r="G24" s="217"/>
      <c r="H24" s="938"/>
      <c r="I24" s="939"/>
      <c r="J24" s="939"/>
      <c r="K24" s="939"/>
      <c r="L24" s="939"/>
      <c r="M24" s="939"/>
    </row>
    <row r="25" spans="1:13" ht="23.25">
      <c r="A25" s="1301"/>
      <c r="B25" s="213"/>
      <c r="C25" s="1338" t="s">
        <v>172</v>
      </c>
      <c r="D25" s="1338"/>
      <c r="E25" s="1338"/>
      <c r="F25" s="1338"/>
      <c r="G25" s="217"/>
      <c r="H25" s="935">
        <f>CALCULADORA_2021!AL23</f>
        <v>1288.5219</v>
      </c>
      <c r="I25" s="1353" t="s">
        <v>173</v>
      </c>
      <c r="J25" s="1353"/>
      <c r="K25" s="1353"/>
      <c r="L25" s="1353"/>
      <c r="M25" s="1353"/>
    </row>
    <row r="26" spans="1:13" ht="27.95" customHeight="1">
      <c r="A26" s="1301"/>
      <c r="B26" s="1355">
        <f>CALCULADORA_2021!C23</f>
        <v>1985.5</v>
      </c>
      <c r="C26" s="1355"/>
      <c r="D26" s="922" t="s">
        <v>162</v>
      </c>
      <c r="E26" s="922"/>
      <c r="F26" s="923"/>
      <c r="G26" s="219"/>
      <c r="H26" s="1359"/>
      <c r="I26" s="1359"/>
      <c r="J26" s="1359"/>
      <c r="K26" s="1359"/>
      <c r="L26" s="1359"/>
      <c r="M26" s="1359"/>
    </row>
    <row r="27" spans="1:13" ht="23.25">
      <c r="A27" s="1301"/>
      <c r="B27" s="924"/>
      <c r="C27" s="925">
        <f>B26/1000</f>
        <v>1.9855</v>
      </c>
      <c r="D27" s="926" t="s">
        <v>1135</v>
      </c>
      <c r="E27" s="926"/>
      <c r="F27" s="926"/>
      <c r="G27" s="212"/>
      <c r="H27" s="940">
        <f>CALCULADORA_2021!E23</f>
        <v>10966.073119999999</v>
      </c>
      <c r="I27" s="1353" t="s">
        <v>174</v>
      </c>
      <c r="J27" s="1353"/>
      <c r="K27" s="1353"/>
      <c r="L27" s="1353"/>
      <c r="M27" s="1353"/>
    </row>
    <row r="28" spans="1:13" ht="28.5" customHeight="1">
      <c r="A28" s="1301"/>
      <c r="B28" s="1351"/>
      <c r="C28" s="1351"/>
      <c r="D28" s="1358" t="s">
        <v>1162</v>
      </c>
      <c r="E28" s="1358"/>
      <c r="F28" s="1358"/>
      <c r="G28" s="212"/>
      <c r="H28" s="1359"/>
      <c r="I28" s="1359"/>
      <c r="J28" s="1359"/>
      <c r="K28" s="1359"/>
      <c r="L28" s="1359"/>
      <c r="M28" s="1359"/>
    </row>
    <row r="29" spans="1:13" ht="36" customHeight="1">
      <c r="A29" s="1301"/>
      <c r="B29" s="1352"/>
      <c r="C29" s="1352"/>
      <c r="D29" s="1358"/>
      <c r="E29" s="1358"/>
      <c r="F29" s="1358"/>
      <c r="G29" s="212"/>
      <c r="H29" s="1355">
        <f>CALCULADORA_2021!AD23</f>
        <v>17.028000000000002</v>
      </c>
      <c r="I29" s="1354" t="s">
        <v>1159</v>
      </c>
      <c r="J29" s="1354"/>
      <c r="K29" s="1354"/>
      <c r="L29" s="1354"/>
      <c r="M29" s="941"/>
    </row>
    <row r="30" spans="1:13" ht="23.1" customHeight="1">
      <c r="A30" s="1301"/>
      <c r="B30" s="931"/>
      <c r="C30" s="929">
        <f>CALCULADORA_2021!BP23</f>
        <v>0.46444444444444444</v>
      </c>
      <c r="D30" s="1358" t="s">
        <v>1153</v>
      </c>
      <c r="E30" s="1358"/>
      <c r="F30" s="1358"/>
      <c r="G30" s="917"/>
      <c r="H30" s="1356"/>
      <c r="I30" s="1357"/>
      <c r="J30" s="1357"/>
      <c r="K30" s="1357"/>
      <c r="L30" s="1357"/>
      <c r="M30" s="220"/>
    </row>
    <row r="31" spans="1:13" ht="23.1" customHeight="1">
      <c r="A31" s="1301"/>
      <c r="B31" s="932"/>
      <c r="C31" s="930"/>
      <c r="D31" s="1358"/>
      <c r="E31" s="1358"/>
      <c r="F31" s="1358"/>
      <c r="G31" s="219"/>
      <c r="H31" s="942"/>
      <c r="I31" s="943"/>
      <c r="J31" s="943"/>
      <c r="K31" s="943"/>
      <c r="L31" s="943"/>
      <c r="M31" s="939"/>
    </row>
    <row r="32" spans="1:13" ht="23.1" customHeight="1">
      <c r="A32" s="1301"/>
      <c r="B32" s="924"/>
      <c r="C32" s="927">
        <f>CALCULADORA_2021!BQ23</f>
        <v>7.9420000000000009E-5</v>
      </c>
      <c r="D32" s="928" t="s">
        <v>1142</v>
      </c>
      <c r="E32" s="923"/>
      <c r="F32" s="923"/>
      <c r="G32" s="219"/>
      <c r="H32" s="935">
        <f>CALCULADORA_2021!AF23</f>
        <v>27.465030000000002</v>
      </c>
      <c r="I32" s="1354" t="s">
        <v>1161</v>
      </c>
      <c r="J32" s="1354"/>
      <c r="K32" s="1354"/>
      <c r="L32" s="1354"/>
      <c r="M32" s="1354"/>
    </row>
    <row r="33" spans="1:13" ht="23.1" customHeight="1">
      <c r="A33" s="1301"/>
      <c r="B33" s="924"/>
      <c r="C33" s="927">
        <f>CALCULADORA_2021!BR23</f>
        <v>3.0312977099236641E-2</v>
      </c>
      <c r="D33" s="928" t="s">
        <v>1154</v>
      </c>
      <c r="E33" s="923"/>
      <c r="F33" s="923"/>
      <c r="G33" s="219"/>
      <c r="H33" s="930"/>
      <c r="I33" s="1354"/>
      <c r="J33" s="1354"/>
      <c r="K33" s="1354"/>
      <c r="L33" s="1354"/>
      <c r="M33" s="1354"/>
    </row>
    <row r="34" spans="1:13" ht="23.1" customHeight="1">
      <c r="A34" s="1301"/>
      <c r="B34" s="213"/>
      <c r="E34" s="921"/>
      <c r="F34" s="921"/>
      <c r="G34" s="219"/>
      <c r="H34" s="933">
        <f>CALCULADORA_2021!AG23</f>
        <v>2.7465030000000001</v>
      </c>
      <c r="I34" s="1360" t="s">
        <v>1160</v>
      </c>
      <c r="J34" s="1360"/>
      <c r="K34" s="1360"/>
      <c r="L34" s="1360"/>
      <c r="M34" s="1360"/>
    </row>
    <row r="35" spans="1:13" ht="30" customHeight="1">
      <c r="A35" s="1301"/>
      <c r="B35" s="212"/>
      <c r="C35" s="218"/>
      <c r="D35" s="1361" t="s">
        <v>1155</v>
      </c>
      <c r="E35" s="1361"/>
      <c r="F35" s="1361"/>
      <c r="G35" s="212"/>
      <c r="H35" s="933">
        <f>CALCULADORA_2021!AH23</f>
        <v>2.7465030000000001E-5</v>
      </c>
      <c r="I35" s="934" t="s">
        <v>1134</v>
      </c>
      <c r="J35" s="934"/>
      <c r="K35" s="923"/>
      <c r="L35" s="923"/>
      <c r="M35" s="923"/>
    </row>
    <row r="36" spans="1:13" ht="30" customHeight="1">
      <c r="A36" s="213"/>
      <c r="B36" s="212"/>
      <c r="C36" s="218"/>
      <c r="D36" s="1361"/>
      <c r="E36" s="1361"/>
      <c r="F36" s="1361"/>
      <c r="G36" s="212"/>
      <c r="H36" s="212"/>
    </row>
    <row r="37" spans="1:13" ht="30" customHeight="1">
      <c r="A37" s="213"/>
      <c r="B37" s="212"/>
      <c r="C37" s="212"/>
      <c r="D37" s="212"/>
      <c r="E37" s="212"/>
      <c r="F37" s="212"/>
      <c r="G37" s="212"/>
      <c r="H37" s="212"/>
    </row>
    <row r="38" spans="1:13" ht="30" customHeight="1">
      <c r="A38" s="213"/>
      <c r="B38" s="212"/>
      <c r="C38" s="212"/>
      <c r="D38" s="212"/>
      <c r="E38" s="212"/>
      <c r="F38" s="212"/>
      <c r="G38" s="212"/>
      <c r="H38" s="212"/>
      <c r="I38" s="224"/>
      <c r="J38" s="224"/>
      <c r="K38" s="224"/>
      <c r="L38" s="224"/>
      <c r="M38" s="224"/>
    </row>
    <row r="39" spans="1:13" ht="30" customHeight="1">
      <c r="A39" s="213"/>
      <c r="B39" s="213"/>
      <c r="C39" s="223"/>
      <c r="D39" s="223"/>
      <c r="E39" s="223"/>
      <c r="F39" s="223"/>
      <c r="G39" s="223"/>
      <c r="H39" s="451"/>
      <c r="I39" s="224"/>
      <c r="J39" s="224"/>
      <c r="K39" s="224"/>
      <c r="L39" s="224"/>
      <c r="M39" s="224"/>
    </row>
    <row r="40" spans="1:13" ht="30" customHeight="1"/>
    <row r="41" spans="1:13" ht="14.1" customHeight="1"/>
    <row r="42" spans="1:13" ht="14.1" customHeight="1"/>
    <row r="43" spans="1:13" ht="42" customHeight="1">
      <c r="A43" s="213"/>
      <c r="B43" s="213"/>
      <c r="C43" s="223"/>
      <c r="D43" s="223"/>
      <c r="E43" s="223"/>
      <c r="F43" s="223"/>
      <c r="G43" s="223"/>
      <c r="H43" s="218"/>
      <c r="I43" s="224"/>
      <c r="J43" s="224"/>
      <c r="K43" s="224"/>
      <c r="L43" s="224"/>
      <c r="M43" s="224"/>
    </row>
    <row r="44" spans="1:13" ht="53.1" customHeight="1">
      <c r="C44" s="1338" t="s">
        <v>176</v>
      </c>
      <c r="D44" s="1338"/>
      <c r="E44" s="1338"/>
      <c r="F44" s="1339">
        <f>CALCULADORA_2021!AU23</f>
        <v>2072.3879999999999</v>
      </c>
      <c r="G44" s="1337" t="s">
        <v>177</v>
      </c>
      <c r="H44" s="1337"/>
      <c r="I44" s="1337"/>
      <c r="J44" s="1337"/>
      <c r="K44" s="1337"/>
      <c r="L44" s="1337"/>
      <c r="M44" s="1337"/>
    </row>
    <row r="45" spans="1:13" ht="27" customHeight="1">
      <c r="A45" s="215"/>
      <c r="C45" s="1338"/>
      <c r="D45" s="1338"/>
      <c r="E45" s="1338"/>
      <c r="F45" s="1339"/>
      <c r="G45" s="1337"/>
      <c r="H45" s="1337"/>
      <c r="I45" s="1337"/>
      <c r="J45" s="1337"/>
      <c r="K45" s="1337"/>
      <c r="L45" s="1337"/>
      <c r="M45" s="1337"/>
    </row>
    <row r="46" spans="1:13" ht="27.75" customHeight="1">
      <c r="A46" s="215"/>
      <c r="B46" s="225"/>
      <c r="C46" s="224" t="s">
        <v>1136</v>
      </c>
      <c r="D46" s="225"/>
      <c r="E46" s="226"/>
      <c r="F46" s="226"/>
      <c r="G46" s="909">
        <f>CALCULADORA_2021!Z23</f>
        <v>62.759837999999995</v>
      </c>
      <c r="H46" s="224" t="s">
        <v>1137</v>
      </c>
      <c r="I46" s="909">
        <f>CALCULADORA_2021!AB23</f>
        <v>1.6629087199597254E-4</v>
      </c>
      <c r="J46" s="224" t="s">
        <v>267</v>
      </c>
      <c r="K46" s="224"/>
      <c r="L46" s="224"/>
      <c r="M46" s="224"/>
    </row>
    <row r="47" spans="1:13" ht="21" customHeight="1">
      <c r="A47" s="227"/>
      <c r="B47" s="227"/>
      <c r="C47" s="227"/>
      <c r="D47" s="227"/>
      <c r="E47" s="227"/>
      <c r="F47" s="227"/>
      <c r="G47" s="227"/>
      <c r="H47" s="227"/>
      <c r="I47" s="227"/>
      <c r="J47" s="227"/>
      <c r="K47" s="227"/>
      <c r="L47" s="227"/>
      <c r="M47" s="227"/>
    </row>
    <row r="48" spans="1:13" ht="37.5" customHeight="1">
      <c r="A48" s="227"/>
      <c r="B48" s="227"/>
      <c r="C48" s="227"/>
      <c r="D48" s="227"/>
      <c r="E48" s="227"/>
      <c r="F48" s="227"/>
      <c r="G48" s="227"/>
      <c r="H48" s="227"/>
      <c r="I48" s="227"/>
      <c r="J48" s="227"/>
      <c r="K48" s="227"/>
      <c r="L48" s="227"/>
      <c r="M48" s="227"/>
    </row>
    <row r="49" spans="1:13" ht="35.25">
      <c r="A49" s="227"/>
      <c r="B49" s="227"/>
      <c r="C49" s="227"/>
      <c r="D49" s="227"/>
      <c r="E49" s="227"/>
      <c r="F49" s="227"/>
      <c r="G49" s="227"/>
      <c r="H49" s="227"/>
      <c r="I49" s="227"/>
      <c r="J49" s="227"/>
      <c r="K49" s="227"/>
      <c r="L49" s="227"/>
      <c r="M49" s="227"/>
    </row>
    <row r="50" spans="1:13">
      <c r="A50" s="1335"/>
      <c r="B50" s="1335"/>
      <c r="C50" s="1335"/>
      <c r="D50" s="1335"/>
      <c r="E50" s="1335"/>
      <c r="F50" s="1335"/>
      <c r="G50" s="1335"/>
      <c r="H50" s="1335"/>
      <c r="I50" s="1335"/>
      <c r="J50" s="1335"/>
      <c r="K50" s="1335"/>
      <c r="L50" s="1335"/>
      <c r="M50" s="1335"/>
    </row>
    <row r="51" spans="1:13">
      <c r="A51" s="1335"/>
      <c r="B51" s="1335"/>
      <c r="C51" s="1335"/>
      <c r="D51" s="1335"/>
      <c r="E51" s="1335"/>
      <c r="F51" s="1335"/>
      <c r="G51" s="1335"/>
      <c r="H51" s="1335"/>
      <c r="I51" s="1335"/>
      <c r="J51" s="1335"/>
      <c r="K51" s="1335"/>
      <c r="L51" s="1335"/>
      <c r="M51" s="1335"/>
    </row>
    <row r="52" spans="1:13">
      <c r="A52" s="1335"/>
      <c r="B52" s="1335"/>
      <c r="C52" s="1335"/>
      <c r="D52" s="1335"/>
      <c r="E52" s="1335"/>
      <c r="F52" s="1335"/>
      <c r="G52" s="1335"/>
      <c r="H52" s="1335"/>
      <c r="I52" s="1335"/>
      <c r="J52" s="1335"/>
      <c r="K52" s="1335"/>
      <c r="L52" s="1335"/>
      <c r="M52" s="1335"/>
    </row>
    <row r="53" spans="1:13">
      <c r="A53" s="1335"/>
      <c r="B53" s="1335"/>
      <c r="C53" s="1335"/>
      <c r="D53" s="1335"/>
      <c r="E53" s="1335"/>
      <c r="F53" s="1335"/>
      <c r="G53" s="1335"/>
      <c r="H53" s="1335"/>
      <c r="I53" s="1335"/>
      <c r="J53" s="1335"/>
      <c r="K53" s="1335"/>
      <c r="L53" s="1335"/>
      <c r="M53" s="1335"/>
    </row>
    <row r="54" spans="1:13">
      <c r="A54" s="1335"/>
      <c r="B54" s="1335"/>
      <c r="C54" s="1335"/>
      <c r="D54" s="1335"/>
      <c r="E54" s="1335"/>
      <c r="F54" s="1335"/>
      <c r="G54" s="1335"/>
      <c r="H54" s="1335"/>
      <c r="I54" s="1335"/>
      <c r="J54" s="1335"/>
      <c r="K54" s="1335"/>
      <c r="L54" s="1335"/>
      <c r="M54" s="1335"/>
    </row>
    <row r="55" spans="1:13">
      <c r="A55" s="1335"/>
      <c r="B55" s="1335"/>
      <c r="C55" s="1335"/>
      <c r="D55" s="1335"/>
      <c r="E55" s="1335"/>
      <c r="F55" s="1335"/>
      <c r="G55" s="1335"/>
      <c r="H55" s="1335"/>
      <c r="I55" s="1335"/>
      <c r="J55" s="1335"/>
      <c r="K55" s="1335"/>
      <c r="L55" s="1335"/>
      <c r="M55" s="1335"/>
    </row>
    <row r="56" spans="1:13">
      <c r="A56" s="1335"/>
      <c r="B56" s="1335"/>
      <c r="C56" s="1335"/>
      <c r="D56" s="1335"/>
      <c r="E56" s="1335"/>
      <c r="F56" s="1335"/>
      <c r="G56" s="1335"/>
      <c r="H56" s="1335"/>
      <c r="I56" s="1335"/>
      <c r="J56" s="1335"/>
      <c r="K56" s="1335"/>
      <c r="L56" s="1335"/>
      <c r="M56" s="1335"/>
    </row>
    <row r="57" spans="1:13">
      <c r="A57" s="1335"/>
      <c r="B57" s="1335"/>
      <c r="C57" s="1335"/>
      <c r="D57" s="1335"/>
      <c r="E57" s="1335"/>
      <c r="F57" s="1335"/>
      <c r="G57" s="1335"/>
      <c r="H57" s="1335"/>
      <c r="I57" s="1335"/>
      <c r="J57" s="1335"/>
      <c r="K57" s="1335"/>
      <c r="L57" s="1335"/>
      <c r="M57" s="1335"/>
    </row>
    <row r="58" spans="1:13">
      <c r="A58" s="1335"/>
      <c r="B58" s="1335"/>
      <c r="C58" s="1335"/>
      <c r="D58" s="1335"/>
      <c r="E58" s="1335"/>
      <c r="F58" s="1335"/>
      <c r="G58" s="1335"/>
      <c r="H58" s="1335"/>
      <c r="I58" s="1335"/>
      <c r="J58" s="1335"/>
      <c r="K58" s="1335"/>
      <c r="L58" s="1335"/>
      <c r="M58" s="1335"/>
    </row>
    <row r="59" spans="1:13" ht="20.25">
      <c r="G59" s="228"/>
    </row>
  </sheetData>
  <mergeCells count="38">
    <mergeCell ref="A13:A16"/>
    <mergeCell ref="B13:L14"/>
    <mergeCell ref="A3:M3"/>
    <mergeCell ref="C4:D6"/>
    <mergeCell ref="A7:M7"/>
    <mergeCell ref="A9:M10"/>
    <mergeCell ref="C11:F11"/>
    <mergeCell ref="G11:L11"/>
    <mergeCell ref="D12:F12"/>
    <mergeCell ref="A50:M58"/>
    <mergeCell ref="I34:M34"/>
    <mergeCell ref="C44:E45"/>
    <mergeCell ref="F44:F45"/>
    <mergeCell ref="G44:M45"/>
    <mergeCell ref="D35:F36"/>
    <mergeCell ref="A17:A35"/>
    <mergeCell ref="C17:F17"/>
    <mergeCell ref="H17:M17"/>
    <mergeCell ref="C18:G18"/>
    <mergeCell ref="H18:M18"/>
    <mergeCell ref="C19:G19"/>
    <mergeCell ref="I19:M19"/>
    <mergeCell ref="C20:G20"/>
    <mergeCell ref="I21:M21"/>
    <mergeCell ref="I22:M22"/>
    <mergeCell ref="B28:C29"/>
    <mergeCell ref="I23:M23"/>
    <mergeCell ref="I32:M33"/>
    <mergeCell ref="H29:H30"/>
    <mergeCell ref="I29:L30"/>
    <mergeCell ref="D28:F29"/>
    <mergeCell ref="D30:F31"/>
    <mergeCell ref="I27:M27"/>
    <mergeCell ref="C25:F25"/>
    <mergeCell ref="I25:M25"/>
    <mergeCell ref="B26:C26"/>
    <mergeCell ref="H26:M26"/>
    <mergeCell ref="H28:M28"/>
  </mergeCells>
  <printOptions horizontalCentered="1" verticalCentered="1"/>
  <pageMargins left="0.12" right="0.12" top="0.46" bottom="0.16" header="0.31496062992125984" footer="0.12"/>
  <pageSetup paperSize="9" scale="5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C27F7-B482-4F53-A644-CEDE37DA7D04}">
  <dimension ref="B3:B21"/>
  <sheetViews>
    <sheetView topLeftCell="B10" workbookViewId="0"/>
  </sheetViews>
  <sheetFormatPr baseColWidth="10" defaultRowHeight="15"/>
  <sheetData>
    <row r="3" spans="2:2">
      <c r="B3" t="s">
        <v>435</v>
      </c>
    </row>
    <row r="4" spans="2:2">
      <c r="B4" s="492" t="s">
        <v>1169</v>
      </c>
    </row>
    <row r="5" spans="2:2">
      <c r="B5" s="492" t="s">
        <v>1170</v>
      </c>
    </row>
    <row r="6" spans="2:2">
      <c r="B6" s="492" t="s">
        <v>1171</v>
      </c>
    </row>
    <row r="7" spans="2:2">
      <c r="B7" s="492" t="s">
        <v>1172</v>
      </c>
    </row>
    <row r="8" spans="2:2">
      <c r="B8" s="492" t="s">
        <v>1173</v>
      </c>
    </row>
    <row r="9" spans="2:2">
      <c r="B9" s="492" t="s">
        <v>1174</v>
      </c>
    </row>
    <row r="10" spans="2:2">
      <c r="B10" s="492" t="s">
        <v>1175</v>
      </c>
    </row>
    <row r="14" spans="2:2">
      <c r="B14" t="s">
        <v>1385</v>
      </c>
    </row>
    <row r="15" spans="2:2" ht="18.75">
      <c r="B15" s="1025" t="s">
        <v>1386</v>
      </c>
    </row>
    <row r="16" spans="2:2" ht="18.75">
      <c r="B16" s="1025" t="s">
        <v>1387</v>
      </c>
    </row>
    <row r="17" spans="2:2" ht="18.75">
      <c r="B17" s="1025" t="s">
        <v>1388</v>
      </c>
    </row>
    <row r="18" spans="2:2" ht="18.75">
      <c r="B18" s="1025" t="s">
        <v>1389</v>
      </c>
    </row>
    <row r="19" spans="2:2" ht="18.75">
      <c r="B19" s="1025" t="s">
        <v>1390</v>
      </c>
    </row>
    <row r="20" spans="2:2" ht="18.75">
      <c r="B20" s="1025" t="s">
        <v>1391</v>
      </c>
    </row>
    <row r="21" spans="2:2" ht="18.75">
      <c r="B21" s="1025" t="s">
        <v>1392</v>
      </c>
    </row>
  </sheetData>
  <hyperlinks>
    <hyperlink ref="B4" r:id="rId1" xr:uid="{3E5DD8A1-B536-40C0-A7D9-5396E7E90C3E}"/>
    <hyperlink ref="B5" r:id="rId2" xr:uid="{9896B3F2-5C40-473B-9AF5-BD8577318E8C}"/>
    <hyperlink ref="B6" r:id="rId3" xr:uid="{81379E6A-550B-474D-95B8-D18FC52F0BCA}"/>
    <hyperlink ref="B7" r:id="rId4" xr:uid="{D3F4FA99-6C96-40C6-8D07-5022E2D8BBFF}"/>
    <hyperlink ref="B8" r:id="rId5" xr:uid="{E4D21BDB-436C-4D4B-9FDB-98A6DA82BECC}"/>
    <hyperlink ref="B9" r:id="rId6" xr:uid="{8EB6488F-D1A2-4837-99E2-EDBA7540125D}"/>
    <hyperlink ref="B10" r:id="rId7" xr:uid="{C3E30456-7A2E-4572-9D46-13F7EADC14BD}"/>
  </hyperlink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EDFF4-1319-4A1B-A5F3-F5FA870CB5F1}">
  <dimension ref="B3:F60"/>
  <sheetViews>
    <sheetView topLeftCell="C11" workbookViewId="0">
      <selection activeCell="D17" sqref="D17"/>
    </sheetView>
  </sheetViews>
  <sheetFormatPr baseColWidth="10" defaultColWidth="11.42578125" defaultRowHeight="15.75"/>
  <cols>
    <col min="1" max="1" width="11.42578125" style="27"/>
    <col min="2" max="2" width="25.85546875" style="480" customWidth="1"/>
    <col min="3" max="3" width="11.7109375" style="858" bestFit="1" customWidth="1"/>
    <col min="4" max="4" width="35.42578125" style="480" customWidth="1"/>
    <col min="5" max="5" width="43.28515625" style="480" customWidth="1"/>
    <col min="6" max="6" width="70.42578125" style="856" customWidth="1"/>
    <col min="7" max="16384" width="11.42578125" style="27"/>
  </cols>
  <sheetData>
    <row r="3" spans="2:6" ht="39.75" customHeight="1">
      <c r="B3" s="1369" t="s">
        <v>1028</v>
      </c>
      <c r="C3" s="1369"/>
      <c r="D3" s="1369"/>
      <c r="E3" s="1369"/>
      <c r="F3" s="1369"/>
    </row>
    <row r="4" spans="2:6">
      <c r="B4" s="481"/>
    </row>
    <row r="5" spans="2:6">
      <c r="B5" s="859" t="s">
        <v>70</v>
      </c>
      <c r="C5" s="860" t="s">
        <v>957</v>
      </c>
      <c r="D5" s="859" t="s">
        <v>1066</v>
      </c>
      <c r="E5" s="859" t="s">
        <v>1067</v>
      </c>
      <c r="F5" s="857" t="s">
        <v>954</v>
      </c>
    </row>
    <row r="6" spans="2:6">
      <c r="B6" s="861" t="s">
        <v>962</v>
      </c>
      <c r="C6" s="862">
        <v>1</v>
      </c>
      <c r="D6" s="861" t="s">
        <v>955</v>
      </c>
      <c r="E6" s="861" t="s">
        <v>1029</v>
      </c>
      <c r="F6" s="855" t="s">
        <v>956</v>
      </c>
    </row>
    <row r="7" spans="2:6">
      <c r="B7" s="861" t="s">
        <v>962</v>
      </c>
      <c r="C7" s="862">
        <v>27</v>
      </c>
      <c r="D7" s="861" t="s">
        <v>1183</v>
      </c>
      <c r="E7" s="861" t="s">
        <v>1030</v>
      </c>
      <c r="F7" s="855" t="s">
        <v>967</v>
      </c>
    </row>
    <row r="8" spans="2:6" ht="17.25" customHeight="1">
      <c r="B8" s="861" t="s">
        <v>962</v>
      </c>
      <c r="C8" s="862">
        <v>10</v>
      </c>
      <c r="D8" s="861" t="s">
        <v>966</v>
      </c>
      <c r="E8" s="861" t="s">
        <v>995</v>
      </c>
      <c r="F8" s="855" t="s">
        <v>993</v>
      </c>
    </row>
    <row r="9" spans="2:6" ht="16.5" customHeight="1">
      <c r="B9" s="861" t="s">
        <v>962</v>
      </c>
      <c r="C9" s="862">
        <v>63</v>
      </c>
      <c r="D9" s="861" t="s">
        <v>994</v>
      </c>
      <c r="E9" s="861" t="s">
        <v>995</v>
      </c>
      <c r="F9" s="855" t="s">
        <v>993</v>
      </c>
    </row>
    <row r="10" spans="2:6">
      <c r="B10" s="861" t="s">
        <v>962</v>
      </c>
      <c r="C10" s="862" t="s">
        <v>968</v>
      </c>
      <c r="D10" s="861" t="s">
        <v>969</v>
      </c>
      <c r="E10" s="861" t="s">
        <v>970</v>
      </c>
      <c r="F10" s="855" t="s">
        <v>970</v>
      </c>
    </row>
    <row r="11" spans="2:6">
      <c r="B11" s="861" t="s">
        <v>962</v>
      </c>
      <c r="C11" s="862">
        <v>83</v>
      </c>
      <c r="D11" s="861" t="s">
        <v>971</v>
      </c>
      <c r="E11" s="861" t="s">
        <v>972</v>
      </c>
      <c r="F11" s="855" t="s">
        <v>972</v>
      </c>
    </row>
    <row r="12" spans="2:6">
      <c r="B12" s="861" t="s">
        <v>962</v>
      </c>
      <c r="C12" s="862">
        <v>84</v>
      </c>
      <c r="D12" s="861" t="s">
        <v>971</v>
      </c>
      <c r="E12" s="861" t="s">
        <v>972</v>
      </c>
      <c r="F12" s="855" t="s">
        <v>972</v>
      </c>
    </row>
    <row r="13" spans="2:6">
      <c r="B13" s="861" t="s">
        <v>962</v>
      </c>
      <c r="C13" s="862">
        <v>80</v>
      </c>
      <c r="D13" s="861" t="s">
        <v>969</v>
      </c>
      <c r="E13" s="861" t="s">
        <v>972</v>
      </c>
      <c r="F13" s="855" t="s">
        <v>972</v>
      </c>
    </row>
    <row r="14" spans="2:6">
      <c r="B14" s="861" t="s">
        <v>962</v>
      </c>
      <c r="C14" s="862">
        <v>70</v>
      </c>
      <c r="D14" s="861" t="s">
        <v>969</v>
      </c>
      <c r="E14" s="861" t="s">
        <v>972</v>
      </c>
      <c r="F14" s="855" t="s">
        <v>972</v>
      </c>
    </row>
    <row r="15" spans="2:6" ht="24.75">
      <c r="B15" s="861" t="s">
        <v>962</v>
      </c>
      <c r="C15" s="862">
        <v>40</v>
      </c>
      <c r="D15" s="861" t="s">
        <v>980</v>
      </c>
      <c r="E15" s="861" t="s">
        <v>1000</v>
      </c>
      <c r="F15" s="855" t="s">
        <v>981</v>
      </c>
    </row>
    <row r="16" spans="2:6" ht="24.75">
      <c r="B16" s="861" t="s">
        <v>962</v>
      </c>
      <c r="C16" s="862">
        <v>22</v>
      </c>
      <c r="D16" s="861" t="s">
        <v>990</v>
      </c>
      <c r="E16" s="861" t="s">
        <v>1000</v>
      </c>
      <c r="F16" s="855" t="s">
        <v>981</v>
      </c>
    </row>
    <row r="17" spans="2:6" ht="36.75">
      <c r="B17" s="861" t="s">
        <v>962</v>
      </c>
      <c r="C17" s="862" t="s">
        <v>973</v>
      </c>
      <c r="D17" s="861" t="s">
        <v>974</v>
      </c>
      <c r="E17" s="861" t="s">
        <v>975</v>
      </c>
      <c r="F17" s="855" t="s">
        <v>1179</v>
      </c>
    </row>
    <row r="18" spans="2:6" ht="24.75">
      <c r="B18" s="861" t="s">
        <v>962</v>
      </c>
      <c r="C18" s="862">
        <v>470</v>
      </c>
      <c r="D18" s="861" t="s">
        <v>976</v>
      </c>
      <c r="E18" s="861" t="s">
        <v>1031</v>
      </c>
      <c r="F18" s="855" t="s">
        <v>977</v>
      </c>
    </row>
    <row r="19" spans="2:6">
      <c r="B19" s="861" t="s">
        <v>962</v>
      </c>
      <c r="C19" s="862">
        <v>56</v>
      </c>
      <c r="D19" s="861" t="s">
        <v>1025</v>
      </c>
      <c r="E19" s="861" t="s">
        <v>1055</v>
      </c>
      <c r="F19" s="855"/>
    </row>
    <row r="20" spans="2:6">
      <c r="B20" s="861" t="s">
        <v>962</v>
      </c>
      <c r="C20" s="862">
        <v>8</v>
      </c>
      <c r="D20" s="861" t="s">
        <v>1068</v>
      </c>
      <c r="E20" s="861" t="s">
        <v>1054</v>
      </c>
      <c r="F20" s="855"/>
    </row>
    <row r="21" spans="2:6">
      <c r="B21" s="861" t="s">
        <v>962</v>
      </c>
      <c r="C21" s="1140">
        <v>70</v>
      </c>
      <c r="D21" s="1141" t="s">
        <v>1464</v>
      </c>
      <c r="E21" s="861"/>
      <c r="F21" s="855"/>
    </row>
    <row r="22" spans="2:6">
      <c r="B22" s="1370" t="s">
        <v>1033</v>
      </c>
      <c r="C22" s="1371"/>
      <c r="D22" s="1372"/>
      <c r="E22" s="861" t="s">
        <v>1032</v>
      </c>
      <c r="F22" s="855" t="s">
        <v>997</v>
      </c>
    </row>
    <row r="23" spans="2:6" ht="7.5" customHeight="1">
      <c r="B23" s="1366"/>
      <c r="C23" s="1367"/>
      <c r="D23" s="1367"/>
      <c r="E23" s="1367"/>
      <c r="F23" s="1368"/>
    </row>
    <row r="24" spans="2:6" ht="63">
      <c r="B24" s="861" t="s">
        <v>961</v>
      </c>
      <c r="C24" s="862">
        <v>1</v>
      </c>
      <c r="D24" s="863" t="s">
        <v>1064</v>
      </c>
      <c r="E24" s="861" t="s">
        <v>1034</v>
      </c>
      <c r="F24" s="855" t="s">
        <v>996</v>
      </c>
    </row>
    <row r="25" spans="2:6" ht="7.5" customHeight="1">
      <c r="B25" s="1366"/>
      <c r="C25" s="1367"/>
      <c r="D25" s="1367"/>
      <c r="E25" s="1367"/>
      <c r="F25" s="1368"/>
    </row>
    <row r="26" spans="2:6">
      <c r="B26" s="861" t="s">
        <v>960</v>
      </c>
      <c r="C26" s="862">
        <v>15</v>
      </c>
      <c r="D26" s="861" t="s">
        <v>958</v>
      </c>
      <c r="E26" s="861" t="s">
        <v>1001</v>
      </c>
      <c r="F26" s="855" t="s">
        <v>965</v>
      </c>
    </row>
    <row r="27" spans="2:6">
      <c r="B27" s="861" t="s">
        <v>960</v>
      </c>
      <c r="C27" s="862">
        <v>5.3</v>
      </c>
      <c r="D27" s="861" t="s">
        <v>959</v>
      </c>
      <c r="E27" s="861" t="s">
        <v>1001</v>
      </c>
      <c r="F27" s="855" t="s">
        <v>965</v>
      </c>
    </row>
    <row r="28" spans="2:6">
      <c r="B28" s="861" t="s">
        <v>960</v>
      </c>
      <c r="C28" s="862">
        <v>11</v>
      </c>
      <c r="D28" s="861" t="s">
        <v>963</v>
      </c>
      <c r="E28" s="861" t="s">
        <v>1001</v>
      </c>
      <c r="F28" s="855" t="s">
        <v>965</v>
      </c>
    </row>
    <row r="29" spans="2:6">
      <c r="B29" s="861" t="s">
        <v>960</v>
      </c>
      <c r="C29" s="862">
        <v>6.5</v>
      </c>
      <c r="D29" s="861" t="s">
        <v>1015</v>
      </c>
      <c r="E29" s="861" t="s">
        <v>1001</v>
      </c>
      <c r="F29" s="855" t="s">
        <v>965</v>
      </c>
    </row>
    <row r="30" spans="2:6">
      <c r="B30" s="861" t="s">
        <v>960</v>
      </c>
      <c r="C30" s="862">
        <v>4.5</v>
      </c>
      <c r="D30" s="861" t="s">
        <v>964</v>
      </c>
      <c r="E30" s="861" t="s">
        <v>1001</v>
      </c>
      <c r="F30" s="855" t="s">
        <v>965</v>
      </c>
    </row>
    <row r="31" spans="2:6" ht="24.75">
      <c r="B31" s="861" t="s">
        <v>960</v>
      </c>
      <c r="C31" s="864">
        <v>25000</v>
      </c>
      <c r="D31" s="861" t="s">
        <v>999</v>
      </c>
      <c r="E31" s="861" t="s">
        <v>1002</v>
      </c>
      <c r="F31" s="855" t="s">
        <v>998</v>
      </c>
    </row>
    <row r="32" spans="2:6">
      <c r="B32" s="1370" t="s">
        <v>1033</v>
      </c>
      <c r="C32" s="1371"/>
      <c r="D32" s="1371"/>
      <c r="E32" s="1372"/>
      <c r="F32" s="855" t="s">
        <v>1003</v>
      </c>
    </row>
    <row r="33" spans="2:6" ht="7.5" customHeight="1">
      <c r="B33" s="1366"/>
      <c r="C33" s="1367"/>
      <c r="D33" s="1367"/>
      <c r="E33" s="1367"/>
      <c r="F33" s="1368"/>
    </row>
    <row r="34" spans="2:6" ht="24.75">
      <c r="B34" s="861" t="s">
        <v>978</v>
      </c>
      <c r="C34" s="862">
        <v>8</v>
      </c>
      <c r="D34" s="861" t="s">
        <v>979</v>
      </c>
      <c r="E34" s="861" t="s">
        <v>1000</v>
      </c>
      <c r="F34" s="855" t="s">
        <v>981</v>
      </c>
    </row>
    <row r="35" spans="2:6" ht="7.5" customHeight="1">
      <c r="B35" s="1366"/>
      <c r="C35" s="1367"/>
      <c r="D35" s="1367"/>
      <c r="E35" s="1367"/>
      <c r="F35" s="1368"/>
    </row>
    <row r="36" spans="2:6" ht="24.75">
      <c r="B36" s="861" t="s">
        <v>978</v>
      </c>
      <c r="C36" s="862">
        <v>6</v>
      </c>
      <c r="D36" s="861" t="s">
        <v>983</v>
      </c>
      <c r="E36" s="861" t="s">
        <v>1000</v>
      </c>
      <c r="F36" s="855" t="s">
        <v>981</v>
      </c>
    </row>
    <row r="37" spans="2:6">
      <c r="B37" s="861" t="s">
        <v>982</v>
      </c>
      <c r="C37" s="864">
        <v>1900</v>
      </c>
      <c r="D37" s="861" t="s">
        <v>991</v>
      </c>
      <c r="E37" s="861" t="s">
        <v>1065</v>
      </c>
      <c r="F37" s="855" t="s">
        <v>992</v>
      </c>
    </row>
    <row r="38" spans="2:6">
      <c r="B38" s="861" t="s">
        <v>982</v>
      </c>
      <c r="C38" s="865">
        <v>1334</v>
      </c>
      <c r="D38" s="861" t="s">
        <v>1038</v>
      </c>
      <c r="E38" s="861" t="s">
        <v>1036</v>
      </c>
      <c r="F38" s="855" t="s">
        <v>1037</v>
      </c>
    </row>
    <row r="39" spans="2:6">
      <c r="B39" s="861" t="s">
        <v>982</v>
      </c>
      <c r="C39" s="865">
        <v>3640</v>
      </c>
      <c r="D39" s="861" t="s">
        <v>1035</v>
      </c>
      <c r="E39" s="861" t="s">
        <v>1036</v>
      </c>
      <c r="F39" s="855" t="s">
        <v>1037</v>
      </c>
    </row>
    <row r="40" spans="2:6">
      <c r="B40" s="861" t="s">
        <v>982</v>
      </c>
      <c r="C40" s="865">
        <v>372</v>
      </c>
      <c r="D40" s="861" t="s">
        <v>1039</v>
      </c>
      <c r="E40" s="861" t="s">
        <v>1036</v>
      </c>
      <c r="F40" s="855" t="s">
        <v>1037</v>
      </c>
    </row>
    <row r="41" spans="2:6">
      <c r="B41" s="861" t="s">
        <v>982</v>
      </c>
      <c r="C41" s="865">
        <v>1166</v>
      </c>
      <c r="D41" s="861" t="s">
        <v>1040</v>
      </c>
      <c r="E41" s="861" t="s">
        <v>1036</v>
      </c>
      <c r="F41" s="855" t="s">
        <v>1037</v>
      </c>
    </row>
    <row r="42" spans="2:6">
      <c r="B42" s="861" t="s">
        <v>982</v>
      </c>
      <c r="C42" s="865">
        <v>1176</v>
      </c>
      <c r="D42" s="861" t="s">
        <v>1041</v>
      </c>
      <c r="E42" s="861" t="s">
        <v>1036</v>
      </c>
      <c r="F42" s="855" t="s">
        <v>1037</v>
      </c>
    </row>
    <row r="43" spans="2:6">
      <c r="B43" s="861" t="s">
        <v>982</v>
      </c>
      <c r="C43" s="865">
        <v>5313</v>
      </c>
      <c r="D43" s="861" t="s">
        <v>1042</v>
      </c>
      <c r="E43" s="861" t="s">
        <v>1036</v>
      </c>
      <c r="F43" s="855" t="s">
        <v>1037</v>
      </c>
    </row>
    <row r="44" spans="2:6">
      <c r="B44" s="861" t="s">
        <v>982</v>
      </c>
      <c r="C44" s="865">
        <v>2282</v>
      </c>
      <c r="D44" s="861" t="s">
        <v>1043</v>
      </c>
      <c r="E44" s="861" t="s">
        <v>1036</v>
      </c>
      <c r="F44" s="855" t="s">
        <v>1037</v>
      </c>
    </row>
    <row r="45" spans="2:6">
      <c r="B45" s="861" t="s">
        <v>982</v>
      </c>
      <c r="C45" s="865">
        <v>5299</v>
      </c>
      <c r="D45" s="861" t="s">
        <v>1044</v>
      </c>
      <c r="E45" s="861" t="s">
        <v>1036</v>
      </c>
      <c r="F45" s="855" t="s">
        <v>1037</v>
      </c>
    </row>
    <row r="46" spans="2:6">
      <c r="B46" s="861" t="s">
        <v>982</v>
      </c>
      <c r="C46" s="865">
        <v>30</v>
      </c>
      <c r="D46" s="861" t="s">
        <v>1045</v>
      </c>
      <c r="E46" s="861" t="s">
        <v>1036</v>
      </c>
      <c r="F46" s="855" t="s">
        <v>1037</v>
      </c>
    </row>
    <row r="47" spans="2:6">
      <c r="B47" s="861" t="s">
        <v>982</v>
      </c>
      <c r="C47" s="865">
        <v>277</v>
      </c>
      <c r="D47" s="861" t="s">
        <v>1046</v>
      </c>
      <c r="E47" s="861" t="s">
        <v>1036</v>
      </c>
      <c r="F47" s="855" t="s">
        <v>1037</v>
      </c>
    </row>
    <row r="48" spans="2:6">
      <c r="B48" s="861" t="s">
        <v>982</v>
      </c>
      <c r="C48" s="865">
        <v>52</v>
      </c>
      <c r="D48" s="861" t="s">
        <v>1047</v>
      </c>
      <c r="E48" s="861" t="s">
        <v>1036</v>
      </c>
      <c r="F48" s="855" t="s">
        <v>1037</v>
      </c>
    </row>
    <row r="49" spans="2:6">
      <c r="B49" s="861" t="s">
        <v>982</v>
      </c>
      <c r="C49" s="865">
        <v>84</v>
      </c>
      <c r="D49" s="861" t="s">
        <v>1048</v>
      </c>
      <c r="E49" s="861" t="s">
        <v>1036</v>
      </c>
      <c r="F49" s="855" t="s">
        <v>1037</v>
      </c>
    </row>
    <row r="50" spans="2:6">
      <c r="B50" s="861" t="s">
        <v>982</v>
      </c>
      <c r="C50" s="865">
        <v>582</v>
      </c>
      <c r="D50" s="861" t="s">
        <v>1049</v>
      </c>
      <c r="E50" s="861" t="s">
        <v>1036</v>
      </c>
      <c r="F50" s="855" t="s">
        <v>1037</v>
      </c>
    </row>
    <row r="51" spans="2:6">
      <c r="B51" s="861" t="s">
        <v>982</v>
      </c>
      <c r="C51" s="865">
        <v>4718</v>
      </c>
      <c r="D51" s="861" t="s">
        <v>1050</v>
      </c>
      <c r="E51" s="861" t="s">
        <v>1036</v>
      </c>
      <c r="F51" s="855" t="s">
        <v>1037</v>
      </c>
    </row>
    <row r="52" spans="2:6">
      <c r="B52" s="861" t="s">
        <v>982</v>
      </c>
      <c r="C52" s="865">
        <v>2002</v>
      </c>
      <c r="D52" s="861" t="s">
        <v>1051</v>
      </c>
      <c r="E52" s="861" t="s">
        <v>1036</v>
      </c>
      <c r="F52" s="855" t="s">
        <v>1037</v>
      </c>
    </row>
    <row r="53" spans="2:6">
      <c r="B53" s="861" t="s">
        <v>982</v>
      </c>
      <c r="C53" s="865">
        <v>1240</v>
      </c>
      <c r="D53" s="861" t="s">
        <v>987</v>
      </c>
      <c r="E53" s="861" t="s">
        <v>1036</v>
      </c>
      <c r="F53" s="855" t="s">
        <v>1037</v>
      </c>
    </row>
    <row r="54" spans="2:6">
      <c r="B54" s="861" t="s">
        <v>982</v>
      </c>
      <c r="C54" s="865">
        <v>1883</v>
      </c>
      <c r="D54" s="861" t="s">
        <v>1052</v>
      </c>
      <c r="E54" s="861" t="s">
        <v>1036</v>
      </c>
      <c r="F54" s="855" t="s">
        <v>1037</v>
      </c>
    </row>
    <row r="55" spans="2:6">
      <c r="B55" s="861" t="s">
        <v>982</v>
      </c>
      <c r="C55" s="865">
        <v>6398</v>
      </c>
      <c r="D55" s="861" t="s">
        <v>1053</v>
      </c>
      <c r="E55" s="861" t="s">
        <v>1036</v>
      </c>
      <c r="F55" s="855" t="s">
        <v>1037</v>
      </c>
    </row>
    <row r="56" spans="2:6" ht="7.5" customHeight="1">
      <c r="B56" s="1366"/>
      <c r="C56" s="1367"/>
      <c r="D56" s="1367"/>
      <c r="E56" s="1367"/>
      <c r="F56" s="1368"/>
    </row>
    <row r="57" spans="2:6" ht="24.75">
      <c r="B57" s="861" t="s">
        <v>986</v>
      </c>
      <c r="C57" s="862">
        <v>80</v>
      </c>
      <c r="D57" s="861" t="s">
        <v>985</v>
      </c>
      <c r="E57" s="861" t="s">
        <v>1000</v>
      </c>
      <c r="F57" s="855" t="s">
        <v>981</v>
      </c>
    </row>
    <row r="58" spans="2:6" ht="24.75">
      <c r="B58" s="861" t="s">
        <v>984</v>
      </c>
      <c r="C58" s="862">
        <v>550</v>
      </c>
      <c r="D58" s="861" t="s">
        <v>987</v>
      </c>
      <c r="E58" s="861" t="s">
        <v>1000</v>
      </c>
      <c r="F58" s="855" t="s">
        <v>981</v>
      </c>
    </row>
    <row r="59" spans="2:6" ht="7.5" customHeight="1">
      <c r="B59" s="1366"/>
      <c r="C59" s="1367"/>
      <c r="D59" s="1367"/>
      <c r="E59" s="1367"/>
      <c r="F59" s="1368"/>
    </row>
    <row r="60" spans="2:6" ht="24.75">
      <c r="B60" s="861" t="s">
        <v>989</v>
      </c>
      <c r="C60" s="862">
        <v>8</v>
      </c>
      <c r="D60" s="861" t="s">
        <v>988</v>
      </c>
      <c r="E60" s="861" t="s">
        <v>1000</v>
      </c>
      <c r="F60" s="855" t="s">
        <v>981</v>
      </c>
    </row>
  </sheetData>
  <mergeCells count="9">
    <mergeCell ref="B35:F35"/>
    <mergeCell ref="B56:F56"/>
    <mergeCell ref="B59:F59"/>
    <mergeCell ref="B3:F3"/>
    <mergeCell ref="B32:E32"/>
    <mergeCell ref="B22:D22"/>
    <mergeCell ref="B23:F23"/>
    <mergeCell ref="B25:F25"/>
    <mergeCell ref="B33:F33"/>
  </mergeCells>
  <hyperlinks>
    <hyperlink ref="F6" r:id="rId1" xr:uid="{2131A5BC-AFA7-4343-BAA3-BB45CCE0BBDF}"/>
    <hyperlink ref="F24" r:id="rId2" display="https://www.preserve.eco/collections/oral-care/products/kids-toothbrush-single" xr:uid="{E93E2D15-5CBE-4A38-927B-285C6F639BB0}"/>
    <hyperlink ref="F26" r:id="rId3" xr:uid="{72886FEC-56AC-40FB-BAB2-BBF48CB85CE6}"/>
    <hyperlink ref="F27:F30" r:id="rId4" display="https://www.greentoys.com/pages/our-story?show=slide4" xr:uid="{4C00A19E-E999-4458-8F58-23678B399C86}"/>
    <hyperlink ref="F7" r:id="rId5" xr:uid="{52F90F27-F755-48D1-8E41-84705E1A2149}"/>
    <hyperlink ref="F18" r:id="rId6" xr:uid="{780512F6-8567-4963-A32A-794A72278ADB}"/>
    <hyperlink ref="F15" r:id="rId7" xr:uid="{E37E9EC5-7C02-44A7-AF5E-AC728DA8E3BD}"/>
    <hyperlink ref="F34" r:id="rId8" xr:uid="{8BEFED7B-D6C8-4939-B970-867598BEE731}"/>
    <hyperlink ref="F36" r:id="rId9" xr:uid="{94CAA264-7734-4FAA-9F35-C9951571C66D}"/>
    <hyperlink ref="F16" r:id="rId10" xr:uid="{86E3722C-9612-4902-B51E-3C63D3BE08F6}"/>
    <hyperlink ref="F57" r:id="rId11" xr:uid="{508EC721-1E3B-41B7-8644-096C109E59A5}"/>
    <hyperlink ref="F58" r:id="rId12" xr:uid="{A7F44A7C-1F4D-40F2-A1FA-083D465CB1DD}"/>
    <hyperlink ref="F60" r:id="rId13" xr:uid="{96AE5518-CD13-45E6-9ED0-48DB283CE8CC}"/>
    <hyperlink ref="F37" r:id="rId14" xr:uid="{16FA7B1A-EAE1-4173-950D-0724F01BB3EA}"/>
    <hyperlink ref="F8" r:id="rId15" xr:uid="{BB8E32E7-B24B-45D0-BF60-FB1D77B6C3C3}"/>
    <hyperlink ref="F9" r:id="rId16" xr:uid="{79BCA074-43ED-4292-9135-D8FAA83825D3}"/>
    <hyperlink ref="F22" r:id="rId17" xr:uid="{6EFC01C8-ABBD-4EDD-90C1-DF8A85999297}"/>
    <hyperlink ref="F31" r:id="rId18" xr:uid="{A178C46B-3CAC-4EE9-879D-D17B556ABE2B}"/>
    <hyperlink ref="F32" r:id="rId19" xr:uid="{A48CC813-0260-4AF2-B040-1EA8E022C5EB}"/>
  </hyperlinks>
  <pageMargins left="0.7" right="0.7" top="0.75" bottom="0.75" header="0.3" footer="0.3"/>
  <pageSetup scale="42" orientation="portrait" r:id="rId20"/>
  <drawing r:id="rId2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90E83-24FC-4559-A0C6-DC9685999A9B}">
  <dimension ref="A1:H21"/>
  <sheetViews>
    <sheetView showGridLines="0" topLeftCell="A10" zoomScale="90" zoomScaleNormal="90" workbookViewId="0">
      <selection activeCell="F24" sqref="F24"/>
    </sheetView>
  </sheetViews>
  <sheetFormatPr baseColWidth="10" defaultColWidth="11.42578125" defaultRowHeight="15.75"/>
  <cols>
    <col min="1" max="1" width="11.7109375" style="1124" customWidth="1"/>
    <col min="2" max="2" width="13.28515625" style="1125" customWidth="1"/>
    <col min="3" max="3" width="29.140625" style="1124" customWidth="1"/>
    <col min="4" max="5" width="30.85546875" style="1124" customWidth="1"/>
    <col min="6" max="6" width="33.140625" style="1124" customWidth="1"/>
    <col min="7" max="7" width="14.28515625" style="1124" customWidth="1"/>
    <col min="8" max="8" width="33.7109375" style="1124" customWidth="1"/>
    <col min="9" max="16384" width="11.42578125" style="1124"/>
  </cols>
  <sheetData>
    <row r="1" spans="1:8" ht="71.25" customHeight="1">
      <c r="A1" s="1374" t="s">
        <v>1462</v>
      </c>
      <c r="B1" s="1374"/>
      <c r="C1" s="1374"/>
      <c r="D1" s="1374"/>
      <c r="E1" s="1374"/>
      <c r="F1" s="1374"/>
      <c r="G1" s="1374"/>
      <c r="H1" s="1374"/>
    </row>
    <row r="2" spans="1:8" s="1126" customFormat="1" ht="19.5" thickBot="1">
      <c r="A2" s="1132" t="s">
        <v>1415</v>
      </c>
      <c r="B2" s="1373" t="s">
        <v>1416</v>
      </c>
      <c r="C2" s="1373"/>
      <c r="D2" s="1373"/>
      <c r="E2" s="1373"/>
      <c r="F2" s="1132" t="s">
        <v>1364</v>
      </c>
      <c r="G2" s="1132" t="s">
        <v>1459</v>
      </c>
      <c r="H2" s="1132"/>
    </row>
    <row r="3" spans="1:8" s="1127" customFormat="1" ht="31.5">
      <c r="A3" s="1127" t="s">
        <v>1417</v>
      </c>
      <c r="B3" s="1137" t="s">
        <v>1446</v>
      </c>
      <c r="C3" s="1138"/>
      <c r="D3" s="1139" t="s">
        <v>1418</v>
      </c>
      <c r="E3" s="1138" t="s">
        <v>1419</v>
      </c>
      <c r="F3" s="1124" t="s">
        <v>1421</v>
      </c>
      <c r="G3" s="1127" t="s">
        <v>1420</v>
      </c>
      <c r="H3" s="1128" t="s">
        <v>1425</v>
      </c>
    </row>
    <row r="4" spans="1:8">
      <c r="F4" s="1124" t="s">
        <v>1422</v>
      </c>
    </row>
    <row r="5" spans="1:8">
      <c r="F5" s="1124" t="s">
        <v>1423</v>
      </c>
    </row>
    <row r="6" spans="1:8" ht="16.5" thickBot="1">
      <c r="A6" s="1130"/>
      <c r="B6" s="1136"/>
      <c r="C6" s="1130"/>
      <c r="D6" s="1130"/>
      <c r="E6" s="1130"/>
      <c r="F6" s="1130" t="s">
        <v>1424</v>
      </c>
      <c r="G6" s="1130"/>
      <c r="H6" s="1130"/>
    </row>
    <row r="7" spans="1:8" s="1127" customFormat="1" ht="70.5" customHeight="1">
      <c r="A7" s="1127" t="s">
        <v>1426</v>
      </c>
      <c r="B7" s="1129" t="s">
        <v>1427</v>
      </c>
      <c r="C7" s="1129" t="s">
        <v>1460</v>
      </c>
      <c r="D7" s="1128" t="s">
        <v>1428</v>
      </c>
      <c r="E7" s="1127" t="s">
        <v>1437</v>
      </c>
      <c r="F7" s="1124" t="s">
        <v>1429</v>
      </c>
      <c r="G7" s="1129" t="s">
        <v>1435</v>
      </c>
      <c r="H7" s="1128" t="s">
        <v>1436</v>
      </c>
    </row>
    <row r="8" spans="1:8">
      <c r="C8" s="1129"/>
      <c r="F8" s="1124" t="s">
        <v>1430</v>
      </c>
    </row>
    <row r="9" spans="1:8">
      <c r="C9" s="1129"/>
      <c r="F9" s="1124" t="s">
        <v>1431</v>
      </c>
    </row>
    <row r="10" spans="1:8">
      <c r="C10" s="1129"/>
      <c r="F10" s="1124" t="s">
        <v>1432</v>
      </c>
    </row>
    <row r="11" spans="1:8">
      <c r="C11" s="1129"/>
      <c r="F11" s="1124" t="s">
        <v>1433</v>
      </c>
    </row>
    <row r="12" spans="1:8">
      <c r="C12" s="1129"/>
      <c r="F12" s="1124" t="s">
        <v>1434</v>
      </c>
    </row>
    <row r="13" spans="1:8" ht="16.5" thickBot="1">
      <c r="A13" s="1130"/>
      <c r="B13" s="1136"/>
      <c r="C13" s="1131"/>
      <c r="D13" s="1130"/>
      <c r="E13" s="1130"/>
      <c r="F13" s="1130" t="s">
        <v>1444</v>
      </c>
      <c r="G13" s="1130"/>
      <c r="H13" s="1130"/>
    </row>
    <row r="14" spans="1:8" s="1127" customFormat="1" ht="75" customHeight="1">
      <c r="A14" s="1127" t="s">
        <v>1438</v>
      </c>
      <c r="B14" s="1129"/>
      <c r="D14" s="1129" t="s">
        <v>1439</v>
      </c>
      <c r="E14" s="1129" t="s">
        <v>1440</v>
      </c>
      <c r="F14" s="1124" t="s">
        <v>1441</v>
      </c>
      <c r="G14" s="1127">
        <v>2</v>
      </c>
      <c r="H14" s="1128" t="s">
        <v>1443</v>
      </c>
    </row>
    <row r="15" spans="1:8" ht="16.5" thickBot="1">
      <c r="A15" s="1130"/>
      <c r="B15" s="1136"/>
      <c r="C15" s="1130"/>
      <c r="D15" s="1130"/>
      <c r="E15" s="1130"/>
      <c r="F15" s="1130" t="s">
        <v>1442</v>
      </c>
      <c r="G15" s="1130"/>
      <c r="H15" s="1130"/>
    </row>
    <row r="16" spans="1:8" s="1127" customFormat="1" ht="63">
      <c r="A16" s="1127" t="s">
        <v>1445</v>
      </c>
      <c r="B16" s="1129" t="s">
        <v>1446</v>
      </c>
      <c r="C16" s="1129" t="s">
        <v>1453</v>
      </c>
      <c r="D16" s="1128" t="s">
        <v>1448</v>
      </c>
      <c r="F16" s="1124" t="s">
        <v>1449</v>
      </c>
      <c r="G16" s="1127" t="s">
        <v>1420</v>
      </c>
      <c r="H16" s="1127" t="s">
        <v>1447</v>
      </c>
    </row>
    <row r="17" spans="1:8">
      <c r="F17" s="1124" t="s">
        <v>1450</v>
      </c>
    </row>
    <row r="18" spans="1:8">
      <c r="F18" s="1124" t="s">
        <v>1451</v>
      </c>
    </row>
    <row r="19" spans="1:8">
      <c r="F19" s="1124" t="s">
        <v>1452</v>
      </c>
    </row>
    <row r="20" spans="1:8" ht="16.5" thickBot="1">
      <c r="A20" s="1130"/>
      <c r="B20" s="1136"/>
      <c r="C20" s="1130"/>
      <c r="D20" s="1130"/>
      <c r="E20" s="1130"/>
      <c r="F20" s="1130" t="s">
        <v>1433</v>
      </c>
      <c r="G20" s="1130"/>
      <c r="H20" s="1130"/>
    </row>
    <row r="21" spans="1:8" s="1127" customFormat="1" ht="48" thickBot="1">
      <c r="A21" s="1133" t="s">
        <v>1454</v>
      </c>
      <c r="B21" s="1134" t="s">
        <v>1455</v>
      </c>
      <c r="C21" s="1134" t="s">
        <v>1461</v>
      </c>
      <c r="D21" s="1133"/>
      <c r="E21" s="1133" t="s">
        <v>1456</v>
      </c>
      <c r="F21" s="1134" t="s">
        <v>1457</v>
      </c>
      <c r="G21" s="1134" t="s">
        <v>1435</v>
      </c>
      <c r="H21" s="1135" t="s">
        <v>1458</v>
      </c>
    </row>
  </sheetData>
  <mergeCells count="2">
    <mergeCell ref="B2:E2"/>
    <mergeCell ref="A1:H1"/>
  </mergeCells>
  <hyperlinks>
    <hyperlink ref="D3" r:id="rId1" xr:uid="{0E1621D0-A0B6-4C96-999B-9DC49027362E}"/>
    <hyperlink ref="H3" r:id="rId2" xr:uid="{797E7C14-D976-41E9-8A9B-90CD5FA78FF5}"/>
    <hyperlink ref="D7" r:id="rId3" xr:uid="{B1028F46-A9BA-4870-87E6-8855F0CD263E}"/>
    <hyperlink ref="H7" r:id="rId4" xr:uid="{B216645D-486A-4F0F-9E74-337D92114D66}"/>
    <hyperlink ref="H14" r:id="rId5" xr:uid="{B065CA4E-217D-4FA6-95E9-AAFFDC4A5770}"/>
    <hyperlink ref="D16" r:id="rId6" xr:uid="{0698218E-BDE0-4D86-8D2B-1AF9E6812182}"/>
    <hyperlink ref="H21" r:id="rId7" xr:uid="{F0C7C3EB-08CE-466F-B470-4B9B34CED662}"/>
  </hyperlinks>
  <pageMargins left="0.7" right="0.7" top="0.75" bottom="0.75" header="0.3" footer="0.3"/>
  <pageSetup orientation="portrait" r:id="rId8"/>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5436B-1A59-4862-851E-973C1C15FB08}">
  <dimension ref="A3:J93"/>
  <sheetViews>
    <sheetView workbookViewId="0"/>
  </sheetViews>
  <sheetFormatPr baseColWidth="10" defaultColWidth="11.42578125" defaultRowHeight="15"/>
  <cols>
    <col min="1" max="1" width="13.28515625" style="981" customWidth="1"/>
    <col min="2" max="2" width="33.42578125" style="974" customWidth="1"/>
    <col min="3" max="8" width="11.42578125" style="974"/>
    <col min="9" max="9" width="3" style="974" customWidth="1"/>
    <col min="10" max="10" width="41.7109375" style="1005" customWidth="1"/>
    <col min="11" max="16384" width="11.42578125" style="973"/>
  </cols>
  <sheetData>
    <row r="3" spans="1:10" ht="19.5">
      <c r="A3" s="980"/>
      <c r="B3" s="1418" t="s">
        <v>1285</v>
      </c>
      <c r="C3" s="1419"/>
      <c r="D3" s="1419"/>
      <c r="E3" s="1419"/>
      <c r="F3" s="1419"/>
      <c r="G3" s="1419"/>
      <c r="H3" s="1419"/>
      <c r="I3" s="1419"/>
      <c r="J3" s="991"/>
    </row>
    <row r="4" spans="1:10" ht="16.5">
      <c r="A4" s="1410" t="s">
        <v>48</v>
      </c>
      <c r="B4" s="1375" t="s">
        <v>1273</v>
      </c>
      <c r="C4" s="1376"/>
      <c r="D4" s="1376"/>
      <c r="E4" s="1376"/>
      <c r="F4" s="1376"/>
      <c r="G4" s="1376"/>
      <c r="H4" s="1376"/>
      <c r="I4" s="1376"/>
      <c r="J4" s="992" t="s">
        <v>1180</v>
      </c>
    </row>
    <row r="5" spans="1:10" ht="16.5">
      <c r="A5" s="1410"/>
      <c r="B5" s="1383" t="s">
        <v>1278</v>
      </c>
      <c r="C5" s="1379"/>
      <c r="D5" s="1379"/>
      <c r="E5" s="1379"/>
      <c r="F5" s="1379"/>
      <c r="G5" s="1379"/>
      <c r="H5" s="1379"/>
      <c r="I5" s="1375"/>
      <c r="J5" s="992" t="s">
        <v>1219</v>
      </c>
    </row>
    <row r="6" spans="1:10" ht="16.5">
      <c r="A6" s="1410"/>
      <c r="B6" s="1383" t="s">
        <v>1275</v>
      </c>
      <c r="C6" s="1379"/>
      <c r="D6" s="1379"/>
      <c r="E6" s="1379"/>
      <c r="F6" s="1379"/>
      <c r="G6" s="1379"/>
      <c r="H6" s="1379"/>
      <c r="I6" s="1375"/>
      <c r="J6" s="992" t="s">
        <v>1276</v>
      </c>
    </row>
    <row r="7" spans="1:10">
      <c r="A7" s="1410"/>
      <c r="B7" s="1375" t="s">
        <v>1320</v>
      </c>
      <c r="C7" s="1376"/>
      <c r="D7" s="1376"/>
      <c r="E7" s="1376"/>
      <c r="F7" s="1376"/>
      <c r="G7" s="1376"/>
      <c r="H7" s="1376"/>
      <c r="I7" s="1376"/>
      <c r="J7" s="992" t="s">
        <v>967</v>
      </c>
    </row>
    <row r="8" spans="1:10" ht="32.25" customHeight="1">
      <c r="A8" s="1410"/>
      <c r="B8" s="1383" t="s">
        <v>1286</v>
      </c>
      <c r="C8" s="1379"/>
      <c r="D8" s="1379"/>
      <c r="E8" s="1379"/>
      <c r="F8" s="1379"/>
      <c r="G8" s="1379"/>
      <c r="H8" s="1379"/>
      <c r="I8" s="1375"/>
      <c r="J8" s="992"/>
    </row>
    <row r="9" spans="1:10" ht="29.25" customHeight="1">
      <c r="A9" s="1410"/>
      <c r="B9" s="1383" t="s">
        <v>1277</v>
      </c>
      <c r="C9" s="1379"/>
      <c r="D9" s="1379"/>
      <c r="E9" s="1379"/>
      <c r="F9" s="1379"/>
      <c r="G9" s="1379"/>
      <c r="H9" s="1379"/>
      <c r="I9" s="1375"/>
      <c r="J9" s="992"/>
    </row>
    <row r="10" spans="1:10">
      <c r="A10" s="1410"/>
      <c r="B10" s="1383" t="s">
        <v>1279</v>
      </c>
      <c r="C10" s="1379"/>
      <c r="D10" s="1379"/>
      <c r="E10" s="1379"/>
      <c r="F10" s="1379"/>
      <c r="G10" s="1379"/>
      <c r="H10" s="1379"/>
      <c r="I10" s="1375"/>
      <c r="J10" s="992"/>
    </row>
    <row r="11" spans="1:10" ht="28.5" customHeight="1">
      <c r="A11" s="1410"/>
      <c r="B11" s="1383" t="s">
        <v>1280</v>
      </c>
      <c r="C11" s="1379"/>
      <c r="D11" s="1379"/>
      <c r="E11" s="1379"/>
      <c r="F11" s="1379"/>
      <c r="G11" s="1379"/>
      <c r="H11" s="1379"/>
      <c r="I11" s="1375"/>
      <c r="J11" s="992"/>
    </row>
    <row r="12" spans="1:10">
      <c r="A12" s="1410"/>
      <c r="B12" s="1383" t="s">
        <v>1287</v>
      </c>
      <c r="C12" s="1379"/>
      <c r="D12" s="1379"/>
      <c r="E12" s="1379"/>
      <c r="F12" s="1379"/>
      <c r="G12" s="1379"/>
      <c r="H12" s="1379"/>
      <c r="I12" s="1375"/>
      <c r="J12" s="992"/>
    </row>
    <row r="13" spans="1:10">
      <c r="A13" s="1410"/>
      <c r="B13" s="1383" t="s">
        <v>1282</v>
      </c>
      <c r="C13" s="1379"/>
      <c r="D13" s="1379"/>
      <c r="E13" s="1379"/>
      <c r="F13" s="1379"/>
      <c r="G13" s="1379"/>
      <c r="H13" s="1379"/>
      <c r="I13" s="1375"/>
      <c r="J13" s="992"/>
    </row>
    <row r="14" spans="1:10" ht="33" customHeight="1">
      <c r="A14" s="1410"/>
      <c r="B14" s="1383" t="s">
        <v>1281</v>
      </c>
      <c r="C14" s="1379"/>
      <c r="D14" s="1379"/>
      <c r="E14" s="1379"/>
      <c r="F14" s="1379"/>
      <c r="G14" s="1379"/>
      <c r="H14" s="1379"/>
      <c r="I14" s="1375"/>
      <c r="J14" s="992"/>
    </row>
    <row r="15" spans="1:10" ht="30" customHeight="1">
      <c r="A15" s="1410"/>
      <c r="B15" s="1383" t="s">
        <v>1269</v>
      </c>
      <c r="C15" s="1379"/>
      <c r="D15" s="1379"/>
      <c r="E15" s="1379"/>
      <c r="F15" s="1379"/>
      <c r="G15" s="1379"/>
      <c r="H15" s="1379"/>
      <c r="I15" s="1375"/>
      <c r="J15" s="992" t="s">
        <v>1181</v>
      </c>
    </row>
    <row r="16" spans="1:10" ht="33" customHeight="1">
      <c r="A16" s="1410"/>
      <c r="B16" s="1383" t="s">
        <v>1359</v>
      </c>
      <c r="C16" s="1379"/>
      <c r="D16" s="1379"/>
      <c r="E16" s="1379"/>
      <c r="F16" s="1379"/>
      <c r="G16" s="1379"/>
      <c r="H16" s="1379"/>
      <c r="I16" s="1375"/>
      <c r="J16" s="992" t="s">
        <v>1358</v>
      </c>
    </row>
    <row r="17" spans="1:10" ht="15.75" thickBot="1">
      <c r="A17" s="1411"/>
      <c r="B17" s="1405" t="s">
        <v>1283</v>
      </c>
      <c r="C17" s="1406"/>
      <c r="D17" s="1406"/>
      <c r="E17" s="1406"/>
      <c r="F17" s="1406"/>
      <c r="G17" s="1406"/>
      <c r="H17" s="1406"/>
      <c r="I17" s="1407"/>
      <c r="J17" s="993"/>
    </row>
    <row r="18" spans="1:10" ht="17.25" thickTop="1">
      <c r="A18" s="1412" t="s">
        <v>75</v>
      </c>
      <c r="B18" s="1389" t="s">
        <v>1302</v>
      </c>
      <c r="C18" s="1377"/>
      <c r="D18" s="1377"/>
      <c r="E18" s="1377"/>
      <c r="F18" s="1377"/>
      <c r="G18" s="1377"/>
      <c r="H18" s="1377"/>
      <c r="I18" s="1378"/>
      <c r="J18" s="992" t="s">
        <v>1219</v>
      </c>
    </row>
    <row r="19" spans="1:10" ht="16.5">
      <c r="A19" s="1413"/>
      <c r="B19" s="1383" t="s">
        <v>1303</v>
      </c>
      <c r="C19" s="1379"/>
      <c r="D19" s="1379"/>
      <c r="E19" s="1379"/>
      <c r="F19" s="1379"/>
      <c r="G19" s="1379"/>
      <c r="H19" s="1379"/>
      <c r="I19" s="1375"/>
      <c r="J19" s="992" t="s">
        <v>1276</v>
      </c>
    </row>
    <row r="20" spans="1:10">
      <c r="A20" s="1413"/>
      <c r="B20" s="1383" t="s">
        <v>1304</v>
      </c>
      <c r="C20" s="1379"/>
      <c r="D20" s="1379"/>
      <c r="E20" s="1379"/>
      <c r="F20" s="1379"/>
      <c r="G20" s="1379"/>
      <c r="H20" s="1379"/>
      <c r="I20" s="1375"/>
      <c r="J20" s="992"/>
    </row>
    <row r="21" spans="1:10" ht="29.25" customHeight="1">
      <c r="A21" s="1413"/>
      <c r="B21" s="1383" t="s">
        <v>1305</v>
      </c>
      <c r="C21" s="1379"/>
      <c r="D21" s="1379"/>
      <c r="E21" s="1379"/>
      <c r="F21" s="1379"/>
      <c r="G21" s="1379"/>
      <c r="H21" s="1379"/>
      <c r="I21" s="1375"/>
      <c r="J21" s="992"/>
    </row>
    <row r="22" spans="1:10">
      <c r="A22" s="1413"/>
      <c r="B22" s="1383" t="s">
        <v>1308</v>
      </c>
      <c r="C22" s="1379"/>
      <c r="D22" s="1379"/>
      <c r="E22" s="1379"/>
      <c r="F22" s="1379"/>
      <c r="G22" s="1379"/>
      <c r="H22" s="1379"/>
      <c r="I22" s="1375"/>
      <c r="J22" s="992"/>
    </row>
    <row r="23" spans="1:10" ht="15" customHeight="1">
      <c r="A23" s="1413"/>
      <c r="B23" s="1383" t="s">
        <v>1306</v>
      </c>
      <c r="C23" s="1379"/>
      <c r="D23" s="1379"/>
      <c r="E23" s="1379"/>
      <c r="F23" s="1379"/>
      <c r="G23" s="1379"/>
      <c r="H23" s="1379"/>
      <c r="I23" s="1375"/>
      <c r="J23" s="992"/>
    </row>
    <row r="24" spans="1:10" ht="32.25" customHeight="1">
      <c r="A24" s="1413"/>
      <c r="B24" s="1383" t="s">
        <v>1307</v>
      </c>
      <c r="C24" s="1379"/>
      <c r="D24" s="1379"/>
      <c r="E24" s="1379"/>
      <c r="F24" s="1379"/>
      <c r="G24" s="1379"/>
      <c r="H24" s="1379"/>
      <c r="I24" s="1375"/>
      <c r="J24" s="992"/>
    </row>
    <row r="25" spans="1:10">
      <c r="A25" s="1413"/>
      <c r="B25" s="1383" t="s">
        <v>1310</v>
      </c>
      <c r="C25" s="1379"/>
      <c r="D25" s="1379"/>
      <c r="E25" s="1379"/>
      <c r="F25" s="1379"/>
      <c r="G25" s="1379"/>
      <c r="H25" s="1379"/>
      <c r="I25" s="1375"/>
      <c r="J25" s="994"/>
    </row>
    <row r="26" spans="1:10">
      <c r="A26" s="1413"/>
      <c r="B26" s="1383" t="s">
        <v>1311</v>
      </c>
      <c r="C26" s="1379"/>
      <c r="D26" s="1379"/>
      <c r="E26" s="1379"/>
      <c r="F26" s="1379"/>
      <c r="G26" s="1379"/>
      <c r="H26" s="1379"/>
      <c r="I26" s="1375"/>
      <c r="J26" s="994"/>
    </row>
    <row r="27" spans="1:10" ht="15.75" thickBot="1">
      <c r="A27" s="1413"/>
      <c r="B27" s="1405" t="s">
        <v>1314</v>
      </c>
      <c r="C27" s="1406"/>
      <c r="D27" s="1406"/>
      <c r="E27" s="1406"/>
      <c r="F27" s="1406"/>
      <c r="G27" s="1406"/>
      <c r="H27" s="1406"/>
      <c r="I27" s="1407"/>
      <c r="J27" s="995"/>
    </row>
    <row r="28" spans="1:10" ht="16.5" customHeight="1" thickTop="1">
      <c r="A28" s="1412" t="s">
        <v>18</v>
      </c>
      <c r="B28" s="1386" t="s">
        <v>1288</v>
      </c>
      <c r="C28" s="1404"/>
      <c r="D28" s="1404"/>
      <c r="E28" s="1404"/>
      <c r="F28" s="1404"/>
      <c r="G28" s="1404"/>
      <c r="H28" s="1404"/>
      <c r="I28" s="1404"/>
      <c r="J28" s="996" t="s">
        <v>1188</v>
      </c>
    </row>
    <row r="29" spans="1:10" ht="31.5" customHeight="1">
      <c r="A29" s="1413"/>
      <c r="B29" s="1383" t="s">
        <v>1205</v>
      </c>
      <c r="C29" s="1379"/>
      <c r="D29" s="1379"/>
      <c r="E29" s="1379"/>
      <c r="F29" s="1379"/>
      <c r="G29" s="1379"/>
      <c r="H29" s="1379"/>
      <c r="I29" s="1375"/>
      <c r="J29" s="997"/>
    </row>
    <row r="30" spans="1:10" ht="16.5">
      <c r="A30" s="1413"/>
      <c r="B30" s="1383" t="s">
        <v>1195</v>
      </c>
      <c r="C30" s="1379"/>
      <c r="D30" s="1379"/>
      <c r="E30" s="1379"/>
      <c r="F30" s="1379"/>
      <c r="G30" s="1379"/>
      <c r="H30" s="1379"/>
      <c r="I30" s="1375"/>
      <c r="J30" s="997" t="s">
        <v>1188</v>
      </c>
    </row>
    <row r="31" spans="1:10" ht="16.5">
      <c r="A31" s="1413"/>
      <c r="B31" s="1383" t="s">
        <v>1196</v>
      </c>
      <c r="C31" s="1379"/>
      <c r="D31" s="1379"/>
      <c r="E31" s="1379"/>
      <c r="F31" s="1379"/>
      <c r="G31" s="1379"/>
      <c r="H31" s="1379"/>
      <c r="I31" s="1375"/>
      <c r="J31" s="997" t="s">
        <v>1197</v>
      </c>
    </row>
    <row r="32" spans="1:10" ht="30" customHeight="1">
      <c r="A32" s="1413"/>
      <c r="B32" s="1383" t="s">
        <v>1289</v>
      </c>
      <c r="C32" s="1379"/>
      <c r="D32" s="1379"/>
      <c r="E32" s="1379"/>
      <c r="F32" s="1379"/>
      <c r="G32" s="1379"/>
      <c r="H32" s="1379"/>
      <c r="I32" s="1375"/>
      <c r="J32" s="997" t="s">
        <v>1198</v>
      </c>
    </row>
    <row r="33" spans="1:10" ht="51" customHeight="1">
      <c r="A33" s="1413"/>
      <c r="B33" s="1383" t="s">
        <v>1290</v>
      </c>
      <c r="C33" s="1379"/>
      <c r="D33" s="1379"/>
      <c r="E33" s="1379"/>
      <c r="F33" s="1379"/>
      <c r="G33" s="1379"/>
      <c r="H33" s="1379"/>
      <c r="I33" s="1375"/>
      <c r="J33" s="997" t="s">
        <v>1201</v>
      </c>
    </row>
    <row r="34" spans="1:10" ht="36.75" customHeight="1">
      <c r="A34" s="1413"/>
      <c r="B34" s="1383" t="s">
        <v>1291</v>
      </c>
      <c r="C34" s="1379"/>
      <c r="D34" s="1379"/>
      <c r="E34" s="1379"/>
      <c r="F34" s="1379"/>
      <c r="G34" s="1379"/>
      <c r="H34" s="1379"/>
      <c r="I34" s="1375"/>
      <c r="J34" s="997" t="s">
        <v>1200</v>
      </c>
    </row>
    <row r="35" spans="1:10" ht="45" customHeight="1">
      <c r="A35" s="1413"/>
      <c r="B35" s="1383" t="s">
        <v>1316</v>
      </c>
      <c r="C35" s="1379"/>
      <c r="D35" s="1379"/>
      <c r="E35" s="1379"/>
      <c r="F35" s="1379"/>
      <c r="G35" s="1379"/>
      <c r="H35" s="1379"/>
      <c r="I35" s="1375"/>
      <c r="J35" s="997"/>
    </row>
    <row r="36" spans="1:10" ht="30.75" customHeight="1">
      <c r="A36" s="1413"/>
      <c r="B36" s="1383" t="s">
        <v>1208</v>
      </c>
      <c r="C36" s="1379"/>
      <c r="D36" s="1379"/>
      <c r="E36" s="1379"/>
      <c r="F36" s="1379"/>
      <c r="G36" s="1379"/>
      <c r="H36" s="1379"/>
      <c r="I36" s="1375"/>
      <c r="J36" s="997"/>
    </row>
    <row r="37" spans="1:10" ht="39" customHeight="1">
      <c r="A37" s="1413"/>
      <c r="B37" s="1383" t="s">
        <v>1292</v>
      </c>
      <c r="C37" s="1379"/>
      <c r="D37" s="1379"/>
      <c r="E37" s="1379"/>
      <c r="F37" s="1379"/>
      <c r="G37" s="1379"/>
      <c r="H37" s="1379"/>
      <c r="I37" s="1375"/>
      <c r="J37" s="997"/>
    </row>
    <row r="38" spans="1:10" ht="48.75" customHeight="1">
      <c r="A38" s="1413"/>
      <c r="B38" s="1390" t="s">
        <v>1293</v>
      </c>
      <c r="C38" s="1391"/>
      <c r="D38" s="1391"/>
      <c r="E38" s="1391"/>
      <c r="F38" s="1391"/>
      <c r="G38" s="1391"/>
      <c r="H38" s="1391"/>
      <c r="I38" s="1392"/>
      <c r="J38" s="997"/>
    </row>
    <row r="39" spans="1:10" ht="34.5" customHeight="1">
      <c r="A39" s="1413"/>
      <c r="B39" s="1420" t="s">
        <v>1294</v>
      </c>
      <c r="C39" s="1421"/>
      <c r="D39" s="1421"/>
      <c r="E39" s="1421"/>
      <c r="F39" s="1421"/>
      <c r="G39" s="1421"/>
      <c r="H39" s="1421"/>
      <c r="I39" s="1422"/>
      <c r="J39" s="997" t="s">
        <v>1202</v>
      </c>
    </row>
    <row r="40" spans="1:10" ht="61.5" customHeight="1">
      <c r="A40" s="1413"/>
      <c r="B40" s="1423" t="s">
        <v>1317</v>
      </c>
      <c r="C40" s="1424"/>
      <c r="D40" s="1424"/>
      <c r="E40" s="1424"/>
      <c r="F40" s="1424"/>
      <c r="G40" s="1424"/>
      <c r="H40" s="1424"/>
      <c r="I40" s="1425"/>
      <c r="J40" s="998"/>
    </row>
    <row r="41" spans="1:10" ht="29.25" customHeight="1">
      <c r="A41" s="1413"/>
      <c r="B41" s="1384" t="s">
        <v>1295</v>
      </c>
      <c r="C41" s="1385"/>
      <c r="D41" s="1385"/>
      <c r="E41" s="1385"/>
      <c r="F41" s="1385"/>
      <c r="G41" s="1385"/>
      <c r="H41" s="1385"/>
      <c r="I41" s="1386"/>
      <c r="J41" s="999"/>
    </row>
    <row r="42" spans="1:10">
      <c r="A42" s="1413"/>
      <c r="B42" s="1383" t="s">
        <v>1297</v>
      </c>
      <c r="C42" s="1379"/>
      <c r="D42" s="1379"/>
      <c r="E42" s="1379"/>
      <c r="F42" s="1379"/>
      <c r="G42" s="1379"/>
      <c r="H42" s="1379"/>
      <c r="I42" s="1375"/>
      <c r="J42" s="992"/>
    </row>
    <row r="43" spans="1:10">
      <c r="A43" s="1413"/>
      <c r="B43" s="1383" t="s">
        <v>1296</v>
      </c>
      <c r="C43" s="1379"/>
      <c r="D43" s="1379"/>
      <c r="E43" s="1379"/>
      <c r="F43" s="1379"/>
      <c r="G43" s="1379"/>
      <c r="H43" s="1379"/>
      <c r="I43" s="1375"/>
      <c r="J43" s="992"/>
    </row>
    <row r="44" spans="1:10" ht="28.5" customHeight="1">
      <c r="A44" s="1413"/>
      <c r="B44" s="1383" t="s">
        <v>1298</v>
      </c>
      <c r="C44" s="1379"/>
      <c r="D44" s="1379"/>
      <c r="E44" s="1379"/>
      <c r="F44" s="1379"/>
      <c r="G44" s="1379"/>
      <c r="H44" s="1379"/>
      <c r="I44" s="1375"/>
      <c r="J44" s="992"/>
    </row>
    <row r="45" spans="1:10">
      <c r="A45" s="1413"/>
      <c r="B45" s="1383" t="s">
        <v>1300</v>
      </c>
      <c r="C45" s="1379"/>
      <c r="D45" s="1379"/>
      <c r="E45" s="1379"/>
      <c r="F45" s="1379"/>
      <c r="G45" s="1379"/>
      <c r="H45" s="1379"/>
      <c r="I45" s="1375"/>
      <c r="J45" s="992"/>
    </row>
    <row r="46" spans="1:10">
      <c r="A46" s="1413"/>
      <c r="B46" s="1383" t="s">
        <v>1282</v>
      </c>
      <c r="C46" s="1379"/>
      <c r="D46" s="1379"/>
      <c r="E46" s="1379"/>
      <c r="F46" s="1379"/>
      <c r="G46" s="1379"/>
      <c r="H46" s="1379"/>
      <c r="I46" s="1375"/>
      <c r="J46" s="992"/>
    </row>
    <row r="47" spans="1:10" ht="19.5" customHeight="1" thickBot="1">
      <c r="A47" s="1414"/>
      <c r="B47" s="1383" t="s">
        <v>1301</v>
      </c>
      <c r="C47" s="1379"/>
      <c r="D47" s="1379"/>
      <c r="E47" s="1379"/>
      <c r="F47" s="1379"/>
      <c r="G47" s="1379"/>
      <c r="H47" s="1379"/>
      <c r="I47" s="1375"/>
      <c r="J47" s="1000"/>
    </row>
    <row r="48" spans="1:10" ht="15.75" customHeight="1" thickTop="1">
      <c r="A48" s="1412" t="s">
        <v>54</v>
      </c>
      <c r="B48" s="1389" t="s">
        <v>1203</v>
      </c>
      <c r="C48" s="1377"/>
      <c r="D48" s="1377"/>
      <c r="E48" s="1377"/>
      <c r="F48" s="1377"/>
      <c r="G48" s="1377"/>
      <c r="H48" s="1377"/>
      <c r="I48" s="1378"/>
      <c r="J48" s="1001" t="s">
        <v>1204</v>
      </c>
    </row>
    <row r="49" spans="1:10" ht="16.5">
      <c r="A49" s="1413"/>
      <c r="B49" s="1390" t="s">
        <v>1206</v>
      </c>
      <c r="C49" s="1391"/>
      <c r="D49" s="1391"/>
      <c r="E49" s="1391"/>
      <c r="F49" s="1391"/>
      <c r="G49" s="1391"/>
      <c r="H49" s="1391"/>
      <c r="I49" s="1392"/>
      <c r="J49" s="1000" t="s">
        <v>1207</v>
      </c>
    </row>
    <row r="50" spans="1:10" ht="23.25" customHeight="1">
      <c r="A50" s="1413"/>
      <c r="B50" s="1383" t="s">
        <v>1319</v>
      </c>
      <c r="C50" s="1379"/>
      <c r="D50" s="1379"/>
      <c r="E50" s="1379"/>
      <c r="F50" s="1379"/>
      <c r="G50" s="1379"/>
      <c r="H50" s="1379"/>
      <c r="I50" s="1375"/>
      <c r="J50" s="1002" t="s">
        <v>739</v>
      </c>
    </row>
    <row r="51" spans="1:10" ht="25.5" thickBot="1">
      <c r="A51" s="1414"/>
      <c r="B51" s="1390" t="s">
        <v>1318</v>
      </c>
      <c r="C51" s="1391"/>
      <c r="D51" s="1391"/>
      <c r="E51" s="1391"/>
      <c r="F51" s="1391"/>
      <c r="G51" s="1391"/>
      <c r="H51" s="1391"/>
      <c r="I51" s="1392"/>
      <c r="J51" s="1003" t="s">
        <v>739</v>
      </c>
    </row>
    <row r="52" spans="1:10" ht="34.5" customHeight="1" thickTop="1">
      <c r="A52" s="1387" t="s">
        <v>55</v>
      </c>
      <c r="B52" s="1393" t="s">
        <v>1328</v>
      </c>
      <c r="C52" s="1394"/>
      <c r="D52" s="1394"/>
      <c r="E52" s="1394"/>
      <c r="F52" s="1394"/>
      <c r="G52" s="1394"/>
      <c r="H52" s="1394"/>
      <c r="I52" s="1395"/>
      <c r="J52" s="1004"/>
    </row>
    <row r="53" spans="1:10" ht="31.5" customHeight="1">
      <c r="A53" s="1388"/>
      <c r="B53" s="1384" t="s">
        <v>1329</v>
      </c>
      <c r="C53" s="1385"/>
      <c r="D53" s="1385"/>
      <c r="E53" s="1385"/>
      <c r="F53" s="1385"/>
      <c r="G53" s="1385"/>
      <c r="H53" s="1385"/>
      <c r="I53" s="1386"/>
      <c r="J53" s="1005" t="s">
        <v>604</v>
      </c>
    </row>
    <row r="54" spans="1:10" ht="21.75" customHeight="1">
      <c r="A54" s="1388"/>
      <c r="B54" s="1383" t="s">
        <v>1322</v>
      </c>
      <c r="C54" s="1379"/>
      <c r="D54" s="1379"/>
      <c r="E54" s="1379"/>
      <c r="F54" s="1379"/>
      <c r="G54" s="1379"/>
      <c r="H54" s="1379"/>
      <c r="I54" s="1375"/>
      <c r="J54" s="1006"/>
    </row>
    <row r="55" spans="1:10" ht="19.5" customHeight="1">
      <c r="A55" s="1388"/>
      <c r="B55" s="1396" t="s">
        <v>1321</v>
      </c>
      <c r="C55" s="1397"/>
      <c r="D55" s="1397"/>
      <c r="E55" s="1397"/>
      <c r="F55" s="1397"/>
      <c r="G55" s="1397"/>
      <c r="H55" s="1397"/>
      <c r="I55" s="1398"/>
      <c r="J55" s="1007" t="s">
        <v>695</v>
      </c>
    </row>
    <row r="56" spans="1:10">
      <c r="A56" s="1388"/>
      <c r="B56" s="1399" t="s">
        <v>1323</v>
      </c>
      <c r="C56" s="1400"/>
      <c r="D56" s="1400"/>
      <c r="E56" s="1400"/>
      <c r="F56" s="1400"/>
      <c r="G56" s="1400"/>
      <c r="H56" s="1400"/>
      <c r="I56" s="1401"/>
      <c r="J56" s="1008" t="s">
        <v>1059</v>
      </c>
    </row>
    <row r="57" spans="1:10">
      <c r="A57" s="1388"/>
      <c r="B57" s="1399" t="s">
        <v>1325</v>
      </c>
      <c r="C57" s="1400"/>
      <c r="D57" s="1400"/>
      <c r="E57" s="1400"/>
      <c r="F57" s="1400"/>
      <c r="G57" s="1400"/>
      <c r="H57" s="1400"/>
      <c r="I57" s="1400"/>
      <c r="J57" s="1009" t="s">
        <v>1059</v>
      </c>
    </row>
    <row r="58" spans="1:10" ht="36" customHeight="1" thickBot="1">
      <c r="A58" s="1388"/>
      <c r="B58" s="1384" t="s">
        <v>1326</v>
      </c>
      <c r="C58" s="1385"/>
      <c r="D58" s="1385"/>
      <c r="E58" s="1385"/>
      <c r="F58" s="1385"/>
      <c r="G58" s="1385"/>
      <c r="H58" s="1385"/>
      <c r="I58" s="1386"/>
      <c r="J58" s="1006"/>
    </row>
    <row r="59" spans="1:10" ht="18.75" customHeight="1" thickTop="1">
      <c r="A59" s="1380" t="s">
        <v>1357</v>
      </c>
      <c r="B59" s="1416" t="s">
        <v>1313</v>
      </c>
      <c r="C59" s="1417"/>
      <c r="D59" s="1417"/>
      <c r="E59" s="1417"/>
      <c r="F59" s="1417"/>
      <c r="G59" s="1417"/>
      <c r="H59" s="1417"/>
      <c r="I59" s="1417"/>
      <c r="J59" s="1010" t="s">
        <v>1194</v>
      </c>
    </row>
    <row r="60" spans="1:10" ht="15.75" customHeight="1">
      <c r="A60" s="1381"/>
      <c r="B60" s="1408" t="s">
        <v>1332</v>
      </c>
      <c r="C60" s="1408"/>
      <c r="D60" s="1408"/>
      <c r="E60" s="1408"/>
      <c r="F60" s="1408"/>
      <c r="G60" s="1408"/>
      <c r="H60" s="1408"/>
      <c r="I60" s="1409"/>
      <c r="J60" s="1011"/>
    </row>
    <row r="61" spans="1:10" ht="33.75" customHeight="1">
      <c r="A61" s="1381"/>
      <c r="B61" s="1385" t="s">
        <v>1331</v>
      </c>
      <c r="C61" s="1385"/>
      <c r="D61" s="1385"/>
      <c r="E61" s="1385"/>
      <c r="F61" s="1385"/>
      <c r="G61" s="1385"/>
      <c r="H61" s="1385"/>
      <c r="I61" s="1386"/>
      <c r="J61" s="994" t="s">
        <v>1330</v>
      </c>
    </row>
    <row r="62" spans="1:10" ht="44.25" customHeight="1">
      <c r="A62" s="1381"/>
      <c r="B62" s="1375" t="s">
        <v>1337</v>
      </c>
      <c r="C62" s="1376"/>
      <c r="D62" s="1376"/>
      <c r="E62" s="1376"/>
      <c r="F62" s="1376"/>
      <c r="G62" s="1376"/>
      <c r="H62" s="1376"/>
      <c r="I62" s="1376"/>
      <c r="J62" s="997"/>
    </row>
    <row r="63" spans="1:10" ht="33.75" customHeight="1" thickBot="1">
      <c r="A63" s="1381"/>
      <c r="B63" s="1375" t="s">
        <v>1336</v>
      </c>
      <c r="C63" s="1376"/>
      <c r="D63" s="1376"/>
      <c r="E63" s="1376"/>
      <c r="F63" s="1376"/>
      <c r="G63" s="1376"/>
      <c r="H63" s="1376"/>
      <c r="I63" s="1376"/>
      <c r="J63" s="994"/>
    </row>
    <row r="64" spans="1:10" ht="33.75" customHeight="1" thickTop="1">
      <c r="A64" s="1381"/>
      <c r="B64" s="1377" t="s">
        <v>1335</v>
      </c>
      <c r="C64" s="1377"/>
      <c r="D64" s="1377"/>
      <c r="E64" s="1377"/>
      <c r="F64" s="1377"/>
      <c r="G64" s="1377"/>
      <c r="H64" s="1377"/>
      <c r="I64" s="1378"/>
      <c r="J64" s="1012" t="s">
        <v>569</v>
      </c>
    </row>
    <row r="65" spans="1:10" ht="33.75" customHeight="1">
      <c r="A65" s="1381"/>
      <c r="B65" s="1379" t="s">
        <v>1355</v>
      </c>
      <c r="C65" s="1379"/>
      <c r="D65" s="1379"/>
      <c r="E65" s="1379"/>
      <c r="F65" s="1379"/>
      <c r="G65" s="1379"/>
      <c r="H65" s="1379"/>
      <c r="I65" s="1375"/>
      <c r="J65" s="994" t="s">
        <v>634</v>
      </c>
    </row>
    <row r="66" spans="1:10" ht="33.75" customHeight="1">
      <c r="A66" s="1381"/>
      <c r="B66" s="1379" t="s">
        <v>1354</v>
      </c>
      <c r="C66" s="1379"/>
      <c r="D66" s="1379"/>
      <c r="E66" s="1379"/>
      <c r="F66" s="1379"/>
      <c r="G66" s="1379"/>
      <c r="H66" s="1379"/>
      <c r="I66" s="1375"/>
      <c r="J66" s="994"/>
    </row>
    <row r="67" spans="1:10" ht="33.75" customHeight="1" thickBot="1">
      <c r="A67" s="1382"/>
      <c r="B67" s="1406" t="s">
        <v>1356</v>
      </c>
      <c r="C67" s="1406"/>
      <c r="D67" s="1406"/>
      <c r="E67" s="1406"/>
      <c r="F67" s="1406"/>
      <c r="G67" s="1406"/>
      <c r="H67" s="1406"/>
      <c r="I67" s="1407"/>
      <c r="J67" s="995"/>
    </row>
    <row r="68" spans="1:10" ht="15.75" thickTop="1">
      <c r="A68" s="1412" t="s">
        <v>1189</v>
      </c>
      <c r="B68" s="1386" t="s">
        <v>1270</v>
      </c>
      <c r="C68" s="1404"/>
      <c r="D68" s="1404"/>
      <c r="E68" s="1404"/>
      <c r="F68" s="1404"/>
      <c r="G68" s="1404"/>
      <c r="H68" s="1404"/>
      <c r="I68" s="1404"/>
      <c r="J68" s="1402" t="s">
        <v>1181</v>
      </c>
    </row>
    <row r="69" spans="1:10">
      <c r="A69" s="1413"/>
      <c r="B69" s="1375"/>
      <c r="C69" s="1376"/>
      <c r="D69" s="1376"/>
      <c r="E69" s="1376"/>
      <c r="F69" s="1376"/>
      <c r="G69" s="1376"/>
      <c r="H69" s="1376"/>
      <c r="I69" s="1376"/>
      <c r="J69" s="1403"/>
    </row>
    <row r="70" spans="1:10">
      <c r="A70" s="1413"/>
      <c r="B70" s="1375" t="s">
        <v>1271</v>
      </c>
      <c r="C70" s="1376"/>
      <c r="D70" s="1376"/>
      <c r="E70" s="1376"/>
      <c r="F70" s="1376"/>
      <c r="G70" s="1376"/>
      <c r="H70" s="1376"/>
      <c r="I70" s="1376"/>
      <c r="J70" s="1403" t="s">
        <v>1182</v>
      </c>
    </row>
    <row r="71" spans="1:10">
      <c r="A71" s="1413"/>
      <c r="B71" s="1375"/>
      <c r="C71" s="1376"/>
      <c r="D71" s="1376"/>
      <c r="E71" s="1376"/>
      <c r="F71" s="1376"/>
      <c r="G71" s="1376"/>
      <c r="H71" s="1376"/>
      <c r="I71" s="1376"/>
      <c r="J71" s="1403"/>
    </row>
    <row r="72" spans="1:10" ht="46.5" customHeight="1">
      <c r="A72" s="1413"/>
      <c r="B72" s="1375" t="s">
        <v>1272</v>
      </c>
      <c r="C72" s="1376"/>
      <c r="D72" s="1376"/>
      <c r="E72" s="1376"/>
      <c r="F72" s="1376"/>
      <c r="G72" s="1376"/>
      <c r="H72" s="1376"/>
      <c r="I72" s="1376"/>
      <c r="J72" s="997"/>
    </row>
    <row r="73" spans="1:10" ht="30" customHeight="1">
      <c r="A73" s="1413"/>
      <c r="B73" s="1383" t="s">
        <v>1340</v>
      </c>
      <c r="C73" s="1379"/>
      <c r="D73" s="1379"/>
      <c r="E73" s="1379"/>
      <c r="F73" s="1379"/>
      <c r="G73" s="1379"/>
      <c r="H73" s="1379"/>
      <c r="I73" s="1375"/>
      <c r="J73" s="997"/>
    </row>
    <row r="74" spans="1:10" ht="44.25" customHeight="1">
      <c r="A74" s="1413"/>
      <c r="B74" s="1375" t="s">
        <v>1284</v>
      </c>
      <c r="C74" s="1376"/>
      <c r="D74" s="1376"/>
      <c r="E74" s="1376"/>
      <c r="F74" s="1376"/>
      <c r="G74" s="1376"/>
      <c r="H74" s="1376"/>
      <c r="I74" s="1376"/>
      <c r="J74" s="997"/>
    </row>
    <row r="75" spans="1:10" ht="35.25" customHeight="1" thickBot="1">
      <c r="A75" s="1414"/>
      <c r="B75" s="1407" t="s">
        <v>1312</v>
      </c>
      <c r="C75" s="1415"/>
      <c r="D75" s="1415"/>
      <c r="E75" s="1415"/>
      <c r="F75" s="1415"/>
      <c r="G75" s="1415"/>
      <c r="H75" s="1415"/>
      <c r="I75" s="1415"/>
      <c r="J75" s="1013"/>
    </row>
    <row r="76" spans="1:10" ht="36" customHeight="1" thickTop="1"/>
    <row r="77" spans="1:10" ht="36" customHeight="1"/>
    <row r="78" spans="1:10" ht="36" customHeight="1"/>
    <row r="79" spans="1:10" ht="36" customHeight="1"/>
    <row r="80" spans="1:10" ht="17.25" customHeight="1">
      <c r="B80" s="975" t="s">
        <v>1176</v>
      </c>
      <c r="C80" s="975"/>
      <c r="D80" s="975"/>
      <c r="E80" s="975"/>
      <c r="F80" s="976"/>
    </row>
    <row r="81" spans="2:6" ht="126">
      <c r="B81" s="975" t="s">
        <v>971</v>
      </c>
      <c r="C81" s="975"/>
      <c r="D81" s="975"/>
      <c r="E81" s="975" t="s">
        <v>1178</v>
      </c>
      <c r="F81" s="977" t="s">
        <v>1177</v>
      </c>
    </row>
    <row r="87" spans="2:6" ht="15.75">
      <c r="B87" s="978"/>
    </row>
    <row r="88" spans="2:6" ht="15.75">
      <c r="B88" s="978"/>
    </row>
    <row r="89" spans="2:6">
      <c r="B89" s="979"/>
    </row>
    <row r="90" spans="2:6">
      <c r="B90" s="979"/>
    </row>
    <row r="91" spans="2:6">
      <c r="B91" s="979"/>
    </row>
    <row r="93" spans="2:6">
      <c r="B93" s="979"/>
    </row>
  </sheetData>
  <mergeCells count="80">
    <mergeCell ref="B73:I73"/>
    <mergeCell ref="A28:A47"/>
    <mergeCell ref="B37:I37"/>
    <mergeCell ref="B38:I38"/>
    <mergeCell ref="B39:I39"/>
    <mergeCell ref="B40:I40"/>
    <mergeCell ref="B29:I29"/>
    <mergeCell ref="B32:I32"/>
    <mergeCell ref="B33:I33"/>
    <mergeCell ref="B34:I34"/>
    <mergeCell ref="B35:I35"/>
    <mergeCell ref="B46:I46"/>
    <mergeCell ref="B47:I47"/>
    <mergeCell ref="B43:I43"/>
    <mergeCell ref="A48:A51"/>
    <mergeCell ref="B51:I51"/>
    <mergeCell ref="B3:I3"/>
    <mergeCell ref="B41:I41"/>
    <mergeCell ref="B42:I42"/>
    <mergeCell ref="B44:I44"/>
    <mergeCell ref="B45:I45"/>
    <mergeCell ref="B30:I30"/>
    <mergeCell ref="B31:I31"/>
    <mergeCell ref="B9:I9"/>
    <mergeCell ref="B11:I11"/>
    <mergeCell ref="B28:I28"/>
    <mergeCell ref="B19:I19"/>
    <mergeCell ref="B20:I20"/>
    <mergeCell ref="B21:I21"/>
    <mergeCell ref="B36:I36"/>
    <mergeCell ref="B22:I22"/>
    <mergeCell ref="B23:I23"/>
    <mergeCell ref="A4:A17"/>
    <mergeCell ref="A68:A75"/>
    <mergeCell ref="B5:I5"/>
    <mergeCell ref="B6:I6"/>
    <mergeCell ref="B8:I8"/>
    <mergeCell ref="B10:I10"/>
    <mergeCell ref="B12:I12"/>
    <mergeCell ref="B13:I13"/>
    <mergeCell ref="B17:I17"/>
    <mergeCell ref="A18:A27"/>
    <mergeCell ref="B4:I4"/>
    <mergeCell ref="B7:I7"/>
    <mergeCell ref="B75:I75"/>
    <mergeCell ref="B14:I14"/>
    <mergeCell ref="B59:I59"/>
    <mergeCell ref="B65:I65"/>
    <mergeCell ref="J68:J69"/>
    <mergeCell ref="J70:J71"/>
    <mergeCell ref="B74:I74"/>
    <mergeCell ref="B15:I15"/>
    <mergeCell ref="B72:I72"/>
    <mergeCell ref="B16:I16"/>
    <mergeCell ref="B18:I18"/>
    <mergeCell ref="B68:I69"/>
    <mergeCell ref="B70:I71"/>
    <mergeCell ref="B25:I25"/>
    <mergeCell ref="B26:I26"/>
    <mergeCell ref="B27:I27"/>
    <mergeCell ref="B61:I61"/>
    <mergeCell ref="B67:I67"/>
    <mergeCell ref="B24:I24"/>
    <mergeCell ref="B60:I60"/>
    <mergeCell ref="B50:I50"/>
    <mergeCell ref="B53:I53"/>
    <mergeCell ref="A52:A58"/>
    <mergeCell ref="B48:I48"/>
    <mergeCell ref="B49:I49"/>
    <mergeCell ref="B52:I52"/>
    <mergeCell ref="B55:I55"/>
    <mergeCell ref="B54:I54"/>
    <mergeCell ref="B56:I56"/>
    <mergeCell ref="B57:I57"/>
    <mergeCell ref="B58:I58"/>
    <mergeCell ref="B62:I62"/>
    <mergeCell ref="B63:I63"/>
    <mergeCell ref="B64:I64"/>
    <mergeCell ref="B66:I66"/>
    <mergeCell ref="A59:A67"/>
  </mergeCells>
  <phoneticPr fontId="85" type="noConversion"/>
  <hyperlinks>
    <hyperlink ref="F81" r:id="rId1" xr:uid="{48BA26F2-512A-476B-988C-AF70D0DC05EF}"/>
    <hyperlink ref="J4" r:id="rId2" xr:uid="{1318D0E5-7844-4CA6-85E8-9FF2F28EDDE5}"/>
    <hyperlink ref="J7" r:id="rId3" xr:uid="{2D2B9FA1-8F51-4901-A145-CF6275985AE5}"/>
    <hyperlink ref="J48" r:id="rId4" xr:uid="{F81362DB-CFCB-4239-9BAB-8D9C62D8376F}"/>
    <hyperlink ref="J49" r:id="rId5" xr:uid="{9EFEAA14-DF68-4546-9EA5-952D3D024E81}"/>
    <hyperlink ref="J61" r:id="rId6" xr:uid="{4AAA2451-6B4D-418C-8CE4-4073DB9ED903}"/>
  </hyperlinks>
  <printOptions horizontalCentered="1" verticalCentered="1"/>
  <pageMargins left="0.15748031496062992" right="0.15748031496062992" top="0.43307086614173229" bottom="0.31" header="0.31496062992125984" footer="0.2"/>
  <pageSetup paperSize="9" scale="75" orientation="landscape" r:id="rId7"/>
  <rowBreaks count="2" manualBreakCount="2">
    <brk id="27" max="9" man="1"/>
    <brk id="47" max="9"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A6CDA-4471-417B-9968-CB0D9B2DB7E9}">
  <dimension ref="A1:F6"/>
  <sheetViews>
    <sheetView workbookViewId="0">
      <selection activeCell="E10" sqref="E10"/>
    </sheetView>
  </sheetViews>
  <sheetFormatPr baseColWidth="10" defaultRowHeight="15"/>
  <cols>
    <col min="5" max="5" width="86.85546875" customWidth="1"/>
  </cols>
  <sheetData>
    <row r="1" spans="1:6">
      <c r="A1" t="s">
        <v>1022</v>
      </c>
    </row>
    <row r="4" spans="1:6">
      <c r="B4" t="s">
        <v>70</v>
      </c>
      <c r="C4" t="s">
        <v>1017</v>
      </c>
      <c r="D4" t="s">
        <v>1018</v>
      </c>
      <c r="E4" t="s">
        <v>375</v>
      </c>
      <c r="F4" t="s">
        <v>1023</v>
      </c>
    </row>
    <row r="5" spans="1:6" ht="30">
      <c r="B5" t="s">
        <v>18</v>
      </c>
      <c r="C5" t="s">
        <v>1020</v>
      </c>
      <c r="D5" t="s">
        <v>1019</v>
      </c>
      <c r="E5" s="5" t="s">
        <v>1021</v>
      </c>
    </row>
    <row r="6" spans="1:6">
      <c r="B6" t="s">
        <v>55</v>
      </c>
      <c r="E6" t="s">
        <v>1063</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FF614-DE36-4DEE-9A1B-5E68CF7DCE48}">
  <dimension ref="A1:F11"/>
  <sheetViews>
    <sheetView workbookViewId="0">
      <selection activeCell="A11" sqref="A11"/>
    </sheetView>
  </sheetViews>
  <sheetFormatPr baseColWidth="10" defaultRowHeight="15"/>
  <cols>
    <col min="1" max="1" width="38.5703125" customWidth="1"/>
    <col min="2" max="2" width="16.28515625" customWidth="1"/>
    <col min="4" max="4" width="47.85546875" customWidth="1"/>
    <col min="5" max="5" width="43.7109375" customWidth="1"/>
    <col min="6" max="6" width="29.5703125" customWidth="1"/>
  </cols>
  <sheetData>
    <row r="1" spans="1:6">
      <c r="A1" t="s">
        <v>1078</v>
      </c>
    </row>
    <row r="2" spans="1:6">
      <c r="A2" t="s">
        <v>1079</v>
      </c>
      <c r="B2">
        <v>52291130</v>
      </c>
      <c r="D2" t="s">
        <v>1080</v>
      </c>
      <c r="F2" s="893" t="s">
        <v>1081</v>
      </c>
    </row>
    <row r="3" spans="1:6">
      <c r="A3" t="s">
        <v>1082</v>
      </c>
      <c r="B3" t="s">
        <v>1083</v>
      </c>
      <c r="D3" t="s">
        <v>1084</v>
      </c>
      <c r="E3" t="s">
        <v>1085</v>
      </c>
      <c r="F3" s="893" t="s">
        <v>1086</v>
      </c>
    </row>
    <row r="4" spans="1:6">
      <c r="A4" t="s">
        <v>1087</v>
      </c>
      <c r="B4" t="s">
        <v>33</v>
      </c>
      <c r="D4" t="s">
        <v>1088</v>
      </c>
      <c r="E4" t="s">
        <v>1089</v>
      </c>
      <c r="F4" s="893" t="s">
        <v>1090</v>
      </c>
    </row>
    <row r="5" spans="1:6">
      <c r="A5" t="s">
        <v>1091</v>
      </c>
      <c r="B5" t="s">
        <v>1092</v>
      </c>
      <c r="D5" t="s">
        <v>1093</v>
      </c>
      <c r="E5" t="s">
        <v>1094</v>
      </c>
      <c r="F5" s="893" t="s">
        <v>1095</v>
      </c>
    </row>
    <row r="6" spans="1:6">
      <c r="A6" t="s">
        <v>1096</v>
      </c>
      <c r="D6" t="s">
        <v>1097</v>
      </c>
      <c r="E6" t="s">
        <v>1098</v>
      </c>
      <c r="F6" s="893" t="s">
        <v>1099</v>
      </c>
    </row>
    <row r="7" spans="1:6">
      <c r="A7" t="s">
        <v>1100</v>
      </c>
      <c r="B7" t="s">
        <v>1101</v>
      </c>
      <c r="C7" s="492" t="s">
        <v>1102</v>
      </c>
      <c r="E7" t="s">
        <v>1094</v>
      </c>
      <c r="F7" t="s">
        <v>1103</v>
      </c>
    </row>
    <row r="8" spans="1:6">
      <c r="A8" t="s">
        <v>1104</v>
      </c>
    </row>
    <row r="9" spans="1:6">
      <c r="A9" t="s">
        <v>1105</v>
      </c>
      <c r="E9" t="s">
        <v>1094</v>
      </c>
      <c r="F9" s="894" t="s">
        <v>1106</v>
      </c>
    </row>
    <row r="10" spans="1:6">
      <c r="A10" t="s">
        <v>1107</v>
      </c>
      <c r="D10" t="s">
        <v>1108</v>
      </c>
      <c r="F10" s="895" t="s">
        <v>1109</v>
      </c>
    </row>
    <row r="11" spans="1:6">
      <c r="A11" t="s">
        <v>1110</v>
      </c>
      <c r="B11" t="s">
        <v>1111</v>
      </c>
      <c r="D11" t="s">
        <v>1108</v>
      </c>
      <c r="F11" s="893" t="s">
        <v>1112</v>
      </c>
    </row>
  </sheetData>
  <hyperlinks>
    <hyperlink ref="F2" r:id="rId1" xr:uid="{4B1F9F11-46D2-42C1-A7B3-F38F47FFF109}"/>
    <hyperlink ref="F3" r:id="rId2" xr:uid="{F9B6B252-4B69-4FCB-B35E-8FB1ADEC4C5C}"/>
    <hyperlink ref="F5" r:id="rId3" xr:uid="{0FECFEED-CE19-47E8-BD3D-B7F5B6B99955}"/>
    <hyperlink ref="F6" r:id="rId4" xr:uid="{41E402C6-8C22-484A-B3BD-004C5920E803}"/>
    <hyperlink ref="C7" r:id="rId5" xr:uid="{063EAE20-B36B-4D23-B23D-5B0339AF7C0F}"/>
    <hyperlink ref="F4" r:id="rId6" xr:uid="{E4200891-98B6-4854-AEB1-D17B4E693A20}"/>
    <hyperlink ref="F10" r:id="rId7" xr:uid="{EF7066E4-AC98-4840-A267-5E65353C0E57}"/>
    <hyperlink ref="F11" r:id="rId8" xr:uid="{880CDB79-8A8B-4463-ABDC-6DD8069A60E2}"/>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E883F-E74F-4452-9451-5E9170FF6BFF}">
  <sheetPr>
    <tabColor rgb="FF00B0F0"/>
    <pageSetUpPr fitToPage="1"/>
  </sheetPr>
  <dimension ref="B1:N62"/>
  <sheetViews>
    <sheetView topLeftCell="D23" zoomScale="70" zoomScaleNormal="70" workbookViewId="0">
      <selection activeCell="H34" sqref="H34"/>
    </sheetView>
  </sheetViews>
  <sheetFormatPr baseColWidth="10" defaultColWidth="12.42578125" defaultRowHeight="14.25"/>
  <cols>
    <col min="1" max="1" width="12.42578125" style="211"/>
    <col min="2" max="2" width="11.42578125" style="211" customWidth="1"/>
    <col min="3" max="3" width="6.85546875" style="211" customWidth="1"/>
    <col min="4" max="4" width="30.85546875" style="211" customWidth="1"/>
    <col min="5" max="5" width="14.140625" style="211" customWidth="1"/>
    <col min="6" max="6" width="8.28515625" style="211" customWidth="1"/>
    <col min="7" max="7" width="18.7109375" style="211" customWidth="1"/>
    <col min="8" max="8" width="19.42578125" style="211" customWidth="1"/>
    <col min="9" max="9" width="23.28515625" style="211" customWidth="1"/>
    <col min="10" max="10" width="21.7109375" style="211" customWidth="1"/>
    <col min="11" max="11" width="9.42578125" style="211" customWidth="1"/>
    <col min="12" max="12" width="5.28515625" style="211" customWidth="1"/>
    <col min="13" max="13" width="17.7109375" style="211" customWidth="1"/>
    <col min="14" max="14" width="11.42578125" style="211" customWidth="1"/>
    <col min="15" max="16384" width="12.42578125" style="211"/>
  </cols>
  <sheetData>
    <row r="1" spans="2:14" ht="38.25" customHeight="1"/>
    <row r="2" spans="2:14" ht="23.25">
      <c r="B2" s="1301"/>
      <c r="C2" s="1301"/>
      <c r="D2" s="1301"/>
      <c r="E2" s="1301"/>
      <c r="F2" s="1301"/>
      <c r="G2" s="1301"/>
      <c r="H2" s="1301"/>
      <c r="I2" s="1301"/>
      <c r="J2" s="1301"/>
      <c r="K2" s="1301"/>
      <c r="L2" s="1301"/>
      <c r="M2" s="1301"/>
      <c r="N2" s="1301"/>
    </row>
    <row r="3" spans="2:14" ht="23.25">
      <c r="B3" s="1301"/>
      <c r="C3" s="1301"/>
      <c r="D3" s="1301"/>
      <c r="E3" s="1301"/>
      <c r="F3" s="1301"/>
      <c r="G3" s="1301"/>
      <c r="H3" s="1301"/>
      <c r="I3" s="1301"/>
      <c r="J3" s="1301"/>
      <c r="K3" s="1301"/>
      <c r="L3" s="1301"/>
      <c r="M3" s="1301"/>
      <c r="N3" s="1301"/>
    </row>
    <row r="4" spans="2:14" ht="22.7" customHeight="1">
      <c r="B4" s="212"/>
      <c r="C4" s="212"/>
      <c r="D4" s="212"/>
      <c r="E4" s="212"/>
      <c r="F4" s="213"/>
    </row>
    <row r="5" spans="2:14" ht="57.75" customHeight="1">
      <c r="B5" s="212"/>
      <c r="C5" s="212"/>
      <c r="D5" s="212"/>
      <c r="E5" s="212"/>
      <c r="F5" s="213"/>
    </row>
    <row r="6" spans="2:14" ht="30" customHeight="1">
      <c r="B6" s="1302" t="s">
        <v>1496</v>
      </c>
      <c r="C6" s="1302"/>
      <c r="D6" s="1302"/>
      <c r="E6" s="1302"/>
      <c r="F6" s="1302"/>
      <c r="G6" s="1302"/>
      <c r="H6" s="1302"/>
      <c r="I6" s="1302"/>
      <c r="J6" s="1302"/>
      <c r="K6" s="1302"/>
      <c r="L6" s="1302"/>
      <c r="M6" s="1302"/>
      <c r="N6" s="1302"/>
    </row>
    <row r="7" spans="2:14" ht="30.75" customHeight="1">
      <c r="B7" s="1302"/>
      <c r="C7" s="1302"/>
      <c r="D7" s="1302"/>
      <c r="E7" s="1302"/>
      <c r="F7" s="1302"/>
      <c r="G7" s="1302"/>
      <c r="H7" s="1302"/>
      <c r="I7" s="1302"/>
      <c r="J7" s="1302"/>
      <c r="K7" s="1302"/>
      <c r="L7" s="1302"/>
      <c r="M7" s="1302"/>
      <c r="N7" s="1302"/>
    </row>
    <row r="9" spans="2:14" ht="24.75" customHeight="1"/>
    <row r="10" spans="2:14" ht="23.1" customHeight="1">
      <c r="E10" s="225"/>
      <c r="F10" s="325"/>
      <c r="G10" s="325" t="s">
        <v>1490</v>
      </c>
      <c r="H10" s="326" t="s">
        <v>1493</v>
      </c>
      <c r="I10" s="327"/>
      <c r="J10" s="327"/>
      <c r="K10" s="327"/>
    </row>
    <row r="11" spans="2:14" ht="23.1" customHeight="1">
      <c r="E11" s="225"/>
      <c r="F11" s="325"/>
      <c r="G11" s="325" t="s">
        <v>1492</v>
      </c>
      <c r="H11" s="326" t="s">
        <v>1494</v>
      </c>
      <c r="I11" s="327"/>
      <c r="J11" s="327"/>
      <c r="K11" s="327"/>
    </row>
    <row r="12" spans="2:14" ht="23.1" customHeight="1">
      <c r="B12" s="214"/>
      <c r="C12" s="214"/>
      <c r="E12" s="225"/>
      <c r="F12" s="325"/>
      <c r="G12" s="325" t="s">
        <v>1491</v>
      </c>
      <c r="H12" s="1293" t="s">
        <v>1495</v>
      </c>
      <c r="I12" s="1294"/>
      <c r="J12" s="1294"/>
      <c r="K12" s="1294"/>
      <c r="L12" s="1289"/>
      <c r="M12" s="1289"/>
      <c r="N12" s="1289"/>
    </row>
    <row r="13" spans="2:14" ht="23.1" customHeight="1">
      <c r="B13" s="214"/>
      <c r="C13" s="214"/>
      <c r="E13" s="225"/>
      <c r="F13" s="325"/>
      <c r="G13" s="325"/>
      <c r="H13" s="328"/>
      <c r="I13" s="329"/>
      <c r="J13" s="329"/>
      <c r="K13" s="329"/>
      <c r="L13" s="1289"/>
      <c r="M13" s="1289"/>
      <c r="N13" s="1289"/>
    </row>
    <row r="14" spans="2:14" ht="23.1" customHeight="1">
      <c r="B14" s="214"/>
      <c r="C14" s="214"/>
      <c r="E14" s="225"/>
      <c r="F14" s="225"/>
      <c r="G14" s="225"/>
      <c r="H14" s="316"/>
      <c r="I14" s="220"/>
      <c r="J14" s="220"/>
      <c r="K14" s="220"/>
      <c r="L14" s="222"/>
      <c r="M14" s="222"/>
      <c r="N14" s="222"/>
    </row>
    <row r="15" spans="2:14" ht="23.1" customHeight="1">
      <c r="B15" s="214"/>
      <c r="C15" s="214"/>
      <c r="E15" s="225"/>
      <c r="F15" s="225"/>
      <c r="G15" s="225"/>
      <c r="H15" s="316"/>
      <c r="I15" s="220"/>
      <c r="J15" s="220"/>
      <c r="K15" s="220"/>
      <c r="L15" s="222"/>
      <c r="M15" s="222"/>
      <c r="N15" s="222"/>
    </row>
    <row r="16" spans="2:14" ht="23.1" customHeight="1">
      <c r="B16" s="214"/>
      <c r="C16" s="214"/>
      <c r="E16" s="320" t="s">
        <v>245</v>
      </c>
      <c r="F16" s="321"/>
      <c r="G16" s="322"/>
      <c r="H16" s="323" t="s">
        <v>246</v>
      </c>
      <c r="I16" s="323" t="s">
        <v>57</v>
      </c>
      <c r="J16" s="323" t="s">
        <v>247</v>
      </c>
      <c r="K16" s="220"/>
      <c r="L16" s="222"/>
      <c r="M16" s="222"/>
      <c r="N16" s="222"/>
    </row>
    <row r="17" spans="2:14" ht="24" customHeight="1">
      <c r="B17" s="214"/>
      <c r="C17" s="214"/>
      <c r="E17" s="330" t="s">
        <v>249</v>
      </c>
      <c r="F17" s="331"/>
      <c r="G17" s="331"/>
      <c r="H17" s="332"/>
      <c r="I17" s="333">
        <f>CALCULADORA_2021!C16</f>
        <v>28.5</v>
      </c>
      <c r="J17" s="332">
        <f>H17*I17</f>
        <v>0</v>
      </c>
      <c r="K17" s="220"/>
      <c r="L17" s="222"/>
      <c r="M17" s="222"/>
      <c r="N17" s="222"/>
    </row>
    <row r="18" spans="2:14" ht="24" hidden="1" customHeight="1">
      <c r="B18" s="214"/>
      <c r="C18" s="214"/>
      <c r="E18" s="334" t="s">
        <v>252</v>
      </c>
      <c r="F18" s="335"/>
      <c r="G18" s="335"/>
      <c r="H18" s="336"/>
      <c r="I18" s="337">
        <f>CALCULADORA_2021!C20</f>
        <v>463</v>
      </c>
      <c r="J18" s="336">
        <f>I18*H18</f>
        <v>0</v>
      </c>
      <c r="K18" s="220"/>
      <c r="L18" s="222"/>
      <c r="M18" s="222"/>
      <c r="N18" s="222"/>
    </row>
    <row r="19" spans="2:14" ht="24" hidden="1" customHeight="1">
      <c r="B19" s="214"/>
      <c r="C19" s="214"/>
      <c r="E19" s="334" t="s">
        <v>248</v>
      </c>
      <c r="F19" s="335"/>
      <c r="G19" s="335"/>
      <c r="H19" s="336"/>
      <c r="I19" s="337">
        <f>CALCULADORA_2021!C19</f>
        <v>304</v>
      </c>
      <c r="J19" s="336">
        <f t="shared" ref="J19:J24" si="0">H19*I19</f>
        <v>0</v>
      </c>
      <c r="K19" s="220"/>
      <c r="L19" s="222"/>
      <c r="M19" s="222"/>
      <c r="N19" s="222"/>
    </row>
    <row r="20" spans="2:14" ht="23.1" customHeight="1">
      <c r="B20" s="214"/>
      <c r="C20" s="214"/>
      <c r="E20" s="334" t="s">
        <v>251</v>
      </c>
      <c r="F20" s="335"/>
      <c r="G20" s="335"/>
      <c r="H20" s="336"/>
      <c r="I20" s="337">
        <f>CALCULADORA_2021!C14</f>
        <v>8</v>
      </c>
      <c r="J20" s="336">
        <f>H20*I20</f>
        <v>0</v>
      </c>
      <c r="K20" s="220"/>
      <c r="L20" s="222"/>
      <c r="M20" s="222"/>
      <c r="N20" s="222"/>
    </row>
    <row r="21" spans="2:14" ht="23.1" hidden="1" customHeight="1">
      <c r="B21" s="214"/>
      <c r="C21" s="214"/>
      <c r="E21" s="334" t="s">
        <v>1120</v>
      </c>
      <c r="F21" s="335"/>
      <c r="G21" s="335"/>
      <c r="H21" s="336"/>
      <c r="I21" s="337">
        <f>CALCULADORA_2021!C15</f>
        <v>0</v>
      </c>
      <c r="J21" s="336">
        <f t="shared" si="0"/>
        <v>0</v>
      </c>
      <c r="K21" s="220"/>
      <c r="L21" s="222"/>
      <c r="M21" s="222"/>
      <c r="N21" s="222"/>
    </row>
    <row r="22" spans="2:14" ht="24.75" customHeight="1">
      <c r="B22" s="214"/>
      <c r="C22" s="214"/>
      <c r="E22" s="334" t="s">
        <v>75</v>
      </c>
      <c r="F22" s="335"/>
      <c r="G22" s="335"/>
      <c r="H22" s="336">
        <v>3</v>
      </c>
      <c r="I22" s="337">
        <f>CALCULADORA_2021!C11</f>
        <v>79</v>
      </c>
      <c r="J22" s="336">
        <f t="shared" si="0"/>
        <v>237</v>
      </c>
      <c r="K22" s="220"/>
      <c r="L22" s="222"/>
      <c r="M22" s="222"/>
      <c r="N22" s="222"/>
    </row>
    <row r="23" spans="2:14" ht="24.75" customHeight="1">
      <c r="B23" s="214"/>
      <c r="C23" s="214"/>
      <c r="E23" s="330" t="s">
        <v>250</v>
      </c>
      <c r="F23" s="331"/>
      <c r="G23" s="331"/>
      <c r="H23" s="332"/>
      <c r="I23" s="333">
        <f>CALCULADORA_2021!C17</f>
        <v>75</v>
      </c>
      <c r="J23" s="332">
        <f t="shared" si="0"/>
        <v>0</v>
      </c>
      <c r="K23" s="220"/>
      <c r="L23" s="222"/>
      <c r="M23" s="222"/>
      <c r="N23" s="222"/>
    </row>
    <row r="24" spans="2:14" ht="24" hidden="1" customHeight="1">
      <c r="B24" s="214"/>
      <c r="C24" s="214"/>
      <c r="E24" s="338" t="s">
        <v>90</v>
      </c>
      <c r="F24" s="339"/>
      <c r="G24" s="339"/>
      <c r="H24" s="340"/>
      <c r="I24" s="341">
        <f>CALCULADORA_2021!C21</f>
        <v>179</v>
      </c>
      <c r="J24" s="340">
        <f t="shared" si="0"/>
        <v>0</v>
      </c>
      <c r="K24" s="220"/>
      <c r="L24" s="222"/>
      <c r="M24" s="222"/>
      <c r="N24" s="222"/>
    </row>
    <row r="25" spans="2:14" ht="24.75" customHeight="1">
      <c r="B25" s="214"/>
      <c r="C25" s="214"/>
      <c r="E25" s="334" t="s">
        <v>48</v>
      </c>
      <c r="F25" s="335"/>
      <c r="G25" s="335"/>
      <c r="H25" s="336">
        <v>6</v>
      </c>
      <c r="I25" s="337">
        <f>CALCULADORA_2021!C10</f>
        <v>237.5</v>
      </c>
      <c r="J25" s="336">
        <f>I25*H25</f>
        <v>1425</v>
      </c>
      <c r="K25" s="220"/>
      <c r="L25" s="222"/>
      <c r="M25" s="222"/>
      <c r="N25" s="222"/>
    </row>
    <row r="26" spans="2:14" ht="24" hidden="1" customHeight="1">
      <c r="B26" s="214"/>
      <c r="C26" s="214"/>
      <c r="E26" s="334" t="s">
        <v>240</v>
      </c>
      <c r="F26" s="335"/>
      <c r="G26" s="335"/>
      <c r="H26" s="336"/>
      <c r="I26" s="413">
        <f>CALCULADORA_2021!C18</f>
        <v>593</v>
      </c>
      <c r="J26" s="414">
        <f>H26*I26</f>
        <v>0</v>
      </c>
      <c r="K26" s="220"/>
      <c r="L26" s="222"/>
      <c r="M26" s="222"/>
      <c r="N26" s="222"/>
    </row>
    <row r="27" spans="2:14" ht="30" customHeight="1">
      <c r="B27" s="214"/>
      <c r="C27" s="214"/>
      <c r="E27" s="339"/>
      <c r="F27" s="342"/>
      <c r="G27" s="339"/>
      <c r="H27" s="342"/>
      <c r="I27" s="343">
        <f>CALCULADORA_2021!C23</f>
        <v>1985.5</v>
      </c>
      <c r="J27" s="1160">
        <f>SUM(J17:J26)</f>
        <v>1662</v>
      </c>
      <c r="K27" s="220"/>
      <c r="L27" s="222"/>
      <c r="M27" s="222"/>
      <c r="N27" s="222"/>
    </row>
    <row r="28" spans="2:14" ht="17.25" customHeight="1">
      <c r="B28" s="1303"/>
      <c r="C28" s="1303"/>
      <c r="D28" s="1303"/>
      <c r="E28" s="1303"/>
      <c r="F28" s="1303"/>
      <c r="G28" s="1303"/>
      <c r="H28" s="1303"/>
      <c r="I28" s="1303"/>
      <c r="J28" s="1303"/>
      <c r="K28" s="1303"/>
      <c r="L28" s="1303"/>
      <c r="M28" s="1303"/>
      <c r="N28" s="1303"/>
    </row>
    <row r="29" spans="2:14" ht="32.25" customHeight="1">
      <c r="B29" s="345"/>
      <c r="C29" s="1304" t="s">
        <v>254</v>
      </c>
      <c r="D29" s="1304"/>
      <c r="E29" s="1304"/>
      <c r="F29" s="1304"/>
      <c r="G29" s="1304"/>
      <c r="H29" s="1304"/>
      <c r="I29" s="1304"/>
      <c r="J29" s="1304"/>
      <c r="K29" s="1304"/>
      <c r="L29" s="1304"/>
      <c r="M29" s="1304"/>
      <c r="N29" s="345"/>
    </row>
    <row r="30" spans="2:14" ht="6.75" customHeight="1">
      <c r="B30" s="345"/>
      <c r="C30" s="344"/>
      <c r="D30" s="344"/>
      <c r="E30" s="344"/>
      <c r="F30" s="344"/>
      <c r="G30" s="344"/>
      <c r="H30" s="344"/>
      <c r="I30" s="344"/>
      <c r="J30" s="344"/>
      <c r="K30" s="344"/>
      <c r="L30" s="344"/>
      <c r="M30" s="344"/>
      <c r="N30" s="345"/>
    </row>
    <row r="31" spans="2:14" ht="60" customHeight="1">
      <c r="B31" s="317"/>
      <c r="C31" s="1287" t="s">
        <v>253</v>
      </c>
      <c r="D31" s="1287"/>
      <c r="E31" s="1287"/>
      <c r="F31" s="1287"/>
      <c r="G31" s="1287"/>
      <c r="H31" s="1287"/>
      <c r="I31" s="1287"/>
      <c r="J31" s="1287"/>
      <c r="K31" s="1287"/>
      <c r="L31" s="1287"/>
      <c r="M31" s="1287"/>
      <c r="N31" s="220"/>
    </row>
    <row r="32" spans="2:14" ht="10.5" customHeight="1">
      <c r="B32" s="212"/>
      <c r="C32" s="318"/>
      <c r="D32" s="324"/>
      <c r="E32" s="324"/>
      <c r="F32" s="324"/>
      <c r="G32" s="324"/>
      <c r="H32" s="324"/>
      <c r="I32" s="324"/>
      <c r="J32" s="324"/>
      <c r="K32" s="324"/>
      <c r="L32" s="324"/>
      <c r="M32" s="318"/>
    </row>
    <row r="33" spans="2:14" ht="23.1" customHeight="1">
      <c r="B33" s="212"/>
      <c r="C33" s="347"/>
      <c r="D33" s="1292"/>
      <c r="E33" s="1292"/>
      <c r="F33" s="1292"/>
      <c r="G33" s="1292"/>
      <c r="H33" s="1292"/>
      <c r="I33" s="348"/>
      <c r="J33" s="348"/>
      <c r="K33" s="348"/>
      <c r="L33" s="348"/>
      <c r="M33" s="348"/>
      <c r="N33" s="212"/>
    </row>
    <row r="34" spans="2:14" ht="28.5" customHeight="1">
      <c r="B34" s="212"/>
      <c r="C34" s="1295"/>
      <c r="D34" s="1295"/>
      <c r="E34" s="1295"/>
      <c r="F34" s="1295"/>
      <c r="G34" s="349"/>
      <c r="H34" s="350">
        <f>CALCULADORA_2021!AJ23</f>
        <v>13.421707999999999</v>
      </c>
      <c r="I34" s="351" t="s">
        <v>170</v>
      </c>
      <c r="J34" s="351"/>
      <c r="K34" s="351"/>
      <c r="L34" s="351"/>
      <c r="M34" s="351"/>
      <c r="N34" s="215"/>
    </row>
    <row r="35" spans="2:14" ht="27.95" customHeight="1">
      <c r="B35" s="212"/>
      <c r="C35" s="1290">
        <f>I27</f>
        <v>1985.5</v>
      </c>
      <c r="D35" s="1290"/>
      <c r="E35" s="1290"/>
      <c r="F35" s="348"/>
      <c r="G35" s="348"/>
      <c r="H35" s="348"/>
      <c r="I35" s="352"/>
      <c r="J35" s="352"/>
      <c r="K35" s="352"/>
      <c r="L35" s="352"/>
      <c r="M35" s="352"/>
      <c r="N35" s="346"/>
    </row>
    <row r="36" spans="2:14" ht="30" customHeight="1">
      <c r="B36" s="212"/>
      <c r="C36" s="347"/>
      <c r="D36" s="351"/>
      <c r="E36" s="351"/>
      <c r="F36" s="351"/>
      <c r="G36" s="351"/>
      <c r="H36" s="350">
        <f>CALCULADORA_2021!N23</f>
        <v>28050.648000000001</v>
      </c>
      <c r="I36" s="351" t="s">
        <v>171</v>
      </c>
      <c r="J36" s="351"/>
      <c r="K36" s="351"/>
      <c r="L36" s="351"/>
      <c r="M36" s="351"/>
      <c r="N36" s="215"/>
    </row>
    <row r="37" spans="2:14" ht="27.75" customHeight="1">
      <c r="B37" s="212"/>
      <c r="C37" s="347"/>
      <c r="D37" s="351"/>
      <c r="E37" s="351"/>
      <c r="F37" s="353"/>
      <c r="G37" s="353"/>
      <c r="H37" s="353"/>
      <c r="I37" s="352"/>
      <c r="J37" s="352"/>
      <c r="K37" s="352"/>
      <c r="L37" s="352"/>
      <c r="M37" s="352"/>
      <c r="N37" s="346"/>
    </row>
    <row r="38" spans="2:14" ht="32.25" customHeight="1">
      <c r="B38" s="212"/>
      <c r="C38" s="355"/>
      <c r="D38" s="355"/>
      <c r="E38" s="355"/>
      <c r="F38" s="351"/>
      <c r="G38" s="351"/>
      <c r="H38" s="350">
        <f>CALCULADORA_2021!AL23</f>
        <v>1288.5219</v>
      </c>
      <c r="I38" s="351" t="s">
        <v>173</v>
      </c>
      <c r="J38" s="351"/>
      <c r="K38" s="351"/>
      <c r="L38" s="351"/>
      <c r="M38" s="351"/>
      <c r="N38" s="215"/>
    </row>
    <row r="39" spans="2:14" ht="27.75" customHeight="1">
      <c r="B39" s="212"/>
      <c r="C39" s="355"/>
      <c r="D39" s="355"/>
      <c r="E39" s="355"/>
      <c r="F39" s="354"/>
      <c r="G39" s="355"/>
      <c r="H39" s="354"/>
      <c r="I39" s="352"/>
      <c r="J39" s="352"/>
      <c r="K39" s="352"/>
      <c r="L39" s="352"/>
      <c r="M39" s="352"/>
      <c r="N39" s="346"/>
    </row>
    <row r="40" spans="2:14" ht="30" customHeight="1">
      <c r="B40" s="212"/>
      <c r="C40" s="1291" t="s">
        <v>255</v>
      </c>
      <c r="D40" s="1291"/>
      <c r="E40" s="1291"/>
      <c r="F40" s="348"/>
      <c r="G40" s="348"/>
      <c r="H40" s="356">
        <f>CALCULADORA_2021!E23</f>
        <v>10966.073119999999</v>
      </c>
      <c r="I40" s="351" t="s">
        <v>174</v>
      </c>
      <c r="J40" s="351"/>
      <c r="K40" s="351"/>
      <c r="L40" s="351"/>
      <c r="M40" s="351"/>
      <c r="N40" s="215"/>
    </row>
    <row r="41" spans="2:14" ht="27.75" customHeight="1">
      <c r="B41" s="212"/>
      <c r="C41" s="367"/>
      <c r="D41" s="366" t="s">
        <v>256</v>
      </c>
      <c r="E41" s="367"/>
      <c r="F41" s="354"/>
      <c r="G41" s="354"/>
      <c r="H41" s="354"/>
      <c r="I41" s="357"/>
      <c r="J41" s="358"/>
      <c r="K41" s="358"/>
      <c r="L41" s="358"/>
      <c r="M41" s="358"/>
      <c r="N41" s="222"/>
    </row>
    <row r="42" spans="2:14" ht="30" customHeight="1">
      <c r="B42" s="212"/>
      <c r="C42" s="355"/>
      <c r="D42" s="355"/>
      <c r="E42" s="355"/>
      <c r="F42" s="349"/>
      <c r="G42" s="349"/>
      <c r="H42" s="350">
        <f>CALCULADORA_2021!AF23</f>
        <v>27.465030000000002</v>
      </c>
      <c r="I42" s="351" t="s">
        <v>175</v>
      </c>
      <c r="J42" s="351"/>
      <c r="K42" s="351"/>
      <c r="L42" s="351"/>
      <c r="M42" s="351"/>
      <c r="N42" s="215"/>
    </row>
    <row r="43" spans="2:14" ht="27.75" customHeight="1">
      <c r="B43" s="213"/>
      <c r="C43" s="347"/>
      <c r="D43" s="355"/>
      <c r="E43" s="359"/>
      <c r="F43" s="359"/>
      <c r="G43" s="355"/>
      <c r="H43" s="359"/>
      <c r="I43" s="355"/>
      <c r="J43" s="355"/>
      <c r="K43" s="360"/>
      <c r="L43" s="360"/>
      <c r="M43" s="360"/>
      <c r="N43" s="224"/>
    </row>
    <row r="44" spans="2:14" ht="9.75" customHeight="1"/>
    <row r="45" spans="2:14">
      <c r="C45" s="355"/>
      <c r="D45" s="355"/>
      <c r="E45" s="355"/>
      <c r="F45" s="355"/>
      <c r="G45" s="355"/>
      <c r="H45" s="355"/>
      <c r="I45" s="355"/>
      <c r="J45" s="355"/>
      <c r="K45" s="355"/>
      <c r="L45" s="355"/>
      <c r="M45" s="355"/>
    </row>
    <row r="46" spans="2:14" ht="53.1" customHeight="1">
      <c r="B46" s="319"/>
      <c r="C46" s="361"/>
      <c r="D46" s="1300" t="s">
        <v>257</v>
      </c>
      <c r="E46" s="1298"/>
      <c r="F46" s="1298"/>
      <c r="G46" s="355"/>
      <c r="H46" s="449">
        <f>CALCULADORA_2021!AD23</f>
        <v>17.028000000000002</v>
      </c>
      <c r="I46" s="1297" t="s">
        <v>371</v>
      </c>
      <c r="J46" s="1297"/>
      <c r="K46" s="1297"/>
      <c r="L46" s="1297"/>
      <c r="M46" s="1297"/>
      <c r="N46" s="319"/>
    </row>
    <row r="47" spans="2:14" ht="28.5" customHeight="1">
      <c r="B47" s="215"/>
      <c r="C47" s="355"/>
      <c r="D47" s="1300"/>
      <c r="E47" s="351"/>
      <c r="F47" s="351"/>
      <c r="G47" s="355"/>
      <c r="H47" s="355"/>
      <c r="I47" s="1297"/>
      <c r="J47" s="1297"/>
      <c r="K47" s="1297"/>
      <c r="L47" s="1297"/>
      <c r="M47" s="1297"/>
      <c r="N47" s="215"/>
    </row>
    <row r="48" spans="2:14" ht="29.25" customHeight="1">
      <c r="B48" s="215"/>
      <c r="C48" s="362"/>
      <c r="D48" s="1300"/>
      <c r="E48" s="1299"/>
      <c r="F48" s="1299"/>
      <c r="G48" s="351"/>
      <c r="H48" s="363">
        <f>CALCULADORA_2021!AU23</f>
        <v>2072.3879999999999</v>
      </c>
      <c r="I48" s="1296" t="s">
        <v>258</v>
      </c>
      <c r="J48" s="1296"/>
      <c r="K48" s="1296"/>
      <c r="L48" s="1296"/>
      <c r="M48" s="1296"/>
      <c r="N48" s="220"/>
    </row>
    <row r="49" spans="2:14" ht="35.25" customHeight="1">
      <c r="B49" s="319"/>
      <c r="C49" s="364"/>
      <c r="D49" s="365"/>
      <c r="E49" s="365"/>
      <c r="F49" s="365"/>
      <c r="G49" s="364"/>
      <c r="H49" s="364"/>
      <c r="I49" s="1296"/>
      <c r="J49" s="1296"/>
      <c r="K49" s="1296"/>
      <c r="L49" s="1296"/>
      <c r="M49" s="1296"/>
      <c r="N49" s="220"/>
    </row>
    <row r="50" spans="2:14" ht="27.75" customHeight="1">
      <c r="B50" s="319"/>
      <c r="C50" s="364"/>
      <c r="D50" s="364"/>
      <c r="E50" s="364"/>
      <c r="F50" s="364"/>
      <c r="G50" s="364"/>
      <c r="H50" s="364"/>
      <c r="I50" s="1296"/>
      <c r="J50" s="1296"/>
      <c r="K50" s="1296"/>
      <c r="L50" s="1296"/>
      <c r="M50" s="1296"/>
      <c r="N50" s="319"/>
    </row>
    <row r="51" spans="2:14" ht="35.25" customHeight="1"/>
    <row r="52" spans="2:14" ht="35.25" customHeight="1">
      <c r="B52" s="1288" t="s">
        <v>150</v>
      </c>
      <c r="C52" s="1288"/>
      <c r="D52" s="1288"/>
      <c r="E52" s="1288"/>
      <c r="F52" s="1288"/>
      <c r="G52" s="1288"/>
      <c r="H52" s="1288"/>
      <c r="I52" s="1288"/>
      <c r="J52" s="1288"/>
      <c r="K52" s="1288"/>
      <c r="L52" s="1288"/>
      <c r="M52" s="1288"/>
      <c r="N52" s="1288"/>
    </row>
    <row r="53" spans="2:14" ht="14.25" customHeight="1">
      <c r="C53" s="319"/>
      <c r="D53" s="319"/>
      <c r="E53" s="319"/>
      <c r="F53" s="319"/>
      <c r="G53" s="319"/>
      <c r="H53" s="319"/>
      <c r="I53" s="319"/>
      <c r="J53" s="319"/>
      <c r="K53" s="319"/>
      <c r="L53" s="319"/>
      <c r="M53" s="319"/>
      <c r="N53" s="319"/>
    </row>
    <row r="54" spans="2:14" ht="14.25" customHeight="1">
      <c r="B54" s="319"/>
      <c r="C54" s="319"/>
      <c r="D54" s="319"/>
      <c r="E54" s="319"/>
      <c r="F54" s="319"/>
      <c r="G54" s="319"/>
      <c r="H54" s="319"/>
      <c r="I54" s="319"/>
      <c r="J54" s="319"/>
      <c r="K54" s="319"/>
      <c r="L54" s="319"/>
      <c r="M54" s="319"/>
      <c r="N54" s="319"/>
    </row>
    <row r="55" spans="2:14" ht="14.25" customHeight="1">
      <c r="B55" s="319"/>
      <c r="C55" s="319"/>
      <c r="D55" s="319"/>
      <c r="E55" s="319"/>
      <c r="F55" s="319"/>
      <c r="G55" s="319"/>
      <c r="H55" s="319"/>
      <c r="I55" s="319"/>
      <c r="J55" s="319"/>
      <c r="K55" s="319"/>
      <c r="L55" s="319"/>
      <c r="M55" s="319"/>
      <c r="N55" s="319"/>
    </row>
    <row r="56" spans="2:14" ht="14.25" customHeight="1">
      <c r="B56" s="319"/>
      <c r="C56" s="319"/>
      <c r="D56" s="319"/>
      <c r="E56" s="319"/>
      <c r="F56" s="319"/>
      <c r="G56" s="319"/>
      <c r="H56" s="319"/>
      <c r="I56" s="319"/>
      <c r="J56" s="319"/>
      <c r="K56" s="319"/>
      <c r="L56" s="319"/>
      <c r="M56" s="319"/>
      <c r="N56" s="319"/>
    </row>
    <row r="57" spans="2:14" ht="14.25" customHeight="1">
      <c r="B57" s="319"/>
      <c r="C57" s="319"/>
      <c r="D57" s="319"/>
      <c r="E57" s="319"/>
      <c r="F57" s="319"/>
      <c r="G57" s="319"/>
      <c r="H57" s="319"/>
      <c r="I57" s="319"/>
      <c r="J57" s="319"/>
      <c r="K57" s="319"/>
      <c r="L57" s="319"/>
      <c r="M57" s="319"/>
      <c r="N57" s="319"/>
    </row>
    <row r="58" spans="2:14" ht="14.25" customHeight="1">
      <c r="B58" s="319"/>
      <c r="C58" s="319"/>
      <c r="D58" s="319"/>
      <c r="E58" s="319"/>
      <c r="F58" s="319"/>
      <c r="G58" s="319"/>
      <c r="H58" s="319"/>
      <c r="I58" s="319"/>
      <c r="J58" s="319"/>
      <c r="K58" s="319"/>
      <c r="L58" s="319"/>
      <c r="M58" s="319"/>
      <c r="N58" s="319"/>
    </row>
    <row r="59" spans="2:14" ht="14.25" customHeight="1">
      <c r="B59" s="319"/>
      <c r="C59" s="319"/>
      <c r="D59" s="319"/>
      <c r="E59" s="319"/>
      <c r="F59" s="319"/>
      <c r="G59" s="319"/>
      <c r="H59" s="319"/>
      <c r="I59" s="319"/>
      <c r="J59" s="319"/>
      <c r="K59" s="319"/>
      <c r="L59" s="319"/>
      <c r="M59" s="319"/>
      <c r="N59" s="319"/>
    </row>
    <row r="60" spans="2:14" ht="14.25" customHeight="1">
      <c r="B60" s="319"/>
      <c r="C60" s="319"/>
      <c r="D60" s="319"/>
      <c r="E60" s="319"/>
      <c r="F60" s="319"/>
      <c r="G60" s="319"/>
      <c r="H60" s="319"/>
      <c r="I60" s="319"/>
      <c r="J60" s="319"/>
      <c r="K60" s="319"/>
      <c r="L60" s="319"/>
      <c r="M60" s="319"/>
      <c r="N60" s="319"/>
    </row>
    <row r="61" spans="2:14" ht="14.25" customHeight="1">
      <c r="B61" s="319"/>
      <c r="C61" s="319"/>
      <c r="D61" s="319"/>
      <c r="E61" s="319"/>
      <c r="F61" s="319"/>
      <c r="G61" s="319"/>
      <c r="H61" s="319"/>
      <c r="I61" s="319"/>
      <c r="J61" s="319"/>
      <c r="K61" s="319"/>
      <c r="L61" s="319"/>
      <c r="M61" s="319"/>
      <c r="N61" s="319"/>
    </row>
    <row r="62" spans="2:14" ht="20.25">
      <c r="H62" s="228"/>
    </row>
  </sheetData>
  <mergeCells count="19">
    <mergeCell ref="C35:E35"/>
    <mergeCell ref="B2:N2"/>
    <mergeCell ref="B3:N3"/>
    <mergeCell ref="B6:N7"/>
    <mergeCell ref="H12:K12"/>
    <mergeCell ref="L12:N12"/>
    <mergeCell ref="L13:N13"/>
    <mergeCell ref="B28:N28"/>
    <mergeCell ref="C29:M29"/>
    <mergeCell ref="C31:M31"/>
    <mergeCell ref="D33:H33"/>
    <mergeCell ref="C34:F34"/>
    <mergeCell ref="B52:N52"/>
    <mergeCell ref="C40:E40"/>
    <mergeCell ref="D46:D48"/>
    <mergeCell ref="E46:F46"/>
    <mergeCell ref="I46:M47"/>
    <mergeCell ref="E48:F48"/>
    <mergeCell ref="I48:M50"/>
  </mergeCells>
  <printOptions horizontalCentered="1" verticalCentered="1"/>
  <pageMargins left="0.2" right="0.25" top="0.26" bottom="0.2" header="0.2" footer="0.23"/>
  <pageSetup paperSize="9" scale="4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12</vt:i4>
      </vt:variant>
    </vt:vector>
  </HeadingPairs>
  <TitlesOfParts>
    <vt:vector size="41" baseType="lpstr">
      <vt:lpstr>HUELLA_CO2</vt:lpstr>
      <vt:lpstr>CALCULADORA_2021</vt:lpstr>
      <vt:lpstr>Hoja3</vt:lpstr>
      <vt:lpstr>CALCU_OTRAS</vt:lpstr>
      <vt:lpstr>20ANIV_DATOS</vt:lpstr>
      <vt:lpstr>BEFORE_AFTER</vt:lpstr>
      <vt:lpstr>REFERENCIAS PZA</vt:lpstr>
      <vt:lpstr>PET</vt:lpstr>
      <vt:lpstr>PEAD</vt:lpstr>
      <vt:lpstr>PEBD</vt:lpstr>
      <vt:lpstr>ALUMINIO</vt:lpstr>
      <vt:lpstr>HOJALATA</vt:lpstr>
      <vt:lpstr>MULTICAPA</vt:lpstr>
      <vt:lpstr>VIDRIO</vt:lpstr>
      <vt:lpstr>PP.</vt:lpstr>
      <vt:lpstr>CALCU_AU_MAYO21</vt:lpstr>
      <vt:lpstr>CERT_TRUEQUE</vt:lpstr>
      <vt:lpstr>FUENTE</vt:lpstr>
      <vt:lpstr>BIBLIA</vt:lpstr>
      <vt:lpstr>CERT_MercaditoTRUEQUE</vt:lpstr>
      <vt:lpstr>CERT_AU_MAYO21</vt:lpstr>
      <vt:lpstr>20 ANIV</vt:lpstr>
      <vt:lpstr>Hoja2</vt:lpstr>
      <vt:lpstr>SOLIA SER</vt:lpstr>
      <vt:lpstr>Hoja4</vt:lpstr>
      <vt:lpstr>SABIAS QUE..2022</vt:lpstr>
      <vt:lpstr>PESOS</vt:lpstr>
      <vt:lpstr>CERTIFICACION</vt:lpstr>
      <vt:lpstr>CERT_ESCUELAS</vt:lpstr>
      <vt:lpstr>BEFORE_AFTER!Área_de_impresión</vt:lpstr>
      <vt:lpstr>'SABIAS QUE..2022'!Área_de_impresión</vt:lpstr>
      <vt:lpstr>'20 ANIV'!Print_Area</vt:lpstr>
      <vt:lpstr>BEFORE_AFTER!Print_Area</vt:lpstr>
      <vt:lpstr>BIBLIA!Print_Area</vt:lpstr>
      <vt:lpstr>CALCU_AU_MAYO21!Print_Area</vt:lpstr>
      <vt:lpstr>CERT_AU_MAYO21!Print_Area</vt:lpstr>
      <vt:lpstr>CERT_ESCUELAS!Print_Area</vt:lpstr>
      <vt:lpstr>CERT_MercaditoTRUEQUE!Print_Area</vt:lpstr>
      <vt:lpstr>CERT_TRUEQUE!Print_Area</vt:lpstr>
      <vt:lpstr>'SOLIA SER'!Print_Area</vt:lpstr>
      <vt:lpstr>BIBLIA!Print_Titles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Isela Rivas</dc:creator>
  <cp:lastModifiedBy>Ecoce 00010</cp:lastModifiedBy>
  <cp:lastPrinted>2025-03-12T17:32:15Z</cp:lastPrinted>
  <dcterms:created xsi:type="dcterms:W3CDTF">2017-11-24T16:34:23Z</dcterms:created>
  <dcterms:modified xsi:type="dcterms:W3CDTF">2025-07-09T16:36:13Z</dcterms:modified>
</cp:coreProperties>
</file>