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ob-my.sharepoint.com/personal/hm23424_bristol_ac_uk/Documents/"/>
    </mc:Choice>
  </mc:AlternateContent>
  <xr:revisionPtr revIDLastSave="0" documentId="8_{B7F9EF12-EB1F-4ACC-BFFE-DF533F0A089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quidity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2" l="1"/>
  <c r="L10" i="2"/>
  <c r="G14" i="2"/>
  <c r="K22" i="2"/>
  <c r="E10" i="2"/>
  <c r="G25" i="2"/>
  <c r="I18" i="2"/>
  <c r="E21" i="2"/>
  <c r="I14" i="2"/>
  <c r="C17" i="2"/>
  <c r="I9" i="2"/>
  <c r="F20" i="2"/>
  <c r="D17" i="2"/>
  <c r="J14" i="2"/>
  <c r="C10" i="2"/>
  <c r="H25" i="2"/>
  <c r="L12" i="2"/>
  <c r="L16" i="2"/>
  <c r="C7" i="2"/>
  <c r="J18" i="2"/>
  <c r="D10" i="2"/>
  <c r="F7" i="2"/>
  <c r="J22" i="2"/>
  <c r="F21" i="2"/>
  <c r="G10" i="2"/>
  <c r="E17" i="2"/>
  <c r="L8" i="2"/>
  <c r="E7" i="2"/>
  <c r="L22" i="2"/>
  <c r="G21" i="2"/>
  <c r="H14" i="2"/>
  <c r="K8" i="2"/>
  <c r="I25" i="2"/>
  <c r="C13" i="2"/>
  <c r="D13" i="2"/>
  <c r="C24" i="2"/>
  <c r="H10" i="2"/>
  <c r="K18" i="2"/>
  <c r="F17" i="2"/>
  <c r="H21" i="2"/>
  <c r="L18" i="2"/>
  <c r="J25" i="2"/>
  <c r="D24" i="2"/>
  <c r="D7" i="2"/>
  <c r="F9" i="2"/>
  <c r="E14" i="2"/>
  <c r="E13" i="2"/>
  <c r="H18" i="2"/>
  <c r="J8" i="2"/>
  <c r="C8" i="2"/>
  <c r="E24" i="2"/>
  <c r="J17" i="2"/>
  <c r="G7" i="2"/>
  <c r="L6" i="2"/>
  <c r="G6" i="2"/>
  <c r="F25" i="2"/>
  <c r="J12" i="2"/>
  <c r="I22" i="2"/>
  <c r="I10" i="2"/>
  <c r="G18" i="2"/>
  <c r="G13" i="2"/>
  <c r="K25" i="2"/>
  <c r="G8" i="2"/>
  <c r="C20" i="2"/>
  <c r="G17" i="2"/>
  <c r="I12" i="2"/>
  <c r="E25" i="2"/>
  <c r="L14" i="2"/>
  <c r="D20" i="2"/>
  <c r="H17" i="2"/>
  <c r="I21" i="2"/>
  <c r="J10" i="2"/>
  <c r="F13" i="2"/>
  <c r="J21" i="2"/>
  <c r="D26" i="2"/>
  <c r="K6" i="2"/>
  <c r="G24" i="2"/>
  <c r="D9" i="2"/>
  <c r="E9" i="2"/>
  <c r="H7" i="2"/>
  <c r="F14" i="2"/>
  <c r="C26" i="2"/>
  <c r="F24" i="2"/>
  <c r="L25" i="2"/>
  <c r="I8" i="2"/>
  <c r="H24" i="2"/>
  <c r="H8" i="2"/>
  <c r="C21" i="2"/>
  <c r="D16" i="2"/>
  <c r="L21" i="2"/>
  <c r="K16" i="2"/>
  <c r="E6" i="2"/>
  <c r="C16" i="2"/>
  <c r="I13" i="2"/>
  <c r="G9" i="2"/>
  <c r="K14" i="2"/>
  <c r="D21" i="2"/>
  <c r="C6" i="2"/>
  <c r="K21" i="2"/>
  <c r="K10" i="2"/>
  <c r="C9" i="2"/>
  <c r="F10" i="2"/>
  <c r="I7" i="2"/>
  <c r="H9" i="2"/>
  <c r="D6" i="2"/>
  <c r="D12" i="2"/>
  <c r="K7" i="2"/>
  <c r="G12" i="2"/>
  <c r="I20" i="2"/>
  <c r="E16" i="2"/>
  <c r="E20" i="2"/>
  <c r="I17" i="2"/>
  <c r="C12" i="2"/>
  <c r="G20" i="2"/>
  <c r="C22" i="2"/>
  <c r="F6" i="2"/>
  <c r="H26" i="2"/>
  <c r="J13" i="2"/>
  <c r="J24" i="2"/>
  <c r="K17" i="2"/>
  <c r="I6" i="2"/>
  <c r="E26" i="2"/>
  <c r="I16" i="2"/>
  <c r="L17" i="2"/>
  <c r="I24" i="2"/>
  <c r="J7" i="2"/>
  <c r="E12" i="2"/>
  <c r="C25" i="2"/>
  <c r="C14" i="2"/>
  <c r="K9" i="2"/>
  <c r="K13" i="2"/>
  <c r="H20" i="2"/>
  <c r="L7" i="2"/>
  <c r="D22" i="2"/>
  <c r="H13" i="2"/>
  <c r="F16" i="2"/>
  <c r="G26" i="2"/>
  <c r="J9" i="2"/>
  <c r="L9" i="2"/>
  <c r="H16" i="2"/>
  <c r="H6" i="2"/>
  <c r="L20" i="2"/>
  <c r="F26" i="2"/>
  <c r="H12" i="2"/>
  <c r="E22" i="2"/>
  <c r="G16" i="2"/>
  <c r="F18" i="2"/>
  <c r="J6" i="2"/>
  <c r="E18" i="2"/>
  <c r="I26" i="2"/>
  <c r="F12" i="2"/>
  <c r="D14" i="2"/>
  <c r="E8" i="2"/>
  <c r="G22" i="2"/>
  <c r="J26" i="2"/>
  <c r="L13" i="2"/>
  <c r="D18" i="2"/>
  <c r="F8" i="2"/>
  <c r="K26" i="2"/>
  <c r="K20" i="2"/>
  <c r="F22" i="2"/>
  <c r="D8" i="2"/>
  <c r="K24" i="2"/>
  <c r="H22" i="2"/>
  <c r="J20" i="2"/>
  <c r="J16" i="2"/>
  <c r="L24" i="2"/>
  <c r="C18" i="2"/>
  <c r="D25" i="2"/>
  <c r="L26" i="2"/>
</calcChain>
</file>

<file path=xl/sharedStrings.xml><?xml version="1.0" encoding="utf-8"?>
<sst xmlns="http://schemas.openxmlformats.org/spreadsheetml/2006/main" count="59" uniqueCount="59">
  <si>
    <t>AdvanSix Inc (ASIX US) - Liquidity</t>
  </si>
  <si>
    <t>In Millions of USD except Per Share</t>
  </si>
  <si>
    <t>FY 2013</t>
  </si>
  <si>
    <t>FY 2014</t>
  </si>
  <si>
    <t>FY 2015</t>
  </si>
  <si>
    <t>FY 2016</t>
  </si>
  <si>
    <t>FY 2017</t>
  </si>
  <si>
    <t>FY 2018</t>
  </si>
  <si>
    <t>FY 2019</t>
  </si>
  <si>
    <t>FY 2020</t>
  </si>
  <si>
    <t>FY 2021</t>
  </si>
  <si>
    <t>FY 2022</t>
  </si>
  <si>
    <t>12 Months Ending</t>
  </si>
  <si>
    <t>12/31/2013</t>
  </si>
  <si>
    <t>12/31/2014</t>
  </si>
  <si>
    <t>12/31/2015</t>
  </si>
  <si>
    <t>12/31/2016</t>
  </si>
  <si>
    <t>12/31/2017</t>
  </si>
  <si>
    <t>12/31/2018</t>
  </si>
  <si>
    <t>12/31/2019</t>
  </si>
  <si>
    <t>12/31/2020</t>
  </si>
  <si>
    <t>12/31/2021</t>
  </si>
  <si>
    <t>12/31/2022</t>
  </si>
  <si>
    <t>Cash Ratio</t>
  </si>
  <si>
    <t>CASH_RATIO</t>
  </si>
  <si>
    <t>Current Ratio</t>
  </si>
  <si>
    <t>CUR_RATIO</t>
  </si>
  <si>
    <t>Quick Ratio</t>
  </si>
  <si>
    <t>QUICK_RATIO</t>
  </si>
  <si>
    <t>CFO/Avg Current Liab</t>
  </si>
  <si>
    <t>CFO_TO_AVG_CURRENT_LIABILITIES</t>
  </si>
  <si>
    <t>Common Equity/Total Assets</t>
  </si>
  <si>
    <t>COM_EQY_TO_TOT_ASSET</t>
  </si>
  <si>
    <t>Long-Term Debt/Equity</t>
  </si>
  <si>
    <t>LT_DEBT_TO_TOT_EQY</t>
  </si>
  <si>
    <t>Long-Term Debt/Capital</t>
  </si>
  <si>
    <t>LT_DEBT_TO_TOT_CAP</t>
  </si>
  <si>
    <t>Long-Term Debt/Total Assets</t>
  </si>
  <si>
    <t>LT_DEBT_TO_TOT_ASSET</t>
  </si>
  <si>
    <t>Total Debt/Equity</t>
  </si>
  <si>
    <t>TOT_DEBT_TO_TOT_EQY</t>
  </si>
  <si>
    <t>Total Debt/Capital</t>
  </si>
  <si>
    <t>TOT_DEBT_TO_TOT_CAP</t>
  </si>
  <si>
    <t>Total Debt/Total Assets</t>
  </si>
  <si>
    <t>TOT_DEBT_TO_TOT_ASSET</t>
  </si>
  <si>
    <t>CFO/Total Liabilities</t>
  </si>
  <si>
    <t>CASH_FLOW_TO_TOT_LIAB</t>
  </si>
  <si>
    <t>CFO/CapEx</t>
  </si>
  <si>
    <t>CAP_EXPEND_RATIO</t>
  </si>
  <si>
    <t>Altman's Z-Score</t>
  </si>
  <si>
    <t>ALTMAN_Z_SCORE</t>
  </si>
  <si>
    <t>Total Line of Credit</t>
  </si>
  <si>
    <t>BS_TOTAL_LINE_OF_CREDIT</t>
  </si>
  <si>
    <t xml:space="preserve">  Total Available Line Of Credit</t>
  </si>
  <si>
    <t>BS_TOTAL_AVAIL_LINE_OF_CREDIT</t>
  </si>
  <si>
    <t xml:space="preserve">  Total Credit Lines Drawn</t>
  </si>
  <si>
    <t>LINE_OF_CREDIT_UTILIZED_AMOUNT</t>
  </si>
  <si>
    <t>Source: Bloomberg</t>
  </si>
  <si>
    <t>Right click to show data transparency (not supported for all values)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</si>
</sst>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6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0"/>
      <color indexed="63"/>
      <name val="Arial"/>
      <family val="2"/>
    </font>
    <font>
      <b/>
      <sz val="16"/>
      <color indexed="9"/>
      <name val="Arial"/>
      <family val="2"/>
    </font>
    <font>
      <sz val="10"/>
      <name val="Calibri"/>
      <family val="2"/>
    </font>
    <font>
      <b/>
      <sz val="10"/>
      <color indexed="9"/>
      <name val="Arial"/>
      <family val="2"/>
    </font>
    <font>
      <sz val="10"/>
      <color indexed="63"/>
      <name val="Arial"/>
      <family val="2"/>
    </font>
    <font>
      <i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4">
    <xf numFmtId="0" fontId="0" fillId="0" borderId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25" fillId="12" borderId="0" applyNumberFormat="0" applyBorder="0" applyAlignment="0" applyProtection="0"/>
    <xf numFmtId="0" fontId="25" fillId="16" borderId="0" applyNumberFormat="0" applyBorder="0" applyAlignment="0" applyProtection="0"/>
    <xf numFmtId="0" fontId="25" fillId="20" borderId="0" applyNumberFormat="0" applyBorder="0" applyAlignment="0" applyProtection="0"/>
    <xf numFmtId="0" fontId="25" fillId="24" borderId="0" applyNumberFormat="0" applyBorder="0" applyAlignment="0" applyProtection="0"/>
    <xf numFmtId="0" fontId="25" fillId="28" borderId="0" applyNumberFormat="0" applyBorder="0" applyAlignment="0" applyProtection="0"/>
    <xf numFmtId="0" fontId="25" fillId="32" borderId="0" applyNumberFormat="0" applyBorder="0" applyAlignment="0" applyProtection="0"/>
    <xf numFmtId="0" fontId="25" fillId="9" borderId="0" applyNumberFormat="0" applyBorder="0" applyAlignment="0" applyProtection="0"/>
    <xf numFmtId="0" fontId="25" fillId="13" borderId="0" applyNumberFormat="0" applyBorder="0" applyAlignment="0" applyProtection="0"/>
    <xf numFmtId="0" fontId="25" fillId="17" borderId="0" applyNumberFormat="0" applyBorder="0" applyAlignment="0" applyProtection="0"/>
    <xf numFmtId="0" fontId="25" fillId="21" borderId="0" applyNumberFormat="0" applyBorder="0" applyAlignment="0" applyProtection="0"/>
    <xf numFmtId="0" fontId="25" fillId="25" borderId="0" applyNumberFormat="0" applyBorder="0" applyAlignment="0" applyProtection="0"/>
    <xf numFmtId="0" fontId="25" fillId="29" borderId="0" applyNumberFormat="0" applyBorder="0" applyAlignment="0" applyProtection="0"/>
    <xf numFmtId="0" fontId="15" fillId="3" borderId="0" applyNumberFormat="0" applyBorder="0" applyAlignment="0" applyProtection="0"/>
    <xf numFmtId="0" fontId="2" fillId="33" borderId="0"/>
    <xf numFmtId="0" fontId="19" fillId="6" borderId="9" applyNumberFormat="0" applyAlignment="0" applyProtection="0"/>
    <xf numFmtId="0" fontId="21" fillId="7" borderId="12" applyNumberFormat="0" applyAlignment="0" applyProtection="0"/>
    <xf numFmtId="0" fontId="23" fillId="0" borderId="0" applyNumberFormat="0" applyFill="0" applyBorder="0" applyAlignment="0" applyProtection="0"/>
    <xf numFmtId="0" fontId="6" fillId="33" borderId="1">
      <alignment horizontal="right"/>
    </xf>
    <xf numFmtId="0" fontId="5" fillId="34" borderId="0" applyNumberFormat="0" applyBorder="0" applyProtection="0">
      <alignment horizontal="center"/>
    </xf>
    <xf numFmtId="0" fontId="6" fillId="33" borderId="3">
      <alignment horizontal="right"/>
    </xf>
    <xf numFmtId="0" fontId="6" fillId="33" borderId="3">
      <alignment horizontal="left"/>
    </xf>
    <xf numFmtId="0" fontId="8" fillId="35" borderId="4" applyNumberFormat="0" applyAlignment="0" applyProtection="0"/>
    <xf numFmtId="0" fontId="7" fillId="34" borderId="5"/>
    <xf numFmtId="0" fontId="14" fillId="2" borderId="0" applyNumberFormat="0" applyBorder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3" fillId="0" borderId="0" applyNumberFormat="0" applyFill="0" applyBorder="0" applyAlignment="0" applyProtection="0"/>
    <xf numFmtId="0" fontId="17" fillId="5" borderId="9" applyNumberFormat="0" applyAlignment="0" applyProtection="0"/>
    <xf numFmtId="0" fontId="20" fillId="0" borderId="11" applyNumberFormat="0" applyFill="0" applyAlignment="0" applyProtection="0"/>
    <xf numFmtId="0" fontId="16" fillId="4" borderId="0" applyNumberFormat="0" applyBorder="0" applyAlignment="0" applyProtection="0"/>
    <xf numFmtId="0" fontId="9" fillId="8" borderId="13" applyNumberFormat="0" applyFont="0" applyAlignment="0" applyProtection="0"/>
    <xf numFmtId="0" fontId="18" fillId="6" borderId="10" applyNumberFormat="0" applyAlignment="0" applyProtection="0"/>
    <xf numFmtId="0" fontId="10" fillId="0" borderId="0" applyNumberFormat="0" applyFill="0" applyBorder="0" applyAlignment="0" applyProtection="0"/>
    <xf numFmtId="0" fontId="24" fillId="0" borderId="14" applyNumberFormat="0" applyFill="0" applyAlignment="0" applyProtection="0"/>
    <xf numFmtId="0" fontId="22" fillId="0" borderId="0" applyNumberFormat="0" applyFill="0" applyBorder="0" applyAlignment="0" applyProtection="0"/>
    <xf numFmtId="0" fontId="4" fillId="33" borderId="15" applyNumberFormat="0" applyProtection="0">
      <alignment horizontal="left" vertical="center" readingOrder="1"/>
    </xf>
    <xf numFmtId="0" fontId="6" fillId="33" borderId="1">
      <alignment horizontal="left"/>
    </xf>
    <xf numFmtId="3" fontId="1" fillId="34" borderId="2">
      <alignment horizontal="right"/>
    </xf>
    <xf numFmtId="164" fontId="1" fillId="34" borderId="2">
      <alignment horizontal="right"/>
    </xf>
    <xf numFmtId="4" fontId="1" fillId="34" borderId="2">
      <alignment horizontal="right"/>
    </xf>
  </cellStyleXfs>
  <cellXfs count="13">
    <xf numFmtId="0" fontId="0" fillId="0" borderId="0" xfId="0"/>
    <xf numFmtId="0" fontId="2" fillId="33" borderId="0" xfId="26"/>
    <xf numFmtId="0" fontId="5" fillId="34" borderId="0" xfId="31">
      <alignment horizontal="center"/>
    </xf>
    <xf numFmtId="0" fontId="6" fillId="33" borderId="3" xfId="33">
      <alignment horizontal="left"/>
    </xf>
    <xf numFmtId="0" fontId="6" fillId="33" borderId="3" xfId="32">
      <alignment horizontal="right"/>
    </xf>
    <xf numFmtId="0" fontId="6" fillId="33" borderId="1" xfId="30">
      <alignment horizontal="right"/>
    </xf>
    <xf numFmtId="0" fontId="8" fillId="35" borderId="4" xfId="34"/>
    <xf numFmtId="0" fontId="4" fillId="33" borderId="15" xfId="49">
      <alignment horizontal="left" vertical="center" readingOrder="1"/>
    </xf>
    <xf numFmtId="0" fontId="6" fillId="33" borderId="1" xfId="50">
      <alignment horizontal="left"/>
    </xf>
    <xf numFmtId="0" fontId="3" fillId="34" borderId="5" xfId="35" applyFont="1"/>
    <xf numFmtId="3" fontId="1" fillId="34" borderId="2" xfId="51">
      <alignment horizontal="right"/>
    </xf>
    <xf numFmtId="164" fontId="1" fillId="34" borderId="2" xfId="52">
      <alignment horizontal="right"/>
    </xf>
    <xf numFmtId="4" fontId="1" fillId="34" borderId="2" xfId="53">
      <alignment horizontal="right"/>
    </xf>
  </cellXfs>
  <cellStyles count="5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blp_title_header_row_left" xfId="49" xr:uid="{00000000-0005-0000-0000-00001A000000}"/>
    <cellStyle name="Calculation" xfId="27" builtinId="22" customBuiltin="1"/>
    <cellStyle name="Check Cell" xfId="28" builtinId="23" customBuiltin="1"/>
    <cellStyle name="Explanatory Text" xfId="29" builtinId="53" customBuiltin="1"/>
    <cellStyle name="fa_column_header_bottom" xfId="30" xr:uid="{00000000-0005-0000-0000-00001E000000}"/>
    <cellStyle name="fa_column_header_bottom_left" xfId="50" xr:uid="{00000000-0005-0000-0000-00001F000000}"/>
    <cellStyle name="fa_column_header_empty" xfId="31" xr:uid="{00000000-0005-0000-0000-000020000000}"/>
    <cellStyle name="fa_column_header_top" xfId="32" xr:uid="{00000000-0005-0000-0000-000021000000}"/>
    <cellStyle name="fa_column_header_top_left" xfId="33" xr:uid="{00000000-0005-0000-0000-000022000000}"/>
    <cellStyle name="fa_data_standard_0_grouped" xfId="51" xr:uid="{00000000-0005-0000-0000-000023000000}"/>
    <cellStyle name="fa_data_standard_1_grouped" xfId="52" xr:uid="{00000000-0005-0000-0000-000024000000}"/>
    <cellStyle name="fa_data_standard_2_grouped" xfId="53" xr:uid="{00000000-0005-0000-0000-000025000000}"/>
    <cellStyle name="fa_footer_italic" xfId="34" xr:uid="{00000000-0005-0000-0000-000026000000}"/>
    <cellStyle name="fa_row_header_standard" xfId="35" xr:uid="{00000000-0005-0000-0000-000027000000}"/>
    <cellStyle name="Good" xfId="36" builtinId="26" customBuiltin="1"/>
    <cellStyle name="Heading 1" xfId="37" builtinId="16" customBuiltin="1"/>
    <cellStyle name="Heading 2" xfId="38" builtinId="17" customBuiltin="1"/>
    <cellStyle name="Heading 3" xfId="39" builtinId="18" customBuiltin="1"/>
    <cellStyle name="Heading 4" xfId="40" builtinId="19" customBuiltin="1"/>
    <cellStyle name="Input" xfId="41" builtinId="20" customBuiltin="1"/>
    <cellStyle name="Linked Cell" xfId="42" builtinId="24" customBuiltin="1"/>
    <cellStyle name="Neutral" xfId="43" builtinId="28" customBuiltin="1"/>
    <cellStyle name="Normal" xfId="0" builtinId="0"/>
    <cellStyle name="Note" xfId="44" builtinId="10" customBuiltin="1"/>
    <cellStyle name="Output" xfId="45" builtinId="21" customBuiltin="1"/>
    <cellStyle name="Title" xfId="46" builtinId="15" customBuiltin="1"/>
    <cellStyle name="Total" xfId="47" builtinId="25" customBuiltin="1"/>
    <cellStyle name="Warning Text" xfId="48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tabSelected="1" workbookViewId="0"/>
  </sheetViews>
  <sheetFormatPr defaultRowHeight="15"/>
  <cols>
    <col min="1" max="1" width="35.140625" customWidth="1"/>
    <col min="2" max="2" width="0" hidden="1" customWidth="1"/>
    <col min="3" max="12" width="11.85546875" customWidth="1"/>
  </cols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0.25">
      <c r="A2" s="7" t="s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1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>
      <c r="A4" s="3" t="s">
        <v>1</v>
      </c>
      <c r="B4" s="3"/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  <c r="K4" s="4" t="s">
        <v>10</v>
      </c>
      <c r="L4" s="4" t="s">
        <v>11</v>
      </c>
    </row>
    <row r="5" spans="1:12">
      <c r="A5" s="8" t="s">
        <v>12</v>
      </c>
      <c r="B5" s="8"/>
      <c r="C5" s="5" t="s">
        <v>13</v>
      </c>
      <c r="D5" s="5" t="s">
        <v>14</v>
      </c>
      <c r="E5" s="5" t="s">
        <v>15</v>
      </c>
      <c r="F5" s="5" t="s">
        <v>16</v>
      </c>
      <c r="G5" s="5" t="s">
        <v>17</v>
      </c>
      <c r="H5" s="5" t="s">
        <v>18</v>
      </c>
      <c r="I5" s="5" t="s">
        <v>19</v>
      </c>
      <c r="J5" s="5" t="s">
        <v>20</v>
      </c>
      <c r="K5" s="5" t="s">
        <v>21</v>
      </c>
      <c r="L5" s="5" t="s">
        <v>22</v>
      </c>
    </row>
    <row r="6" spans="1:12">
      <c r="A6" s="9" t="s">
        <v>23</v>
      </c>
      <c r="B6" s="9" t="s">
        <v>24</v>
      </c>
      <c r="C6" s="12" t="str">
        <f>_xll.BDH("ASIX US Equity","CASH_RATIO","FY 2013","FY 2013","Currency=USD","Period=FY","BEST_FPERIOD_OVERRIDE=FY","FILING_STATUS=MR","Sort=A","Dates=H","DateFormat=P","Fill=—","Direction=H","UseDPDF=Y")</f>
        <v>—</v>
      </c>
      <c r="D6" s="12">
        <f>_xll.BDH("ASIX US Equity","CASH_RATIO","FY 2014","FY 2014","Currency=USD","Period=FY","BEST_FPERIOD_OVERRIDE=FY","FILING_STATUS=MR","Sort=A","Dates=H","DateFormat=P","Fill=—","Direction=H","UseDPDF=Y")</f>
        <v>0</v>
      </c>
      <c r="E6" s="12">
        <f>_xll.BDH("ASIX US Equity","CASH_RATIO","FY 2015","FY 2015","Currency=USD","Period=FY","BEST_FPERIOD_OVERRIDE=FY","FILING_STATUS=MR","Sort=A","Dates=H","DateFormat=P","Fill=—","Direction=H","UseDPDF=Y")</f>
        <v>0</v>
      </c>
      <c r="F6" s="12">
        <f>_xll.BDH("ASIX US Equity","CASH_RATIO","FY 2016","FY 2016","Currency=USD","Period=FY","BEST_FPERIOD_OVERRIDE=FY","FILING_STATUS=MR","Sort=A","Dates=H","DateFormat=P","Fill=—","Direction=H","UseDPDF=Y")</f>
        <v>5.1799999999999999E-2</v>
      </c>
      <c r="G6" s="12">
        <f>_xll.BDH("ASIX US Equity","CASH_RATIO","FY 2017","FY 2017","Currency=USD","Period=FY","BEST_FPERIOD_OVERRIDE=FY","FILING_STATUS=MR","Sort=A","Dates=H","DateFormat=P","Fill=—","Direction=H","UseDPDF=Y")</f>
        <v>0.18679999999999999</v>
      </c>
      <c r="H6" s="12">
        <f>_xll.BDH("ASIX US Equity","CASH_RATIO","FY 2018","FY 2018","Currency=USD","Period=FY","BEST_FPERIOD_OVERRIDE=FY","FILING_STATUS=MR","Sort=A","Dates=H","DateFormat=P","Fill=—","Direction=H","UseDPDF=Y")</f>
        <v>3.44E-2</v>
      </c>
      <c r="I6" s="12">
        <f>_xll.BDH("ASIX US Equity","CASH_RATIO","FY 2019","FY 2019","Currency=USD","Period=FY","BEST_FPERIOD_OVERRIDE=FY","FILING_STATUS=MR","Sort=A","Dates=H","DateFormat=P","Fill=—","Direction=H","UseDPDF=Y")</f>
        <v>2.4199999999999999E-2</v>
      </c>
      <c r="J6" s="12">
        <f>_xll.BDH("ASIX US Equity","CASH_RATIO","FY 2020","FY 2020","Currency=USD","Period=FY","BEST_FPERIOD_OVERRIDE=FY","FILING_STATUS=MR","Sort=A","Dates=H","DateFormat=P","Fill=—","Direction=H","UseDPDF=Y")</f>
        <v>3.6900000000000002E-2</v>
      </c>
      <c r="K6" s="12">
        <f>_xll.BDH("ASIX US Equity","CASH_RATIO","FY 2021","FY 2021","Currency=USD","Period=FY","BEST_FPERIOD_OVERRIDE=FY","FILING_STATUS=MR","Sort=A","Dates=H","DateFormat=P","Fill=—","Direction=H","UseDPDF=Y")</f>
        <v>4.87E-2</v>
      </c>
      <c r="L6" s="12">
        <f>_xll.BDH("ASIX US Equity","CASH_RATIO","FY 2022","FY 2022","Currency=USD","Period=FY","BEST_FPERIOD_OVERRIDE=FY","FILING_STATUS=MR","Sort=A","Dates=H","DateFormat=P","Fill=—","Direction=H","UseDPDF=Y")</f>
        <v>7.8700000000000006E-2</v>
      </c>
    </row>
    <row r="7" spans="1:12">
      <c r="A7" s="9" t="s">
        <v>25</v>
      </c>
      <c r="B7" s="9" t="s">
        <v>26</v>
      </c>
      <c r="C7" s="12" t="str">
        <f>_xll.BDH("ASIX US Equity","CUR_RATIO","FY 2013","FY 2013","Currency=USD","Period=FY","BEST_FPERIOD_OVERRIDE=FY","FILING_STATUS=MR","Sort=A","Dates=H","DateFormat=P","Fill=—","Direction=H","UseDPDF=Y")</f>
        <v>—</v>
      </c>
      <c r="D7" s="12">
        <f>_xll.BDH("ASIX US Equity","CUR_RATIO","FY 2014","FY 2014","Currency=USD","Period=FY","BEST_FPERIOD_OVERRIDE=FY","FILING_STATUS=MR","Sort=A","Dates=H","DateFormat=P","Fill=—","Direction=H","UseDPDF=Y")</f>
        <v>1.1455</v>
      </c>
      <c r="E7" s="12">
        <f>_xll.BDH("ASIX US Equity","CUR_RATIO","FY 2015","FY 2015","Currency=USD","Period=FY","BEST_FPERIOD_OVERRIDE=FY","FILING_STATUS=MR","Sort=A","Dates=H","DateFormat=P","Fill=—","Direction=H","UseDPDF=Y")</f>
        <v>1.1611</v>
      </c>
      <c r="F7" s="12">
        <f>_xll.BDH("ASIX US Equity","CUR_RATIO","FY 2016","FY 2016","Currency=USD","Period=FY","BEST_FPERIOD_OVERRIDE=FY","FILING_STATUS=MR","Sort=A","Dates=H","DateFormat=P","Fill=—","Direction=H","UseDPDF=Y")</f>
        <v>1.0311999999999999</v>
      </c>
      <c r="G7" s="12">
        <f>_xll.BDH("ASIX US Equity","CUR_RATIO","FY 2017","FY 2017","Currency=USD","Period=FY","BEST_FPERIOD_OVERRIDE=FY","FILING_STATUS=MR","Sort=A","Dates=H","DateFormat=P","Fill=—","Direction=H","UseDPDF=Y")</f>
        <v>1.3065</v>
      </c>
      <c r="H7" s="12">
        <f>_xll.BDH("ASIX US Equity","CUR_RATIO","FY 2018","FY 2018","Currency=USD","Period=FY","BEST_FPERIOD_OVERRIDE=FY","FILING_STATUS=MR","Sort=A","Dates=H","DateFormat=P","Fill=—","Direction=H","UseDPDF=Y")</f>
        <v>1.0925</v>
      </c>
      <c r="I7" s="12">
        <f>_xll.BDH("ASIX US Equity","CUR_RATIO","FY 2019","FY 2019","Currency=USD","Period=FY","BEST_FPERIOD_OVERRIDE=FY","FILING_STATUS=MR","Sort=A","Dates=H","DateFormat=P","Fill=—","Direction=H","UseDPDF=Y")</f>
        <v>0.99590000000000001</v>
      </c>
      <c r="J7" s="12">
        <f>_xll.BDH("ASIX US Equity","CUR_RATIO","FY 2020","FY 2020","Currency=USD","Period=FY","BEST_FPERIOD_OVERRIDE=FY","FILING_STATUS=MR","Sort=A","Dates=H","DateFormat=P","Fill=—","Direction=H","UseDPDF=Y")</f>
        <v>1.1618999999999999</v>
      </c>
      <c r="K7" s="12">
        <f>_xll.BDH("ASIX US Equity","CUR_RATIO","FY 2021","FY 2021","Currency=USD","Period=FY","BEST_FPERIOD_OVERRIDE=FY","FILING_STATUS=MR","Sort=A","Dates=H","DateFormat=P","Fill=—","Direction=H","UseDPDF=Y")</f>
        <v>1.1292</v>
      </c>
      <c r="L7" s="12">
        <f>_xll.BDH("ASIX US Equity","CUR_RATIO","FY 2022","FY 2022","Currency=USD","Period=FY","BEST_FPERIOD_OVERRIDE=FY","FILING_STATUS=MR","Sort=A","Dates=H","DateFormat=P","Fill=—","Direction=H","UseDPDF=Y")</f>
        <v>1.1206</v>
      </c>
    </row>
    <row r="8" spans="1:12">
      <c r="A8" s="9" t="s">
        <v>27</v>
      </c>
      <c r="B8" s="9" t="s">
        <v>28</v>
      </c>
      <c r="C8" s="12" t="str">
        <f>_xll.BDH("ASIX US Equity","QUICK_RATIO","FY 2013","FY 2013","Currency=USD","Period=FY","BEST_FPERIOD_OVERRIDE=FY","FILING_STATUS=MR","Sort=A","Dates=H","DateFormat=P","Fill=—","Direction=H","UseDPDF=Y")</f>
        <v>—</v>
      </c>
      <c r="D8" s="12">
        <f>_xll.BDH("ASIX US Equity","QUICK_RATIO","FY 2014","FY 2014","Currency=USD","Period=FY","BEST_FPERIOD_OVERRIDE=FY","FILING_STATUS=MR","Sort=A","Dates=H","DateFormat=P","Fill=—","Direction=H","UseDPDF=Y")</f>
        <v>0.57789999999999997</v>
      </c>
      <c r="E8" s="12">
        <f>_xll.BDH("ASIX US Equity","QUICK_RATIO","FY 2015","FY 2015","Currency=USD","Period=FY","BEST_FPERIOD_OVERRIDE=FY","FILING_STATUS=MR","Sort=A","Dates=H","DateFormat=P","Fill=—","Direction=H","UseDPDF=Y")</f>
        <v>0.52480000000000004</v>
      </c>
      <c r="F8" s="12">
        <f>_xll.BDH("ASIX US Equity","QUICK_RATIO","FY 2016","FY 2016","Currency=USD","Period=FY","BEST_FPERIOD_OVERRIDE=FY","FILING_STATUS=MR","Sort=A","Dates=H","DateFormat=P","Fill=—","Direction=H","UseDPDF=Y")</f>
        <v>0.53239999999999998</v>
      </c>
      <c r="G8" s="12">
        <f>_xll.BDH("ASIX US Equity","QUICK_RATIO","FY 2017","FY 2017","Currency=USD","Period=FY","BEST_FPERIOD_OVERRIDE=FY","FILING_STATUS=MR","Sort=A","Dates=H","DateFormat=P","Fill=—","Direction=H","UseDPDF=Y")</f>
        <v>0.84719999999999995</v>
      </c>
      <c r="H8" s="12">
        <f>_xll.BDH("ASIX US Equity","QUICK_RATIO","FY 2018","FY 2018","Currency=USD","Period=FY","BEST_FPERIOD_OVERRIDE=FY","FILING_STATUS=MR","Sort=A","Dates=H","DateFormat=P","Fill=—","Direction=H","UseDPDF=Y")</f>
        <v>0.59730000000000005</v>
      </c>
      <c r="I8" s="12">
        <f>_xll.BDH("ASIX US Equity","QUICK_RATIO","FY 2019","FY 2019","Currency=USD","Period=FY","BEST_FPERIOD_OVERRIDE=FY","FILING_STATUS=MR","Sort=A","Dates=H","DateFormat=P","Fill=—","Direction=H","UseDPDF=Y")</f>
        <v>0.38279999999999997</v>
      </c>
      <c r="J8" s="12">
        <f>_xll.BDH("ASIX US Equity","QUICK_RATIO","FY 2020","FY 2020","Currency=USD","Period=FY","BEST_FPERIOD_OVERRIDE=FY","FILING_STATUS=MR","Sort=A","Dates=H","DateFormat=P","Fill=—","Direction=H","UseDPDF=Y")</f>
        <v>0.46739999999999998</v>
      </c>
      <c r="K8" s="12">
        <f>_xll.BDH("ASIX US Equity","QUICK_RATIO","FY 2021","FY 2021","Currency=USD","Period=FY","BEST_FPERIOD_OVERRIDE=FY","FILING_STATUS=MR","Sort=A","Dates=H","DateFormat=P","Fill=—","Direction=H","UseDPDF=Y")</f>
        <v>0.62370000000000003</v>
      </c>
      <c r="L8" s="12">
        <f>_xll.BDH("ASIX US Equity","QUICK_RATIO","FY 2022","FY 2022","Currency=USD","Period=FY","BEST_FPERIOD_OVERRIDE=FY","FILING_STATUS=MR","Sort=A","Dates=H","DateFormat=P","Fill=—","Direction=H","UseDPDF=Y")</f>
        <v>0.52459999999999996</v>
      </c>
    </row>
    <row r="9" spans="1:12">
      <c r="A9" s="9" t="s">
        <v>29</v>
      </c>
      <c r="B9" s="9" t="s">
        <v>30</v>
      </c>
      <c r="C9" s="12" t="str">
        <f>_xll.BDH("ASIX US Equity","CFO_TO_AVG_CURRENT_LIABILITIES","FY 2013","FY 2013","Currency=USD","Period=FY","BEST_FPERIOD_OVERRIDE=FY","FILING_STATUS=MR","Sort=A","Dates=H","DateFormat=P","Fill=—","Direction=H","UseDPDF=Y")</f>
        <v>—</v>
      </c>
      <c r="D9" s="12" t="str">
        <f>_xll.BDH("ASIX US Equity","CFO_TO_AVG_CURRENT_LIABILITIES","FY 2014","FY 2014","Currency=USD","Period=FY","BEST_FPERIOD_OVERRIDE=FY","FILING_STATUS=MR","Sort=A","Dates=H","DateFormat=P","Fill=—","Direction=H","UseDPDF=Y")</f>
        <v>—</v>
      </c>
      <c r="E9" s="12">
        <f>_xll.BDH("ASIX US Equity","CFO_TO_AVG_CURRENT_LIABILITIES","FY 2015","FY 2015","Currency=USD","Period=FY","BEST_FPERIOD_OVERRIDE=FY","FILING_STATUS=MR","Sort=A","Dates=H","DateFormat=P","Fill=—","Direction=H","UseDPDF=Y")</f>
        <v>0.38129999999999997</v>
      </c>
      <c r="F9" s="12">
        <f>_xll.BDH("ASIX US Equity","CFO_TO_AVG_CURRENT_LIABILITIES","FY 2016","FY 2016","Currency=USD","Period=FY","BEST_FPERIOD_OVERRIDE=FY","FILING_STATUS=MR","Sort=A","Dates=H","DateFormat=P","Fill=—","Direction=H","UseDPDF=Y")</f>
        <v>0.44</v>
      </c>
      <c r="G9" s="12">
        <f>_xll.BDH("ASIX US Equity","CFO_TO_AVG_CURRENT_LIABILITIES","FY 2017","FY 2017","Currency=USD","Period=FY","BEST_FPERIOD_OVERRIDE=FY","FILING_STATUS=MR","Sort=A","Dates=H","DateFormat=P","Fill=—","Direction=H","UseDPDF=Y")</f>
        <v>0.47170000000000001</v>
      </c>
      <c r="H9" s="12">
        <f>_xll.BDH("ASIX US Equity","CFO_TO_AVG_CURRENT_LIABILITIES","FY 2018","FY 2018","Currency=USD","Period=FY","BEST_FPERIOD_OVERRIDE=FY","FILING_STATUS=MR","Sort=A","Dates=H","DateFormat=P","Fill=—","Direction=H","UseDPDF=Y")</f>
        <v>0.59630000000000005</v>
      </c>
      <c r="I9" s="12">
        <f>_xll.BDH("ASIX US Equity","CFO_TO_AVG_CURRENT_LIABILITIES","FY 2019","FY 2019","Currency=USD","Period=FY","BEST_FPERIOD_OVERRIDE=FY","FILING_STATUS=MR","Sort=A","Dates=H","DateFormat=P","Fill=—","Direction=H","UseDPDF=Y")</f>
        <v>0.41770000000000002</v>
      </c>
      <c r="J9" s="12">
        <f>_xll.BDH("ASIX US Equity","CFO_TO_AVG_CURRENT_LIABILITIES","FY 2020","FY 2020","Currency=USD","Period=FY","BEST_FPERIOD_OVERRIDE=FY","FILING_STATUS=MR","Sort=A","Dates=H","DateFormat=P","Fill=—","Direction=H","UseDPDF=Y")</f>
        <v>0.38650000000000001</v>
      </c>
      <c r="K9" s="12">
        <f>_xll.BDH("ASIX US Equity","CFO_TO_AVG_CURRENT_LIABILITIES","FY 2021","FY 2021","Currency=USD","Period=FY","BEST_FPERIOD_OVERRIDE=FY","FILING_STATUS=MR","Sort=A","Dates=H","DateFormat=P","Fill=—","Direction=H","UseDPDF=Y")</f>
        <v>0.73329999999999995</v>
      </c>
      <c r="L9" s="12">
        <f>_xll.BDH("ASIX US Equity","CFO_TO_AVG_CURRENT_LIABILITIES","FY 2022","FY 2022","Currency=USD","Period=FY","BEST_FPERIOD_OVERRIDE=FY","FILING_STATUS=MR","Sort=A","Dates=H","DateFormat=P","Fill=—","Direction=H","UseDPDF=Y")</f>
        <v>0.77800000000000002</v>
      </c>
    </row>
    <row r="10" spans="1:12">
      <c r="A10" s="9" t="s">
        <v>31</v>
      </c>
      <c r="B10" s="9" t="s">
        <v>32</v>
      </c>
      <c r="C10" s="12" t="str">
        <f>_xll.BDH("ASIX US Equity","COM_EQY_TO_TOT_ASSET","FY 2013","FY 2013","Currency=USD","Period=FY","BEST_FPERIOD_OVERRIDE=FY","FILING_STATUS=MR","Sort=A","Dates=H","DateFormat=P","Fill=—","Direction=H","UseDPDF=Y")</f>
        <v>—</v>
      </c>
      <c r="D10" s="12">
        <f>_xll.BDH("ASIX US Equity","COM_EQY_TO_TOT_ASSET","FY 2014","FY 2014","Currency=USD","Period=FY","BEST_FPERIOD_OVERRIDE=FY","FILING_STATUS=MR","Sort=A","Dates=H","DateFormat=P","Fill=—","Direction=H","UseDPDF=Y")</f>
        <v>50.635599999999997</v>
      </c>
      <c r="E10" s="12">
        <f>_xll.BDH("ASIX US Equity","COM_EQY_TO_TOT_ASSET","FY 2015","FY 2015","Currency=USD","Period=FY","BEST_FPERIOD_OVERRIDE=FY","FILING_STATUS=MR","Sort=A","Dates=H","DateFormat=P","Fill=—","Direction=H","UseDPDF=Y")</f>
        <v>56.965299999999999</v>
      </c>
      <c r="F10" s="12">
        <f>_xll.BDH("ASIX US Equity","COM_EQY_TO_TOT_ASSET","FY 2016","FY 2016","Currency=USD","Period=FY","BEST_FPERIOD_OVERRIDE=FY","FILING_STATUS=MR","Sort=A","Dates=H","DateFormat=P","Fill=—","Direction=H","UseDPDF=Y")</f>
        <v>23.797999999999998</v>
      </c>
      <c r="G10" s="12">
        <f>_xll.BDH("ASIX US Equity","COM_EQY_TO_TOT_ASSET","FY 2017","FY 2017","Currency=USD","Period=FY","BEST_FPERIOD_OVERRIDE=FY","FILING_STATUS=MR","Sort=A","Dates=H","DateFormat=P","Fill=—","Direction=H","UseDPDF=Y")</f>
        <v>35.831099999999999</v>
      </c>
      <c r="H10" s="12">
        <f>_xll.BDH("ASIX US Equity","COM_EQY_TO_TOT_ASSET","FY 2018","FY 2018","Currency=USD","Period=FY","BEST_FPERIOD_OVERRIDE=FY","FILING_STATUS=MR","Sort=A","Dates=H","DateFormat=P","Fill=—","Direction=H","UseDPDF=Y")</f>
        <v>40.627000000000002</v>
      </c>
      <c r="I10" s="12">
        <f>_xll.BDH("ASIX US Equity","COM_EQY_TO_TOT_ASSET","FY 2019","FY 2019","Currency=USD","Period=FY","BEST_FPERIOD_OVERRIDE=FY","FILING_STATUS=MR","Sort=A","Dates=H","DateFormat=P","Fill=—","Direction=H","UseDPDF=Y")</f>
        <v>32.4343</v>
      </c>
      <c r="J10" s="12">
        <f>_xll.BDH("ASIX US Equity","COM_EQY_TO_TOT_ASSET","FY 2020","FY 2020","Currency=USD","Period=FY","BEST_FPERIOD_OVERRIDE=FY","FILING_STATUS=MR","Sort=A","Dates=H","DateFormat=P","Fill=—","Direction=H","UseDPDF=Y")</f>
        <v>35.152799999999999</v>
      </c>
      <c r="K10" s="12">
        <f>_xll.BDH("ASIX US Equity","COM_EQY_TO_TOT_ASSET","FY 2021","FY 2021","Currency=USD","Period=FY","BEST_FPERIOD_OVERRIDE=FY","FILING_STATUS=MR","Sort=A","Dates=H","DateFormat=P","Fill=—","Direction=H","UseDPDF=Y")</f>
        <v>45.822400000000002</v>
      </c>
      <c r="L10" s="12">
        <f>_xll.BDH("ASIX US Equity","COM_EQY_TO_TOT_ASSET","FY 2022","FY 2022","Currency=USD","Period=FY","BEST_FPERIOD_OVERRIDE=FY","FILING_STATUS=MR","Sort=A","Dates=H","DateFormat=P","Fill=—","Direction=H","UseDPDF=Y")</f>
        <v>49.365699999999997</v>
      </c>
    </row>
    <row r="11" spans="1:12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</row>
    <row r="12" spans="1:12">
      <c r="A12" s="9" t="s">
        <v>33</v>
      </c>
      <c r="B12" s="9" t="s">
        <v>34</v>
      </c>
      <c r="C12" s="12" t="str">
        <f>_xll.BDH("ASIX US Equity","LT_DEBT_TO_TOT_EQY","FY 2013","FY 2013","Currency=USD","Period=FY","BEST_FPERIOD_OVERRIDE=FY","FILING_STATUS=MR","Sort=A","Dates=H","DateFormat=P","Fill=—","Direction=H","UseDPDF=Y")</f>
        <v>—</v>
      </c>
      <c r="D12" s="12">
        <f>_xll.BDH("ASIX US Equity","LT_DEBT_TO_TOT_EQY","FY 2014","FY 2014","Currency=USD","Period=FY","BEST_FPERIOD_OVERRIDE=FY","FILING_STATUS=MR","Sort=A","Dates=H","DateFormat=P","Fill=—","Direction=H","UseDPDF=Y")</f>
        <v>0</v>
      </c>
      <c r="E12" s="12">
        <f>_xll.BDH("ASIX US Equity","LT_DEBT_TO_TOT_EQY","FY 2015","FY 2015","Currency=USD","Period=FY","BEST_FPERIOD_OVERRIDE=FY","FILING_STATUS=MR","Sort=A","Dates=H","DateFormat=P","Fill=—","Direction=H","UseDPDF=Y")</f>
        <v>0</v>
      </c>
      <c r="F12" s="12">
        <f>_xll.BDH("ASIX US Equity","LT_DEBT_TO_TOT_EQY","FY 2016","FY 2016","Currency=USD","Period=FY","BEST_FPERIOD_OVERRIDE=FY","FILING_STATUS=MR","Sort=A","Dates=H","DateFormat=P","Fill=—","Direction=H","UseDPDF=Y")</f>
        <v>122.9734</v>
      </c>
      <c r="G12" s="12">
        <f>_xll.BDH("ASIX US Equity","LT_DEBT_TO_TOT_EQY","FY 2017","FY 2017","Currency=USD","Period=FY","BEST_FPERIOD_OVERRIDE=FY","FILING_STATUS=MR","Sort=A","Dates=H","DateFormat=P","Fill=—","Direction=H","UseDPDF=Y")</f>
        <v>65.990600000000001</v>
      </c>
      <c r="H12" s="12">
        <f>_xll.BDH("ASIX US Equity","LT_DEBT_TO_TOT_EQY","FY 2018","FY 2018","Currency=USD","Period=FY","BEST_FPERIOD_OVERRIDE=FY","FILING_STATUS=MR","Sort=A","Dates=H","DateFormat=P","Fill=—","Direction=H","UseDPDF=Y")</f>
        <v>47.580800000000004</v>
      </c>
      <c r="I12" s="12">
        <f>_xll.BDH("ASIX US Equity","LT_DEBT_TO_TOT_EQY","FY 2019","FY 2019","Currency=USD","Period=FY","BEST_FPERIOD_OVERRIDE=FY","FILING_STATUS=MR","Sort=A","Dates=H","DateFormat=P","Fill=—","Direction=H","UseDPDF=Y")</f>
        <v>98.796899999999994</v>
      </c>
      <c r="J12" s="12">
        <f>_xll.BDH("ASIX US Equity","LT_DEBT_TO_TOT_EQY","FY 2020","FY 2020","Currency=USD","Period=FY","BEST_FPERIOD_OVERRIDE=FY","FILING_STATUS=MR","Sort=A","Dates=H","DateFormat=P","Fill=—","Direction=H","UseDPDF=Y")</f>
        <v>81.243300000000005</v>
      </c>
      <c r="K12" s="12">
        <f>_xll.BDH("ASIX US Equity","LT_DEBT_TO_TOT_EQY","FY 2021","FY 2021","Currency=USD","Period=FY","BEST_FPERIOD_OVERRIDE=FY","FILING_STATUS=MR","Sort=A","Dates=H","DateFormat=P","Fill=—","Direction=H","UseDPDF=Y")</f>
        <v>39.308900000000001</v>
      </c>
      <c r="L12" s="12">
        <f>_xll.BDH("ASIX US Equity","LT_DEBT_TO_TOT_EQY","FY 2022","FY 2022","Currency=USD","Period=FY","BEST_FPERIOD_OVERRIDE=FY","FILING_STATUS=MR","Sort=A","Dates=H","DateFormat=P","Fill=—","Direction=H","UseDPDF=Y")</f>
        <v>26.2211</v>
      </c>
    </row>
    <row r="13" spans="1:12">
      <c r="A13" s="9" t="s">
        <v>35</v>
      </c>
      <c r="B13" s="9" t="s">
        <v>36</v>
      </c>
      <c r="C13" s="12" t="str">
        <f>_xll.BDH("ASIX US Equity","LT_DEBT_TO_TOT_CAP","FY 2013","FY 2013","Currency=USD","Period=FY","BEST_FPERIOD_OVERRIDE=FY","FILING_STATUS=MR","Sort=A","Dates=H","DateFormat=P","Fill=—","Direction=H","UseDPDF=Y")</f>
        <v>—</v>
      </c>
      <c r="D13" s="12">
        <f>_xll.BDH("ASIX US Equity","LT_DEBT_TO_TOT_CAP","FY 2014","FY 2014","Currency=USD","Period=FY","BEST_FPERIOD_OVERRIDE=FY","FILING_STATUS=MR","Sort=A","Dates=H","DateFormat=P","Fill=—","Direction=H","UseDPDF=Y")</f>
        <v>0</v>
      </c>
      <c r="E13" s="12">
        <f>_xll.BDH("ASIX US Equity","LT_DEBT_TO_TOT_CAP","FY 2015","FY 2015","Currency=USD","Period=FY","BEST_FPERIOD_OVERRIDE=FY","FILING_STATUS=MR","Sort=A","Dates=H","DateFormat=P","Fill=—","Direction=H","UseDPDF=Y")</f>
        <v>0</v>
      </c>
      <c r="F13" s="12">
        <f>_xll.BDH("ASIX US Equity","LT_DEBT_TO_TOT_CAP","FY 2016","FY 2016","Currency=USD","Period=FY","BEST_FPERIOD_OVERRIDE=FY","FILING_STATUS=MR","Sort=A","Dates=H","DateFormat=P","Fill=—","Direction=H","UseDPDF=Y")</f>
        <v>55.151600000000002</v>
      </c>
      <c r="G13" s="12">
        <f>_xll.BDH("ASIX US Equity","LT_DEBT_TO_TOT_CAP","FY 2017","FY 2017","Currency=USD","Period=FY","BEST_FPERIOD_OVERRIDE=FY","FILING_STATUS=MR","Sort=A","Dates=H","DateFormat=P","Fill=—","Direction=H","UseDPDF=Y")</f>
        <v>38.709899999999998</v>
      </c>
      <c r="H13" s="12">
        <f>_xll.BDH("ASIX US Equity","LT_DEBT_TO_TOT_CAP","FY 2018","FY 2018","Currency=USD","Period=FY","BEST_FPERIOD_OVERRIDE=FY","FILING_STATUS=MR","Sort=A","Dates=H","DateFormat=P","Fill=—","Direction=H","UseDPDF=Y")</f>
        <v>32.240499999999997</v>
      </c>
      <c r="I13" s="12">
        <f>_xll.BDH("ASIX US Equity","LT_DEBT_TO_TOT_CAP","FY 2019","FY 2019","Currency=USD","Period=FY","BEST_FPERIOD_OVERRIDE=FY","FILING_STATUS=MR","Sort=A","Dates=H","DateFormat=P","Fill=—","Direction=H","UseDPDF=Y")</f>
        <v>47.394799999999996</v>
      </c>
      <c r="J13" s="12">
        <f>_xll.BDH("ASIX US Equity","LT_DEBT_TO_TOT_CAP","FY 2020","FY 2020","Currency=USD","Period=FY","BEST_FPERIOD_OVERRIDE=FY","FILING_STATUS=MR","Sort=A","Dates=H","DateFormat=P","Fill=—","Direction=H","UseDPDF=Y")</f>
        <v>43.225900000000003</v>
      </c>
      <c r="K13" s="12">
        <f>_xll.BDH("ASIX US Equity","LT_DEBT_TO_TOT_CAP","FY 2021","FY 2021","Currency=USD","Period=FY","BEST_FPERIOD_OVERRIDE=FY","FILING_STATUS=MR","Sort=A","Dates=H","DateFormat=P","Fill=—","Direction=H","UseDPDF=Y")</f>
        <v>27.031700000000001</v>
      </c>
      <c r="L13" s="12">
        <f>_xll.BDH("ASIX US Equity","LT_DEBT_TO_TOT_CAP","FY 2022","FY 2022","Currency=USD","Period=FY","BEST_FPERIOD_OVERRIDE=FY","FILING_STATUS=MR","Sort=A","Dates=H","DateFormat=P","Fill=—","Direction=H","UseDPDF=Y")</f>
        <v>19.954899999999999</v>
      </c>
    </row>
    <row r="14" spans="1:12">
      <c r="A14" s="9" t="s">
        <v>37</v>
      </c>
      <c r="B14" s="9" t="s">
        <v>38</v>
      </c>
      <c r="C14" s="12" t="str">
        <f>_xll.BDH("ASIX US Equity","LT_DEBT_TO_TOT_ASSET","FY 2013","FY 2013","Currency=USD","Period=FY","BEST_FPERIOD_OVERRIDE=FY","FILING_STATUS=MR","Sort=A","Dates=H","DateFormat=P","Fill=—","Direction=H","UseDPDF=Y")</f>
        <v>—</v>
      </c>
      <c r="D14" s="12">
        <f>_xll.BDH("ASIX US Equity","LT_DEBT_TO_TOT_ASSET","FY 2014","FY 2014","Currency=USD","Period=FY","BEST_FPERIOD_OVERRIDE=FY","FILING_STATUS=MR","Sort=A","Dates=H","DateFormat=P","Fill=—","Direction=H","UseDPDF=Y")</f>
        <v>0</v>
      </c>
      <c r="E14" s="12">
        <f>_xll.BDH("ASIX US Equity","LT_DEBT_TO_TOT_ASSET","FY 2015","FY 2015","Currency=USD","Period=FY","BEST_FPERIOD_OVERRIDE=FY","FILING_STATUS=MR","Sort=A","Dates=H","DateFormat=P","Fill=—","Direction=H","UseDPDF=Y")</f>
        <v>0</v>
      </c>
      <c r="F14" s="12">
        <f>_xll.BDH("ASIX US Equity","LT_DEBT_TO_TOT_ASSET","FY 2016","FY 2016","Currency=USD","Period=FY","BEST_FPERIOD_OVERRIDE=FY","FILING_STATUS=MR","Sort=A","Dates=H","DateFormat=P","Fill=—","Direction=H","UseDPDF=Y")</f>
        <v>29.2653</v>
      </c>
      <c r="G14" s="12">
        <f>_xll.BDH("ASIX US Equity","LT_DEBT_TO_TOT_ASSET","FY 2017","FY 2017","Currency=USD","Period=FY","BEST_FPERIOD_OVERRIDE=FY","FILING_STATUS=MR","Sort=A","Dates=H","DateFormat=P","Fill=—","Direction=H","UseDPDF=Y")</f>
        <v>23.645199999999999</v>
      </c>
      <c r="H14" s="12">
        <f>_xll.BDH("ASIX US Equity","LT_DEBT_TO_TOT_ASSET","FY 2018","FY 2018","Currency=USD","Period=FY","BEST_FPERIOD_OVERRIDE=FY","FILING_STATUS=MR","Sort=A","Dates=H","DateFormat=P","Fill=—","Direction=H","UseDPDF=Y")</f>
        <v>19.3307</v>
      </c>
      <c r="I14" s="12">
        <f>_xll.BDH("ASIX US Equity","LT_DEBT_TO_TOT_ASSET","FY 2019","FY 2019","Currency=USD","Period=FY","BEST_FPERIOD_OVERRIDE=FY","FILING_STATUS=MR","Sort=A","Dates=H","DateFormat=P","Fill=—","Direction=H","UseDPDF=Y")</f>
        <v>32.0441</v>
      </c>
      <c r="J14" s="12">
        <f>_xll.BDH("ASIX US Equity","LT_DEBT_TO_TOT_ASSET","FY 2020","FY 2020","Currency=USD","Period=FY","BEST_FPERIOD_OVERRIDE=FY","FILING_STATUS=MR","Sort=A","Dates=H","DateFormat=P","Fill=—","Direction=H","UseDPDF=Y")</f>
        <v>28.5593</v>
      </c>
      <c r="K14" s="12">
        <f>_xll.BDH("ASIX US Equity","LT_DEBT_TO_TOT_ASSET","FY 2021","FY 2021","Currency=USD","Period=FY","BEST_FPERIOD_OVERRIDE=FY","FILING_STATUS=MR","Sort=A","Dates=H","DateFormat=P","Fill=—","Direction=H","UseDPDF=Y")</f>
        <v>18.0123</v>
      </c>
      <c r="L14" s="12">
        <f>_xll.BDH("ASIX US Equity","LT_DEBT_TO_TOT_ASSET","FY 2022","FY 2022","Currency=USD","Period=FY","BEST_FPERIOD_OVERRIDE=FY","FILING_STATUS=MR","Sort=A","Dates=H","DateFormat=P","Fill=—","Direction=H","UseDPDF=Y")</f>
        <v>12.9442</v>
      </c>
    </row>
    <row r="15" spans="1:12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</row>
    <row r="16" spans="1:12">
      <c r="A16" s="9" t="s">
        <v>39</v>
      </c>
      <c r="B16" s="9" t="s">
        <v>40</v>
      </c>
      <c r="C16" s="12" t="str">
        <f>_xll.BDH("ASIX US Equity","TOT_DEBT_TO_TOT_EQY","FY 2013","FY 2013","Currency=USD","Period=FY","BEST_FPERIOD_OVERRIDE=FY","FILING_STATUS=MR","Sort=A","Dates=H","DateFormat=P","Fill=—","Direction=H","UseDPDF=Y")</f>
        <v>—</v>
      </c>
      <c r="D16" s="12">
        <f>_xll.BDH("ASIX US Equity","TOT_DEBT_TO_TOT_EQY","FY 2014","FY 2014","Currency=USD","Period=FY","BEST_FPERIOD_OVERRIDE=FY","FILING_STATUS=MR","Sort=A","Dates=H","DateFormat=P","Fill=—","Direction=H","UseDPDF=Y")</f>
        <v>0</v>
      </c>
      <c r="E16" s="12">
        <f>_xll.BDH("ASIX US Equity","TOT_DEBT_TO_TOT_EQY","FY 2015","FY 2015","Currency=USD","Period=FY","BEST_FPERIOD_OVERRIDE=FY","FILING_STATUS=MR","Sort=A","Dates=H","DateFormat=P","Fill=—","Direction=H","UseDPDF=Y")</f>
        <v>0</v>
      </c>
      <c r="F16" s="12">
        <f>_xll.BDH("ASIX US Equity","TOT_DEBT_TO_TOT_EQY","FY 2016","FY 2016","Currency=USD","Period=FY","BEST_FPERIOD_OVERRIDE=FY","FILING_STATUS=MR","Sort=A","Dates=H","DateFormat=P","Fill=—","Direction=H","UseDPDF=Y")</f>
        <v>122.9734</v>
      </c>
      <c r="G16" s="12">
        <f>_xll.BDH("ASIX US Equity","TOT_DEBT_TO_TOT_EQY","FY 2017","FY 2017","Currency=USD","Period=FY","BEST_FPERIOD_OVERRIDE=FY","FILING_STATUS=MR","Sort=A","Dates=H","DateFormat=P","Fill=—","Direction=H","UseDPDF=Y")</f>
        <v>70.474699999999999</v>
      </c>
      <c r="H16" s="12">
        <f>_xll.BDH("ASIX US Equity","TOT_DEBT_TO_TOT_EQY","FY 2018","FY 2018","Currency=USD","Period=FY","BEST_FPERIOD_OVERRIDE=FY","FILING_STATUS=MR","Sort=A","Dates=H","DateFormat=P","Fill=—","Direction=H","UseDPDF=Y")</f>
        <v>47.580800000000004</v>
      </c>
      <c r="I16" s="12">
        <f>_xll.BDH("ASIX US Equity","TOT_DEBT_TO_TOT_EQY","FY 2019","FY 2019","Currency=USD","Period=FY","BEST_FPERIOD_OVERRIDE=FY","FILING_STATUS=MR","Sort=A","Dates=H","DateFormat=P","Fill=—","Direction=H","UseDPDF=Y")</f>
        <v>108.45489999999999</v>
      </c>
      <c r="J16" s="12">
        <f>_xll.BDH("ASIX US Equity","TOT_DEBT_TO_TOT_EQY","FY 2020","FY 2020","Currency=USD","Period=FY","BEST_FPERIOD_OVERRIDE=FY","FILING_STATUS=MR","Sort=A","Dates=H","DateFormat=P","Fill=—","Direction=H","UseDPDF=Y")</f>
        <v>87.950400000000002</v>
      </c>
      <c r="K16" s="12">
        <f>_xll.BDH("ASIX US Equity","TOT_DEBT_TO_TOT_EQY","FY 2021","FY 2021","Currency=USD","Period=FY","BEST_FPERIOD_OVERRIDE=FY","FILING_STATUS=MR","Sort=A","Dates=H","DateFormat=P","Fill=—","Direction=H","UseDPDF=Y")</f>
        <v>45.417900000000003</v>
      </c>
      <c r="L16" s="12">
        <f>_xll.BDH("ASIX US Equity","TOT_DEBT_TO_TOT_EQY","FY 2022","FY 2022","Currency=USD","Period=FY","BEST_FPERIOD_OVERRIDE=FY","FILING_STATUS=MR","Sort=A","Dates=H","DateFormat=P","Fill=—","Direction=H","UseDPDF=Y")</f>
        <v>31.401700000000002</v>
      </c>
    </row>
    <row r="17" spans="1:12">
      <c r="A17" s="9" t="s">
        <v>41</v>
      </c>
      <c r="B17" s="9" t="s">
        <v>42</v>
      </c>
      <c r="C17" s="12" t="str">
        <f>_xll.BDH("ASIX US Equity","TOT_DEBT_TO_TOT_CAP","FY 2013","FY 2013","Currency=USD","Period=FY","BEST_FPERIOD_OVERRIDE=FY","FILING_STATUS=MR","Sort=A","Dates=H","DateFormat=P","Fill=—","Direction=H","UseDPDF=Y")</f>
        <v>—</v>
      </c>
      <c r="D17" s="12">
        <f>_xll.BDH("ASIX US Equity","TOT_DEBT_TO_TOT_CAP","FY 2014","FY 2014","Currency=USD","Period=FY","BEST_FPERIOD_OVERRIDE=FY","FILING_STATUS=MR","Sort=A","Dates=H","DateFormat=P","Fill=—","Direction=H","UseDPDF=Y")</f>
        <v>0</v>
      </c>
      <c r="E17" s="12">
        <f>_xll.BDH("ASIX US Equity","TOT_DEBT_TO_TOT_CAP","FY 2015","FY 2015","Currency=USD","Period=FY","BEST_FPERIOD_OVERRIDE=FY","FILING_STATUS=MR","Sort=A","Dates=H","DateFormat=P","Fill=—","Direction=H","UseDPDF=Y")</f>
        <v>0</v>
      </c>
      <c r="F17" s="12">
        <f>_xll.BDH("ASIX US Equity","TOT_DEBT_TO_TOT_CAP","FY 2016","FY 2016","Currency=USD","Period=FY","BEST_FPERIOD_OVERRIDE=FY","FILING_STATUS=MR","Sort=A","Dates=H","DateFormat=P","Fill=—","Direction=H","UseDPDF=Y")</f>
        <v>55.151600000000002</v>
      </c>
      <c r="G17" s="12">
        <f>_xll.BDH("ASIX US Equity","TOT_DEBT_TO_TOT_CAP","FY 2017","FY 2017","Currency=USD","Period=FY","BEST_FPERIOD_OVERRIDE=FY","FILING_STATUS=MR","Sort=A","Dates=H","DateFormat=P","Fill=—","Direction=H","UseDPDF=Y")</f>
        <v>41.340299999999999</v>
      </c>
      <c r="H17" s="12">
        <f>_xll.BDH("ASIX US Equity","TOT_DEBT_TO_TOT_CAP","FY 2018","FY 2018","Currency=USD","Period=FY","BEST_FPERIOD_OVERRIDE=FY","FILING_STATUS=MR","Sort=A","Dates=H","DateFormat=P","Fill=—","Direction=H","UseDPDF=Y")</f>
        <v>32.240499999999997</v>
      </c>
      <c r="I17" s="12">
        <f>_xll.BDH("ASIX US Equity","TOT_DEBT_TO_TOT_CAP","FY 2019","FY 2019","Currency=USD","Period=FY","BEST_FPERIOD_OVERRIDE=FY","FILING_STATUS=MR","Sort=A","Dates=H","DateFormat=P","Fill=—","Direction=H","UseDPDF=Y")</f>
        <v>52.027999999999999</v>
      </c>
      <c r="J17" s="12">
        <f>_xll.BDH("ASIX US Equity","TOT_DEBT_TO_TOT_CAP","FY 2020","FY 2020","Currency=USD","Period=FY","BEST_FPERIOD_OVERRIDE=FY","FILING_STATUS=MR","Sort=A","Dates=H","DateFormat=P","Fill=—","Direction=H","UseDPDF=Y")</f>
        <v>46.794499999999999</v>
      </c>
      <c r="K17" s="12">
        <f>_xll.BDH("ASIX US Equity","TOT_DEBT_TO_TOT_CAP","FY 2021","FY 2021","Currency=USD","Period=FY","BEST_FPERIOD_OVERRIDE=FY","FILING_STATUS=MR","Sort=A","Dates=H","DateFormat=P","Fill=—","Direction=H","UseDPDF=Y")</f>
        <v>31.232700000000001</v>
      </c>
      <c r="L17" s="12">
        <f>_xll.BDH("ASIX US Equity","TOT_DEBT_TO_TOT_CAP","FY 2022","FY 2022","Currency=USD","Period=FY","BEST_FPERIOD_OVERRIDE=FY","FILING_STATUS=MR","Sort=A","Dates=H","DateFormat=P","Fill=—","Direction=H","UseDPDF=Y")</f>
        <v>23.897500000000001</v>
      </c>
    </row>
    <row r="18" spans="1:12">
      <c r="A18" s="9" t="s">
        <v>43</v>
      </c>
      <c r="B18" s="9" t="s">
        <v>44</v>
      </c>
      <c r="C18" s="12" t="str">
        <f>_xll.BDH("ASIX US Equity","TOT_DEBT_TO_TOT_ASSET","FY 2013","FY 2013","Currency=USD","Period=FY","BEST_FPERIOD_OVERRIDE=FY","FILING_STATUS=MR","Sort=A","Dates=H","DateFormat=P","Fill=—","Direction=H","UseDPDF=Y")</f>
        <v>—</v>
      </c>
      <c r="D18" s="12">
        <f>_xll.BDH("ASIX US Equity","TOT_DEBT_TO_TOT_ASSET","FY 2014","FY 2014","Currency=USD","Period=FY","BEST_FPERIOD_OVERRIDE=FY","FILING_STATUS=MR","Sort=A","Dates=H","DateFormat=P","Fill=—","Direction=H","UseDPDF=Y")</f>
        <v>0</v>
      </c>
      <c r="E18" s="12">
        <f>_xll.BDH("ASIX US Equity","TOT_DEBT_TO_TOT_ASSET","FY 2015","FY 2015","Currency=USD","Period=FY","BEST_FPERIOD_OVERRIDE=FY","FILING_STATUS=MR","Sort=A","Dates=H","DateFormat=P","Fill=—","Direction=H","UseDPDF=Y")</f>
        <v>0</v>
      </c>
      <c r="F18" s="12">
        <f>_xll.BDH("ASIX US Equity","TOT_DEBT_TO_TOT_ASSET","FY 2016","FY 2016","Currency=USD","Period=FY","BEST_FPERIOD_OVERRIDE=FY","FILING_STATUS=MR","Sort=A","Dates=H","DateFormat=P","Fill=—","Direction=H","UseDPDF=Y")</f>
        <v>29.2653</v>
      </c>
      <c r="G18" s="12">
        <f>_xll.BDH("ASIX US Equity","TOT_DEBT_TO_TOT_ASSET","FY 2017","FY 2017","Currency=USD","Period=FY","BEST_FPERIOD_OVERRIDE=FY","FILING_STATUS=MR","Sort=A","Dates=H","DateFormat=P","Fill=—","Direction=H","UseDPDF=Y")</f>
        <v>25.251899999999999</v>
      </c>
      <c r="H18" s="12">
        <f>_xll.BDH("ASIX US Equity","TOT_DEBT_TO_TOT_ASSET","FY 2018","FY 2018","Currency=USD","Period=FY","BEST_FPERIOD_OVERRIDE=FY","FILING_STATUS=MR","Sort=A","Dates=H","DateFormat=P","Fill=—","Direction=H","UseDPDF=Y")</f>
        <v>19.3307</v>
      </c>
      <c r="I18" s="12">
        <f>_xll.BDH("ASIX US Equity","TOT_DEBT_TO_TOT_ASSET","FY 2019","FY 2019","Currency=USD","Period=FY","BEST_FPERIOD_OVERRIDE=FY","FILING_STATUS=MR","Sort=A","Dates=H","DateFormat=P","Fill=—","Direction=H","UseDPDF=Y")</f>
        <v>35.176600000000001</v>
      </c>
      <c r="J18" s="12">
        <f>_xll.BDH("ASIX US Equity","TOT_DEBT_TO_TOT_ASSET","FY 2020","FY 2020","Currency=USD","Period=FY","BEST_FPERIOD_OVERRIDE=FY","FILING_STATUS=MR","Sort=A","Dates=H","DateFormat=P","Fill=—","Direction=H","UseDPDF=Y")</f>
        <v>30.917000000000002</v>
      </c>
      <c r="K18" s="12">
        <f>_xll.BDH("ASIX US Equity","TOT_DEBT_TO_TOT_ASSET","FY 2021","FY 2021","Currency=USD","Period=FY","BEST_FPERIOD_OVERRIDE=FY","FILING_STATUS=MR","Sort=A","Dates=H","DateFormat=P","Fill=—","Direction=H","UseDPDF=Y")</f>
        <v>20.811599999999999</v>
      </c>
      <c r="L18" s="12">
        <f>_xll.BDH("ASIX US Equity","TOT_DEBT_TO_TOT_ASSET","FY 2022","FY 2022","Currency=USD","Period=FY","BEST_FPERIOD_OVERRIDE=FY","FILING_STATUS=MR","Sort=A","Dates=H","DateFormat=P","Fill=—","Direction=H","UseDPDF=Y")</f>
        <v>15.5017</v>
      </c>
    </row>
    <row r="19" spans="1:12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</row>
    <row r="20" spans="1:12">
      <c r="A20" s="9" t="s">
        <v>45</v>
      </c>
      <c r="B20" s="9" t="s">
        <v>46</v>
      </c>
      <c r="C20" s="12" t="str">
        <f>_xll.BDH("ASIX US Equity","CASH_FLOW_TO_TOT_LIAB","FY 2013","FY 2013","Currency=USD","Period=FY","BEST_FPERIOD_OVERRIDE=FY","FILING_STATUS=MR","Sort=A","Dates=H","DateFormat=P","Fill=—","Direction=H","UseDPDF=Y")</f>
        <v>—</v>
      </c>
      <c r="D20" s="12">
        <f>_xll.BDH("ASIX US Equity","CASH_FLOW_TO_TOT_LIAB","FY 2014","FY 2014","Currency=USD","Period=FY","BEST_FPERIOD_OVERRIDE=FY","FILING_STATUS=MR","Sort=A","Dates=H","DateFormat=P","Fill=—","Direction=H","UseDPDF=Y")</f>
        <v>46.376399999999997</v>
      </c>
      <c r="E20" s="12">
        <f>_xll.BDH("ASIX US Equity","CASH_FLOW_TO_TOT_LIAB","FY 2015","FY 2015","Currency=USD","Period=FY","BEST_FPERIOD_OVERRIDE=FY","FILING_STATUS=MR","Sort=A","Dates=H","DateFormat=P","Fill=—","Direction=H","UseDPDF=Y")</f>
        <v>28.055099999999999</v>
      </c>
      <c r="F20" s="12">
        <f>_xll.BDH("ASIX US Equity","CASH_FLOW_TO_TOT_LIAB","FY 2016","FY 2016","Currency=USD","Period=FY","BEST_FPERIOD_OVERRIDE=FY","FILING_STATUS=MR","Sort=A","Dates=H","DateFormat=P","Fill=—","Direction=H","UseDPDF=Y")</f>
        <v>16.4937</v>
      </c>
      <c r="G20" s="12">
        <f>_xll.BDH("ASIX US Equity","CASH_FLOW_TO_TOT_LIAB","FY 2017","FY 2017","Currency=USD","Period=FY","BEST_FPERIOD_OVERRIDE=FY","FILING_STATUS=MR","Sort=A","Dates=H","DateFormat=P","Fill=—","Direction=H","UseDPDF=Y")</f>
        <v>19.972899999999999</v>
      </c>
      <c r="H20" s="12">
        <f>_xll.BDH("ASIX US Equity","CASH_FLOW_TO_TOT_LIAB","FY 2018","FY 2018","Currency=USD","Period=FY","BEST_FPERIOD_OVERRIDE=FY","FILING_STATUS=MR","Sort=A","Dates=H","DateFormat=P","Fill=—","Direction=H","UseDPDF=Y")</f>
        <v>28.2254</v>
      </c>
      <c r="I20" s="12">
        <f>_xll.BDH("ASIX US Equity","CASH_FLOW_TO_TOT_LIAB","FY 2019","FY 2019","Currency=USD","Period=FY","BEST_FPERIOD_OVERRIDE=FY","FILING_STATUS=MR","Sort=A","Dates=H","DateFormat=P","Fill=—","Direction=H","UseDPDF=Y")</f>
        <v>14.415800000000001</v>
      </c>
      <c r="J20" s="12">
        <f>_xll.BDH("ASIX US Equity","CASH_FLOW_TO_TOT_LIAB","FY 2020","FY 2020","Currency=USD","Period=FY","BEST_FPERIOD_OVERRIDE=FY","FILING_STATUS=MR","Sort=A","Dates=H","DateFormat=P","Fill=—","Direction=H","UseDPDF=Y")</f>
        <v>13.6518</v>
      </c>
      <c r="K20" s="12">
        <f>_xll.BDH("ASIX US Equity","CASH_FLOW_TO_TOT_LIAB","FY 2021","FY 2021","Currency=USD","Period=FY","BEST_FPERIOD_OVERRIDE=FY","FILING_STATUS=MR","Sort=A","Dates=H","DateFormat=P","Fill=—","Direction=H","UseDPDF=Y")</f>
        <v>30.788699999999999</v>
      </c>
      <c r="L20" s="12">
        <f>_xll.BDH("ASIX US Equity","CASH_FLOW_TO_TOT_LIAB","FY 2022","FY 2022","Currency=USD","Period=FY","BEST_FPERIOD_OVERRIDE=FY","FILING_STATUS=MR","Sort=A","Dates=H","DateFormat=P","Fill=—","Direction=H","UseDPDF=Y")</f>
        <v>36.135599999999997</v>
      </c>
    </row>
    <row r="21" spans="1:12">
      <c r="A21" s="9" t="s">
        <v>47</v>
      </c>
      <c r="B21" s="9" t="s">
        <v>48</v>
      </c>
      <c r="C21" s="12">
        <f>_xll.BDH("ASIX US Equity","CAP_EXPEND_RATIO","FY 2013","FY 2013","Currency=USD","Period=FY","BEST_FPERIOD_OVERRIDE=FY","FILING_STATUS=MR","Sort=A","Dates=H","DateFormat=P","Fill=—","Direction=H","UseDPDF=Y")</f>
        <v>1.6234999999999999</v>
      </c>
      <c r="D21" s="12">
        <f>_xll.BDH("ASIX US Equity","CAP_EXPEND_RATIO","FY 2014","FY 2014","Currency=USD","Period=FY","BEST_FPERIOD_OVERRIDE=FY","FILING_STATUS=MR","Sort=A","Dates=H","DateFormat=P","Fill=—","Direction=H","UseDPDF=Y")</f>
        <v>1.8586</v>
      </c>
      <c r="E21" s="12">
        <f>_xll.BDH("ASIX US Equity","CAP_EXPEND_RATIO","FY 2015","FY 2015","Currency=USD","Period=FY","BEST_FPERIOD_OVERRIDE=FY","FILING_STATUS=MR","Sort=A","Dates=H","DateFormat=P","Fill=—","Direction=H","UseDPDF=Y")</f>
        <v>1.0451999999999999</v>
      </c>
      <c r="F21" s="12">
        <f>_xll.BDH("ASIX US Equity","CAP_EXPEND_RATIO","FY 2016","FY 2016","Currency=USD","Period=FY","BEST_FPERIOD_OVERRIDE=FY","FILING_STATUS=MR","Sort=A","Dates=H","DateFormat=P","Fill=—","Direction=H","UseDPDF=Y")</f>
        <v>1.3539000000000001</v>
      </c>
      <c r="G21" s="12">
        <f>_xll.BDH("ASIX US Equity","CAP_EXPEND_RATIO","FY 2017","FY 2017","Currency=USD","Period=FY","BEST_FPERIOD_OVERRIDE=FY","FILING_STATUS=MR","Sort=A","Dates=H","DateFormat=P","Fill=—","Direction=H","UseDPDF=Y")</f>
        <v>1.5572999999999999</v>
      </c>
      <c r="H21" s="12">
        <f>_xll.BDH("ASIX US Equity","CAP_EXPEND_RATIO","FY 2018","FY 2018","Currency=USD","Period=FY","BEST_FPERIOD_OVERRIDE=FY","FILING_STATUS=MR","Sort=A","Dates=H","DateFormat=P","Fill=—","Direction=H","UseDPDF=Y")</f>
        <v>1.5875999999999999</v>
      </c>
      <c r="I21" s="12">
        <f>_xll.BDH("ASIX US Equity","CAP_EXPEND_RATIO","FY 2019","FY 2019","Currency=USD","Period=FY","BEST_FPERIOD_OVERRIDE=FY","FILING_STATUS=MR","Sort=A","Dates=H","DateFormat=P","Fill=—","Direction=H","UseDPDF=Y")</f>
        <v>0.80079999999999996</v>
      </c>
      <c r="J21" s="12">
        <f>_xll.BDH("ASIX US Equity","CAP_EXPEND_RATIO","FY 2020","FY 2020","Currency=USD","Period=FY","BEST_FPERIOD_OVERRIDE=FY","FILING_STATUS=MR","Sort=A","Dates=H","DateFormat=P","Fill=—","Direction=H","UseDPDF=Y")</f>
        <v>1.3489</v>
      </c>
      <c r="K21" s="12">
        <f>_xll.BDH("ASIX US Equity","CAP_EXPEND_RATIO","FY 2021","FY 2021","Currency=USD","Period=FY","BEST_FPERIOD_OVERRIDE=FY","FILING_STATUS=MR","Sort=A","Dates=H","DateFormat=P","Fill=—","Direction=H","UseDPDF=Y")</f>
        <v>3.8521999999999998</v>
      </c>
      <c r="L21" s="12">
        <f>_xll.BDH("ASIX US Equity","CAP_EXPEND_RATIO","FY 2022","FY 2022","Currency=USD","Period=FY","BEST_FPERIOD_OVERRIDE=FY","FILING_STATUS=MR","Sort=A","Dates=H","DateFormat=P","Fill=—","Direction=H","UseDPDF=Y")</f>
        <v>3.0587</v>
      </c>
    </row>
    <row r="22" spans="1:12">
      <c r="A22" s="9" t="s">
        <v>49</v>
      </c>
      <c r="B22" s="9" t="s">
        <v>50</v>
      </c>
      <c r="C22" s="12" t="str">
        <f>_xll.BDH("ASIX US Equity","ALTMAN_Z_SCORE","FY 2013","FY 2013","Currency=USD","Period=FY","BEST_FPERIOD_OVERRIDE=FY","FILING_STATUS=MR","Sort=A","Dates=H","DateFormat=P","Fill=—","Direction=H","UseDPDF=Y")</f>
        <v>—</v>
      </c>
      <c r="D22" s="12" t="str">
        <f>_xll.BDH("ASIX US Equity","ALTMAN_Z_SCORE","FY 2014","FY 2014","Currency=USD","Period=FY","BEST_FPERIOD_OVERRIDE=FY","FILING_STATUS=MR","Sort=A","Dates=H","DateFormat=P","Fill=—","Direction=H","UseDPDF=Y")</f>
        <v>—</v>
      </c>
      <c r="E22" s="12" t="str">
        <f>_xll.BDH("ASIX US Equity","ALTMAN_Z_SCORE","FY 2015","FY 2015","Currency=USD","Period=FY","BEST_FPERIOD_OVERRIDE=FY","FILING_STATUS=MR","Sort=A","Dates=H","DateFormat=P","Fill=—","Direction=H","UseDPDF=Y")</f>
        <v>—</v>
      </c>
      <c r="F22" s="12">
        <f>_xll.BDH("ASIX US Equity","ALTMAN_Z_SCORE","FY 2016","FY 2016","Currency=USD","Period=FY","BEST_FPERIOD_OVERRIDE=FY","FILING_STATUS=MR","Sort=A","Dates=H","DateFormat=P","Fill=—","Direction=H","UseDPDF=Y")</f>
        <v>2.0985</v>
      </c>
      <c r="G22" s="12">
        <f>_xll.BDH("ASIX US Equity","ALTMAN_Z_SCORE","FY 2017","FY 2017","Currency=USD","Period=FY","BEST_FPERIOD_OVERRIDE=FY","FILING_STATUS=MR","Sort=A","Dates=H","DateFormat=P","Fill=—","Direction=H","UseDPDF=Y")</f>
        <v>3.3258999999999999</v>
      </c>
      <c r="H22" s="12">
        <f>_xll.BDH("ASIX US Equity","ALTMAN_Z_SCORE","FY 2018","FY 2018","Currency=USD","Period=FY","BEST_FPERIOD_OVERRIDE=FY","FILING_STATUS=MR","Sort=A","Dates=H","DateFormat=P","Fill=—","Direction=H","UseDPDF=Y")</f>
        <v>2.7850999999999999</v>
      </c>
      <c r="I22" s="12">
        <f>_xll.BDH("ASIX US Equity","ALTMAN_Z_SCORE","FY 2019","FY 2019","Currency=USD","Period=FY","BEST_FPERIOD_OVERRIDE=FY","FILING_STATUS=MR","Sort=A","Dates=H","DateFormat=P","Fill=—","Direction=H","UseDPDF=Y")</f>
        <v>1.8869</v>
      </c>
      <c r="J22" s="12">
        <f>_xll.BDH("ASIX US Equity","ALTMAN_Z_SCORE","FY 2020","FY 2020","Currency=USD","Period=FY","BEST_FPERIOD_OVERRIDE=FY","FILING_STATUS=MR","Sort=A","Dates=H","DateFormat=P","Fill=—","Direction=H","UseDPDF=Y")</f>
        <v>1.8573999999999999</v>
      </c>
      <c r="K22" s="12">
        <f>_xll.BDH("ASIX US Equity","ALTMAN_Z_SCORE","FY 2021","FY 2021","Currency=USD","Period=FY","BEST_FPERIOD_OVERRIDE=FY","FILING_STATUS=MR","Sort=A","Dates=H","DateFormat=P","Fill=—","Direction=H","UseDPDF=Y")</f>
        <v>3.4249999999999998</v>
      </c>
      <c r="L22" s="12">
        <f>_xll.BDH("ASIX US Equity","ALTMAN_Z_SCORE","FY 2022","FY 2022","Currency=USD","Period=FY","BEST_FPERIOD_OVERRIDE=FY","FILING_STATUS=MR","Sort=A","Dates=H","DateFormat=P","Fill=—","Direction=H","UseDPDF=Y")</f>
        <v>3.3813</v>
      </c>
    </row>
    <row r="23" spans="1:12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</row>
    <row r="24" spans="1:12">
      <c r="A24" s="9" t="s">
        <v>51</v>
      </c>
      <c r="B24" s="9" t="s">
        <v>52</v>
      </c>
      <c r="C24" s="11" t="str">
        <f>_xll.BDH("ASIX US Equity","BS_TOTAL_LINE_OF_CREDIT","FY 2013","FY 2013","Currency=USD","Period=FY","BEST_FPERIOD_OVERRIDE=FY","FILING_STATUS=MR","SCALING_FORMAT=MLN","Sort=A","Dates=H","DateFormat=P","Fill=—","Direction=H","UseDPDF=Y")</f>
        <v>—</v>
      </c>
      <c r="D24" s="11" t="str">
        <f>_xll.BDH("ASIX US Equity","BS_TOTAL_LINE_OF_CREDIT","FY 2014","FY 2014","Currency=USD","Period=FY","BEST_FPERIOD_OVERRIDE=FY","FILING_STATUS=MR","SCALING_FORMAT=MLN","Sort=A","Dates=H","DateFormat=P","Fill=—","Direction=H","UseDPDF=Y")</f>
        <v>—</v>
      </c>
      <c r="E24" s="11" t="str">
        <f>_xll.BDH("ASIX US Equity","BS_TOTAL_LINE_OF_CREDIT","FY 2015","FY 2015","Currency=USD","Period=FY","BEST_FPERIOD_OVERRIDE=FY","FILING_STATUS=MR","SCALING_FORMAT=MLN","Sort=A","Dates=H","DateFormat=P","Fill=—","Direction=H","UseDPDF=Y")</f>
        <v>—</v>
      </c>
      <c r="F24" s="11">
        <f>_xll.BDH("ASIX US Equity","BS_TOTAL_LINE_OF_CREDIT","FY 2016","FY 2016","Currency=USD","Period=FY","BEST_FPERIOD_OVERRIDE=FY","FILING_STATUS=MR","SCALING_FORMAT=MLN","Sort=A","Dates=H","DateFormat=P","Fill=—","Direction=H","UseDPDF=Y")</f>
        <v>425</v>
      </c>
      <c r="G24" s="11">
        <f>_xll.BDH("ASIX US Equity","BS_TOTAL_LINE_OF_CREDIT","FY 2017","FY 2017","Currency=USD","Period=FY","BEST_FPERIOD_OVERRIDE=FY","FILING_STATUS=MR","SCALING_FORMAT=MLN","Sort=A","Dates=H","DateFormat=P","Fill=—","Direction=H","UseDPDF=Y")</f>
        <v>425</v>
      </c>
      <c r="H24" s="11">
        <f>_xll.BDH("ASIX US Equity","BS_TOTAL_LINE_OF_CREDIT","FY 2018","FY 2018","Currency=USD","Period=FY","BEST_FPERIOD_OVERRIDE=FY","FILING_STATUS=MR","SCALING_FORMAT=MLN","Sort=A","Dates=H","DateFormat=P","Fill=—","Direction=H","UseDPDF=Y")</f>
        <v>242</v>
      </c>
      <c r="I24" s="11">
        <f>_xll.BDH("ASIX US Equity","BS_TOTAL_LINE_OF_CREDIT","FY 2019","FY 2019","Currency=USD","Period=FY","BEST_FPERIOD_OVERRIDE=FY","FILING_STATUS=MR","SCALING_FORMAT=MLN","Sort=A","Dates=H","DateFormat=P","Fill=—","Direction=H","UseDPDF=Y")</f>
        <v>242</v>
      </c>
      <c r="J24" s="11">
        <f>_xll.BDH("ASIX US Equity","BS_TOTAL_LINE_OF_CREDIT","FY 2020","FY 2020","Currency=USD","Period=FY","BEST_FPERIOD_OVERRIDE=FY","FILING_STATUS=MR","SCALING_FORMAT=MLN","Sort=A","Dates=H","DateFormat=P","Fill=—","Direction=H","UseDPDF=Y")</f>
        <v>242</v>
      </c>
      <c r="K24" s="11">
        <f>_xll.BDH("ASIX US Equity","BS_TOTAL_LINE_OF_CREDIT","FY 2021","FY 2021","Currency=USD","Period=FY","BEST_FPERIOD_OVERRIDE=FY","FILING_STATUS=MR","SCALING_FORMAT=MLN","Sort=A","Dates=H","DateFormat=P","Fill=—","Direction=H","UseDPDF=Y")</f>
        <v>500</v>
      </c>
      <c r="L24" s="11" t="str">
        <f>_xll.BDH("ASIX US Equity","BS_TOTAL_LINE_OF_CREDIT","FY 2022","FY 2022","Currency=USD","Period=FY","BEST_FPERIOD_OVERRIDE=FY","FILING_STATUS=MR","SCALING_FORMAT=MLN","Sort=A","Dates=H","DateFormat=P","Fill=—","Direction=H","UseDPDF=Y")</f>
        <v>—</v>
      </c>
    </row>
    <row r="25" spans="1:12">
      <c r="A25" s="9" t="s">
        <v>53</v>
      </c>
      <c r="B25" s="9" t="s">
        <v>54</v>
      </c>
      <c r="C25" s="11" t="str">
        <f>_xll.BDH("ASIX US Equity","BS_TOTAL_AVAIL_LINE_OF_CREDIT","FY 2013","FY 2013","Currency=USD","Period=FY","BEST_FPERIOD_OVERRIDE=FY","FILING_STATUS=MR","SCALING_FORMAT=MLN","Sort=A","Dates=H","DateFormat=P","Fill=—","Direction=H","UseDPDF=Y")</f>
        <v>—</v>
      </c>
      <c r="D25" s="11" t="str">
        <f>_xll.BDH("ASIX US Equity","BS_TOTAL_AVAIL_LINE_OF_CREDIT","FY 2014","FY 2014","Currency=USD","Period=FY","BEST_FPERIOD_OVERRIDE=FY","FILING_STATUS=MR","SCALING_FORMAT=MLN","Sort=A","Dates=H","DateFormat=P","Fill=—","Direction=H","UseDPDF=Y")</f>
        <v>—</v>
      </c>
      <c r="E25" s="11" t="str">
        <f>_xll.BDH("ASIX US Equity","BS_TOTAL_AVAIL_LINE_OF_CREDIT","FY 2015","FY 2015","Currency=USD","Period=FY","BEST_FPERIOD_OVERRIDE=FY","FILING_STATUS=MR","SCALING_FORMAT=MLN","Sort=A","Dates=H","DateFormat=P","Fill=—","Direction=H","UseDPDF=Y")</f>
        <v>—</v>
      </c>
      <c r="F25" s="11">
        <f>_xll.BDH("ASIX US Equity","BS_TOTAL_AVAIL_LINE_OF_CREDIT","FY 2016","FY 2016","Currency=USD","Period=FY","BEST_FPERIOD_OVERRIDE=FY","FILING_STATUS=MR","SCALING_FORMAT=MLN","Sort=A","Dates=H","DateFormat=P","Fill=—","Direction=H","UseDPDF=Y")</f>
        <v>155</v>
      </c>
      <c r="G25" s="11">
        <f>_xll.BDH("ASIX US Equity","BS_TOTAL_AVAIL_LINE_OF_CREDIT","FY 2017","FY 2017","Currency=USD","Period=FY","BEST_FPERIOD_OVERRIDE=FY","FILING_STATUS=MR","SCALING_FORMAT=MLN","Sort=A","Dates=H","DateFormat=P","Fill=—","Direction=H","UseDPDF=Y")</f>
        <v>155</v>
      </c>
      <c r="H25" s="11">
        <f>_xll.BDH("ASIX US Equity","BS_TOTAL_AVAIL_LINE_OF_CREDIT","FY 2018","FY 2018","Currency=USD","Period=FY","BEST_FPERIOD_OVERRIDE=FY","FILING_STATUS=MR","SCALING_FORMAT=MLN","Sort=A","Dates=H","DateFormat=P","Fill=—","Direction=H","UseDPDF=Y")</f>
        <v>202</v>
      </c>
      <c r="I25" s="11">
        <f>_xll.BDH("ASIX US Equity","BS_TOTAL_AVAIL_LINE_OF_CREDIT","FY 2019","FY 2019","Currency=USD","Period=FY","BEST_FPERIOD_OVERRIDE=FY","FILING_STATUS=MR","SCALING_FORMAT=MLN","Sort=A","Dates=H","DateFormat=P","Fill=—","Direction=H","UseDPDF=Y")</f>
        <v>202</v>
      </c>
      <c r="J25" s="11">
        <f>_xll.BDH("ASIX US Equity","BS_TOTAL_AVAIL_LINE_OF_CREDIT","FY 2020","FY 2020","Currency=USD","Period=FY","BEST_FPERIOD_OVERRIDE=FY","FILING_STATUS=MR","SCALING_FORMAT=MLN","Sort=A","Dates=H","DateFormat=P","Fill=—","Direction=H","UseDPDF=Y")</f>
        <v>202</v>
      </c>
      <c r="K25" s="11">
        <f>_xll.BDH("ASIX US Equity","BS_TOTAL_AVAIL_LINE_OF_CREDIT","FY 2021","FY 2021","Currency=USD","Period=FY","BEST_FPERIOD_OVERRIDE=FY","FILING_STATUS=MR","SCALING_FORMAT=MLN","Sort=A","Dates=H","DateFormat=P","Fill=—","Direction=H","UseDPDF=Y")</f>
        <v>364</v>
      </c>
      <c r="L25" s="11">
        <f>_xll.BDH("ASIX US Equity","BS_TOTAL_AVAIL_LINE_OF_CREDIT","FY 2022","FY 2022","Currency=USD","Period=FY","BEST_FPERIOD_OVERRIDE=FY","FILING_STATUS=MR","SCALING_FORMAT=MLN","Sort=A","Dates=H","DateFormat=P","Fill=—","Direction=H","UseDPDF=Y")</f>
        <v>384</v>
      </c>
    </row>
    <row r="26" spans="1:12">
      <c r="A26" s="9" t="s">
        <v>55</v>
      </c>
      <c r="B26" s="9" t="s">
        <v>56</v>
      </c>
      <c r="C26" s="11" t="str">
        <f>_xll.BDH("ASIX US Equity","LINE_OF_CREDIT_UTILIZED_AMOUNT","FY 2013","FY 2013","Currency=USD","Period=FY","BEST_FPERIOD_OVERRIDE=FY","FILING_STATUS=MR","SCALING_FORMAT=MLN","Sort=A","Dates=H","DateFormat=P","Fill=—","Direction=H","UseDPDF=Y")</f>
        <v>—</v>
      </c>
      <c r="D26" s="11" t="str">
        <f>_xll.BDH("ASIX US Equity","LINE_OF_CREDIT_UTILIZED_AMOUNT","FY 2014","FY 2014","Currency=USD","Period=FY","BEST_FPERIOD_OVERRIDE=FY","FILING_STATUS=MR","SCALING_FORMAT=MLN","Sort=A","Dates=H","DateFormat=P","Fill=—","Direction=H","UseDPDF=Y")</f>
        <v>—</v>
      </c>
      <c r="E26" s="11" t="str">
        <f>_xll.BDH("ASIX US Equity","LINE_OF_CREDIT_UTILIZED_AMOUNT","FY 2015","FY 2015","Currency=USD","Period=FY","BEST_FPERIOD_OVERRIDE=FY","FILING_STATUS=MR","SCALING_FORMAT=MLN","Sort=A","Dates=H","DateFormat=P","Fill=—","Direction=H","UseDPDF=Y")</f>
        <v>—</v>
      </c>
      <c r="F26" s="11">
        <f>_xll.BDH("ASIX US Equity","LINE_OF_CREDIT_UTILIZED_AMOUNT","FY 2016","FY 2016","Currency=USD","Period=FY","BEST_FPERIOD_OVERRIDE=FY","FILING_STATUS=MR","SCALING_FORMAT=MLN","Sort=A","Dates=H","DateFormat=P","Fill=—","Direction=H","UseDPDF=Y")</f>
        <v>270</v>
      </c>
      <c r="G26" s="11">
        <f>_xll.BDH("ASIX US Equity","LINE_OF_CREDIT_UTILIZED_AMOUNT","FY 2017","FY 2017","Currency=USD","Period=FY","BEST_FPERIOD_OVERRIDE=FY","FILING_STATUS=MR","SCALING_FORMAT=MLN","Sort=A","Dates=H","DateFormat=P","Fill=—","Direction=H","UseDPDF=Y")</f>
        <v>270</v>
      </c>
      <c r="H26" s="11">
        <f>_xll.BDH("ASIX US Equity","LINE_OF_CREDIT_UTILIZED_AMOUNT","FY 2018","FY 2018","Currency=USD","Period=FY","BEST_FPERIOD_OVERRIDE=FY","FILING_STATUS=MR","SCALING_FORMAT=MLN","Sort=A","Dates=H","DateFormat=P","Fill=—","Direction=H","UseDPDF=Y")</f>
        <v>40</v>
      </c>
      <c r="I26" s="11">
        <f>_xll.BDH("ASIX US Equity","LINE_OF_CREDIT_UTILIZED_AMOUNT","FY 2019","FY 2019","Currency=USD","Period=FY","BEST_FPERIOD_OVERRIDE=FY","FILING_STATUS=MR","SCALING_FORMAT=MLN","Sort=A","Dates=H","DateFormat=P","Fill=—","Direction=H","UseDPDF=Y")</f>
        <v>40</v>
      </c>
      <c r="J26" s="11">
        <f>_xll.BDH("ASIX US Equity","LINE_OF_CREDIT_UTILIZED_AMOUNT","FY 2020","FY 2020","Currency=USD","Period=FY","BEST_FPERIOD_OVERRIDE=FY","FILING_STATUS=MR","SCALING_FORMAT=MLN","Sort=A","Dates=H","DateFormat=P","Fill=—","Direction=H","UseDPDF=Y")</f>
        <v>40</v>
      </c>
      <c r="K26" s="11">
        <f>_xll.BDH("ASIX US Equity","LINE_OF_CREDIT_UTILIZED_AMOUNT","FY 2021","FY 2021","Currency=USD","Period=FY","BEST_FPERIOD_OVERRIDE=FY","FILING_STATUS=MR","SCALING_FORMAT=MLN","Sort=A","Dates=H","DateFormat=P","Fill=—","Direction=H","UseDPDF=Y")</f>
        <v>135</v>
      </c>
      <c r="L26" s="11" t="str">
        <f>_xll.BDH("ASIX US Equity","LINE_OF_CREDIT_UTILIZED_AMOUNT","FY 2022","FY 2022","Currency=USD","Period=FY","BEST_FPERIOD_OVERRIDE=FY","FILING_STATUS=MR","SCALING_FORMAT=MLN","Sort=A","Dates=H","DateFormat=P","Fill=—","Direction=H","UseDPDF=Y")</f>
        <v>—</v>
      </c>
    </row>
    <row r="27" spans="1:12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</row>
    <row r="28" spans="1:12">
      <c r="A28" s="6" t="s">
        <v>57</v>
      </c>
      <c r="B28" s="6"/>
      <c r="C28" s="6" t="s">
        <v>58</v>
      </c>
      <c r="D28" s="6"/>
      <c r="E28" s="6"/>
      <c r="F28" s="6"/>
      <c r="G28" s="6"/>
      <c r="H28" s="6"/>
      <c r="I28" s="6"/>
      <c r="J28" s="6"/>
      <c r="K28" s="6"/>
      <c r="L2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lzweig</dc:creator>
  <cp:keywords/>
  <dc:description/>
  <cp:lastModifiedBy/>
  <cp:revision/>
  <dcterms:created xsi:type="dcterms:W3CDTF">2013-04-03T15:49:21Z</dcterms:created>
  <dcterms:modified xsi:type="dcterms:W3CDTF">2023-12-04T20:14:16Z</dcterms:modified>
  <cp:category/>
  <cp:contentStatus/>
</cp:coreProperties>
</file>