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158B7181-CAA1-4283-B7E8-D3E6ACF91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G - Overview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H145" i="2"/>
  <c r="D34" i="2"/>
  <c r="C90" i="2"/>
  <c r="C47" i="2"/>
  <c r="G7" i="2"/>
  <c r="F111" i="2"/>
  <c r="H90" i="2"/>
  <c r="H9" i="2"/>
  <c r="E47" i="2"/>
  <c r="C24" i="2"/>
  <c r="D10" i="2"/>
  <c r="D16" i="2"/>
  <c r="C8" i="2"/>
  <c r="C126" i="2"/>
  <c r="I145" i="2"/>
  <c r="E139" i="2"/>
  <c r="F40" i="2"/>
  <c r="C135" i="2"/>
  <c r="D112" i="2"/>
  <c r="D8" i="2"/>
  <c r="H47" i="2"/>
  <c r="E24" i="2"/>
  <c r="D126" i="2"/>
  <c r="E22" i="2"/>
  <c r="F10" i="2"/>
  <c r="E50" i="2"/>
  <c r="C20" i="2"/>
  <c r="H14" i="2"/>
  <c r="I32" i="2"/>
  <c r="G24" i="2"/>
  <c r="D35" i="2"/>
  <c r="E79" i="2"/>
  <c r="G143" i="2"/>
  <c r="H45" i="2"/>
  <c r="C48" i="2"/>
  <c r="C91" i="2"/>
  <c r="I63" i="2"/>
  <c r="H88" i="2"/>
  <c r="F112" i="2"/>
  <c r="G55" i="2"/>
  <c r="F79" i="2"/>
  <c r="E93" i="2"/>
  <c r="F139" i="2"/>
  <c r="G99" i="2"/>
  <c r="C120" i="2"/>
  <c r="D110" i="2"/>
  <c r="D135" i="2"/>
  <c r="I132" i="2"/>
  <c r="I101" i="2"/>
  <c r="H117" i="2"/>
  <c r="E126" i="2"/>
  <c r="F126" i="2"/>
  <c r="E110" i="2"/>
  <c r="G128" i="2"/>
  <c r="H24" i="2"/>
  <c r="C152" i="2"/>
  <c r="H143" i="2"/>
  <c r="G139" i="2"/>
  <c r="E8" i="2"/>
  <c r="D20" i="2"/>
  <c r="E135" i="2"/>
  <c r="H128" i="2"/>
  <c r="I143" i="2"/>
  <c r="F22" i="2"/>
  <c r="D152" i="2"/>
  <c r="C33" i="2"/>
  <c r="E35" i="2"/>
  <c r="G40" i="2"/>
  <c r="H10" i="2"/>
  <c r="I88" i="2"/>
  <c r="H55" i="2"/>
  <c r="D48" i="2"/>
  <c r="I45" i="2"/>
  <c r="D91" i="2"/>
  <c r="C102" i="2"/>
  <c r="F8" i="2"/>
  <c r="G79" i="2"/>
  <c r="F50" i="2"/>
  <c r="H99" i="2"/>
  <c r="C64" i="2"/>
  <c r="C133" i="2"/>
  <c r="D120" i="2"/>
  <c r="G112" i="2"/>
  <c r="C15" i="2"/>
  <c r="F93" i="2"/>
  <c r="I117" i="2"/>
  <c r="F35" i="2"/>
  <c r="I24" i="2"/>
  <c r="E20" i="2"/>
  <c r="H40" i="2"/>
  <c r="G22" i="2"/>
  <c r="D33" i="2"/>
  <c r="C46" i="2"/>
  <c r="D64" i="2"/>
  <c r="E48" i="2"/>
  <c r="I55" i="2"/>
  <c r="G50" i="2"/>
  <c r="F135" i="2"/>
  <c r="C118" i="2"/>
  <c r="E91" i="2"/>
  <c r="H79" i="2"/>
  <c r="G93" i="2"/>
  <c r="I99" i="2"/>
  <c r="F110" i="2"/>
  <c r="E120" i="2"/>
  <c r="H112" i="2"/>
  <c r="H139" i="2"/>
  <c r="E152" i="2"/>
  <c r="G126" i="2"/>
  <c r="D102" i="2"/>
  <c r="I139" i="2"/>
  <c r="D65" i="2"/>
  <c r="C144" i="2"/>
  <c r="I128" i="2"/>
  <c r="D133" i="2"/>
  <c r="I7" i="2"/>
  <c r="D144" i="2"/>
  <c r="G65" i="2"/>
  <c r="C89" i="2"/>
  <c r="H44" i="2"/>
  <c r="D45" i="2"/>
  <c r="F152" i="2"/>
  <c r="H49" i="2"/>
  <c r="D79" i="2"/>
  <c r="C22" i="2"/>
  <c r="H119" i="2"/>
  <c r="G101" i="2"/>
  <c r="G63" i="2"/>
  <c r="E10" i="2"/>
  <c r="F99" i="2"/>
  <c r="G132" i="2"/>
  <c r="G45" i="2"/>
  <c r="I112" i="2"/>
  <c r="E15" i="2"/>
  <c r="G10" i="2"/>
  <c r="G88" i="2"/>
  <c r="F24" i="2"/>
  <c r="H93" i="2"/>
  <c r="I40" i="2"/>
  <c r="I79" i="2"/>
  <c r="D15" i="2"/>
  <c r="I119" i="2"/>
  <c r="I14" i="2"/>
  <c r="C100" i="2"/>
  <c r="G110" i="2"/>
  <c r="E46" i="2"/>
  <c r="C56" i="2"/>
  <c r="E112" i="2"/>
  <c r="D56" i="2"/>
  <c r="E133" i="2"/>
  <c r="I50" i="2"/>
  <c r="G48" i="2"/>
  <c r="D50" i="2"/>
  <c r="H22" i="2"/>
  <c r="C44" i="2"/>
  <c r="F120" i="2"/>
  <c r="F64" i="2"/>
  <c r="E89" i="2"/>
  <c r="C84" i="2"/>
  <c r="G91" i="2"/>
  <c r="I93" i="2"/>
  <c r="H110" i="2"/>
  <c r="I56" i="2"/>
  <c r="I9" i="2"/>
  <c r="E118" i="2"/>
  <c r="C113" i="2"/>
  <c r="D100" i="2"/>
  <c r="G21" i="2"/>
  <c r="G120" i="2"/>
  <c r="F133" i="2"/>
  <c r="H135" i="2"/>
  <c r="H21" i="2"/>
  <c r="E144" i="2"/>
  <c r="G152" i="2"/>
  <c r="G23" i="2"/>
  <c r="I126" i="2"/>
  <c r="D129" i="2"/>
  <c r="C142" i="2"/>
  <c r="H39" i="2"/>
  <c r="I65" i="2"/>
  <c r="D40" i="2"/>
  <c r="F102" i="2"/>
  <c r="E92" i="2"/>
  <c r="I34" i="2"/>
  <c r="G9" i="2"/>
  <c r="F47" i="2"/>
  <c r="G34" i="2"/>
  <c r="E99" i="2"/>
  <c r="H16" i="2"/>
  <c r="I78" i="2"/>
  <c r="C50" i="2"/>
  <c r="I134" i="2"/>
  <c r="F143" i="2"/>
  <c r="D93" i="2"/>
  <c r="D22" i="2"/>
  <c r="C35" i="2"/>
  <c r="I47" i="2"/>
  <c r="H63" i="2"/>
  <c r="H101" i="2"/>
  <c r="G117" i="2"/>
  <c r="G8" i="2"/>
  <c r="E64" i="2"/>
  <c r="F48" i="2"/>
  <c r="F128" i="2"/>
  <c r="G35" i="2"/>
  <c r="H126" i="2"/>
  <c r="G135" i="2"/>
  <c r="C129" i="2"/>
  <c r="D118" i="2"/>
  <c r="D46" i="2"/>
  <c r="F91" i="2"/>
  <c r="H50" i="2"/>
  <c r="C23" i="2"/>
  <c r="G20" i="2"/>
  <c r="D89" i="2"/>
  <c r="H8" i="2"/>
  <c r="D84" i="2"/>
  <c r="E102" i="2"/>
  <c r="I22" i="2"/>
  <c r="C13" i="2"/>
  <c r="G64" i="2"/>
  <c r="D13" i="2"/>
  <c r="H20" i="2"/>
  <c r="G33" i="2"/>
  <c r="E100" i="2"/>
  <c r="I110" i="2"/>
  <c r="D44" i="2"/>
  <c r="C54" i="2"/>
  <c r="I8" i="2"/>
  <c r="E56" i="2"/>
  <c r="H48" i="2"/>
  <c r="F46" i="2"/>
  <c r="E31" i="2"/>
  <c r="F33" i="2"/>
  <c r="F15" i="2"/>
  <c r="D31" i="2"/>
  <c r="H91" i="2"/>
  <c r="F89" i="2"/>
  <c r="E129" i="2"/>
  <c r="D113" i="2"/>
  <c r="G102" i="2"/>
  <c r="H35" i="2"/>
  <c r="E33" i="2"/>
  <c r="F144" i="2"/>
  <c r="C94" i="2"/>
  <c r="F118" i="2"/>
  <c r="C127" i="2"/>
  <c r="I35" i="2"/>
  <c r="G133" i="2"/>
  <c r="C9" i="2"/>
  <c r="I135" i="2"/>
  <c r="H120" i="2"/>
  <c r="D142" i="2"/>
  <c r="G15" i="2"/>
  <c r="H152" i="2"/>
  <c r="I20" i="2"/>
  <c r="E13" i="2"/>
  <c r="D23" i="2"/>
  <c r="H33" i="2"/>
  <c r="F31" i="2"/>
  <c r="H133" i="2"/>
  <c r="C39" i="2"/>
  <c r="G118" i="2"/>
  <c r="E44" i="2"/>
  <c r="H64" i="2"/>
  <c r="C78" i="2"/>
  <c r="C136" i="2"/>
  <c r="F7" i="2"/>
  <c r="I48" i="2"/>
  <c r="F129" i="2"/>
  <c r="C45" i="2"/>
  <c r="G46" i="2"/>
  <c r="D54" i="2"/>
  <c r="D7" i="2"/>
  <c r="I152" i="2"/>
  <c r="E84" i="2"/>
  <c r="E16" i="2"/>
  <c r="D88" i="2"/>
  <c r="I120" i="2"/>
  <c r="G49" i="2"/>
  <c r="C110" i="2"/>
  <c r="D127" i="2"/>
  <c r="E142" i="2"/>
  <c r="F14" i="2"/>
  <c r="D32" i="2"/>
  <c r="G144" i="2"/>
  <c r="F45" i="2"/>
  <c r="G32" i="2"/>
  <c r="E55" i="2"/>
  <c r="I10" i="2"/>
  <c r="C93" i="2"/>
  <c r="F117" i="2"/>
  <c r="E128" i="2"/>
  <c r="D139" i="2"/>
  <c r="G14" i="2"/>
  <c r="I16" i="2"/>
  <c r="I109" i="2"/>
  <c r="C31" i="2"/>
  <c r="E40" i="2"/>
  <c r="I90" i="2"/>
  <c r="F88" i="2"/>
  <c r="H32" i="2"/>
  <c r="H15" i="2"/>
  <c r="F55" i="2"/>
  <c r="H132" i="2"/>
  <c r="D9" i="2"/>
  <c r="G89" i="2"/>
  <c r="F56" i="2"/>
  <c r="F100" i="2"/>
  <c r="C49" i="2"/>
  <c r="F20" i="2"/>
  <c r="H102" i="2"/>
  <c r="E113" i="2"/>
  <c r="I91" i="2"/>
  <c r="D94" i="2"/>
  <c r="G56" i="2"/>
  <c r="F13" i="2"/>
  <c r="G31" i="2"/>
  <c r="E23" i="2"/>
  <c r="C21" i="2"/>
  <c r="I33" i="2"/>
  <c r="C111" i="2"/>
  <c r="H46" i="2"/>
  <c r="F44" i="2"/>
  <c r="I144" i="2"/>
  <c r="E54" i="2"/>
  <c r="D39" i="2"/>
  <c r="I64" i="2"/>
  <c r="F84" i="2"/>
  <c r="H89" i="2"/>
  <c r="E94" i="2"/>
  <c r="D111" i="2"/>
  <c r="D78" i="2"/>
  <c r="E127" i="2"/>
  <c r="G129" i="2"/>
  <c r="G100" i="2"/>
  <c r="D136" i="2"/>
  <c r="C92" i="2"/>
  <c r="I102" i="2"/>
  <c r="C7" i="2"/>
  <c r="F9" i="2"/>
  <c r="H144" i="2"/>
  <c r="C121" i="2"/>
  <c r="C73" i="2"/>
  <c r="C153" i="2"/>
  <c r="H118" i="2"/>
  <c r="I133" i="2"/>
  <c r="F113" i="2"/>
  <c r="I31" i="2"/>
  <c r="G54" i="2"/>
  <c r="F142" i="2"/>
  <c r="I100" i="2"/>
  <c r="E9" i="2"/>
  <c r="I15" i="2"/>
  <c r="F23" i="2"/>
  <c r="G13" i="2"/>
  <c r="I89" i="2"/>
  <c r="D21" i="2"/>
  <c r="F54" i="2"/>
  <c r="D49" i="2"/>
  <c r="H31" i="2"/>
  <c r="C34" i="2"/>
  <c r="I46" i="2"/>
  <c r="G44" i="2"/>
  <c r="G84" i="2"/>
  <c r="F94" i="2"/>
  <c r="H56" i="2"/>
  <c r="E39" i="2"/>
  <c r="C134" i="2"/>
  <c r="E111" i="2"/>
  <c r="C65" i="2"/>
  <c r="D92" i="2"/>
  <c r="E78" i="2"/>
  <c r="G113" i="2"/>
  <c r="I118" i="2"/>
  <c r="H129" i="2"/>
  <c r="D121" i="2"/>
  <c r="C109" i="2"/>
  <c r="H100" i="2"/>
  <c r="F127" i="2"/>
  <c r="G142" i="2"/>
  <c r="E136" i="2"/>
  <c r="E21" i="2"/>
  <c r="D73" i="2"/>
  <c r="D153" i="2"/>
  <c r="G94" i="2"/>
  <c r="H84" i="2"/>
  <c r="F39" i="2"/>
  <c r="H113" i="2"/>
  <c r="C119" i="2"/>
  <c r="H142" i="2"/>
  <c r="E121" i="2"/>
  <c r="G127" i="2"/>
  <c r="C145" i="2"/>
  <c r="H23" i="2"/>
  <c r="D134" i="2"/>
  <c r="E34" i="2"/>
  <c r="F136" i="2"/>
  <c r="I129" i="2"/>
  <c r="G78" i="2"/>
  <c r="I44" i="2"/>
  <c r="E73" i="2"/>
  <c r="E153" i="2"/>
  <c r="F65" i="2"/>
  <c r="D63" i="2"/>
  <c r="C32" i="2"/>
  <c r="I142" i="2"/>
  <c r="H54" i="2"/>
  <c r="G136" i="2"/>
  <c r="D47" i="2"/>
  <c r="F49" i="2"/>
  <c r="G39" i="2"/>
  <c r="C63" i="2"/>
  <c r="F92" i="2"/>
  <c r="I113" i="2"/>
  <c r="E65" i="2"/>
  <c r="H94" i="2"/>
  <c r="H78" i="2"/>
  <c r="D119" i="2"/>
  <c r="G92" i="2"/>
  <c r="I84" i="2"/>
  <c r="F73" i="2"/>
  <c r="F153" i="2"/>
  <c r="D14" i="2"/>
  <c r="F121" i="2"/>
  <c r="D90" i="2"/>
  <c r="H127" i="2"/>
  <c r="H73" i="2"/>
  <c r="H153" i="2"/>
  <c r="F78" i="2"/>
  <c r="H111" i="2"/>
  <c r="C101" i="2"/>
  <c r="C132" i="2"/>
  <c r="E134" i="2"/>
  <c r="D145" i="2"/>
  <c r="G111" i="2"/>
  <c r="D101" i="2"/>
  <c r="F34" i="2"/>
  <c r="E109" i="2"/>
  <c r="D132" i="2"/>
  <c r="I94" i="2"/>
  <c r="F109" i="2"/>
  <c r="E90" i="2"/>
  <c r="H136" i="2"/>
  <c r="F134" i="2"/>
  <c r="C88" i="2"/>
  <c r="I127" i="2"/>
  <c r="E119" i="2"/>
  <c r="G121" i="2"/>
  <c r="E145" i="2"/>
  <c r="G109" i="2"/>
  <c r="H13" i="2"/>
  <c r="E49" i="2"/>
  <c r="E7" i="2"/>
  <c r="D109" i="2"/>
  <c r="C117" i="2"/>
  <c r="F16" i="2"/>
  <c r="F63" i="2"/>
  <c r="C143" i="2"/>
  <c r="F119" i="2"/>
  <c r="C40" i="2"/>
  <c r="H121" i="2"/>
  <c r="C128" i="2"/>
  <c r="E32" i="2"/>
  <c r="I54" i="2"/>
  <c r="F21" i="2"/>
  <c r="I23" i="2"/>
  <c r="F145" i="2"/>
  <c r="I13" i="2"/>
  <c r="C99" i="2"/>
  <c r="D143" i="2"/>
  <c r="E101" i="2"/>
  <c r="C14" i="2"/>
  <c r="G73" i="2"/>
  <c r="G153" i="2"/>
  <c r="G145" i="2"/>
  <c r="D117" i="2"/>
  <c r="I39" i="2"/>
  <c r="F90" i="2"/>
  <c r="I111" i="2"/>
  <c r="C55" i="2"/>
  <c r="I136" i="2"/>
  <c r="E63" i="2"/>
  <c r="H92" i="2"/>
  <c r="G47" i="2"/>
  <c r="G16" i="2"/>
  <c r="C10" i="2"/>
  <c r="E14" i="2"/>
  <c r="D99" i="2"/>
  <c r="C79" i="2"/>
  <c r="E45" i="2"/>
  <c r="F132" i="2"/>
  <c r="H34" i="2"/>
  <c r="F32" i="2"/>
  <c r="H134" i="2"/>
  <c r="G134" i="2"/>
  <c r="I92" i="2"/>
  <c r="H7" i="2"/>
  <c r="E117" i="2"/>
  <c r="E143" i="2"/>
  <c r="E88" i="2"/>
  <c r="G90" i="2"/>
  <c r="F101" i="2"/>
  <c r="H65" i="2"/>
  <c r="G119" i="2"/>
  <c r="D55" i="2"/>
  <c r="I21" i="2"/>
  <c r="C112" i="2"/>
  <c r="E132" i="2"/>
  <c r="H109" i="2"/>
  <c r="I49" i="2"/>
  <c r="I73" i="2"/>
  <c r="I153" i="2"/>
  <c r="C139" i="2"/>
  <c r="I121" i="2"/>
  <c r="D128" i="2"/>
  <c r="D24" i="2"/>
</calcChain>
</file>

<file path=xl/sharedStrings.xml><?xml version="1.0" encoding="utf-8"?>
<sst xmlns="http://schemas.openxmlformats.org/spreadsheetml/2006/main" count="427" uniqueCount="243">
  <si>
    <t>AdvanSix Inc (ASIX US) - Overview</t>
  </si>
  <si>
    <t>In Millions of USD except Per Share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</si>
  <si>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</si>
  <si>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</si>
  <si>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</si>
  <si>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</si>
  <si>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</si>
  <si>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</si>
  <si>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</si>
  <si>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</si>
  <si>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</si>
  <si>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</si>
  <si>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</si>
  <si>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</si>
  <si>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</si>
  <si>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</si>
  <si>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</si>
  <si>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</si>
  <si>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</si>
  <si>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</si>
  <si>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</si>
  <si>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</si>
  <si>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</si>
  <si>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</si>
  <si>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</si>
  <si>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</si>
  <si>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</si>
  <si>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</si>
  <si>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</si>
  <si>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</si>
  <si>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</si>
  <si>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</si>
  <si>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</si>
  <si>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</si>
  <si>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</si>
  <si>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</si>
  <si>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</si>
  <si>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</si>
  <si>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</si>
  <si>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</si>
  <si>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</si>
  <si>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</si>
  <si>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</si>
  <si>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</si>
  <si>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</si>
  <si>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</si>
  <si>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</si>
  <si>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</si>
  <si>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</si>
  <si>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</si>
  <si>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No</t>
  </si>
  <si>
    <t>Yes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</si>
  <si>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</si>
  <si>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</si>
  <si>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</si>
  <si>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</si>
  <si>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</si>
  <si>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</si>
  <si>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</si>
  <si>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</si>
  <si>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</si>
  <si>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</si>
  <si>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</si>
  <si>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</si>
  <si>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3</t>
  </si>
  <si>
    <t>GHG_SCOPE_3</t>
  </si>
  <si>
    <t>Scope of Disclosure</t>
  </si>
  <si>
    <t>SCOPE_OF_DISCLOSURE</t>
  </si>
  <si>
    <t>Ecological &amp; Biodiversity Impacts</t>
  </si>
  <si>
    <t>Biodiversity Policy</t>
  </si>
  <si>
    <t>BIODIVERSITY_POLICY</t>
  </si>
  <si>
    <t>Number of Environmental Fines</t>
  </si>
  <si>
    <t>NUM_ENVIRON_FINES</t>
  </si>
  <si>
    <t>Amount of Environmental Fines</t>
  </si>
  <si>
    <t>ENVIRON_FINES_AMT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</si>
  <si>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</si>
  <si>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</si>
  <si>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</si>
  <si>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</si>
  <si>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</si>
  <si>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</si>
  <si>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</si>
  <si>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</si>
  <si>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</si>
  <si>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Self Generated Renewable Electricity</t>
  </si>
  <si>
    <t>SELF_GEN_RENEWABLE_ELECTRICITY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</si>
  <si>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</si>
  <si>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</si>
  <si>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</si>
  <si>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</si>
  <si>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</si>
  <si>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</si>
  <si>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</si>
  <si>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</si>
  <si>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</si>
  <si>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</si>
  <si>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</si>
  <si>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</si>
  <si>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</si>
  <si>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</si>
  <si>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</si>
  <si>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</si>
  <si>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</si>
  <si>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</si>
  <si>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</si>
  <si>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</si>
  <si>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</si>
  <si>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</si>
  <si>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</si>
  <si>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</si>
  <si>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</si>
  <si>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Water Consumption</t>
  </si>
  <si>
    <t>WATER_CONSMPTN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</si>
  <si>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</si>
  <si>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</si>
  <si>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</si>
  <si>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</si>
  <si>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</si>
  <si>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</si>
  <si>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</si>
  <si>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</si>
  <si>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</si>
  <si>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</si>
  <si>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</si>
  <si>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</si>
  <si>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</si>
  <si>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</si>
  <si>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</si>
  <si>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</si>
  <si>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</si>
  <si>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Management</t>
  </si>
  <si>
    <t>PCT_WOMEN_MGT</t>
  </si>
  <si>
    <t>Pct Women in Workforce</t>
  </si>
  <si>
    <t>PCT_WOMEN_EMPLOYEES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</si>
  <si>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</si>
  <si>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</si>
  <si>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</si>
  <si>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</si>
  <si>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</si>
  <si>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</si>
  <si>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</si>
  <si>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</si>
  <si>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</si>
  <si>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</si>
  <si>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</si>
  <si>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</si>
  <si>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Contractors</t>
  </si>
  <si>
    <t>FATALITIES_CONTRACTORS</t>
  </si>
  <si>
    <t>Fatalities - Total</t>
  </si>
  <si>
    <t>FATALITIES_TOTAL</t>
  </si>
  <si>
    <t>Lost Time Incident Rate - Employees</t>
  </si>
  <si>
    <t>LOST_TIME_INCIDENT_RATE</t>
  </si>
  <si>
    <t>Lost Time Incident Rate - Contractors</t>
  </si>
  <si>
    <t>LOST_TIME_INCIDENT_RT_CNTRCTR</t>
  </si>
  <si>
    <t>Total Recordable Incident Rate - Employees</t>
  </si>
  <si>
    <t>TOTAL_RECORDABLE_INCIDENT_RATE</t>
  </si>
  <si>
    <t>Total Recordable Incident Rate - Contractors</t>
  </si>
  <si>
    <t>TOT_RECORDABLE_INCID_RT_CNTRCTR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</si>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</sst>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7" fillId="34" borderId="2" xfId="55">
      <alignment horizontal="right"/>
    </xf>
    <xf numFmtId="4" fontId="7" fillId="34" borderId="2" xfId="56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bold_2_grouped" xfId="56" xr:uid="{00000000-0005-0000-0000-000024000000}"/>
    <cellStyle name="fa_data_standard_0_grouped" xfId="52" xr:uid="{00000000-0005-0000-0000-000025000000}"/>
    <cellStyle name="fa_data_standard_1_grouped" xfId="53" xr:uid="{00000000-0005-0000-0000-000026000000}"/>
    <cellStyle name="fa_data_standard_2_grouped" xfId="54" xr:uid="{00000000-0005-0000-0000-000027000000}"/>
    <cellStyle name="fa_footer_italic" xfId="34" xr:uid="{00000000-0005-0000-0000-000028000000}"/>
    <cellStyle name="fa_row_header_bold" xfId="35" xr:uid="{00000000-0005-0000-0000-000029000000}"/>
    <cellStyle name="fa_row_header_standard" xfId="36" xr:uid="{00000000-0005-0000-0000-00002A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6" workbookViewId="0"/>
  </sheetViews>
  <sheetFormatPr defaultRowHeight="15"/>
  <cols>
    <col min="1" max="1" width="35.140625" customWidth="1"/>
    <col min="2" max="2" width="0" hidden="1" customWidth="1"/>
    <col min="3" max="9" width="11.855468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20.2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>
      <c r="A5" s="9" t="s">
        <v>9</v>
      </c>
      <c r="B5" s="9"/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</row>
    <row r="6" spans="1:9">
      <c r="A6" s="10" t="s">
        <v>17</v>
      </c>
      <c r="B6" s="11"/>
      <c r="C6" s="11"/>
      <c r="D6" s="11"/>
      <c r="E6" s="11"/>
      <c r="F6" s="11"/>
      <c r="G6" s="11"/>
      <c r="H6" s="11"/>
      <c r="I6" s="11"/>
    </row>
    <row r="7" spans="1:9">
      <c r="A7" s="10" t="s">
        <v>18</v>
      </c>
      <c r="B7" s="10" t="s">
        <v>19</v>
      </c>
      <c r="C7" s="13" t="str">
        <f>_xll.BDH("ASIX US Equity","ESG_SCORE","FY 2016","FY 2016","Currency=USD","Period=FY","BEST_FPERIOD_OVERRIDE=FY","FILING_STATUS=MR","Sort=A","Dates=H","DateFormat=P","Fill=—","Direction=H","UseDPDF=Y")</f>
        <v>—</v>
      </c>
      <c r="D7" s="13" t="str">
        <f>_xll.BDH("ASIX US Equity","ESG_SCORE","FY 2017","FY 2017","Currency=USD","Period=FY","BEST_FPERIOD_OVERRIDE=FY","FILING_STATUS=MR","Sort=A","Dates=H","DateFormat=P","Fill=—","Direction=H","UseDPDF=Y")</f>
        <v>—</v>
      </c>
      <c r="E7" s="13" t="str">
        <f>_xll.BDH("ASIX US Equity","ESG_SCORE","FY 2018","FY 2018","Currency=USD","Period=FY","BEST_FPERIOD_OVERRIDE=FY","FILING_STATUS=MR","Sort=A","Dates=H","DateFormat=P","Fill=—","Direction=H","UseDPDF=Y")</f>
        <v>—</v>
      </c>
      <c r="F7" s="13" t="str">
        <f>_xll.BDH("ASIX US Equity","ESG_SCORE","FY 2019","FY 2019","Currency=USD","Period=FY","BEST_FPERIOD_OVERRIDE=FY","FILING_STATUS=MR","Sort=A","Dates=H","DateFormat=P","Fill=—","Direction=H","UseDPDF=Y")</f>
        <v>—</v>
      </c>
      <c r="G7" s="13" t="str">
        <f>_xll.BDH("ASIX US Equity","ESG_SCORE","FY 2020","FY 2020","Currency=USD","Period=FY","BEST_FPERIOD_OVERRIDE=FY","FILING_STATUS=MR","Sort=A","Dates=H","DateFormat=P","Fill=—","Direction=H","UseDPDF=Y")</f>
        <v>—</v>
      </c>
      <c r="H7" s="13">
        <f>_xll.BDH("ASIX US Equity","ESG_SCORE","FY 2021","FY 2021","Currency=USD","Period=FY","BEST_FPERIOD_OVERRIDE=FY","FILING_STATUS=MR","Sort=A","Dates=H","DateFormat=P","Fill=—","Direction=H","UseDPDF=Y")</f>
        <v>3.19</v>
      </c>
      <c r="I7" s="13" t="str">
        <f>_xll.BDH("ASIX US Equity","ESG_SCORE","FY 2022","FY 2022","Currency=USD","Period=FY","BEST_FPERIOD_OVERRIDE=FY","FILING_STATUS=MR","Sort=A","Dates=H","DateFormat=P","Fill=—","Direction=H","UseDPDF=Y")</f>
        <v>—</v>
      </c>
    </row>
    <row r="8" spans="1:9">
      <c r="A8" s="10" t="s">
        <v>20</v>
      </c>
      <c r="B8" s="10" t="s">
        <v>21</v>
      </c>
      <c r="C8" s="13" t="str">
        <f>_xll.BDH("ASIX US Equity","ENVIRONMENTAL_SCORE","FY 2016","FY 2016","Currency=USD","Period=FY","BEST_FPERIOD_OVERRIDE=FY","FILING_STATUS=MR","Sort=A","Dates=H","DateFormat=P","Fill=—","Direction=H","UseDPDF=Y")</f>
        <v>—</v>
      </c>
      <c r="D8" s="13" t="str">
        <f>_xll.BDH("ASIX US Equity","ENVIRONMENTAL_SCORE","FY 2017","FY 2017","Currency=USD","Period=FY","BEST_FPERIOD_OVERRIDE=FY","FILING_STATUS=MR","Sort=A","Dates=H","DateFormat=P","Fill=—","Direction=H","UseDPDF=Y")</f>
        <v>—</v>
      </c>
      <c r="E8" s="13" t="str">
        <f>_xll.BDH("ASIX US Equity","ENVIRONMENTAL_SCORE","FY 2018","FY 2018","Currency=USD","Period=FY","BEST_FPERIOD_OVERRIDE=FY","FILING_STATUS=MR","Sort=A","Dates=H","DateFormat=P","Fill=—","Direction=H","UseDPDF=Y")</f>
        <v>—</v>
      </c>
      <c r="F8" s="13" t="str">
        <f>_xll.BDH("ASIX US Equity","ENVIRONMENTAL_SCORE","FY 2019","FY 2019","Currency=USD","Period=FY","BEST_FPERIOD_OVERRIDE=FY","FILING_STATUS=MR","Sort=A","Dates=H","DateFormat=P","Fill=—","Direction=H","UseDPDF=Y")</f>
        <v>—</v>
      </c>
      <c r="G8" s="13" t="str">
        <f>_xll.BDH("ASIX US Equity","ENVIRONMENTAL_SCORE","FY 2020","FY 2020","Currency=USD","Period=FY","BEST_FPERIOD_OVERRIDE=FY","FILING_STATUS=MR","Sort=A","Dates=H","DateFormat=P","Fill=—","Direction=H","UseDPDF=Y")</f>
        <v>—</v>
      </c>
      <c r="H8" s="13">
        <f>_xll.BDH("ASIX US Equity","ENVIRONMENTAL_SCORE","FY 2021","FY 2021","Currency=USD","Period=FY","BEST_FPERIOD_OVERRIDE=FY","FILING_STATUS=MR","Sort=A","Dates=H","DateFormat=P","Fill=—","Direction=H","UseDPDF=Y")</f>
        <v>1.79</v>
      </c>
      <c r="I8" s="13" t="str">
        <f>_xll.BDH("ASIX US Equity","ENVIRONMENTAL_SCORE","FY 2022","FY 2022","Currency=USD","Period=FY","BEST_FPERIOD_OVERRIDE=FY","FILING_STATUS=MR","Sort=A","Dates=H","DateFormat=P","Fill=—","Direction=H","UseDPDF=Y")</f>
        <v>—</v>
      </c>
    </row>
    <row r="9" spans="1:9">
      <c r="A9" s="10" t="s">
        <v>22</v>
      </c>
      <c r="B9" s="10" t="s">
        <v>23</v>
      </c>
      <c r="C9" s="13" t="str">
        <f>_xll.BDH("ASIX US Equity","SOCIAL_SCORE","FY 2016","FY 2016","Currency=USD","Period=FY","BEST_FPERIOD_OVERRIDE=FY","FILING_STATUS=MR","Sort=A","Dates=H","DateFormat=P","Fill=—","Direction=H","UseDPDF=Y")</f>
        <v>—</v>
      </c>
      <c r="D9" s="13" t="str">
        <f>_xll.BDH("ASIX US Equity","SOCIAL_SCORE","FY 2017","FY 2017","Currency=USD","Period=FY","BEST_FPERIOD_OVERRIDE=FY","FILING_STATUS=MR","Sort=A","Dates=H","DateFormat=P","Fill=—","Direction=H","UseDPDF=Y")</f>
        <v>—</v>
      </c>
      <c r="E9" s="13" t="str">
        <f>_xll.BDH("ASIX US Equity","SOCIAL_SCORE","FY 2018","FY 2018","Currency=USD","Period=FY","BEST_FPERIOD_OVERRIDE=FY","FILING_STATUS=MR","Sort=A","Dates=H","DateFormat=P","Fill=—","Direction=H","UseDPDF=Y")</f>
        <v>—</v>
      </c>
      <c r="F9" s="13" t="str">
        <f>_xll.BDH("ASIX US Equity","SOCIAL_SCORE","FY 2019","FY 2019","Currency=USD","Period=FY","BEST_FPERIOD_OVERRIDE=FY","FILING_STATUS=MR","Sort=A","Dates=H","DateFormat=P","Fill=—","Direction=H","UseDPDF=Y")</f>
        <v>—</v>
      </c>
      <c r="G9" s="13" t="str">
        <f>_xll.BDH("ASIX US Equity","SOCIAL_SCORE","FY 2020","FY 2020","Currency=USD","Period=FY","BEST_FPERIOD_OVERRIDE=FY","FILING_STATUS=MR","Sort=A","Dates=H","DateFormat=P","Fill=—","Direction=H","UseDPDF=Y")</f>
        <v>—</v>
      </c>
      <c r="H9" s="13">
        <f>_xll.BDH("ASIX US Equity","SOCIAL_SCORE","FY 2021","FY 2021","Currency=USD","Period=FY","BEST_FPERIOD_OVERRIDE=FY","FILING_STATUS=MR","Sort=A","Dates=H","DateFormat=P","Fill=—","Direction=H","UseDPDF=Y")</f>
        <v>1.89</v>
      </c>
      <c r="I9" s="13" t="str">
        <f>_xll.BDH("ASIX US Equity","SOCIAL_SCORE","FY 2022","FY 2022","Currency=USD","Period=FY","BEST_FPERIOD_OVERRIDE=FY","FILING_STATUS=MR","Sort=A","Dates=H","DateFormat=P","Fill=—","Direction=H","UseDPDF=Y")</f>
        <v>—</v>
      </c>
    </row>
    <row r="10" spans="1:9">
      <c r="A10" s="10" t="s">
        <v>24</v>
      </c>
      <c r="B10" s="10" t="s">
        <v>25</v>
      </c>
      <c r="C10" s="13" t="str">
        <f>_xll.BDH("ASIX US Equity","GOVERNANCE_SCORE","FY 2016","FY 2016","Currency=USD","Period=FY","BEST_FPERIOD_OVERRIDE=FY","FILING_STATUS=MR","Sort=A","Dates=H","DateFormat=P","Fill=—","Direction=H","UseDPDF=Y")</f>
        <v>—</v>
      </c>
      <c r="D10" s="13" t="str">
        <f>_xll.BDH("ASIX US Equity","GOVERNANCE_SCORE","FY 2017","FY 2017","Currency=USD","Period=FY","BEST_FPERIOD_OVERRIDE=FY","FILING_STATUS=MR","Sort=A","Dates=H","DateFormat=P","Fill=—","Direction=H","UseDPDF=Y")</f>
        <v>—</v>
      </c>
      <c r="E10" s="13" t="str">
        <f>_xll.BDH("ASIX US Equity","GOVERNANCE_SCORE","FY 2018","FY 2018","Currency=USD","Period=FY","BEST_FPERIOD_OVERRIDE=FY","FILING_STATUS=MR","Sort=A","Dates=H","DateFormat=P","Fill=—","Direction=H","UseDPDF=Y")</f>
        <v>—</v>
      </c>
      <c r="F10" s="13" t="str">
        <f>_xll.BDH("ASIX US Equity","GOVERNANCE_SCORE","FY 2019","FY 2019","Currency=USD","Period=FY","BEST_FPERIOD_OVERRIDE=FY","FILING_STATUS=MR","Sort=A","Dates=H","DateFormat=P","Fill=—","Direction=H","UseDPDF=Y")</f>
        <v>—</v>
      </c>
      <c r="G10" s="13" t="str">
        <f>_xll.BDH("ASIX US Equity","GOVERNANCE_SCORE","FY 2020","FY 2020","Currency=USD","Period=FY","BEST_FPERIOD_OVERRIDE=FY","FILING_STATUS=MR","Sort=A","Dates=H","DateFormat=P","Fill=—","Direction=H","UseDPDF=Y")</f>
        <v>—</v>
      </c>
      <c r="H10" s="13">
        <f>_xll.BDH("ASIX US Equity","GOVERNANCE_SCORE","FY 2021","FY 2021","Currency=USD","Period=FY","BEST_FPERIOD_OVERRIDE=FY","FILING_STATUS=MR","Sort=A","Dates=H","DateFormat=P","Fill=—","Direction=H","UseDPDF=Y")</f>
        <v>8.15</v>
      </c>
      <c r="I10" s="13" t="str">
        <f>_xll.BDH("ASIX US Equity","GOVERNANCE_SCORE","FY 2022","FY 2022","Currency=USD","Period=FY","BEST_FPERIOD_OVERRIDE=FY","FILING_STATUS=MR","Sort=A","Dates=H","DateFormat=P","Fill=—","Direction=H","UseDPDF=Y")</f>
        <v>—</v>
      </c>
    </row>
    <row r="11" spans="1:9">
      <c r="A11" s="10"/>
      <c r="B11" s="11"/>
      <c r="C11" s="11"/>
      <c r="D11" s="11"/>
      <c r="E11" s="11"/>
      <c r="F11" s="11"/>
      <c r="G11" s="11"/>
      <c r="H11" s="11"/>
      <c r="I11" s="11"/>
    </row>
    <row r="12" spans="1:9">
      <c r="A12" s="10" t="s">
        <v>26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6" t="s">
        <v>27</v>
      </c>
      <c r="B13" s="6" t="s">
        <v>28</v>
      </c>
      <c r="C13" s="15">
        <f>_xll.BDH("ASIX US Equity","ESG_DISCLOSURE_SCORE","FY 2016","FY 2016","Currency=USD","Period=FY","BEST_FPERIOD_OVERRIDE=FY","FILING_STATUS=MR","Sort=A","Dates=H","DateFormat=P","Fill=—","Direction=H","UseDPDF=Y")</f>
        <v>31.9284</v>
      </c>
      <c r="D13" s="15">
        <f>_xll.BDH("ASIX US Equity","ESG_DISCLOSURE_SCORE","FY 2017","FY 2017","Currency=USD","Period=FY","BEST_FPERIOD_OVERRIDE=FY","FILING_STATUS=MR","Sort=A","Dates=H","DateFormat=P","Fill=—","Direction=H","UseDPDF=Y")</f>
        <v>44.5428</v>
      </c>
      <c r="E13" s="15">
        <f>_xll.BDH("ASIX US Equity","ESG_DISCLOSURE_SCORE","FY 2018","FY 2018","Currency=USD","Period=FY","BEST_FPERIOD_OVERRIDE=FY","FILING_STATUS=MR","Sort=A","Dates=H","DateFormat=P","Fill=—","Direction=H","UseDPDF=Y")</f>
        <v>43.375900000000001</v>
      </c>
      <c r="F13" s="15">
        <f>_xll.BDH("ASIX US Equity","ESG_DISCLOSURE_SCORE","FY 2019","FY 2019","Currency=USD","Period=FY","BEST_FPERIOD_OVERRIDE=FY","FILING_STATUS=MR","Sort=A","Dates=H","DateFormat=P","Fill=—","Direction=H","UseDPDF=Y")</f>
        <v>46.504399999999997</v>
      </c>
      <c r="G13" s="15">
        <f>_xll.BDH("ASIX US Equity","ESG_DISCLOSURE_SCORE","FY 2020","FY 2020","Currency=USD","Period=FY","BEST_FPERIOD_OVERRIDE=FY","FILING_STATUS=MR","Sort=A","Dates=H","DateFormat=P","Fill=—","Direction=H","UseDPDF=Y")</f>
        <v>46.504399999999997</v>
      </c>
      <c r="H13" s="15">
        <f>_xll.BDH("ASIX US Equity","ESG_DISCLOSURE_SCORE","FY 2021","FY 2021","Currency=USD","Period=FY","BEST_FPERIOD_OVERRIDE=FY","FILING_STATUS=MR","Sort=A","Dates=H","DateFormat=P","Fill=—","Direction=H","UseDPDF=Y")</f>
        <v>58.9679</v>
      </c>
      <c r="I13" s="15">
        <f>_xll.BDH("ASIX US Equity","ESG_DISCLOSURE_SCORE","FY 2022","FY 2022","Currency=USD","Period=FY","BEST_FPERIOD_OVERRIDE=FY","FILING_STATUS=MR","Sort=A","Dates=H","DateFormat=P","Fill=—","Direction=H","UseDPDF=Y")</f>
        <v>73.403099999999995</v>
      </c>
    </row>
    <row r="14" spans="1:9">
      <c r="A14" s="10" t="s">
        <v>29</v>
      </c>
      <c r="B14" s="10" t="s">
        <v>30</v>
      </c>
      <c r="C14" s="13">
        <f>_xll.BDH("ASIX US Equity","ENVIRON_DISCLOSURE_SCORE","FY 2016","FY 2016","Currency=USD","Period=FY","BEST_FPERIOD_OVERRIDE=FY","FILING_STATUS=MR","Sort=A","Dates=H","DateFormat=P","Fill=—","Direction=H","UseDPDF=Y")</f>
        <v>0.42280000000000001</v>
      </c>
      <c r="D14" s="13">
        <f>_xll.BDH("ASIX US Equity","ENVIRON_DISCLOSURE_SCORE","FY 2017","FY 2017","Currency=USD","Period=FY","BEST_FPERIOD_OVERRIDE=FY","FILING_STATUS=MR","Sort=A","Dates=H","DateFormat=P","Fill=—","Direction=H","UseDPDF=Y")</f>
        <v>16.4603</v>
      </c>
      <c r="E14" s="13">
        <f>_xll.BDH("ASIX US Equity","ENVIRON_DISCLOSURE_SCORE","FY 2018","FY 2018","Currency=USD","Period=FY","BEST_FPERIOD_OVERRIDE=FY","FILING_STATUS=MR","Sort=A","Dates=H","DateFormat=P","Fill=—","Direction=H","UseDPDF=Y")</f>
        <v>17.124700000000001</v>
      </c>
      <c r="F14" s="13">
        <f>_xll.BDH("ASIX US Equity","ENVIRON_DISCLOSURE_SCORE","FY 2019","FY 2019","Currency=USD","Period=FY","BEST_FPERIOD_OVERRIDE=FY","FILING_STATUS=MR","Sort=A","Dates=H","DateFormat=P","Fill=—","Direction=H","UseDPDF=Y")</f>
        <v>17.124700000000001</v>
      </c>
      <c r="G14" s="13">
        <f>_xll.BDH("ASIX US Equity","ENVIRON_DISCLOSURE_SCORE","FY 2020","FY 2020","Currency=USD","Period=FY","BEST_FPERIOD_OVERRIDE=FY","FILING_STATUS=MR","Sort=A","Dates=H","DateFormat=P","Fill=—","Direction=H","UseDPDF=Y")</f>
        <v>17.124700000000001</v>
      </c>
      <c r="H14" s="13">
        <f>_xll.BDH("ASIX US Equity","ENVIRON_DISCLOSURE_SCORE","FY 2021","FY 2021","Currency=USD","Period=FY","BEST_FPERIOD_OVERRIDE=FY","FILING_STATUS=MR","Sort=A","Dates=H","DateFormat=P","Fill=—","Direction=H","UseDPDF=Y")</f>
        <v>43.370600000000003</v>
      </c>
      <c r="I14" s="13">
        <f>_xll.BDH("ASIX US Equity","ENVIRON_DISCLOSURE_SCORE","FY 2022","FY 2022","Currency=USD","Period=FY","BEST_FPERIOD_OVERRIDE=FY","FILING_STATUS=MR","Sort=A","Dates=H","DateFormat=P","Fill=—","Direction=H","UseDPDF=Y")</f>
        <v>73.421899999999994</v>
      </c>
    </row>
    <row r="15" spans="1:9">
      <c r="A15" s="10" t="s">
        <v>31</v>
      </c>
      <c r="B15" s="10" t="s">
        <v>32</v>
      </c>
      <c r="C15" s="13">
        <f>_xll.BDH("ASIX US Equity","SOCIAL_DISCLOSURE_SCORE","FY 2016","FY 2016","Currency=USD","Period=FY","BEST_FPERIOD_OVERRIDE=FY","FILING_STATUS=MR","Sort=A","Dates=H","DateFormat=P","Fill=—","Direction=H","UseDPDF=Y")</f>
        <v>10.1874</v>
      </c>
      <c r="D15" s="13">
        <f>_xll.BDH("ASIX US Equity","SOCIAL_DISCLOSURE_SCORE","FY 2017","FY 2017","Currency=USD","Period=FY","BEST_FPERIOD_OVERRIDE=FY","FILING_STATUS=MR","Sort=A","Dates=H","DateFormat=P","Fill=—","Direction=H","UseDPDF=Y")</f>
        <v>35.822200000000002</v>
      </c>
      <c r="E15" s="13">
        <f>_xll.BDH("ASIX US Equity","SOCIAL_DISCLOSURE_SCORE","FY 2018","FY 2018","Currency=USD","Period=FY","BEST_FPERIOD_OVERRIDE=FY","FILING_STATUS=MR","Sort=A","Dates=H","DateFormat=P","Fill=—","Direction=H","UseDPDF=Y")</f>
        <v>31.650500000000001</v>
      </c>
      <c r="F15" s="13">
        <f>_xll.BDH("ASIX US Equity","SOCIAL_DISCLOSURE_SCORE","FY 2019","FY 2019","Currency=USD","Period=FY","BEST_FPERIOD_OVERRIDE=FY","FILING_STATUS=MR","Sort=A","Dates=H","DateFormat=P","Fill=—","Direction=H","UseDPDF=Y")</f>
        <v>28.476400000000002</v>
      </c>
      <c r="G15" s="13">
        <f>_xll.BDH("ASIX US Equity","SOCIAL_DISCLOSURE_SCORE","FY 2020","FY 2020","Currency=USD","Period=FY","BEST_FPERIOD_OVERRIDE=FY","FILING_STATUS=MR","Sort=A","Dates=H","DateFormat=P","Fill=—","Direction=H","UseDPDF=Y")</f>
        <v>28.476400000000002</v>
      </c>
      <c r="H15" s="13">
        <f>_xll.BDH("ASIX US Equity","SOCIAL_DISCLOSURE_SCORE","FY 2021","FY 2021","Currency=USD","Period=FY","BEST_FPERIOD_OVERRIDE=FY","FILING_STATUS=MR","Sort=A","Dates=H","DateFormat=P","Fill=—","Direction=H","UseDPDF=Y")</f>
        <v>39.6614</v>
      </c>
      <c r="I15" s="13">
        <f>_xll.BDH("ASIX US Equity","SOCIAL_DISCLOSURE_SCORE","FY 2022","FY 2022","Currency=USD","Period=FY","BEST_FPERIOD_OVERRIDE=FY","FILING_STATUS=MR","Sort=A","Dates=H","DateFormat=P","Fill=—","Direction=H","UseDPDF=Y")</f>
        <v>46.674700000000001</v>
      </c>
    </row>
    <row r="16" spans="1:9">
      <c r="A16" s="10" t="s">
        <v>33</v>
      </c>
      <c r="B16" s="10" t="s">
        <v>34</v>
      </c>
      <c r="C16" s="13">
        <f>_xll.BDH("ASIX US Equity","GOVNCE_DISCLOSURE_SCORE","FY 2016","FY 2016","Currency=USD","Period=FY","BEST_FPERIOD_OVERRIDE=FY","FILING_STATUS=MR","Sort=A","Dates=H","DateFormat=P","Fill=—","Direction=H","UseDPDF=Y")</f>
        <v>84.978899999999996</v>
      </c>
      <c r="D16" s="13">
        <f>_xll.BDH("ASIX US Equity","GOVNCE_DISCLOSURE_SCORE","FY 2017","FY 2017","Currency=USD","Period=FY","BEST_FPERIOD_OVERRIDE=FY","FILING_STATUS=MR","Sort=A","Dates=H","DateFormat=P","Fill=—","Direction=H","UseDPDF=Y")</f>
        <v>81.216099999999997</v>
      </c>
      <c r="E16" s="13">
        <f>_xll.BDH("ASIX US Equity","GOVNCE_DISCLOSURE_SCORE","FY 2018","FY 2018","Currency=USD","Period=FY","BEST_FPERIOD_OVERRIDE=FY","FILING_STATUS=MR","Sort=A","Dates=H","DateFormat=P","Fill=—","Direction=H","UseDPDF=Y")</f>
        <v>81.216099999999997</v>
      </c>
      <c r="F16" s="13">
        <f>_xll.BDH("ASIX US Equity","GOVNCE_DISCLOSURE_SCORE","FY 2019","FY 2019","Currency=USD","Period=FY","BEST_FPERIOD_OVERRIDE=FY","FILING_STATUS=MR","Sort=A","Dates=H","DateFormat=P","Fill=—","Direction=H","UseDPDF=Y")</f>
        <v>93.738699999999994</v>
      </c>
      <c r="G16" s="13">
        <f>_xll.BDH("ASIX US Equity","GOVNCE_DISCLOSURE_SCORE","FY 2020","FY 2020","Currency=USD","Period=FY","BEST_FPERIOD_OVERRIDE=FY","FILING_STATUS=MR","Sort=A","Dates=H","DateFormat=P","Fill=—","Direction=H","UseDPDF=Y")</f>
        <v>93.738699999999994</v>
      </c>
      <c r="H16" s="13">
        <f>_xll.BDH("ASIX US Equity","GOVNCE_DISCLOSURE_SCORE","FY 2021","FY 2021","Currency=USD","Period=FY","BEST_FPERIOD_OVERRIDE=FY","FILING_STATUS=MR","Sort=A","Dates=H","DateFormat=P","Fill=—","Direction=H","UseDPDF=Y")</f>
        <v>93.738699999999994</v>
      </c>
      <c r="I16" s="13">
        <f>_xll.BDH("ASIX US Equity","GOVNCE_DISCLOSURE_SCORE","FY 2022","FY 2022","Currency=USD","Period=FY","BEST_FPERIOD_OVERRIDE=FY","FILING_STATUS=MR","Sort=A","Dates=H","DateFormat=P","Fill=—","Direction=H","UseDPDF=Y")</f>
        <v>100</v>
      </c>
    </row>
    <row r="17" spans="1:9">
      <c r="A17" s="10"/>
      <c r="B17" s="11"/>
      <c r="C17" s="11"/>
      <c r="D17" s="11"/>
      <c r="E17" s="11"/>
      <c r="F17" s="11"/>
      <c r="G17" s="11"/>
      <c r="H17" s="11"/>
      <c r="I17" s="11"/>
    </row>
    <row r="18" spans="1:9">
      <c r="A18" s="6" t="s">
        <v>35</v>
      </c>
      <c r="B18" s="14"/>
      <c r="C18" s="14"/>
      <c r="D18" s="14"/>
      <c r="E18" s="14"/>
      <c r="F18" s="14"/>
      <c r="G18" s="14"/>
      <c r="H18" s="14"/>
      <c r="I18" s="14"/>
    </row>
    <row r="19" spans="1:9">
      <c r="A19" s="10" t="s">
        <v>36</v>
      </c>
      <c r="B19" s="11"/>
      <c r="C19" s="11"/>
      <c r="D19" s="11"/>
      <c r="E19" s="11"/>
      <c r="F19" s="11"/>
      <c r="G19" s="11"/>
      <c r="H19" s="11"/>
      <c r="I19" s="11"/>
    </row>
    <row r="20" spans="1:9">
      <c r="A20" s="10" t="s">
        <v>37</v>
      </c>
      <c r="B20" s="10" t="s">
        <v>38</v>
      </c>
      <c r="C20" s="12" t="str">
        <f>_xll.BDH("ASIX US Equity","NOX_EMISSIONS","FY 2016","FY 2016","Currency=USD","Period=FY","BEST_FPERIOD_OVERRIDE=FY","FILING_STATUS=MR","Sort=A","Dates=H","DateFormat=P","Fill=—","Direction=H","UseDPDF=Y")</f>
        <v>—</v>
      </c>
      <c r="D20" s="12" t="str">
        <f>_xll.BDH("ASIX US Equity","NOX_EMISSIONS","FY 2017","FY 2017","Currency=USD","Period=FY","BEST_FPERIOD_OVERRIDE=FY","FILING_STATUS=MR","Sort=A","Dates=H","DateFormat=P","Fill=—","Direction=H","UseDPDF=Y")</f>
        <v>—</v>
      </c>
      <c r="E20" s="12" t="str">
        <f>_xll.BDH("ASIX US Equity","NOX_EMISSIONS","FY 2018","FY 2018","Currency=USD","Period=FY","BEST_FPERIOD_OVERRIDE=FY","FILING_STATUS=MR","Sort=A","Dates=H","DateFormat=P","Fill=—","Direction=H","UseDPDF=Y")</f>
        <v>—</v>
      </c>
      <c r="F20" s="12" t="str">
        <f>_xll.BDH("ASIX US Equity","NOX_EMISSIONS","FY 2019","FY 2019","Currency=USD","Period=FY","BEST_FPERIOD_OVERRIDE=FY","FILING_STATUS=MR","Sort=A","Dates=H","DateFormat=P","Fill=—","Direction=H","UseDPDF=Y")</f>
        <v>—</v>
      </c>
      <c r="G20" s="12" t="str">
        <f>_xll.BDH("ASIX US Equity","NOX_EMISSIONS","FY 2020","FY 2020","Currency=USD","Period=FY","BEST_FPERIOD_OVERRIDE=FY","FILING_STATUS=MR","Sort=A","Dates=H","DateFormat=P","Fill=—","Direction=H","UseDPDF=Y")</f>
        <v>—</v>
      </c>
      <c r="H20" s="12" t="str">
        <f>_xll.BDH("ASIX US Equity","NOX_EMISSIONS","FY 2021","FY 2021","Currency=USD","Period=FY","BEST_FPERIOD_OVERRIDE=FY","FILING_STATUS=MR","Sort=A","Dates=H","DateFormat=P","Fill=—","Direction=H","UseDPDF=Y")</f>
        <v>—</v>
      </c>
      <c r="I20" s="12">
        <f>_xll.BDH("ASIX US Equity","NOX_EMISSIONS","FY 2022","FY 2022","Currency=USD","Period=FY","BEST_FPERIOD_OVERRIDE=FY","FILING_STATUS=MR","Sort=A","Dates=H","DateFormat=P","Fill=—","Direction=H","UseDPDF=Y")</f>
        <v>1.8140000000000001</v>
      </c>
    </row>
    <row r="21" spans="1:9">
      <c r="A21" s="10" t="s">
        <v>39</v>
      </c>
      <c r="B21" s="10" t="s">
        <v>40</v>
      </c>
      <c r="C21" s="12" t="str">
        <f>_xll.BDH("ASIX US Equity","VOC_EMISSIONS","FY 2016","FY 2016","Currency=USD","Period=FY","BEST_FPERIOD_OVERRIDE=FY","FILING_STATUS=MR","Sort=A","Dates=H","DateFormat=P","Fill=—","Direction=H","UseDPDF=Y")</f>
        <v>—</v>
      </c>
      <c r="D21" s="12" t="str">
        <f>_xll.BDH("ASIX US Equity","VOC_EMISSIONS","FY 2017","FY 2017","Currency=USD","Period=FY","BEST_FPERIOD_OVERRIDE=FY","FILING_STATUS=MR","Sort=A","Dates=H","DateFormat=P","Fill=—","Direction=H","UseDPDF=Y")</f>
        <v>—</v>
      </c>
      <c r="E21" s="12" t="str">
        <f>_xll.BDH("ASIX US Equity","VOC_EMISSIONS","FY 2018","FY 2018","Currency=USD","Period=FY","BEST_FPERIOD_OVERRIDE=FY","FILING_STATUS=MR","Sort=A","Dates=H","DateFormat=P","Fill=—","Direction=H","UseDPDF=Y")</f>
        <v>—</v>
      </c>
      <c r="F21" s="12" t="str">
        <f>_xll.BDH("ASIX US Equity","VOC_EMISSIONS","FY 2019","FY 2019","Currency=USD","Period=FY","BEST_FPERIOD_OVERRIDE=FY","FILING_STATUS=MR","Sort=A","Dates=H","DateFormat=P","Fill=—","Direction=H","UseDPDF=Y")</f>
        <v>—</v>
      </c>
      <c r="G21" s="12" t="str">
        <f>_xll.BDH("ASIX US Equity","VOC_EMISSIONS","FY 2020","FY 2020","Currency=USD","Period=FY","BEST_FPERIOD_OVERRIDE=FY","FILING_STATUS=MR","Sort=A","Dates=H","DateFormat=P","Fill=—","Direction=H","UseDPDF=Y")</f>
        <v>—</v>
      </c>
      <c r="H21" s="12" t="str">
        <f>_xll.BDH("ASIX US Equity","VOC_EMISSIONS","FY 2021","FY 2021","Currency=USD","Period=FY","BEST_FPERIOD_OVERRIDE=FY","FILING_STATUS=MR","Sort=A","Dates=H","DateFormat=P","Fill=—","Direction=H","UseDPDF=Y")</f>
        <v>—</v>
      </c>
      <c r="I21" s="12">
        <f>_xll.BDH("ASIX US Equity","VOC_EMISSIONS","FY 2022","FY 2022","Currency=USD","Period=FY","BEST_FPERIOD_OVERRIDE=FY","FILING_STATUS=MR","Sort=A","Dates=H","DateFormat=P","Fill=—","Direction=H","UseDPDF=Y")</f>
        <v>0.32700000000000001</v>
      </c>
    </row>
    <row r="22" spans="1:9">
      <c r="A22" s="10" t="s">
        <v>41</v>
      </c>
      <c r="B22" s="10" t="s">
        <v>42</v>
      </c>
      <c r="C22" s="12" t="str">
        <f>_xll.BDH("ASIX US Equity","CARBON_MONOXIDE_EMISSIONS","FY 2016","FY 2016","Currency=USD","Period=FY","BEST_FPERIOD_OVERRIDE=FY","FILING_STATUS=MR","Sort=A","Dates=H","DateFormat=P","Fill=—","Direction=H","UseDPDF=Y")</f>
        <v>—</v>
      </c>
      <c r="D22" s="12" t="str">
        <f>_xll.BDH("ASIX US Equity","CARBON_MONOXIDE_EMISSIONS","FY 2017","FY 2017","Currency=USD","Period=FY","BEST_FPERIOD_OVERRIDE=FY","FILING_STATUS=MR","Sort=A","Dates=H","DateFormat=P","Fill=—","Direction=H","UseDPDF=Y")</f>
        <v>—</v>
      </c>
      <c r="E22" s="12" t="str">
        <f>_xll.BDH("ASIX US Equity","CARBON_MONOXIDE_EMISSIONS","FY 2018","FY 2018","Currency=USD","Period=FY","BEST_FPERIOD_OVERRIDE=FY","FILING_STATUS=MR","Sort=A","Dates=H","DateFormat=P","Fill=—","Direction=H","UseDPDF=Y")</f>
        <v>—</v>
      </c>
      <c r="F22" s="12" t="str">
        <f>_xll.BDH("ASIX US Equity","CARBON_MONOXIDE_EMISSIONS","FY 2019","FY 2019","Currency=USD","Period=FY","BEST_FPERIOD_OVERRIDE=FY","FILING_STATUS=MR","Sort=A","Dates=H","DateFormat=P","Fill=—","Direction=H","UseDPDF=Y")</f>
        <v>—</v>
      </c>
      <c r="G22" s="12" t="str">
        <f>_xll.BDH("ASIX US Equity","CARBON_MONOXIDE_EMISSIONS","FY 2020","FY 2020","Currency=USD","Period=FY","BEST_FPERIOD_OVERRIDE=FY","FILING_STATUS=MR","Sort=A","Dates=H","DateFormat=P","Fill=—","Direction=H","UseDPDF=Y")</f>
        <v>—</v>
      </c>
      <c r="H22" s="12" t="str">
        <f>_xll.BDH("ASIX US Equity","CARBON_MONOXIDE_EMISSIONS","FY 2021","FY 2021","Currency=USD","Period=FY","BEST_FPERIOD_OVERRIDE=FY","FILING_STATUS=MR","Sort=A","Dates=H","DateFormat=P","Fill=—","Direction=H","UseDPDF=Y")</f>
        <v>—</v>
      </c>
      <c r="I22" s="12">
        <f>_xll.BDH("ASIX US Equity","CARBON_MONOXIDE_EMISSIONS","FY 2022","FY 2022","Currency=USD","Period=FY","BEST_FPERIOD_OVERRIDE=FY","FILING_STATUS=MR","Sort=A","Dates=H","DateFormat=P","Fill=—","Direction=H","UseDPDF=Y")</f>
        <v>0.33</v>
      </c>
    </row>
    <row r="23" spans="1:9">
      <c r="A23" s="10" t="s">
        <v>43</v>
      </c>
      <c r="B23" s="10" t="s">
        <v>44</v>
      </c>
      <c r="C23" s="12" t="str">
        <f>_xll.BDH("ASIX US Equity","PARTICULATE_EMISSIONS","FY 2016","FY 2016","Currency=USD","Period=FY","BEST_FPERIOD_OVERRIDE=FY","FILING_STATUS=MR","Sort=A","Dates=H","DateFormat=P","Fill=—","Direction=H","UseDPDF=Y")</f>
        <v>—</v>
      </c>
      <c r="D23" s="12" t="str">
        <f>_xll.BDH("ASIX US Equity","PARTICULATE_EMISSIONS","FY 2017","FY 2017","Currency=USD","Period=FY","BEST_FPERIOD_OVERRIDE=FY","FILING_STATUS=MR","Sort=A","Dates=H","DateFormat=P","Fill=—","Direction=H","UseDPDF=Y")</f>
        <v>—</v>
      </c>
      <c r="E23" s="12" t="str">
        <f>_xll.BDH("ASIX US Equity","PARTICULATE_EMISSIONS","FY 2018","FY 2018","Currency=USD","Period=FY","BEST_FPERIOD_OVERRIDE=FY","FILING_STATUS=MR","Sort=A","Dates=H","DateFormat=P","Fill=—","Direction=H","UseDPDF=Y")</f>
        <v>—</v>
      </c>
      <c r="F23" s="12" t="str">
        <f>_xll.BDH("ASIX US Equity","PARTICULATE_EMISSIONS","FY 2019","FY 2019","Currency=USD","Period=FY","BEST_FPERIOD_OVERRIDE=FY","FILING_STATUS=MR","Sort=A","Dates=H","DateFormat=P","Fill=—","Direction=H","UseDPDF=Y")</f>
        <v>—</v>
      </c>
      <c r="G23" s="12" t="str">
        <f>_xll.BDH("ASIX US Equity","PARTICULATE_EMISSIONS","FY 2020","FY 2020","Currency=USD","Period=FY","BEST_FPERIOD_OVERRIDE=FY","FILING_STATUS=MR","Sort=A","Dates=H","DateFormat=P","Fill=—","Direction=H","UseDPDF=Y")</f>
        <v>—</v>
      </c>
      <c r="H23" s="12" t="str">
        <f>_xll.BDH("ASIX US Equity","PARTICULATE_EMISSIONS","FY 2021","FY 2021","Currency=USD","Period=FY","BEST_FPERIOD_OVERRIDE=FY","FILING_STATUS=MR","Sort=A","Dates=H","DateFormat=P","Fill=—","Direction=H","UseDPDF=Y")</f>
        <v>—</v>
      </c>
      <c r="I23" s="12">
        <f>_xll.BDH("ASIX US Equity","PARTICULATE_EMISSIONS","FY 2022","FY 2022","Currency=USD","Period=FY","BEST_FPERIOD_OVERRIDE=FY","FILING_STATUS=MR","Sort=A","Dates=H","DateFormat=P","Fill=—","Direction=H","UseDPDF=Y")</f>
        <v>222</v>
      </c>
    </row>
    <row r="24" spans="1:9">
      <c r="A24" s="10" t="s">
        <v>45</v>
      </c>
      <c r="B24" s="10" t="s">
        <v>46</v>
      </c>
      <c r="C24" s="12" t="str">
        <f>_xll.BDH("ASIX US Equity","SULPHUR_DIOXIDE_SULPHUR_OXIDE_EM","FY 2016","FY 2016","Currency=USD","Period=FY","BEST_FPERIOD_OVERRIDE=FY","FILING_STATUS=MR","Sort=A","Dates=H","DateFormat=P","Fill=—","Direction=H","UseDPDF=Y")</f>
        <v>—</v>
      </c>
      <c r="D24" s="12" t="str">
        <f>_xll.BDH("ASIX US Equity","SULPHUR_DIOXIDE_SULPHUR_OXIDE_EM","FY 2017","FY 2017","Currency=USD","Period=FY","BEST_FPERIOD_OVERRIDE=FY","FILING_STATUS=MR","Sort=A","Dates=H","DateFormat=P","Fill=—","Direction=H","UseDPDF=Y")</f>
        <v>—</v>
      </c>
      <c r="E24" s="12" t="str">
        <f>_xll.BDH("ASIX US Equity","SULPHUR_DIOXIDE_SULPHUR_OXIDE_EM","FY 2018","FY 2018","Currency=USD","Period=FY","BEST_FPERIOD_OVERRIDE=FY","FILING_STATUS=MR","Sort=A","Dates=H","DateFormat=P","Fill=—","Direction=H","UseDPDF=Y")</f>
        <v>—</v>
      </c>
      <c r="F24" s="12" t="str">
        <f>_xll.BDH("ASIX US Equity","SULPHUR_DIOXIDE_SULPHUR_OXIDE_EM","FY 2019","FY 2019","Currency=USD","Period=FY","BEST_FPERIOD_OVERRIDE=FY","FILING_STATUS=MR","Sort=A","Dates=H","DateFormat=P","Fill=—","Direction=H","UseDPDF=Y")</f>
        <v>—</v>
      </c>
      <c r="G24" s="12" t="str">
        <f>_xll.BDH("ASIX US Equity","SULPHUR_DIOXIDE_SULPHUR_OXIDE_EM","FY 2020","FY 2020","Currency=USD","Period=FY","BEST_FPERIOD_OVERRIDE=FY","FILING_STATUS=MR","Sort=A","Dates=H","DateFormat=P","Fill=—","Direction=H","UseDPDF=Y")</f>
        <v>—</v>
      </c>
      <c r="H24" s="12" t="str">
        <f>_xll.BDH("ASIX US Equity","SULPHUR_DIOXIDE_SULPHUR_OXIDE_EM","FY 2021","FY 2021","Currency=USD","Period=FY","BEST_FPERIOD_OVERRIDE=FY","FILING_STATUS=MR","Sort=A","Dates=H","DateFormat=P","Fill=—","Direction=H","UseDPDF=Y")</f>
        <v>—</v>
      </c>
      <c r="I24" s="12">
        <f>_xll.BDH("ASIX US Equity","SULPHUR_DIOXIDE_SULPHUR_OXIDE_EM","FY 2022","FY 2022","Currency=USD","Period=FY","BEST_FPERIOD_OVERRIDE=FY","FILING_STATUS=MR","Sort=A","Dates=H","DateFormat=P","Fill=—","Direction=H","UseDPDF=Y")</f>
        <v>0.188</v>
      </c>
    </row>
    <row r="25" spans="1:9">
      <c r="A25" s="10"/>
      <c r="B25" s="11"/>
      <c r="C25" s="11"/>
      <c r="D25" s="11"/>
      <c r="E25" s="11"/>
      <c r="F25" s="11"/>
      <c r="G25" s="11"/>
      <c r="H25" s="11"/>
      <c r="I25" s="11"/>
    </row>
    <row r="26" spans="1:9">
      <c r="A26" s="10" t="s">
        <v>47</v>
      </c>
      <c r="B26" s="11"/>
      <c r="C26" s="11"/>
      <c r="D26" s="11"/>
      <c r="E26" s="11"/>
      <c r="F26" s="11"/>
      <c r="G26" s="11"/>
      <c r="H26" s="11"/>
      <c r="I26" s="11"/>
    </row>
    <row r="27" spans="1:9">
      <c r="A27" s="10" t="s">
        <v>48</v>
      </c>
      <c r="B27" s="10" t="s">
        <v>49</v>
      </c>
      <c r="C27" s="11" t="s">
        <v>50</v>
      </c>
      <c r="D27" s="11" t="s">
        <v>51</v>
      </c>
      <c r="E27" s="11" t="s">
        <v>51</v>
      </c>
      <c r="F27" s="11" t="s">
        <v>51</v>
      </c>
      <c r="G27" s="11" t="s">
        <v>51</v>
      </c>
      <c r="H27" s="11" t="s">
        <v>51</v>
      </c>
      <c r="I27" s="11" t="s">
        <v>51</v>
      </c>
    </row>
    <row r="28" spans="1:9">
      <c r="A28" s="10" t="s">
        <v>52</v>
      </c>
      <c r="B28" s="10" t="s">
        <v>53</v>
      </c>
      <c r="C28" s="11" t="s">
        <v>50</v>
      </c>
      <c r="D28" s="11" t="s">
        <v>50</v>
      </c>
      <c r="E28" s="11" t="s">
        <v>51</v>
      </c>
      <c r="F28" s="11" t="s">
        <v>51</v>
      </c>
      <c r="G28" s="11" t="s">
        <v>51</v>
      </c>
      <c r="H28" s="11" t="s">
        <v>51</v>
      </c>
      <c r="I28" s="11" t="s">
        <v>51</v>
      </c>
    </row>
    <row r="29" spans="1:9">
      <c r="A29" s="10" t="s">
        <v>54</v>
      </c>
      <c r="B29" s="10" t="s">
        <v>55</v>
      </c>
      <c r="C29" s="11" t="s">
        <v>50</v>
      </c>
      <c r="D29" s="11" t="s">
        <v>50</v>
      </c>
      <c r="E29" s="11" t="s">
        <v>50</v>
      </c>
      <c r="F29" s="11" t="s">
        <v>50</v>
      </c>
      <c r="G29" s="11" t="s">
        <v>50</v>
      </c>
      <c r="H29" s="11" t="s">
        <v>50</v>
      </c>
      <c r="I29" s="11" t="s">
        <v>50</v>
      </c>
    </row>
    <row r="30" spans="1:9">
      <c r="A30" s="10" t="s">
        <v>56</v>
      </c>
      <c r="B30" s="10" t="s">
        <v>57</v>
      </c>
      <c r="C30" s="11" t="s">
        <v>50</v>
      </c>
      <c r="D30" s="11" t="s">
        <v>50</v>
      </c>
      <c r="E30" s="11" t="s">
        <v>51</v>
      </c>
      <c r="F30" s="11" t="s">
        <v>51</v>
      </c>
      <c r="G30" s="11" t="s">
        <v>51</v>
      </c>
      <c r="H30" s="11" t="s">
        <v>51</v>
      </c>
      <c r="I30" s="11" t="s">
        <v>51</v>
      </c>
    </row>
    <row r="31" spans="1:9">
      <c r="A31" s="10" t="s">
        <v>58</v>
      </c>
      <c r="B31" s="10" t="s">
        <v>59</v>
      </c>
      <c r="C31" s="12" t="str">
        <f>_xll.BDH("ASIX US Equity","CO2_SCOPE_1","FY 2016","FY 2016","Currency=USD","Period=FY","BEST_FPERIOD_OVERRIDE=FY","FILING_STATUS=MR","Sort=A","Dates=H","DateFormat=P","Fill=—","Direction=H","UseDPDF=Y")</f>
        <v>—</v>
      </c>
      <c r="D31" s="12" t="str">
        <f>_xll.BDH("ASIX US Equity","CO2_SCOPE_1","FY 2017","FY 2017","Currency=USD","Period=FY","BEST_FPERIOD_OVERRIDE=FY","FILING_STATUS=MR","Sort=A","Dates=H","DateFormat=P","Fill=—","Direction=H","UseDPDF=Y")</f>
        <v>—</v>
      </c>
      <c r="E31" s="12" t="str">
        <f>_xll.BDH("ASIX US Equity","CO2_SCOPE_1","FY 2018","FY 2018","Currency=USD","Period=FY","BEST_FPERIOD_OVERRIDE=FY","FILING_STATUS=MR","Sort=A","Dates=H","DateFormat=P","Fill=—","Direction=H","UseDPDF=Y")</f>
        <v>—</v>
      </c>
      <c r="F31" s="12" t="str">
        <f>_xll.BDH("ASIX US Equity","CO2_SCOPE_1","FY 2019","FY 2019","Currency=USD","Period=FY","BEST_FPERIOD_OVERRIDE=FY","FILING_STATUS=MR","Sort=A","Dates=H","DateFormat=P","Fill=—","Direction=H","UseDPDF=Y")</f>
        <v>—</v>
      </c>
      <c r="G31" s="12" t="str">
        <f>_xll.BDH("ASIX US Equity","CO2_SCOPE_1","FY 2020","FY 2020","Currency=USD","Period=FY","BEST_FPERIOD_OVERRIDE=FY","FILING_STATUS=MR","Sort=A","Dates=H","DateFormat=P","Fill=—","Direction=H","UseDPDF=Y")</f>
        <v>—</v>
      </c>
      <c r="H31" s="12" t="str">
        <f>_xll.BDH("ASIX US Equity","CO2_SCOPE_1","FY 2021","FY 2021","Currency=USD","Period=FY","BEST_FPERIOD_OVERRIDE=FY","FILING_STATUS=MR","Sort=A","Dates=H","DateFormat=P","Fill=—","Direction=H","UseDPDF=Y")</f>
        <v>—</v>
      </c>
      <c r="I31" s="12">
        <f>_xll.BDH("ASIX US Equity","CO2_SCOPE_1","FY 2022","FY 2022","Currency=USD","Period=FY","BEST_FPERIOD_OVERRIDE=FY","FILING_STATUS=MR","Sort=A","Dates=H","DateFormat=P","Fill=—","Direction=H","UseDPDF=Y")</f>
        <v>1067.78</v>
      </c>
    </row>
    <row r="32" spans="1:9">
      <c r="A32" s="10" t="s">
        <v>60</v>
      </c>
      <c r="B32" s="10" t="s">
        <v>61</v>
      </c>
      <c r="C32" s="12" t="str">
        <f>_xll.BDH("ASIX US Equity","GHG_SCOPE_1","FY 2016","FY 2016","Currency=USD","Period=FY","BEST_FPERIOD_OVERRIDE=FY","FILING_STATUS=MR","Sort=A","Dates=H","DateFormat=P","Fill=—","Direction=H","UseDPDF=Y")</f>
        <v>—</v>
      </c>
      <c r="D32" s="12" t="str">
        <f>_xll.BDH("ASIX US Equity","GHG_SCOPE_1","FY 2017","FY 2017","Currency=USD","Period=FY","BEST_FPERIOD_OVERRIDE=FY","FILING_STATUS=MR","Sort=A","Dates=H","DateFormat=P","Fill=—","Direction=H","UseDPDF=Y")</f>
        <v>—</v>
      </c>
      <c r="E32" s="12" t="str">
        <f>_xll.BDH("ASIX US Equity","GHG_SCOPE_1","FY 2018","FY 2018","Currency=USD","Period=FY","BEST_FPERIOD_OVERRIDE=FY","FILING_STATUS=MR","Sort=A","Dates=H","DateFormat=P","Fill=—","Direction=H","UseDPDF=Y")</f>
        <v>—</v>
      </c>
      <c r="F32" s="12" t="str">
        <f>_xll.BDH("ASIX US Equity","GHG_SCOPE_1","FY 2019","FY 2019","Currency=USD","Period=FY","BEST_FPERIOD_OVERRIDE=FY","FILING_STATUS=MR","Sort=A","Dates=H","DateFormat=P","Fill=—","Direction=H","UseDPDF=Y")</f>
        <v>—</v>
      </c>
      <c r="G32" s="12" t="str">
        <f>_xll.BDH("ASIX US Equity","GHG_SCOPE_1","FY 2020","FY 2020","Currency=USD","Period=FY","BEST_FPERIOD_OVERRIDE=FY","FILING_STATUS=MR","Sort=A","Dates=H","DateFormat=P","Fill=—","Direction=H","UseDPDF=Y")</f>
        <v>—</v>
      </c>
      <c r="H32" s="12" t="str">
        <f>_xll.BDH("ASIX US Equity","GHG_SCOPE_1","FY 2021","FY 2021","Currency=USD","Period=FY","BEST_FPERIOD_OVERRIDE=FY","FILING_STATUS=MR","Sort=A","Dates=H","DateFormat=P","Fill=—","Direction=H","UseDPDF=Y")</f>
        <v>—</v>
      </c>
      <c r="I32" s="12">
        <f>_xll.BDH("ASIX US Equity","GHG_SCOPE_1","FY 2022","FY 2022","Currency=USD","Period=FY","BEST_FPERIOD_OVERRIDE=FY","FILING_STATUS=MR","Sort=A","Dates=H","DateFormat=P","Fill=—","Direction=H","UseDPDF=Y")</f>
        <v>2049.92</v>
      </c>
    </row>
    <row r="33" spans="1:9">
      <c r="A33" s="10" t="s">
        <v>62</v>
      </c>
      <c r="B33" s="10" t="s">
        <v>63</v>
      </c>
      <c r="C33" s="12" t="str">
        <f>_xll.BDH("ASIX US Equity","GHG_SCOPE_2_LOCATION_BASED","FY 2016","FY 2016","Currency=USD","Period=FY","BEST_FPERIOD_OVERRIDE=FY","FILING_STATUS=MR","Sort=A","Dates=H","DateFormat=P","Fill=—","Direction=H","UseDPDF=Y")</f>
        <v>—</v>
      </c>
      <c r="D33" s="12" t="str">
        <f>_xll.BDH("ASIX US Equity","GHG_SCOPE_2_LOCATION_BASED","FY 2017","FY 2017","Currency=USD","Period=FY","BEST_FPERIOD_OVERRIDE=FY","FILING_STATUS=MR","Sort=A","Dates=H","DateFormat=P","Fill=—","Direction=H","UseDPDF=Y")</f>
        <v>—</v>
      </c>
      <c r="E33" s="12" t="str">
        <f>_xll.BDH("ASIX US Equity","GHG_SCOPE_2_LOCATION_BASED","FY 2018","FY 2018","Currency=USD","Period=FY","BEST_FPERIOD_OVERRIDE=FY","FILING_STATUS=MR","Sort=A","Dates=H","DateFormat=P","Fill=—","Direction=H","UseDPDF=Y")</f>
        <v>—</v>
      </c>
      <c r="F33" s="12" t="str">
        <f>_xll.BDH("ASIX US Equity","GHG_SCOPE_2_LOCATION_BASED","FY 2019","FY 2019","Currency=USD","Period=FY","BEST_FPERIOD_OVERRIDE=FY","FILING_STATUS=MR","Sort=A","Dates=H","DateFormat=P","Fill=—","Direction=H","UseDPDF=Y")</f>
        <v>—</v>
      </c>
      <c r="G33" s="12" t="str">
        <f>_xll.BDH("ASIX US Equity","GHG_SCOPE_2_LOCATION_BASED","FY 2020","FY 2020","Currency=USD","Period=FY","BEST_FPERIOD_OVERRIDE=FY","FILING_STATUS=MR","Sort=A","Dates=H","DateFormat=P","Fill=—","Direction=H","UseDPDF=Y")</f>
        <v>—</v>
      </c>
      <c r="H33" s="12" t="str">
        <f>_xll.BDH("ASIX US Equity","GHG_SCOPE_2_LOCATION_BASED","FY 2021","FY 2021","Currency=USD","Period=FY","BEST_FPERIOD_OVERRIDE=FY","FILING_STATUS=MR","Sort=A","Dates=H","DateFormat=P","Fill=—","Direction=H","UseDPDF=Y")</f>
        <v>—</v>
      </c>
      <c r="I33" s="12">
        <f>_xll.BDH("ASIX US Equity","GHG_SCOPE_2_LOCATION_BASED","FY 2022","FY 2022","Currency=USD","Period=FY","BEST_FPERIOD_OVERRIDE=FY","FILING_STATUS=MR","Sort=A","Dates=H","DateFormat=P","Fill=—","Direction=H","UseDPDF=Y")</f>
        <v>179.64099999999999</v>
      </c>
    </row>
    <row r="34" spans="1:9">
      <c r="A34" s="10" t="s">
        <v>64</v>
      </c>
      <c r="B34" s="10" t="s">
        <v>65</v>
      </c>
      <c r="C34" s="12" t="str">
        <f>_xll.BDH("ASIX US Equity","GHG_SCOPE_3","FY 2016","FY 2016","Currency=USD","Period=FY","BEST_FPERIOD_OVERRIDE=FY","FILING_STATUS=MR","Sort=A","Dates=H","DateFormat=P","Fill=—","Direction=H","UseDPDF=Y")</f>
        <v>—</v>
      </c>
      <c r="D34" s="12" t="str">
        <f>_xll.BDH("ASIX US Equity","GHG_SCOPE_3","FY 2017","FY 2017","Currency=USD","Period=FY","BEST_FPERIOD_OVERRIDE=FY","FILING_STATUS=MR","Sort=A","Dates=H","DateFormat=P","Fill=—","Direction=H","UseDPDF=Y")</f>
        <v>—</v>
      </c>
      <c r="E34" s="12" t="str">
        <f>_xll.BDH("ASIX US Equity","GHG_SCOPE_3","FY 2018","FY 2018","Currency=USD","Period=FY","BEST_FPERIOD_OVERRIDE=FY","FILING_STATUS=MR","Sort=A","Dates=H","DateFormat=P","Fill=—","Direction=H","UseDPDF=Y")</f>
        <v>—</v>
      </c>
      <c r="F34" s="12" t="str">
        <f>_xll.BDH("ASIX US Equity","GHG_SCOPE_3","FY 2019","FY 2019","Currency=USD","Period=FY","BEST_FPERIOD_OVERRIDE=FY","FILING_STATUS=MR","Sort=A","Dates=H","DateFormat=P","Fill=—","Direction=H","UseDPDF=Y")</f>
        <v>—</v>
      </c>
      <c r="G34" s="12" t="str">
        <f>_xll.BDH("ASIX US Equity","GHG_SCOPE_3","FY 2020","FY 2020","Currency=USD","Period=FY","BEST_FPERIOD_OVERRIDE=FY","FILING_STATUS=MR","Sort=A","Dates=H","DateFormat=P","Fill=—","Direction=H","UseDPDF=Y")</f>
        <v>—</v>
      </c>
      <c r="H34" s="12" t="str">
        <f>_xll.BDH("ASIX US Equity","GHG_SCOPE_3","FY 2021","FY 2021","Currency=USD","Period=FY","BEST_FPERIOD_OVERRIDE=FY","FILING_STATUS=MR","Sort=A","Dates=H","DateFormat=P","Fill=—","Direction=H","UseDPDF=Y")</f>
        <v>—</v>
      </c>
      <c r="I34" s="12">
        <f>_xll.BDH("ASIX US Equity","GHG_SCOPE_3","FY 2022","FY 2022","Currency=USD","Period=FY","BEST_FPERIOD_OVERRIDE=FY","FILING_STATUS=MR","Sort=A","Dates=H","DateFormat=P","Fill=—","Direction=H","UseDPDF=Y")</f>
        <v>1228.8</v>
      </c>
    </row>
    <row r="35" spans="1:9">
      <c r="A35" s="10" t="s">
        <v>66</v>
      </c>
      <c r="B35" s="10" t="s">
        <v>67</v>
      </c>
      <c r="C35" s="13" t="str">
        <f>_xll.BDH("ASIX US Equity","SCOPE_OF_DISCLOSURE","FY 2016","FY 2016","Currency=USD","Period=FY","BEST_FPERIOD_OVERRIDE=FY","FILING_STATUS=MR","Sort=A","Dates=H","DateFormat=P","Fill=—","Direction=H","UseDPDF=Y")</f>
        <v>—</v>
      </c>
      <c r="D35" s="13" t="str">
        <f>_xll.BDH("ASIX US Equity","SCOPE_OF_DISCLOSURE","FY 2017","FY 2017","Currency=USD","Period=FY","BEST_FPERIOD_OVERRIDE=FY","FILING_STATUS=MR","Sort=A","Dates=H","DateFormat=P","Fill=—","Direction=H","UseDPDF=Y")</f>
        <v>—</v>
      </c>
      <c r="E35" s="13" t="str">
        <f>_xll.BDH("ASIX US Equity","SCOPE_OF_DISCLOSURE","FY 2018","FY 2018","Currency=USD","Period=FY","BEST_FPERIOD_OVERRIDE=FY","FILING_STATUS=MR","Sort=A","Dates=H","DateFormat=P","Fill=—","Direction=H","UseDPDF=Y")</f>
        <v>—</v>
      </c>
      <c r="F35" s="13" t="str">
        <f>_xll.BDH("ASIX US Equity","SCOPE_OF_DISCLOSURE","FY 2019","FY 2019","Currency=USD","Period=FY","BEST_FPERIOD_OVERRIDE=FY","FILING_STATUS=MR","Sort=A","Dates=H","DateFormat=P","Fill=—","Direction=H","UseDPDF=Y")</f>
        <v>—</v>
      </c>
      <c r="G35" s="13" t="str">
        <f>_xll.BDH("ASIX US Equity","SCOPE_OF_DISCLOSURE","FY 2020","FY 2020","Currency=USD","Period=FY","BEST_FPERIOD_OVERRIDE=FY","FILING_STATUS=MR","Sort=A","Dates=H","DateFormat=P","Fill=—","Direction=H","UseDPDF=Y")</f>
        <v>—</v>
      </c>
      <c r="H35" s="13" t="str">
        <f>_xll.BDH("ASIX US Equity","SCOPE_OF_DISCLOSURE","FY 2021","FY 2021","Currency=USD","Period=FY","BEST_FPERIOD_OVERRIDE=FY","FILING_STATUS=MR","Sort=A","Dates=H","DateFormat=P","Fill=—","Direction=H","UseDPDF=Y")</f>
        <v>—</v>
      </c>
      <c r="I35" s="13">
        <f>_xll.BDH("ASIX US Equity","SCOPE_OF_DISCLOSURE","FY 2022","FY 2022","Currency=USD","Period=FY","BEST_FPERIOD_OVERRIDE=FY","FILING_STATUS=MR","Sort=A","Dates=H","DateFormat=P","Fill=—","Direction=H","UseDPDF=Y")</f>
        <v>1</v>
      </c>
    </row>
    <row r="36" spans="1:9">
      <c r="A36" s="10"/>
      <c r="B36" s="11"/>
      <c r="C36" s="11"/>
      <c r="D36" s="11"/>
      <c r="E36" s="11"/>
      <c r="F36" s="11"/>
      <c r="G36" s="11"/>
      <c r="H36" s="11"/>
      <c r="I36" s="11"/>
    </row>
    <row r="37" spans="1:9">
      <c r="A37" s="10" t="s">
        <v>68</v>
      </c>
      <c r="B37" s="11"/>
      <c r="C37" s="11"/>
      <c r="D37" s="11"/>
      <c r="E37" s="11"/>
      <c r="F37" s="11"/>
      <c r="G37" s="11"/>
      <c r="H37" s="11"/>
      <c r="I37" s="11"/>
    </row>
    <row r="38" spans="1:9">
      <c r="A38" s="10" t="s">
        <v>69</v>
      </c>
      <c r="B38" s="10" t="s">
        <v>70</v>
      </c>
      <c r="C38" s="11" t="s">
        <v>50</v>
      </c>
      <c r="D38" s="11" t="s">
        <v>50</v>
      </c>
      <c r="E38" s="11" t="s">
        <v>50</v>
      </c>
      <c r="F38" s="11" t="s">
        <v>50</v>
      </c>
      <c r="G38" s="11" t="s">
        <v>50</v>
      </c>
      <c r="H38" s="11" t="s">
        <v>50</v>
      </c>
      <c r="I38" s="11" t="s">
        <v>50</v>
      </c>
    </row>
    <row r="39" spans="1:9">
      <c r="A39" s="10" t="s">
        <v>71</v>
      </c>
      <c r="B39" s="10" t="s">
        <v>72</v>
      </c>
      <c r="C39" s="13" t="str">
        <f>_xll.BDH("ASIX US Equity","NUM_ENVIRON_FINES","FY 2016","FY 2016","Currency=USD","Period=FY","BEST_FPERIOD_OVERRIDE=FY","FILING_STATUS=MR","Sort=A","Dates=H","DateFormat=P","Fill=—","Direction=H","UseDPDF=Y")</f>
        <v>—</v>
      </c>
      <c r="D39" s="13" t="str">
        <f>_xll.BDH("ASIX US Equity","NUM_ENVIRON_FINES","FY 2017","FY 2017","Currency=USD","Period=FY","BEST_FPERIOD_OVERRIDE=FY","FILING_STATUS=MR","Sort=A","Dates=H","DateFormat=P","Fill=—","Direction=H","UseDPDF=Y")</f>
        <v>—</v>
      </c>
      <c r="E39" s="13" t="str">
        <f>_xll.BDH("ASIX US Equity","NUM_ENVIRON_FINES","FY 2018","FY 2018","Currency=USD","Period=FY","BEST_FPERIOD_OVERRIDE=FY","FILING_STATUS=MR","Sort=A","Dates=H","DateFormat=P","Fill=—","Direction=H","UseDPDF=Y")</f>
        <v>—</v>
      </c>
      <c r="F39" s="13" t="str">
        <f>_xll.BDH("ASIX US Equity","NUM_ENVIRON_FINES","FY 2019","FY 2019","Currency=USD","Period=FY","BEST_FPERIOD_OVERRIDE=FY","FILING_STATUS=MR","Sort=A","Dates=H","DateFormat=P","Fill=—","Direction=H","UseDPDF=Y")</f>
        <v>—</v>
      </c>
      <c r="G39" s="13" t="str">
        <f>_xll.BDH("ASIX US Equity","NUM_ENVIRON_FINES","FY 2020","FY 2020","Currency=USD","Period=FY","BEST_FPERIOD_OVERRIDE=FY","FILING_STATUS=MR","Sort=A","Dates=H","DateFormat=P","Fill=—","Direction=H","UseDPDF=Y")</f>
        <v>—</v>
      </c>
      <c r="H39" s="13">
        <f>_xll.BDH("ASIX US Equity","NUM_ENVIRON_FINES","FY 2021","FY 2021","Currency=USD","Period=FY","BEST_FPERIOD_OVERRIDE=FY","FILING_STATUS=MR","Sort=A","Dates=H","DateFormat=P","Fill=—","Direction=H","UseDPDF=Y")</f>
        <v>0</v>
      </c>
      <c r="I39" s="13">
        <f>_xll.BDH("ASIX US Equity","NUM_ENVIRON_FINES","FY 2022","FY 2022","Currency=USD","Period=FY","BEST_FPERIOD_OVERRIDE=FY","FILING_STATUS=MR","Sort=A","Dates=H","DateFormat=P","Fill=—","Direction=H","UseDPDF=Y")</f>
        <v>0</v>
      </c>
    </row>
    <row r="40" spans="1:9">
      <c r="A40" s="10" t="s">
        <v>73</v>
      </c>
      <c r="B40" s="10" t="s">
        <v>74</v>
      </c>
      <c r="C40" s="12" t="str">
        <f>_xll.BDH("ASIX US Equity","ENVIRON_FINES_AMT","FY 2016","FY 2016","Currency=USD","Period=FY","BEST_FPERIOD_OVERRIDE=FY","FILING_STATUS=MR","SCALING_FORMAT=MLN","Sort=A","Dates=H","DateFormat=P","Fill=—","Direction=H","UseDPDF=Y")</f>
        <v>—</v>
      </c>
      <c r="D40" s="12" t="str">
        <f>_xll.BDH("ASIX US Equity","ENVIRON_FINES_AMT","FY 2017","FY 2017","Currency=USD","Period=FY","BEST_FPERIOD_OVERRIDE=FY","FILING_STATUS=MR","SCALING_FORMAT=MLN","Sort=A","Dates=H","DateFormat=P","Fill=—","Direction=H","UseDPDF=Y")</f>
        <v>—</v>
      </c>
      <c r="E40" s="12" t="str">
        <f>_xll.BDH("ASIX US Equity","ENVIRON_FINES_AMT","FY 2018","FY 2018","Currency=USD","Period=FY","BEST_FPERIOD_OVERRIDE=FY","FILING_STATUS=MR","SCALING_FORMAT=MLN","Sort=A","Dates=H","DateFormat=P","Fill=—","Direction=H","UseDPDF=Y")</f>
        <v>—</v>
      </c>
      <c r="F40" s="12" t="str">
        <f>_xll.BDH("ASIX US Equity","ENVIRON_FINES_AMT","FY 2019","FY 2019","Currency=USD","Period=FY","BEST_FPERIOD_OVERRIDE=FY","FILING_STATUS=MR","SCALING_FORMAT=MLN","Sort=A","Dates=H","DateFormat=P","Fill=—","Direction=H","UseDPDF=Y")</f>
        <v>—</v>
      </c>
      <c r="G40" s="12" t="str">
        <f>_xll.BDH("ASIX US Equity","ENVIRON_FINES_AMT","FY 2020","FY 2020","Currency=USD","Period=FY","BEST_FPERIOD_OVERRIDE=FY","FILING_STATUS=MR","SCALING_FORMAT=MLN","Sort=A","Dates=H","DateFormat=P","Fill=—","Direction=H","UseDPDF=Y")</f>
        <v>—</v>
      </c>
      <c r="H40" s="12">
        <f>_xll.BDH("ASIX US Equity","ENVIRON_FINES_AMT","FY 2021","FY 2021","Currency=USD","Period=FY","BEST_FPERIOD_OVERRIDE=FY","FILING_STATUS=MR","SCALING_FORMAT=MLN","Sort=A","Dates=H","DateFormat=P","Fill=—","Direction=H","UseDPDF=Y")</f>
        <v>0</v>
      </c>
      <c r="I40" s="12">
        <f>_xll.BDH("ASIX US Equity","ENVIRON_FINES_AMT","FY 2022","FY 2022","Currency=USD","Period=FY","BEST_FPERIOD_OVERRIDE=FY","FILING_STATUS=MR","SCALING_FORMAT=MLN","Sort=A","Dates=H","DateFormat=P","Fill=—","Direction=H","UseDPDF=Y")</f>
        <v>0</v>
      </c>
    </row>
    <row r="41" spans="1:9">
      <c r="A41" s="10"/>
      <c r="B41" s="11"/>
      <c r="C41" s="11"/>
      <c r="D41" s="11"/>
      <c r="E41" s="11"/>
      <c r="F41" s="11"/>
      <c r="G41" s="11"/>
      <c r="H41" s="11"/>
      <c r="I41" s="11"/>
    </row>
    <row r="42" spans="1:9">
      <c r="A42" s="10" t="s">
        <v>75</v>
      </c>
      <c r="B42" s="11"/>
      <c r="C42" s="11"/>
      <c r="D42" s="11"/>
      <c r="E42" s="11"/>
      <c r="F42" s="11"/>
      <c r="G42" s="11"/>
      <c r="H42" s="11"/>
      <c r="I42" s="11"/>
    </row>
    <row r="43" spans="1:9">
      <c r="A43" s="10" t="s">
        <v>76</v>
      </c>
      <c r="B43" s="10" t="s">
        <v>77</v>
      </c>
      <c r="C43" s="11" t="s">
        <v>51</v>
      </c>
      <c r="D43" s="11" t="s">
        <v>51</v>
      </c>
      <c r="E43" s="11" t="s">
        <v>51</v>
      </c>
      <c r="F43" s="11" t="s">
        <v>51</v>
      </c>
      <c r="G43" s="11" t="s">
        <v>51</v>
      </c>
      <c r="H43" s="11" t="s">
        <v>51</v>
      </c>
      <c r="I43" s="11" t="s">
        <v>51</v>
      </c>
    </row>
    <row r="44" spans="1:9">
      <c r="A44" s="10" t="s">
        <v>78</v>
      </c>
      <c r="B44" s="10" t="s">
        <v>79</v>
      </c>
      <c r="C44" s="12" t="str">
        <f>_xll.BDH("ASIX US Equity","ENERGY_CONSUMPTION","FY 2016","FY 2016","Currency=USD","Period=FY","BEST_FPERIOD_OVERRIDE=FY","FILING_STATUS=MR","Sort=A","Dates=H","DateFormat=P","Fill=—","Direction=H","UseDPDF=Y")</f>
        <v>—</v>
      </c>
      <c r="D44" s="12" t="str">
        <f>_xll.BDH("ASIX US Equity","ENERGY_CONSUMPTION","FY 2017","FY 2017","Currency=USD","Period=FY","BEST_FPERIOD_OVERRIDE=FY","FILING_STATUS=MR","Sort=A","Dates=H","DateFormat=P","Fill=—","Direction=H","UseDPDF=Y")</f>
        <v>—</v>
      </c>
      <c r="E44" s="12" t="str">
        <f>_xll.BDH("ASIX US Equity","ENERGY_CONSUMPTION","FY 2018","FY 2018","Currency=USD","Period=FY","BEST_FPERIOD_OVERRIDE=FY","FILING_STATUS=MR","Sort=A","Dates=H","DateFormat=P","Fill=—","Direction=H","UseDPDF=Y")</f>
        <v>—</v>
      </c>
      <c r="F44" s="12" t="str">
        <f>_xll.BDH("ASIX US Equity","ENERGY_CONSUMPTION","FY 2019","FY 2019","Currency=USD","Period=FY","BEST_FPERIOD_OVERRIDE=FY","FILING_STATUS=MR","Sort=A","Dates=H","DateFormat=P","Fill=—","Direction=H","UseDPDF=Y")</f>
        <v>—</v>
      </c>
      <c r="G44" s="12" t="str">
        <f>_xll.BDH("ASIX US Equity","ENERGY_CONSUMPTION","FY 2020","FY 2020","Currency=USD","Period=FY","BEST_FPERIOD_OVERRIDE=FY","FILING_STATUS=MR","Sort=A","Dates=H","DateFormat=P","Fill=—","Direction=H","UseDPDF=Y")</f>
        <v>—</v>
      </c>
      <c r="H44" s="12">
        <f>_xll.BDH("ASIX US Equity","ENERGY_CONSUMPTION","FY 2021","FY 2021","Currency=USD","Period=FY","BEST_FPERIOD_OVERRIDE=FY","FILING_STATUS=MR","Sort=A","Dates=H","DateFormat=P","Fill=—","Direction=H","UseDPDF=Y")</f>
        <v>5327.95</v>
      </c>
      <c r="I44" s="12">
        <f>_xll.BDH("ASIX US Equity","ENERGY_CONSUMPTION","FY 2022","FY 2022","Currency=USD","Period=FY","BEST_FPERIOD_OVERRIDE=FY","FILING_STATUS=MR","Sort=A","Dates=H","DateFormat=P","Fill=—","Direction=H","UseDPDF=Y")</f>
        <v>5057.43</v>
      </c>
    </row>
    <row r="45" spans="1:9">
      <c r="A45" s="10" t="s">
        <v>80</v>
      </c>
      <c r="B45" s="10" t="s">
        <v>81</v>
      </c>
      <c r="C45" s="12" t="str">
        <f>_xll.BDH("ASIX US Equity","RENEW_ENERGY_USE","FY 2016","FY 2016","Currency=USD","Period=FY","BEST_FPERIOD_OVERRIDE=FY","FILING_STATUS=MR","Sort=A","Dates=H","DateFormat=P","Fill=—","Direction=H","UseDPDF=Y")</f>
        <v>—</v>
      </c>
      <c r="D45" s="12" t="str">
        <f>_xll.BDH("ASIX US Equity","RENEW_ENERGY_USE","FY 2017","FY 2017","Currency=USD","Period=FY","BEST_FPERIOD_OVERRIDE=FY","FILING_STATUS=MR","Sort=A","Dates=H","DateFormat=P","Fill=—","Direction=H","UseDPDF=Y")</f>
        <v>—</v>
      </c>
      <c r="E45" s="12" t="str">
        <f>_xll.BDH("ASIX US Equity","RENEW_ENERGY_USE","FY 2018","FY 2018","Currency=USD","Period=FY","BEST_FPERIOD_OVERRIDE=FY","FILING_STATUS=MR","Sort=A","Dates=H","DateFormat=P","Fill=—","Direction=H","UseDPDF=Y")</f>
        <v>—</v>
      </c>
      <c r="F45" s="12" t="str">
        <f>_xll.BDH("ASIX US Equity","RENEW_ENERGY_USE","FY 2019","FY 2019","Currency=USD","Period=FY","BEST_FPERIOD_OVERRIDE=FY","FILING_STATUS=MR","Sort=A","Dates=H","DateFormat=P","Fill=—","Direction=H","UseDPDF=Y")</f>
        <v>—</v>
      </c>
      <c r="G45" s="12" t="str">
        <f>_xll.BDH("ASIX US Equity","RENEW_ENERGY_USE","FY 2020","FY 2020","Currency=USD","Period=FY","BEST_FPERIOD_OVERRIDE=FY","FILING_STATUS=MR","Sort=A","Dates=H","DateFormat=P","Fill=—","Direction=H","UseDPDF=Y")</f>
        <v>—</v>
      </c>
      <c r="H45" s="12" t="str">
        <f>_xll.BDH("ASIX US Equity","RENEW_ENERGY_USE","FY 2021","FY 2021","Currency=USD","Period=FY","BEST_FPERIOD_OVERRIDE=FY","FILING_STATUS=MR","Sort=A","Dates=H","DateFormat=P","Fill=—","Direction=H","UseDPDF=Y")</f>
        <v>—</v>
      </c>
      <c r="I45" s="12">
        <f>_xll.BDH("ASIX US Equity","RENEW_ENERGY_USE","FY 2022","FY 2022","Currency=USD","Period=FY","BEST_FPERIOD_OVERRIDE=FY","FILING_STATUS=MR","Sort=A","Dates=H","DateFormat=P","Fill=—","Direction=H","UseDPDF=Y")</f>
        <v>0</v>
      </c>
    </row>
    <row r="46" spans="1:9">
      <c r="A46" s="10" t="s">
        <v>82</v>
      </c>
      <c r="B46" s="10" t="s">
        <v>83</v>
      </c>
      <c r="C46" s="12" t="str">
        <f>_xll.BDH("ASIX US Equity","ELECTRICITY_USED","FY 2016","FY 2016","Currency=USD","Period=FY","BEST_FPERIOD_OVERRIDE=FY","FILING_STATUS=MR","Sort=A","Dates=H","DateFormat=P","Fill=—","Direction=H","UseDPDF=Y")</f>
        <v>—</v>
      </c>
      <c r="D46" s="12" t="str">
        <f>_xll.BDH("ASIX US Equity","ELECTRICITY_USED","FY 2017","FY 2017","Currency=USD","Period=FY","BEST_FPERIOD_OVERRIDE=FY","FILING_STATUS=MR","Sort=A","Dates=H","DateFormat=P","Fill=—","Direction=H","UseDPDF=Y")</f>
        <v>—</v>
      </c>
      <c r="E46" s="12" t="str">
        <f>_xll.BDH("ASIX US Equity","ELECTRICITY_USED","FY 2018","FY 2018","Currency=USD","Period=FY","BEST_FPERIOD_OVERRIDE=FY","FILING_STATUS=MR","Sort=A","Dates=H","DateFormat=P","Fill=—","Direction=H","UseDPDF=Y")</f>
        <v>—</v>
      </c>
      <c r="F46" s="12" t="str">
        <f>_xll.BDH("ASIX US Equity","ELECTRICITY_USED","FY 2019","FY 2019","Currency=USD","Period=FY","BEST_FPERIOD_OVERRIDE=FY","FILING_STATUS=MR","Sort=A","Dates=H","DateFormat=P","Fill=—","Direction=H","UseDPDF=Y")</f>
        <v>—</v>
      </c>
      <c r="G46" s="12" t="str">
        <f>_xll.BDH("ASIX US Equity","ELECTRICITY_USED","FY 2020","FY 2020","Currency=USD","Period=FY","BEST_FPERIOD_OVERRIDE=FY","FILING_STATUS=MR","Sort=A","Dates=H","DateFormat=P","Fill=—","Direction=H","UseDPDF=Y")</f>
        <v>—</v>
      </c>
      <c r="H46" s="12">
        <f>_xll.BDH("ASIX US Equity","ELECTRICITY_USED","FY 2021","FY 2021","Currency=USD","Period=FY","BEST_FPERIOD_OVERRIDE=FY","FILING_STATUS=MR","Sort=A","Dates=H","DateFormat=P","Fill=—","Direction=H","UseDPDF=Y")</f>
        <v>601.87699999999995</v>
      </c>
      <c r="I46" s="12">
        <f>_xll.BDH("ASIX US Equity","ELECTRICITY_USED","FY 2022","FY 2022","Currency=USD","Period=FY","BEST_FPERIOD_OVERRIDE=FY","FILING_STATUS=MR","Sort=A","Dates=H","DateFormat=P","Fill=—","Direction=H","UseDPDF=Y")</f>
        <v>606.24199999999996</v>
      </c>
    </row>
    <row r="47" spans="1:9">
      <c r="A47" s="10" t="s">
        <v>84</v>
      </c>
      <c r="B47" s="10" t="s">
        <v>85</v>
      </c>
      <c r="C47" s="12" t="str">
        <f>_xll.BDH("ASIX US Equity","SELF_GEN_RENEWABLE_ELECTRICITY","FY 2016","FY 2016","Currency=USD","Period=FY","BEST_FPERIOD_OVERRIDE=FY","FILING_STATUS=MR","Sort=A","Dates=H","DateFormat=P","Fill=—","Direction=H","UseDPDF=Y")</f>
        <v>—</v>
      </c>
      <c r="D47" s="12" t="str">
        <f>_xll.BDH("ASIX US Equity","SELF_GEN_RENEWABLE_ELECTRICITY","FY 2017","FY 2017","Currency=USD","Period=FY","BEST_FPERIOD_OVERRIDE=FY","FILING_STATUS=MR","Sort=A","Dates=H","DateFormat=P","Fill=—","Direction=H","UseDPDF=Y")</f>
        <v>—</v>
      </c>
      <c r="E47" s="12" t="str">
        <f>_xll.BDH("ASIX US Equity","SELF_GEN_RENEWABLE_ELECTRICITY","FY 2018","FY 2018","Currency=USD","Period=FY","BEST_FPERIOD_OVERRIDE=FY","FILING_STATUS=MR","Sort=A","Dates=H","DateFormat=P","Fill=—","Direction=H","UseDPDF=Y")</f>
        <v>—</v>
      </c>
      <c r="F47" s="12" t="str">
        <f>_xll.BDH("ASIX US Equity","SELF_GEN_RENEWABLE_ELECTRICITY","FY 2019","FY 2019","Currency=USD","Period=FY","BEST_FPERIOD_OVERRIDE=FY","FILING_STATUS=MR","Sort=A","Dates=H","DateFormat=P","Fill=—","Direction=H","UseDPDF=Y")</f>
        <v>—</v>
      </c>
      <c r="G47" s="12" t="str">
        <f>_xll.BDH("ASIX US Equity","SELF_GEN_RENEWABLE_ELECTRICITY","FY 2020","FY 2020","Currency=USD","Period=FY","BEST_FPERIOD_OVERRIDE=FY","FILING_STATUS=MR","Sort=A","Dates=H","DateFormat=P","Fill=—","Direction=H","UseDPDF=Y")</f>
        <v>—</v>
      </c>
      <c r="H47" s="12" t="str">
        <f>_xll.BDH("ASIX US Equity","SELF_GEN_RENEWABLE_ELECTRICITY","FY 2021","FY 2021","Currency=USD","Period=FY","BEST_FPERIOD_OVERRIDE=FY","FILING_STATUS=MR","Sort=A","Dates=H","DateFormat=P","Fill=—","Direction=H","UseDPDF=Y")</f>
        <v>—</v>
      </c>
      <c r="I47" s="12">
        <f>_xll.BDH("ASIX US Equity","SELF_GEN_RENEWABLE_ELECTRICITY","FY 2022","FY 2022","Currency=USD","Period=FY","BEST_FPERIOD_OVERRIDE=FY","FILING_STATUS=MR","Sort=A","Dates=H","DateFormat=P","Fill=—","Direction=H","UseDPDF=Y")</f>
        <v>0</v>
      </c>
    </row>
    <row r="48" spans="1:9">
      <c r="A48" s="10" t="s">
        <v>86</v>
      </c>
      <c r="B48" s="10" t="s">
        <v>87</v>
      </c>
      <c r="C48" s="12" t="str">
        <f>_xll.BDH("ASIX US Equity","COAL_USED","FY 2016","FY 2016","Currency=USD","Period=FY","BEST_FPERIOD_OVERRIDE=FY","FILING_STATUS=MR","Sort=A","Dates=H","DateFormat=P","Fill=—","Direction=H","UseDPDF=Y")</f>
        <v>—</v>
      </c>
      <c r="D48" s="12" t="str">
        <f>_xll.BDH("ASIX US Equity","COAL_USED","FY 2017","FY 2017","Currency=USD","Period=FY","BEST_FPERIOD_OVERRIDE=FY","FILING_STATUS=MR","Sort=A","Dates=H","DateFormat=P","Fill=—","Direction=H","UseDPDF=Y")</f>
        <v>—</v>
      </c>
      <c r="E48" s="12" t="str">
        <f>_xll.BDH("ASIX US Equity","COAL_USED","FY 2018","FY 2018","Currency=USD","Period=FY","BEST_FPERIOD_OVERRIDE=FY","FILING_STATUS=MR","Sort=A","Dates=H","DateFormat=P","Fill=—","Direction=H","UseDPDF=Y")</f>
        <v>—</v>
      </c>
      <c r="F48" s="12" t="str">
        <f>_xll.BDH("ASIX US Equity","COAL_USED","FY 2019","FY 2019","Currency=USD","Period=FY","BEST_FPERIOD_OVERRIDE=FY","FILING_STATUS=MR","Sort=A","Dates=H","DateFormat=P","Fill=—","Direction=H","UseDPDF=Y")</f>
        <v>—</v>
      </c>
      <c r="G48" s="12" t="str">
        <f>_xll.BDH("ASIX US Equity","COAL_USED","FY 2020","FY 2020","Currency=USD","Period=FY","BEST_FPERIOD_OVERRIDE=FY","FILING_STATUS=MR","Sort=A","Dates=H","DateFormat=P","Fill=—","Direction=H","UseDPDF=Y")</f>
        <v>—</v>
      </c>
      <c r="H48" s="12" t="str">
        <f>_xll.BDH("ASIX US Equity","COAL_USED","FY 2021","FY 2021","Currency=USD","Period=FY","BEST_FPERIOD_OVERRIDE=FY","FILING_STATUS=MR","Sort=A","Dates=H","DateFormat=P","Fill=—","Direction=H","UseDPDF=Y")</f>
        <v>—</v>
      </c>
      <c r="I48" s="12">
        <f>_xll.BDH("ASIX US Equity","COAL_USED","FY 2022","FY 2022","Currency=USD","Period=FY","BEST_FPERIOD_OVERRIDE=FY","FILING_STATUS=MR","Sort=A","Dates=H","DateFormat=P","Fill=—","Direction=H","UseDPDF=Y")</f>
        <v>0</v>
      </c>
    </row>
    <row r="49" spans="1:9">
      <c r="A49" s="10" t="s">
        <v>88</v>
      </c>
      <c r="B49" s="10" t="s">
        <v>89</v>
      </c>
      <c r="C49" s="12" t="str">
        <f>_xll.BDH("ASIX US Equity","NAT_GAS_USED","FY 2016","FY 2016","Currency=USD","Period=FY","BEST_FPERIOD_OVERRIDE=FY","FILING_STATUS=MR","Sort=A","Dates=H","DateFormat=P","Fill=—","Direction=H","UseDPDF=Y")</f>
        <v>—</v>
      </c>
      <c r="D49" s="12" t="str">
        <f>_xll.BDH("ASIX US Equity","NAT_GAS_USED","FY 2017","FY 2017","Currency=USD","Period=FY","BEST_FPERIOD_OVERRIDE=FY","FILING_STATUS=MR","Sort=A","Dates=H","DateFormat=P","Fill=—","Direction=H","UseDPDF=Y")</f>
        <v>—</v>
      </c>
      <c r="E49" s="12" t="str">
        <f>_xll.BDH("ASIX US Equity","NAT_GAS_USED","FY 2018","FY 2018","Currency=USD","Period=FY","BEST_FPERIOD_OVERRIDE=FY","FILING_STATUS=MR","Sort=A","Dates=H","DateFormat=P","Fill=—","Direction=H","UseDPDF=Y")</f>
        <v>—</v>
      </c>
      <c r="F49" s="12" t="str">
        <f>_xll.BDH("ASIX US Equity","NAT_GAS_USED","FY 2019","FY 2019","Currency=USD","Period=FY","BEST_FPERIOD_OVERRIDE=FY","FILING_STATUS=MR","Sort=A","Dates=H","DateFormat=P","Fill=—","Direction=H","UseDPDF=Y")</f>
        <v>—</v>
      </c>
      <c r="G49" s="12" t="str">
        <f>_xll.BDH("ASIX US Equity","NAT_GAS_USED","FY 2020","FY 2020","Currency=USD","Period=FY","BEST_FPERIOD_OVERRIDE=FY","FILING_STATUS=MR","Sort=A","Dates=H","DateFormat=P","Fill=—","Direction=H","UseDPDF=Y")</f>
        <v>—</v>
      </c>
      <c r="H49" s="12" t="str">
        <f>_xll.BDH("ASIX US Equity","NAT_GAS_USED","FY 2021","FY 2021","Currency=USD","Period=FY","BEST_FPERIOD_OVERRIDE=FY","FILING_STATUS=MR","Sort=A","Dates=H","DateFormat=P","Fill=—","Direction=H","UseDPDF=Y")</f>
        <v>—</v>
      </c>
      <c r="I49" s="12">
        <f>_xll.BDH("ASIX US Equity","NAT_GAS_USED","FY 2022","FY 2022","Currency=USD","Period=FY","BEST_FPERIOD_OVERRIDE=FY","FILING_STATUS=MR","Sort=A","Dates=H","DateFormat=P","Fill=—","Direction=H","UseDPDF=Y")</f>
        <v>416886</v>
      </c>
    </row>
    <row r="50" spans="1:9">
      <c r="A50" s="10" t="s">
        <v>90</v>
      </c>
      <c r="B50" s="10" t="s">
        <v>91</v>
      </c>
      <c r="C50" s="12" t="str">
        <f>_xll.BDH("ASIX US Equity","OIL_DIESEL_USED","FY 2016","FY 2016","Currency=USD","Period=FY","BEST_FPERIOD_OVERRIDE=FY","FILING_STATUS=MR","Sort=A","Dates=H","DateFormat=P","Fill=—","Direction=H","UseDPDF=Y")</f>
        <v>—</v>
      </c>
      <c r="D50" s="12" t="str">
        <f>_xll.BDH("ASIX US Equity","OIL_DIESEL_USED","FY 2017","FY 2017","Currency=USD","Period=FY","BEST_FPERIOD_OVERRIDE=FY","FILING_STATUS=MR","Sort=A","Dates=H","DateFormat=P","Fill=—","Direction=H","UseDPDF=Y")</f>
        <v>—</v>
      </c>
      <c r="E50" s="12" t="str">
        <f>_xll.BDH("ASIX US Equity","OIL_DIESEL_USED","FY 2018","FY 2018","Currency=USD","Period=FY","BEST_FPERIOD_OVERRIDE=FY","FILING_STATUS=MR","Sort=A","Dates=H","DateFormat=P","Fill=—","Direction=H","UseDPDF=Y")</f>
        <v>—</v>
      </c>
      <c r="F50" s="12" t="str">
        <f>_xll.BDH("ASIX US Equity","OIL_DIESEL_USED","FY 2019","FY 2019","Currency=USD","Period=FY","BEST_FPERIOD_OVERRIDE=FY","FILING_STATUS=MR","Sort=A","Dates=H","DateFormat=P","Fill=—","Direction=H","UseDPDF=Y")</f>
        <v>—</v>
      </c>
      <c r="G50" s="12" t="str">
        <f>_xll.BDH("ASIX US Equity","OIL_DIESEL_USED","FY 2020","FY 2020","Currency=USD","Period=FY","BEST_FPERIOD_OVERRIDE=FY","FILING_STATUS=MR","Sort=A","Dates=H","DateFormat=P","Fill=—","Direction=H","UseDPDF=Y")</f>
        <v>—</v>
      </c>
      <c r="H50" s="12" t="str">
        <f>_xll.BDH("ASIX US Equity","OIL_DIESEL_USED","FY 2021","FY 2021","Currency=USD","Period=FY","BEST_FPERIOD_OVERRIDE=FY","FILING_STATUS=MR","Sort=A","Dates=H","DateFormat=P","Fill=—","Direction=H","UseDPDF=Y")</f>
        <v>—</v>
      </c>
      <c r="I50" s="12">
        <f>_xll.BDH("ASIX US Equity","OIL_DIESEL_USED","FY 2022","FY 2022","Currency=USD","Period=FY","BEST_FPERIOD_OVERRIDE=FY","FILING_STATUS=MR","Sort=A","Dates=H","DateFormat=P","Fill=—","Direction=H","UseDPDF=Y")</f>
        <v>0.46300000000000002</v>
      </c>
    </row>
    <row r="51" spans="1:9">
      <c r="A51" s="10"/>
      <c r="B51" s="11"/>
      <c r="C51" s="11"/>
      <c r="D51" s="11"/>
      <c r="E51" s="11"/>
      <c r="F51" s="11"/>
      <c r="G51" s="11"/>
      <c r="H51" s="11"/>
      <c r="I51" s="11"/>
    </row>
    <row r="52" spans="1:9">
      <c r="A52" s="10" t="s">
        <v>92</v>
      </c>
      <c r="B52" s="11"/>
      <c r="C52" s="11"/>
      <c r="D52" s="11"/>
      <c r="E52" s="11"/>
      <c r="F52" s="11"/>
      <c r="G52" s="11"/>
      <c r="H52" s="11"/>
      <c r="I52" s="11"/>
    </row>
    <row r="53" spans="1:9">
      <c r="A53" s="10" t="s">
        <v>93</v>
      </c>
      <c r="B53" s="10" t="s">
        <v>94</v>
      </c>
      <c r="C53" s="11" t="s">
        <v>50</v>
      </c>
      <c r="D53" s="11" t="s">
        <v>51</v>
      </c>
      <c r="E53" s="11" t="s">
        <v>51</v>
      </c>
      <c r="F53" s="11" t="s">
        <v>51</v>
      </c>
      <c r="G53" s="11" t="s">
        <v>51</v>
      </c>
      <c r="H53" s="11" t="s">
        <v>51</v>
      </c>
      <c r="I53" s="11" t="s">
        <v>51</v>
      </c>
    </row>
    <row r="54" spans="1:9">
      <c r="A54" s="10" t="s">
        <v>95</v>
      </c>
      <c r="B54" s="10" t="s">
        <v>96</v>
      </c>
      <c r="C54" s="12" t="str">
        <f>_xll.BDH("ASIX US Equity","HAZARDOUS_WASTE","FY 2016","FY 2016","Currency=USD","Period=FY","BEST_FPERIOD_OVERRIDE=FY","FILING_STATUS=MR","Sort=A","Dates=H","DateFormat=P","Fill=—","Direction=H","UseDPDF=Y")</f>
        <v>—</v>
      </c>
      <c r="D54" s="12" t="str">
        <f>_xll.BDH("ASIX US Equity","HAZARDOUS_WASTE","FY 2017","FY 2017","Currency=USD","Period=FY","BEST_FPERIOD_OVERRIDE=FY","FILING_STATUS=MR","Sort=A","Dates=H","DateFormat=P","Fill=—","Direction=H","UseDPDF=Y")</f>
        <v>—</v>
      </c>
      <c r="E54" s="12" t="str">
        <f>_xll.BDH("ASIX US Equity","HAZARDOUS_WASTE","FY 2018","FY 2018","Currency=USD","Period=FY","BEST_FPERIOD_OVERRIDE=FY","FILING_STATUS=MR","Sort=A","Dates=H","DateFormat=P","Fill=—","Direction=H","UseDPDF=Y")</f>
        <v>—</v>
      </c>
      <c r="F54" s="12" t="str">
        <f>_xll.BDH("ASIX US Equity","HAZARDOUS_WASTE","FY 2019","FY 2019","Currency=USD","Period=FY","BEST_FPERIOD_OVERRIDE=FY","FILING_STATUS=MR","Sort=A","Dates=H","DateFormat=P","Fill=—","Direction=H","UseDPDF=Y")</f>
        <v>—</v>
      </c>
      <c r="G54" s="12" t="str">
        <f>_xll.BDH("ASIX US Equity","HAZARDOUS_WASTE","FY 2020","FY 2020","Currency=USD","Period=FY","BEST_FPERIOD_OVERRIDE=FY","FILING_STATUS=MR","Sort=A","Dates=H","DateFormat=P","Fill=—","Direction=H","UseDPDF=Y")</f>
        <v>—</v>
      </c>
      <c r="H54" s="12">
        <f>_xll.BDH("ASIX US Equity","HAZARDOUS_WASTE","FY 2021","FY 2021","Currency=USD","Period=FY","BEST_FPERIOD_OVERRIDE=FY","FILING_STATUS=MR","Sort=A","Dates=H","DateFormat=P","Fill=—","Direction=H","UseDPDF=Y")</f>
        <v>22.658000000000001</v>
      </c>
      <c r="I54" s="12">
        <f>_xll.BDH("ASIX US Equity","HAZARDOUS_WASTE","FY 2022","FY 2022","Currency=USD","Period=FY","BEST_FPERIOD_OVERRIDE=FY","FILING_STATUS=MR","Sort=A","Dates=H","DateFormat=P","Fill=—","Direction=H","UseDPDF=Y")</f>
        <v>21.587</v>
      </c>
    </row>
    <row r="55" spans="1:9">
      <c r="A55" s="10" t="s">
        <v>97</v>
      </c>
      <c r="B55" s="10" t="s">
        <v>98</v>
      </c>
      <c r="C55" s="12" t="str">
        <f>_xll.BDH("ASIX US Equity","TOTAL_WASTE","FY 2016","FY 2016","Currency=USD","Period=FY","BEST_FPERIOD_OVERRIDE=FY","FILING_STATUS=MR","Sort=A","Dates=H","DateFormat=P","Fill=—","Direction=H","UseDPDF=Y")</f>
        <v>—</v>
      </c>
      <c r="D55" s="12" t="str">
        <f>_xll.BDH("ASIX US Equity","TOTAL_WASTE","FY 2017","FY 2017","Currency=USD","Period=FY","BEST_FPERIOD_OVERRIDE=FY","FILING_STATUS=MR","Sort=A","Dates=H","DateFormat=P","Fill=—","Direction=H","UseDPDF=Y")</f>
        <v>—</v>
      </c>
      <c r="E55" s="12" t="str">
        <f>_xll.BDH("ASIX US Equity","TOTAL_WASTE","FY 2018","FY 2018","Currency=USD","Period=FY","BEST_FPERIOD_OVERRIDE=FY","FILING_STATUS=MR","Sort=A","Dates=H","DateFormat=P","Fill=—","Direction=H","UseDPDF=Y")</f>
        <v>—</v>
      </c>
      <c r="F55" s="12" t="str">
        <f>_xll.BDH("ASIX US Equity","TOTAL_WASTE","FY 2019","FY 2019","Currency=USD","Period=FY","BEST_FPERIOD_OVERRIDE=FY","FILING_STATUS=MR","Sort=A","Dates=H","DateFormat=P","Fill=—","Direction=H","UseDPDF=Y")</f>
        <v>—</v>
      </c>
      <c r="G55" s="12" t="str">
        <f>_xll.BDH("ASIX US Equity","TOTAL_WASTE","FY 2020","FY 2020","Currency=USD","Period=FY","BEST_FPERIOD_OVERRIDE=FY","FILING_STATUS=MR","Sort=A","Dates=H","DateFormat=P","Fill=—","Direction=H","UseDPDF=Y")</f>
        <v>—</v>
      </c>
      <c r="H55" s="12">
        <f>_xll.BDH("ASIX US Equity","TOTAL_WASTE","FY 2021","FY 2021","Currency=USD","Period=FY","BEST_FPERIOD_OVERRIDE=FY","FILING_STATUS=MR","Sort=A","Dates=H","DateFormat=P","Fill=—","Direction=H","UseDPDF=Y")</f>
        <v>44.841000000000001</v>
      </c>
      <c r="I55" s="12">
        <f>_xll.BDH("ASIX US Equity","TOTAL_WASTE","FY 2022","FY 2022","Currency=USD","Period=FY","BEST_FPERIOD_OVERRIDE=FY","FILING_STATUS=MR","Sort=A","Dates=H","DateFormat=P","Fill=—","Direction=H","UseDPDF=Y")</f>
        <v>42.365000000000002</v>
      </c>
    </row>
    <row r="56" spans="1:9">
      <c r="A56" s="10" t="s">
        <v>99</v>
      </c>
      <c r="B56" s="10" t="s">
        <v>100</v>
      </c>
      <c r="C56" s="12" t="str">
        <f>_xll.BDH("ASIX US Equity","WASTE_SENT_TO_LANDFILLS","FY 2016","FY 2016","Currency=USD","Period=FY","BEST_FPERIOD_OVERRIDE=FY","FILING_STATUS=MR","Sort=A","Dates=H","DateFormat=P","Fill=—","Direction=H","UseDPDF=Y")</f>
        <v>—</v>
      </c>
      <c r="D56" s="12" t="str">
        <f>_xll.BDH("ASIX US Equity","WASTE_SENT_TO_LANDFILLS","FY 2017","FY 2017","Currency=USD","Period=FY","BEST_FPERIOD_OVERRIDE=FY","FILING_STATUS=MR","Sort=A","Dates=H","DateFormat=P","Fill=—","Direction=H","UseDPDF=Y")</f>
        <v>—</v>
      </c>
      <c r="E56" s="12" t="str">
        <f>_xll.BDH("ASIX US Equity","WASTE_SENT_TO_LANDFILLS","FY 2018","FY 2018","Currency=USD","Period=FY","BEST_FPERIOD_OVERRIDE=FY","FILING_STATUS=MR","Sort=A","Dates=H","DateFormat=P","Fill=—","Direction=H","UseDPDF=Y")</f>
        <v>—</v>
      </c>
      <c r="F56" s="12" t="str">
        <f>_xll.BDH("ASIX US Equity","WASTE_SENT_TO_LANDFILLS","FY 2019","FY 2019","Currency=USD","Period=FY","BEST_FPERIOD_OVERRIDE=FY","FILING_STATUS=MR","Sort=A","Dates=H","DateFormat=P","Fill=—","Direction=H","UseDPDF=Y")</f>
        <v>—</v>
      </c>
      <c r="G56" s="12" t="str">
        <f>_xll.BDH("ASIX US Equity","WASTE_SENT_TO_LANDFILLS","FY 2020","FY 2020","Currency=USD","Period=FY","BEST_FPERIOD_OVERRIDE=FY","FILING_STATUS=MR","Sort=A","Dates=H","DateFormat=P","Fill=—","Direction=H","UseDPDF=Y")</f>
        <v>—</v>
      </c>
      <c r="H56" s="12">
        <f>_xll.BDH("ASIX US Equity","WASTE_SENT_TO_LANDFILLS","FY 2021","FY 2021","Currency=USD","Period=FY","BEST_FPERIOD_OVERRIDE=FY","FILING_STATUS=MR","Sort=A","Dates=H","DateFormat=P","Fill=—","Direction=H","UseDPDF=Y")</f>
        <v>15.749000000000001</v>
      </c>
      <c r="I56" s="12">
        <f>_xll.BDH("ASIX US Equity","WASTE_SENT_TO_LANDFILLS","FY 2022","FY 2022","Currency=USD","Period=FY","BEST_FPERIOD_OVERRIDE=FY","FILING_STATUS=MR","Sort=A","Dates=H","DateFormat=P","Fill=—","Direction=H","UseDPDF=Y")</f>
        <v>15.907</v>
      </c>
    </row>
    <row r="57" spans="1:9">
      <c r="A57" s="10"/>
      <c r="B57" s="11"/>
      <c r="C57" s="11"/>
      <c r="D57" s="11"/>
      <c r="E57" s="11"/>
      <c r="F57" s="11"/>
      <c r="G57" s="11"/>
      <c r="H57" s="11"/>
      <c r="I57" s="11"/>
    </row>
    <row r="58" spans="1:9">
      <c r="A58" s="10" t="s">
        <v>101</v>
      </c>
      <c r="B58" s="11"/>
      <c r="C58" s="11"/>
      <c r="D58" s="11"/>
      <c r="E58" s="11"/>
      <c r="F58" s="11"/>
      <c r="G58" s="11"/>
      <c r="H58" s="11"/>
      <c r="I58" s="11"/>
    </row>
    <row r="59" spans="1:9">
      <c r="A59" s="10" t="s">
        <v>102</v>
      </c>
      <c r="B59" s="10" t="s">
        <v>103</v>
      </c>
      <c r="C59" s="11" t="s">
        <v>50</v>
      </c>
      <c r="D59" s="11" t="s">
        <v>51</v>
      </c>
      <c r="E59" s="11" t="s">
        <v>51</v>
      </c>
      <c r="F59" s="11" t="s">
        <v>51</v>
      </c>
      <c r="G59" s="11" t="s">
        <v>51</v>
      </c>
      <c r="H59" s="11" t="s">
        <v>51</v>
      </c>
      <c r="I59" s="11" t="s">
        <v>51</v>
      </c>
    </row>
    <row r="60" spans="1:9">
      <c r="A60" s="10"/>
      <c r="B60" s="11"/>
      <c r="C60" s="11"/>
      <c r="D60" s="11"/>
      <c r="E60" s="11"/>
      <c r="F60" s="11"/>
      <c r="G60" s="11"/>
      <c r="H60" s="11"/>
      <c r="I60" s="11"/>
    </row>
    <row r="61" spans="1:9">
      <c r="A61" s="10" t="s">
        <v>104</v>
      </c>
      <c r="B61" s="11"/>
      <c r="C61" s="11"/>
      <c r="D61" s="11"/>
      <c r="E61" s="11"/>
      <c r="F61" s="11"/>
      <c r="G61" s="11"/>
      <c r="H61" s="11"/>
      <c r="I61" s="11"/>
    </row>
    <row r="62" spans="1:9">
      <c r="A62" s="10" t="s">
        <v>105</v>
      </c>
      <c r="B62" s="10" t="s">
        <v>106</v>
      </c>
      <c r="C62" s="11" t="s">
        <v>50</v>
      </c>
      <c r="D62" s="11" t="s">
        <v>51</v>
      </c>
      <c r="E62" s="11" t="s">
        <v>51</v>
      </c>
      <c r="F62" s="11" t="s">
        <v>51</v>
      </c>
      <c r="G62" s="11" t="s">
        <v>51</v>
      </c>
      <c r="H62" s="11" t="s">
        <v>51</v>
      </c>
      <c r="I62" s="11" t="s">
        <v>51</v>
      </c>
    </row>
    <row r="63" spans="1:9">
      <c r="A63" s="10" t="s">
        <v>107</v>
      </c>
      <c r="B63" s="10" t="s">
        <v>108</v>
      </c>
      <c r="C63" s="12" t="str">
        <f>_xll.BDH("ASIX US Equity","TOTAL_WATER_WITHDRAWAL","FY 2016","FY 2016","Currency=USD","Period=FY","BEST_FPERIOD_OVERRIDE=FY","FILING_STATUS=MR","Sort=A","Dates=H","DateFormat=P","Fill=—","Direction=H","UseDPDF=Y")</f>
        <v>—</v>
      </c>
      <c r="D63" s="12" t="str">
        <f>_xll.BDH("ASIX US Equity","TOTAL_WATER_WITHDRAWAL","FY 2017","FY 2017","Currency=USD","Period=FY","BEST_FPERIOD_OVERRIDE=FY","FILING_STATUS=MR","Sort=A","Dates=H","DateFormat=P","Fill=—","Direction=H","UseDPDF=Y")</f>
        <v>—</v>
      </c>
      <c r="E63" s="12" t="str">
        <f>_xll.BDH("ASIX US Equity","TOTAL_WATER_WITHDRAWAL","FY 2018","FY 2018","Currency=USD","Period=FY","BEST_FPERIOD_OVERRIDE=FY","FILING_STATUS=MR","Sort=A","Dates=H","DateFormat=P","Fill=—","Direction=H","UseDPDF=Y")</f>
        <v>—</v>
      </c>
      <c r="F63" s="12" t="str">
        <f>_xll.BDH("ASIX US Equity","TOTAL_WATER_WITHDRAWAL","FY 2019","FY 2019","Currency=USD","Period=FY","BEST_FPERIOD_OVERRIDE=FY","FILING_STATUS=MR","Sort=A","Dates=H","DateFormat=P","Fill=—","Direction=H","UseDPDF=Y")</f>
        <v>—</v>
      </c>
      <c r="G63" s="12" t="str">
        <f>_xll.BDH("ASIX US Equity","TOTAL_WATER_WITHDRAWAL","FY 2020","FY 2020","Currency=USD","Period=FY","BEST_FPERIOD_OVERRIDE=FY","FILING_STATUS=MR","Sort=A","Dates=H","DateFormat=P","Fill=—","Direction=H","UseDPDF=Y")</f>
        <v>—</v>
      </c>
      <c r="H63" s="12">
        <f>_xll.BDH("ASIX US Equity","TOTAL_WATER_WITHDRAWAL","FY 2021","FY 2021","Currency=USD","Period=FY","BEST_FPERIOD_OVERRIDE=FY","FILING_STATUS=MR","Sort=A","Dates=H","DateFormat=P","Fill=—","Direction=H","UseDPDF=Y")</f>
        <v>175285</v>
      </c>
      <c r="I63" s="12">
        <f>_xll.BDH("ASIX US Equity","TOTAL_WATER_WITHDRAWAL","FY 2022","FY 2022","Currency=USD","Period=FY","BEST_FPERIOD_OVERRIDE=FY","FILING_STATUS=MR","Sort=A","Dates=H","DateFormat=P","Fill=—","Direction=H","UseDPDF=Y")</f>
        <v>171650</v>
      </c>
    </row>
    <row r="64" spans="1:9">
      <c r="A64" s="10" t="s">
        <v>109</v>
      </c>
      <c r="B64" s="10" t="s">
        <v>110</v>
      </c>
      <c r="C64" s="12" t="str">
        <f>_xll.BDH("ASIX US Equity","TOTAL_WATER_DISCHARGED","FY 2016","FY 2016","Currency=USD","Period=FY","BEST_FPERIOD_OVERRIDE=FY","FILING_STATUS=MR","Sort=A","Dates=H","DateFormat=P","Fill=—","Direction=H","UseDPDF=Y")</f>
        <v>—</v>
      </c>
      <c r="D64" s="12" t="str">
        <f>_xll.BDH("ASIX US Equity","TOTAL_WATER_DISCHARGED","FY 2017","FY 2017","Currency=USD","Period=FY","BEST_FPERIOD_OVERRIDE=FY","FILING_STATUS=MR","Sort=A","Dates=H","DateFormat=P","Fill=—","Direction=H","UseDPDF=Y")</f>
        <v>—</v>
      </c>
      <c r="E64" s="12" t="str">
        <f>_xll.BDH("ASIX US Equity","TOTAL_WATER_DISCHARGED","FY 2018","FY 2018","Currency=USD","Period=FY","BEST_FPERIOD_OVERRIDE=FY","FILING_STATUS=MR","Sort=A","Dates=H","DateFormat=P","Fill=—","Direction=H","UseDPDF=Y")</f>
        <v>—</v>
      </c>
      <c r="F64" s="12" t="str">
        <f>_xll.BDH("ASIX US Equity","TOTAL_WATER_DISCHARGED","FY 2019","FY 2019","Currency=USD","Period=FY","BEST_FPERIOD_OVERRIDE=FY","FILING_STATUS=MR","Sort=A","Dates=H","DateFormat=P","Fill=—","Direction=H","UseDPDF=Y")</f>
        <v>—</v>
      </c>
      <c r="G64" s="12" t="str">
        <f>_xll.BDH("ASIX US Equity","TOTAL_WATER_DISCHARGED","FY 2020","FY 2020","Currency=USD","Period=FY","BEST_FPERIOD_OVERRIDE=FY","FILING_STATUS=MR","Sort=A","Dates=H","DateFormat=P","Fill=—","Direction=H","UseDPDF=Y")</f>
        <v>—</v>
      </c>
      <c r="H64" s="12">
        <f>_xll.BDH("ASIX US Equity","TOTAL_WATER_DISCHARGED","FY 2021","FY 2021","Currency=USD","Period=FY","BEST_FPERIOD_OVERRIDE=FY","FILING_STATUS=MR","Sort=A","Dates=H","DateFormat=P","Fill=—","Direction=H","UseDPDF=Y")</f>
        <v>169997</v>
      </c>
      <c r="I64" s="12">
        <f>_xll.BDH("ASIX US Equity","TOTAL_WATER_DISCHARGED","FY 2022","FY 2022","Currency=USD","Period=FY","BEST_FPERIOD_OVERRIDE=FY","FILING_STATUS=MR","Sort=A","Dates=H","DateFormat=P","Fill=—","Direction=H","UseDPDF=Y")</f>
        <v>167125</v>
      </c>
    </row>
    <row r="65" spans="1:9">
      <c r="A65" s="10" t="s">
        <v>111</v>
      </c>
      <c r="B65" s="10" t="s">
        <v>112</v>
      </c>
      <c r="C65" s="12" t="str">
        <f>_xll.BDH("ASIX US Equity","WATER_CONSMPTN","FY 2016","FY 2016","Currency=USD","Period=FY","BEST_FPERIOD_OVERRIDE=FY","FILING_STATUS=MR","Sort=A","Dates=H","DateFormat=P","Fill=—","Direction=H","UseDPDF=Y")</f>
        <v>—</v>
      </c>
      <c r="D65" s="12" t="str">
        <f>_xll.BDH("ASIX US Equity","WATER_CONSMPTN","FY 2017","FY 2017","Currency=USD","Period=FY","BEST_FPERIOD_OVERRIDE=FY","FILING_STATUS=MR","Sort=A","Dates=H","DateFormat=P","Fill=—","Direction=H","UseDPDF=Y")</f>
        <v>—</v>
      </c>
      <c r="E65" s="12" t="str">
        <f>_xll.BDH("ASIX US Equity","WATER_CONSMPTN","FY 2018","FY 2018","Currency=USD","Period=FY","BEST_FPERIOD_OVERRIDE=FY","FILING_STATUS=MR","Sort=A","Dates=H","DateFormat=P","Fill=—","Direction=H","UseDPDF=Y")</f>
        <v>—</v>
      </c>
      <c r="F65" s="12" t="str">
        <f>_xll.BDH("ASIX US Equity","WATER_CONSMPTN","FY 2019","FY 2019","Currency=USD","Period=FY","BEST_FPERIOD_OVERRIDE=FY","FILING_STATUS=MR","Sort=A","Dates=H","DateFormat=P","Fill=—","Direction=H","UseDPDF=Y")</f>
        <v>—</v>
      </c>
      <c r="G65" s="12" t="str">
        <f>_xll.BDH("ASIX US Equity","WATER_CONSMPTN","FY 2020","FY 2020","Currency=USD","Period=FY","BEST_FPERIOD_OVERRIDE=FY","FILING_STATUS=MR","Sort=A","Dates=H","DateFormat=P","Fill=—","Direction=H","UseDPDF=Y")</f>
        <v>—</v>
      </c>
      <c r="H65" s="12">
        <f>_xll.BDH("ASIX US Equity","WATER_CONSMPTN","FY 2021","FY 2021","Currency=USD","Period=FY","BEST_FPERIOD_OVERRIDE=FY","FILING_STATUS=MR","Sort=A","Dates=H","DateFormat=P","Fill=—","Direction=H","UseDPDF=Y")</f>
        <v>5288</v>
      </c>
      <c r="I65" s="12">
        <f>_xll.BDH("ASIX US Equity","WATER_CONSMPTN","FY 2022","FY 2022","Currency=USD","Period=FY","BEST_FPERIOD_OVERRIDE=FY","FILING_STATUS=MR","Sort=A","Dates=H","DateFormat=P","Fill=—","Direction=H","UseDPDF=Y")</f>
        <v>4525</v>
      </c>
    </row>
    <row r="66" spans="1:9">
      <c r="A66" s="10"/>
      <c r="B66" s="11"/>
      <c r="C66" s="11"/>
      <c r="D66" s="11"/>
      <c r="E66" s="11"/>
      <c r="F66" s="11"/>
      <c r="G66" s="11"/>
      <c r="H66" s="11"/>
      <c r="I66" s="11"/>
    </row>
    <row r="67" spans="1:9">
      <c r="A67" s="10" t="s">
        <v>113</v>
      </c>
      <c r="B67" s="11"/>
      <c r="C67" s="11"/>
      <c r="D67" s="11"/>
      <c r="E67" s="11"/>
      <c r="F67" s="11"/>
      <c r="G67" s="11"/>
      <c r="H67" s="11"/>
      <c r="I67" s="11"/>
    </row>
    <row r="68" spans="1:9">
      <c r="A68" s="10" t="s">
        <v>114</v>
      </c>
      <c r="B68" s="11"/>
      <c r="C68" s="11"/>
      <c r="D68" s="11"/>
      <c r="E68" s="11"/>
      <c r="F68" s="11"/>
      <c r="G68" s="11"/>
      <c r="H68" s="11"/>
      <c r="I68" s="11"/>
    </row>
    <row r="69" spans="1:9">
      <c r="A69" s="10" t="s">
        <v>115</v>
      </c>
      <c r="B69" s="10" t="s">
        <v>116</v>
      </c>
      <c r="C69" s="11" t="s">
        <v>50</v>
      </c>
      <c r="D69" s="11" t="s">
        <v>51</v>
      </c>
      <c r="E69" s="11" t="s">
        <v>51</v>
      </c>
      <c r="F69" s="11" t="s">
        <v>51</v>
      </c>
      <c r="G69" s="11" t="s">
        <v>51</v>
      </c>
      <c r="H69" s="11" t="s">
        <v>51</v>
      </c>
      <c r="I69" s="11" t="s">
        <v>51</v>
      </c>
    </row>
    <row r="70" spans="1:9">
      <c r="A70" s="10" t="s">
        <v>117</v>
      </c>
      <c r="B70" s="10" t="s">
        <v>118</v>
      </c>
      <c r="C70" s="11" t="s">
        <v>50</v>
      </c>
      <c r="D70" s="11" t="s">
        <v>51</v>
      </c>
      <c r="E70" s="11" t="s">
        <v>51</v>
      </c>
      <c r="F70" s="11" t="s">
        <v>51</v>
      </c>
      <c r="G70" s="11" t="s">
        <v>51</v>
      </c>
      <c r="H70" s="11" t="s">
        <v>51</v>
      </c>
      <c r="I70" s="11" t="s">
        <v>51</v>
      </c>
    </row>
    <row r="71" spans="1:9">
      <c r="A71" s="10" t="s">
        <v>119</v>
      </c>
      <c r="B71" s="10" t="s">
        <v>120</v>
      </c>
      <c r="C71" s="11" t="s">
        <v>50</v>
      </c>
      <c r="D71" s="11" t="s">
        <v>51</v>
      </c>
      <c r="E71" s="11" t="s">
        <v>51</v>
      </c>
      <c r="F71" s="11" t="s">
        <v>51</v>
      </c>
      <c r="G71" s="11" t="s">
        <v>51</v>
      </c>
      <c r="H71" s="11" t="s">
        <v>51</v>
      </c>
      <c r="I71" s="11" t="s">
        <v>51</v>
      </c>
    </row>
    <row r="72" spans="1:9">
      <c r="A72" s="10" t="s">
        <v>121</v>
      </c>
      <c r="B72" s="10" t="s">
        <v>122</v>
      </c>
      <c r="C72" s="11" t="s">
        <v>50</v>
      </c>
      <c r="D72" s="11" t="s">
        <v>51</v>
      </c>
      <c r="E72" s="11" t="s">
        <v>51</v>
      </c>
      <c r="F72" s="11" t="s">
        <v>51</v>
      </c>
      <c r="G72" s="11" t="s">
        <v>51</v>
      </c>
      <c r="H72" s="11" t="s">
        <v>51</v>
      </c>
      <c r="I72" s="11" t="s">
        <v>51</v>
      </c>
    </row>
    <row r="73" spans="1:9">
      <c r="A73" s="10" t="s">
        <v>123</v>
      </c>
      <c r="B73" s="10" t="s">
        <v>124</v>
      </c>
      <c r="C73" s="12" t="str">
        <f>_xll.BDH("ASIX US Equity","COMMUNITY_SPENDING","FY 2016","FY 2016","Currency=USD","Period=FY","BEST_FPERIOD_OVERRIDE=FY","FILING_STATUS=MR","SCALING_FORMAT=MLN","Sort=A","Dates=H","DateFormat=P","Fill=—","Direction=H","UseDPDF=Y")</f>
        <v>—</v>
      </c>
      <c r="D73" s="12">
        <f>_xll.BDH("ASIX US Equity","COMMUNITY_SPENDING","FY 2017","FY 2017","Currency=USD","Period=FY","BEST_FPERIOD_OVERRIDE=FY","FILING_STATUS=MR","SCALING_FORMAT=MLN","Sort=A","Dates=H","DateFormat=P","Fill=—","Direction=H","UseDPDF=Y")</f>
        <v>0.06</v>
      </c>
      <c r="E73" s="12" t="str">
        <f>_xll.BDH("ASIX US Equity","COMMUNITY_SPENDING","FY 2018","FY 2018","Currency=USD","Period=FY","BEST_FPERIOD_OVERRIDE=FY","FILING_STATUS=MR","SCALING_FORMAT=MLN","Sort=A","Dates=H","DateFormat=P","Fill=—","Direction=H","UseDPDF=Y")</f>
        <v>—</v>
      </c>
      <c r="F73" s="12" t="str">
        <f>_xll.BDH("ASIX US Equity","COMMUNITY_SPENDING","FY 2019","FY 2019","Currency=USD","Period=FY","BEST_FPERIOD_OVERRIDE=FY","FILING_STATUS=MR","SCALING_FORMAT=MLN","Sort=A","Dates=H","DateFormat=P","Fill=—","Direction=H","UseDPDF=Y")</f>
        <v>—</v>
      </c>
      <c r="G73" s="12" t="str">
        <f>_xll.BDH("ASIX US Equity","COMMUNITY_SPENDING","FY 2020","FY 2020","Currency=USD","Period=FY","BEST_FPERIOD_OVERRIDE=FY","FILING_STATUS=MR","SCALING_FORMAT=MLN","Sort=A","Dates=H","DateFormat=P","Fill=—","Direction=H","UseDPDF=Y")</f>
        <v>—</v>
      </c>
      <c r="H73" s="12" t="str">
        <f>_xll.BDH("ASIX US Equity","COMMUNITY_SPENDING","FY 2021","FY 2021","Currency=USD","Period=FY","BEST_FPERIOD_OVERRIDE=FY","FILING_STATUS=MR","SCALING_FORMAT=MLN","Sort=A","Dates=H","DateFormat=P","Fill=—","Direction=H","UseDPDF=Y")</f>
        <v>—</v>
      </c>
      <c r="I73" s="12" t="str">
        <f>_xll.BDH("ASIX US Equity","COMMUNITY_SPENDING","FY 2022","FY 2022","Currency=USD","Period=FY","BEST_FPERIOD_OVERRIDE=FY","FILING_STATUS=MR","SCALING_FORMAT=MLN","Sort=A","Dates=H","DateFormat=P","Fill=—","Direction=H","UseDPDF=Y")</f>
        <v>—</v>
      </c>
    </row>
    <row r="74" spans="1:9">
      <c r="A74" s="10"/>
      <c r="B74" s="11"/>
      <c r="C74" s="11"/>
      <c r="D74" s="11"/>
      <c r="E74" s="11"/>
      <c r="F74" s="11"/>
      <c r="G74" s="11"/>
      <c r="H74" s="11"/>
      <c r="I74" s="11"/>
    </row>
    <row r="75" spans="1:9">
      <c r="A75" s="10" t="s">
        <v>125</v>
      </c>
      <c r="B75" s="11"/>
      <c r="C75" s="11"/>
      <c r="D75" s="11"/>
      <c r="E75" s="11"/>
      <c r="F75" s="11"/>
      <c r="G75" s="11"/>
      <c r="H75" s="11"/>
      <c r="I75" s="11"/>
    </row>
    <row r="76" spans="1:9">
      <c r="A76" s="10" t="s">
        <v>126</v>
      </c>
      <c r="B76" s="10" t="s">
        <v>127</v>
      </c>
      <c r="C76" s="11" t="s">
        <v>50</v>
      </c>
      <c r="D76" s="11" t="s">
        <v>51</v>
      </c>
      <c r="E76" s="11" t="s">
        <v>51</v>
      </c>
      <c r="F76" s="11" t="s">
        <v>51</v>
      </c>
      <c r="G76" s="11" t="s">
        <v>51</v>
      </c>
      <c r="H76" s="11" t="s">
        <v>51</v>
      </c>
      <c r="I76" s="11" t="s">
        <v>51</v>
      </c>
    </row>
    <row r="77" spans="1:9">
      <c r="A77" s="10" t="s">
        <v>128</v>
      </c>
      <c r="B77" s="10" t="s">
        <v>129</v>
      </c>
      <c r="C77" s="11" t="s">
        <v>50</v>
      </c>
      <c r="D77" s="11" t="s">
        <v>50</v>
      </c>
      <c r="E77" s="11" t="s">
        <v>50</v>
      </c>
      <c r="F77" s="11" t="s">
        <v>50</v>
      </c>
      <c r="G77" s="11" t="s">
        <v>50</v>
      </c>
      <c r="H77" s="11" t="s">
        <v>50</v>
      </c>
      <c r="I77" s="11" t="s">
        <v>50</v>
      </c>
    </row>
    <row r="78" spans="1:9">
      <c r="A78" s="10" t="s">
        <v>130</v>
      </c>
      <c r="B78" s="10" t="s">
        <v>131</v>
      </c>
      <c r="C78" s="13" t="str">
        <f>_xll.BDH("ASIX US Equity","PCT_WOMEN_MGT","FY 2016","FY 2016","Currency=USD","Period=FY","BEST_FPERIOD_OVERRIDE=FY","FILING_STATUS=MR","Sort=A","Dates=H","DateFormat=P","Fill=—","Direction=H","UseDPDF=Y")</f>
        <v>—</v>
      </c>
      <c r="D78" s="13">
        <f>_xll.BDH("ASIX US Equity","PCT_WOMEN_MGT","FY 2017","FY 2017","Currency=USD","Period=FY","BEST_FPERIOD_OVERRIDE=FY","FILING_STATUS=MR","Sort=A","Dates=H","DateFormat=P","Fill=—","Direction=H","UseDPDF=Y")</f>
        <v>50</v>
      </c>
      <c r="E78" s="13">
        <f>_xll.BDH("ASIX US Equity","PCT_WOMEN_MGT","FY 2018","FY 2018","Currency=USD","Period=FY","BEST_FPERIOD_OVERRIDE=FY","FILING_STATUS=MR","Sort=A","Dates=H","DateFormat=P","Fill=—","Direction=H","UseDPDF=Y")</f>
        <v>50</v>
      </c>
      <c r="F78" s="13">
        <f>_xll.BDH("ASIX US Equity","PCT_WOMEN_MGT","FY 2019","FY 2019","Currency=USD","Period=FY","BEST_FPERIOD_OVERRIDE=FY","FILING_STATUS=MR","Sort=A","Dates=H","DateFormat=P","Fill=—","Direction=H","UseDPDF=Y")</f>
        <v>50</v>
      </c>
      <c r="G78" s="13">
        <f>_xll.BDH("ASIX US Equity","PCT_WOMEN_MGT","FY 2020","FY 2020","Currency=USD","Period=FY","BEST_FPERIOD_OVERRIDE=FY","FILING_STATUS=MR","Sort=A","Dates=H","DateFormat=P","Fill=—","Direction=H","UseDPDF=Y")</f>
        <v>55</v>
      </c>
      <c r="H78" s="13">
        <f>_xll.BDH("ASIX US Equity","PCT_WOMEN_MGT","FY 2021","FY 2021","Currency=USD","Period=FY","BEST_FPERIOD_OVERRIDE=FY","FILING_STATUS=MR","Sort=A","Dates=H","DateFormat=P","Fill=—","Direction=H","UseDPDF=Y")</f>
        <v>50</v>
      </c>
      <c r="I78" s="13">
        <f>_xll.BDH("ASIX US Equity","PCT_WOMEN_MGT","FY 2022","FY 2022","Currency=USD","Period=FY","BEST_FPERIOD_OVERRIDE=FY","FILING_STATUS=MR","Sort=A","Dates=H","DateFormat=P","Fill=—","Direction=H","UseDPDF=Y")</f>
        <v>40</v>
      </c>
    </row>
    <row r="79" spans="1:9">
      <c r="A79" s="10" t="s">
        <v>132</v>
      </c>
      <c r="B79" s="10" t="s">
        <v>133</v>
      </c>
      <c r="C79" s="13" t="str">
        <f>_xll.BDH("ASIX US Equity","PCT_WOMEN_EMPLOYEES","FY 2016","FY 2016","Currency=USD","Period=FY","BEST_FPERIOD_OVERRIDE=FY","FILING_STATUS=MR","Sort=A","Dates=H","DateFormat=P","Fill=—","Direction=H","UseDPDF=Y")</f>
        <v>—</v>
      </c>
      <c r="D79" s="13" t="str">
        <f>_xll.BDH("ASIX US Equity","PCT_WOMEN_EMPLOYEES","FY 2017","FY 2017","Currency=USD","Period=FY","BEST_FPERIOD_OVERRIDE=FY","FILING_STATUS=MR","Sort=A","Dates=H","DateFormat=P","Fill=—","Direction=H","UseDPDF=Y")</f>
        <v>—</v>
      </c>
      <c r="E79" s="13" t="str">
        <f>_xll.BDH("ASIX US Equity","PCT_WOMEN_EMPLOYEES","FY 2018","FY 2018","Currency=USD","Period=FY","BEST_FPERIOD_OVERRIDE=FY","FILING_STATUS=MR","Sort=A","Dates=H","DateFormat=P","Fill=—","Direction=H","UseDPDF=Y")</f>
        <v>—</v>
      </c>
      <c r="F79" s="13" t="str">
        <f>_xll.BDH("ASIX US Equity","PCT_WOMEN_EMPLOYEES","FY 2019","FY 2019","Currency=USD","Period=FY","BEST_FPERIOD_OVERRIDE=FY","FILING_STATUS=MR","Sort=A","Dates=H","DateFormat=P","Fill=—","Direction=H","UseDPDF=Y")</f>
        <v>—</v>
      </c>
      <c r="G79" s="13" t="str">
        <f>_xll.BDH("ASIX US Equity","PCT_WOMEN_EMPLOYEES","FY 2020","FY 2020","Currency=USD","Period=FY","BEST_FPERIOD_OVERRIDE=FY","FILING_STATUS=MR","Sort=A","Dates=H","DateFormat=P","Fill=—","Direction=H","UseDPDF=Y")</f>
        <v>—</v>
      </c>
      <c r="H79" s="13" t="str">
        <f>_xll.BDH("ASIX US Equity","PCT_WOMEN_EMPLOYEES","FY 2021","FY 2021","Currency=USD","Period=FY","BEST_FPERIOD_OVERRIDE=FY","FILING_STATUS=MR","Sort=A","Dates=H","DateFormat=P","Fill=—","Direction=H","UseDPDF=Y")</f>
        <v>—</v>
      </c>
      <c r="I79" s="13">
        <f>_xll.BDH("ASIX US Equity","PCT_WOMEN_EMPLOYEES","FY 2022","FY 2022","Currency=USD","Period=FY","BEST_FPERIOD_OVERRIDE=FY","FILING_STATUS=MR","Sort=A","Dates=H","DateFormat=P","Fill=—","Direction=H","UseDPDF=Y")</f>
        <v>16</v>
      </c>
    </row>
    <row r="80" spans="1:9">
      <c r="A80" s="10"/>
      <c r="B80" s="11"/>
      <c r="C80" s="11"/>
      <c r="D80" s="11"/>
      <c r="E80" s="11"/>
      <c r="F80" s="11"/>
      <c r="G80" s="11"/>
      <c r="H80" s="11"/>
      <c r="I80" s="11"/>
    </row>
    <row r="81" spans="1:9">
      <c r="A81" s="10" t="s">
        <v>134</v>
      </c>
      <c r="B81" s="11"/>
      <c r="C81" s="11"/>
      <c r="D81" s="11"/>
      <c r="E81" s="11"/>
      <c r="F81" s="11"/>
      <c r="G81" s="11"/>
      <c r="H81" s="11"/>
      <c r="I81" s="11"/>
    </row>
    <row r="82" spans="1:9">
      <c r="A82" s="10" t="s">
        <v>135</v>
      </c>
      <c r="B82" s="10" t="s">
        <v>136</v>
      </c>
      <c r="C82" s="11" t="s">
        <v>51</v>
      </c>
      <c r="D82" s="11" t="s">
        <v>51</v>
      </c>
      <c r="E82" s="11" t="s">
        <v>51</v>
      </c>
      <c r="F82" s="11" t="s">
        <v>51</v>
      </c>
      <c r="G82" s="11" t="s">
        <v>51</v>
      </c>
      <c r="H82" s="11" t="s">
        <v>51</v>
      </c>
      <c r="I82" s="11" t="s">
        <v>51</v>
      </c>
    </row>
    <row r="83" spans="1:9">
      <c r="A83" s="10" t="s">
        <v>137</v>
      </c>
      <c r="B83" s="10" t="s">
        <v>138</v>
      </c>
      <c r="C83" s="11" t="s">
        <v>50</v>
      </c>
      <c r="D83" s="11" t="s">
        <v>51</v>
      </c>
      <c r="E83" s="11" t="s">
        <v>51</v>
      </c>
      <c r="F83" s="11" t="s">
        <v>51</v>
      </c>
      <c r="G83" s="11" t="s">
        <v>51</v>
      </c>
      <c r="H83" s="11" t="s">
        <v>51</v>
      </c>
      <c r="I83" s="11" t="s">
        <v>51</v>
      </c>
    </row>
    <row r="84" spans="1:9">
      <c r="A84" s="10" t="s">
        <v>139</v>
      </c>
      <c r="B84" s="10" t="s">
        <v>140</v>
      </c>
      <c r="C84" s="12" t="str">
        <f>_xll.BDH("ASIX US Equity","POLITICAL_DONATIONS","FY 2016","FY 2016","Currency=USD","Period=FY","BEST_FPERIOD_OVERRIDE=FY","FILING_STATUS=MR","SCALING_FORMAT=MLN","Sort=A","Dates=H","DateFormat=P","Fill=—","Direction=H","UseDPDF=Y")</f>
        <v>—</v>
      </c>
      <c r="D84" s="12">
        <f>_xll.BDH("ASIX US Equity","POLITICAL_DONATIONS","FY 2017","FY 2017","Currency=USD","Period=FY","BEST_FPERIOD_OVERRIDE=FY","FILING_STATUS=MR","SCALING_FORMAT=MLN","Sort=A","Dates=H","DateFormat=P","Fill=—","Direction=H","UseDPDF=Y")</f>
        <v>0</v>
      </c>
      <c r="E84" s="12">
        <f>_xll.BDH("ASIX US Equity","POLITICAL_DONATIONS","FY 2018","FY 2018","Currency=USD","Period=FY","BEST_FPERIOD_OVERRIDE=FY","FILING_STATUS=MR","SCALING_FORMAT=MLN","Sort=A","Dates=H","DateFormat=P","Fill=—","Direction=H","UseDPDF=Y")</f>
        <v>0</v>
      </c>
      <c r="F84" s="12" t="str">
        <f>_xll.BDH("ASIX US Equity","POLITICAL_DONATIONS","FY 2019","FY 2019","Currency=USD","Period=FY","BEST_FPERIOD_OVERRIDE=FY","FILING_STATUS=MR","SCALING_FORMAT=MLN","Sort=A","Dates=H","DateFormat=P","Fill=—","Direction=H","UseDPDF=Y")</f>
        <v>—</v>
      </c>
      <c r="G84" s="12" t="str">
        <f>_xll.BDH("ASIX US Equity","POLITICAL_DONATIONS","FY 2020","FY 2020","Currency=USD","Period=FY","BEST_FPERIOD_OVERRIDE=FY","FILING_STATUS=MR","SCALING_FORMAT=MLN","Sort=A","Dates=H","DateFormat=P","Fill=—","Direction=H","UseDPDF=Y")</f>
        <v>—</v>
      </c>
      <c r="H84" s="12">
        <f>_xll.BDH("ASIX US Equity","POLITICAL_DONATIONS","FY 2021","FY 2021","Currency=USD","Period=FY","BEST_FPERIOD_OVERRIDE=FY","FILING_STATUS=MR","SCALING_FORMAT=MLN","Sort=A","Dates=H","DateFormat=P","Fill=—","Direction=H","UseDPDF=Y")</f>
        <v>0.11899999999999999</v>
      </c>
      <c r="I84" s="12">
        <f>_xll.BDH("ASIX US Equity","POLITICAL_DONATIONS","FY 2022","FY 2022","Currency=USD","Period=FY","BEST_FPERIOD_OVERRIDE=FY","FILING_STATUS=MR","SCALING_FORMAT=MLN","Sort=A","Dates=H","DateFormat=P","Fill=—","Direction=H","UseDPDF=Y")</f>
        <v>0.106</v>
      </c>
    </row>
    <row r="85" spans="1:9">
      <c r="A85" s="10"/>
      <c r="B85" s="11"/>
      <c r="C85" s="11"/>
      <c r="D85" s="11"/>
      <c r="E85" s="11"/>
      <c r="F85" s="11"/>
      <c r="G85" s="11"/>
      <c r="H85" s="11"/>
      <c r="I85" s="11"/>
    </row>
    <row r="86" spans="1:9">
      <c r="A86" s="10" t="s">
        <v>141</v>
      </c>
      <c r="B86" s="11"/>
      <c r="C86" s="11"/>
      <c r="D86" s="11"/>
      <c r="E86" s="11"/>
      <c r="F86" s="11"/>
      <c r="G86" s="11"/>
      <c r="H86" s="11"/>
      <c r="I86" s="11"/>
    </row>
    <row r="87" spans="1:9">
      <c r="A87" s="10" t="s">
        <v>142</v>
      </c>
      <c r="B87" s="10" t="s">
        <v>143</v>
      </c>
      <c r="C87" s="11" t="s">
        <v>51</v>
      </c>
      <c r="D87" s="11" t="s">
        <v>51</v>
      </c>
      <c r="E87" s="11" t="s">
        <v>51</v>
      </c>
      <c r="F87" s="11" t="s">
        <v>51</v>
      </c>
      <c r="G87" s="11" t="s">
        <v>51</v>
      </c>
      <c r="H87" s="11" t="s">
        <v>51</v>
      </c>
      <c r="I87" s="11" t="s">
        <v>51</v>
      </c>
    </row>
    <row r="88" spans="1:9">
      <c r="A88" s="10" t="s">
        <v>144</v>
      </c>
      <c r="B88" s="10" t="s">
        <v>145</v>
      </c>
      <c r="C88" s="13" t="str">
        <f>_xll.BDH("ASIX US Equity","FATALITIES_EMPLOYEES","FY 2016","FY 2016","Currency=USD","Period=FY","BEST_FPERIOD_OVERRIDE=FY","FILING_STATUS=MR","Sort=A","Dates=H","DateFormat=P","Fill=—","Direction=H","UseDPDF=Y")</f>
        <v>—</v>
      </c>
      <c r="D88" s="13" t="str">
        <f>_xll.BDH("ASIX US Equity","FATALITIES_EMPLOYEES","FY 2017","FY 2017","Currency=USD","Period=FY","BEST_FPERIOD_OVERRIDE=FY","FILING_STATUS=MR","Sort=A","Dates=H","DateFormat=P","Fill=—","Direction=H","UseDPDF=Y")</f>
        <v>—</v>
      </c>
      <c r="E88" s="13" t="str">
        <f>_xll.BDH("ASIX US Equity","FATALITIES_EMPLOYEES","FY 2018","FY 2018","Currency=USD","Period=FY","BEST_FPERIOD_OVERRIDE=FY","FILING_STATUS=MR","Sort=A","Dates=H","DateFormat=P","Fill=—","Direction=H","UseDPDF=Y")</f>
        <v>—</v>
      </c>
      <c r="F88" s="13">
        <f>_xll.BDH("ASIX US Equity","FATALITIES_EMPLOYEES","FY 2019","FY 2019","Currency=USD","Period=FY","BEST_FPERIOD_OVERRIDE=FY","FILING_STATUS=MR","Sort=A","Dates=H","DateFormat=P","Fill=—","Direction=H","UseDPDF=Y")</f>
        <v>0</v>
      </c>
      <c r="G88" s="13">
        <f>_xll.BDH("ASIX US Equity","FATALITIES_EMPLOYEES","FY 2020","FY 2020","Currency=USD","Period=FY","BEST_FPERIOD_OVERRIDE=FY","FILING_STATUS=MR","Sort=A","Dates=H","DateFormat=P","Fill=—","Direction=H","UseDPDF=Y")</f>
        <v>0</v>
      </c>
      <c r="H88" s="13">
        <f>_xll.BDH("ASIX US Equity","FATALITIES_EMPLOYEES","FY 2021","FY 2021","Currency=USD","Period=FY","BEST_FPERIOD_OVERRIDE=FY","FILING_STATUS=MR","Sort=A","Dates=H","DateFormat=P","Fill=—","Direction=H","UseDPDF=Y")</f>
        <v>0</v>
      </c>
      <c r="I88" s="13">
        <f>_xll.BDH("ASIX US Equity","FATALITIES_EMPLOYEES","FY 2022","FY 2022","Currency=USD","Period=FY","BEST_FPERIOD_OVERRIDE=FY","FILING_STATUS=MR","Sort=A","Dates=H","DateFormat=P","Fill=—","Direction=H","UseDPDF=Y")</f>
        <v>0</v>
      </c>
    </row>
    <row r="89" spans="1:9">
      <c r="A89" s="10" t="s">
        <v>146</v>
      </c>
      <c r="B89" s="10" t="s">
        <v>147</v>
      </c>
      <c r="C89" s="13" t="str">
        <f>_xll.BDH("ASIX US Equity","FATALITIES_CONTRACTORS","FY 2016","FY 2016","Currency=USD","Period=FY","BEST_FPERIOD_OVERRIDE=FY","FILING_STATUS=MR","Sort=A","Dates=H","DateFormat=P","Fill=—","Direction=H","UseDPDF=Y")</f>
        <v>—</v>
      </c>
      <c r="D89" s="13" t="str">
        <f>_xll.BDH("ASIX US Equity","FATALITIES_CONTRACTORS","FY 2017","FY 2017","Currency=USD","Period=FY","BEST_FPERIOD_OVERRIDE=FY","FILING_STATUS=MR","Sort=A","Dates=H","DateFormat=P","Fill=—","Direction=H","UseDPDF=Y")</f>
        <v>—</v>
      </c>
      <c r="E89" s="13" t="str">
        <f>_xll.BDH("ASIX US Equity","FATALITIES_CONTRACTORS","FY 2018","FY 2018","Currency=USD","Period=FY","BEST_FPERIOD_OVERRIDE=FY","FILING_STATUS=MR","Sort=A","Dates=H","DateFormat=P","Fill=—","Direction=H","UseDPDF=Y")</f>
        <v>—</v>
      </c>
      <c r="F89" s="13">
        <f>_xll.BDH("ASIX US Equity","FATALITIES_CONTRACTORS","FY 2019","FY 2019","Currency=USD","Period=FY","BEST_FPERIOD_OVERRIDE=FY","FILING_STATUS=MR","Sort=A","Dates=H","DateFormat=P","Fill=—","Direction=H","UseDPDF=Y")</f>
        <v>0</v>
      </c>
      <c r="G89" s="13">
        <f>_xll.BDH("ASIX US Equity","FATALITIES_CONTRACTORS","FY 2020","FY 2020","Currency=USD","Period=FY","BEST_FPERIOD_OVERRIDE=FY","FILING_STATUS=MR","Sort=A","Dates=H","DateFormat=P","Fill=—","Direction=H","UseDPDF=Y")</f>
        <v>0</v>
      </c>
      <c r="H89" s="13">
        <f>_xll.BDH("ASIX US Equity","FATALITIES_CONTRACTORS","FY 2021","FY 2021","Currency=USD","Period=FY","BEST_FPERIOD_OVERRIDE=FY","FILING_STATUS=MR","Sort=A","Dates=H","DateFormat=P","Fill=—","Direction=H","UseDPDF=Y")</f>
        <v>0</v>
      </c>
      <c r="I89" s="13">
        <f>_xll.BDH("ASIX US Equity","FATALITIES_CONTRACTORS","FY 2022","FY 2022","Currency=USD","Period=FY","BEST_FPERIOD_OVERRIDE=FY","FILING_STATUS=MR","Sort=A","Dates=H","DateFormat=P","Fill=—","Direction=H","UseDPDF=Y")</f>
        <v>0</v>
      </c>
    </row>
    <row r="90" spans="1:9">
      <c r="A90" s="10" t="s">
        <v>148</v>
      </c>
      <c r="B90" s="10" t="s">
        <v>149</v>
      </c>
      <c r="C90" s="13" t="str">
        <f>_xll.BDH("ASIX US Equity","FATALITIES_TOTAL","FY 2016","FY 2016","Currency=USD","Period=FY","BEST_FPERIOD_OVERRIDE=FY","FILING_STATUS=MR","Sort=A","Dates=H","DateFormat=P","Fill=—","Direction=H","UseDPDF=Y")</f>
        <v>—</v>
      </c>
      <c r="D90" s="13" t="str">
        <f>_xll.BDH("ASIX US Equity","FATALITIES_TOTAL","FY 2017","FY 2017","Currency=USD","Period=FY","BEST_FPERIOD_OVERRIDE=FY","FILING_STATUS=MR","Sort=A","Dates=H","DateFormat=P","Fill=—","Direction=H","UseDPDF=Y")</f>
        <v>—</v>
      </c>
      <c r="E90" s="13" t="str">
        <f>_xll.BDH("ASIX US Equity","FATALITIES_TOTAL","FY 2018","FY 2018","Currency=USD","Period=FY","BEST_FPERIOD_OVERRIDE=FY","FILING_STATUS=MR","Sort=A","Dates=H","DateFormat=P","Fill=—","Direction=H","UseDPDF=Y")</f>
        <v>—</v>
      </c>
      <c r="F90" s="13">
        <f>_xll.BDH("ASIX US Equity","FATALITIES_TOTAL","FY 2019","FY 2019","Currency=USD","Period=FY","BEST_FPERIOD_OVERRIDE=FY","FILING_STATUS=MR","Sort=A","Dates=H","DateFormat=P","Fill=—","Direction=H","UseDPDF=Y")</f>
        <v>0</v>
      </c>
      <c r="G90" s="13">
        <f>_xll.BDH("ASIX US Equity","FATALITIES_TOTAL","FY 2020","FY 2020","Currency=USD","Period=FY","BEST_FPERIOD_OVERRIDE=FY","FILING_STATUS=MR","Sort=A","Dates=H","DateFormat=P","Fill=—","Direction=H","UseDPDF=Y")</f>
        <v>0</v>
      </c>
      <c r="H90" s="13">
        <f>_xll.BDH("ASIX US Equity","FATALITIES_TOTAL","FY 2021","FY 2021","Currency=USD","Period=FY","BEST_FPERIOD_OVERRIDE=FY","FILING_STATUS=MR","Sort=A","Dates=H","DateFormat=P","Fill=—","Direction=H","UseDPDF=Y")</f>
        <v>0</v>
      </c>
      <c r="I90" s="13">
        <f>_xll.BDH("ASIX US Equity","FATALITIES_TOTAL","FY 2022","FY 2022","Currency=USD","Period=FY","BEST_FPERIOD_OVERRIDE=FY","FILING_STATUS=MR","Sort=A","Dates=H","DateFormat=P","Fill=—","Direction=H","UseDPDF=Y")</f>
        <v>0</v>
      </c>
    </row>
    <row r="91" spans="1:9">
      <c r="A91" s="10" t="s">
        <v>150</v>
      </c>
      <c r="B91" s="10" t="s">
        <v>151</v>
      </c>
      <c r="C91" s="13" t="str">
        <f>_xll.BDH("ASIX US Equity","LOST_TIME_INCIDENT_RATE","FY 2016","FY 2016","Currency=USD","Period=FY","BEST_FPERIOD_OVERRIDE=FY","FILING_STATUS=MR","Sort=A","Dates=H","DateFormat=P","Fill=—","Direction=H","UseDPDF=Y")</f>
        <v>—</v>
      </c>
      <c r="D91" s="13" t="str">
        <f>_xll.BDH("ASIX US Equity","LOST_TIME_INCIDENT_RATE","FY 2017","FY 2017","Currency=USD","Period=FY","BEST_FPERIOD_OVERRIDE=FY","FILING_STATUS=MR","Sort=A","Dates=H","DateFormat=P","Fill=—","Direction=H","UseDPDF=Y")</f>
        <v>—</v>
      </c>
      <c r="E91" s="13" t="str">
        <f>_xll.BDH("ASIX US Equity","LOST_TIME_INCIDENT_RATE","FY 2018","FY 2018","Currency=USD","Period=FY","BEST_FPERIOD_OVERRIDE=FY","FILING_STATUS=MR","Sort=A","Dates=H","DateFormat=P","Fill=—","Direction=H","UseDPDF=Y")</f>
        <v>—</v>
      </c>
      <c r="F91" s="13" t="str">
        <f>_xll.BDH("ASIX US Equity","LOST_TIME_INCIDENT_RATE","FY 2019","FY 2019","Currency=USD","Period=FY","BEST_FPERIOD_OVERRIDE=FY","FILING_STATUS=MR","Sort=A","Dates=H","DateFormat=P","Fill=—","Direction=H","UseDPDF=Y")</f>
        <v>—</v>
      </c>
      <c r="G91" s="13" t="str">
        <f>_xll.BDH("ASIX US Equity","LOST_TIME_INCIDENT_RATE","FY 2020","FY 2020","Currency=USD","Period=FY","BEST_FPERIOD_OVERRIDE=FY","FILING_STATUS=MR","Sort=A","Dates=H","DateFormat=P","Fill=—","Direction=H","UseDPDF=Y")</f>
        <v>—</v>
      </c>
      <c r="H91" s="13" t="str">
        <f>_xll.BDH("ASIX US Equity","LOST_TIME_INCIDENT_RATE","FY 2021","FY 2021","Currency=USD","Period=FY","BEST_FPERIOD_OVERRIDE=FY","FILING_STATUS=MR","Sort=A","Dates=H","DateFormat=P","Fill=—","Direction=H","UseDPDF=Y")</f>
        <v>—</v>
      </c>
      <c r="I91" s="13">
        <f>_xll.BDH("ASIX US Equity","LOST_TIME_INCIDENT_RATE","FY 2022","FY 2022","Currency=USD","Period=FY","BEST_FPERIOD_OVERRIDE=FY","FILING_STATUS=MR","Sort=A","Dates=H","DateFormat=P","Fill=—","Direction=H","UseDPDF=Y")</f>
        <v>0.7</v>
      </c>
    </row>
    <row r="92" spans="1:9">
      <c r="A92" s="10" t="s">
        <v>152</v>
      </c>
      <c r="B92" s="10" t="s">
        <v>153</v>
      </c>
      <c r="C92" s="13" t="str">
        <f>_xll.BDH("ASIX US Equity","LOST_TIME_INCIDENT_RT_CNTRCTR","FY 2016","FY 2016","Currency=USD","Period=FY","BEST_FPERIOD_OVERRIDE=FY","FILING_STATUS=MR","Sort=A","Dates=H","DateFormat=P","Fill=—","Direction=H","UseDPDF=Y")</f>
        <v>—</v>
      </c>
      <c r="D92" s="13" t="str">
        <f>_xll.BDH("ASIX US Equity","LOST_TIME_INCIDENT_RT_CNTRCTR","FY 2017","FY 2017","Currency=USD","Period=FY","BEST_FPERIOD_OVERRIDE=FY","FILING_STATUS=MR","Sort=A","Dates=H","DateFormat=P","Fill=—","Direction=H","UseDPDF=Y")</f>
        <v>—</v>
      </c>
      <c r="E92" s="13" t="str">
        <f>_xll.BDH("ASIX US Equity","LOST_TIME_INCIDENT_RT_CNTRCTR","FY 2018","FY 2018","Currency=USD","Period=FY","BEST_FPERIOD_OVERRIDE=FY","FILING_STATUS=MR","Sort=A","Dates=H","DateFormat=P","Fill=—","Direction=H","UseDPDF=Y")</f>
        <v>—</v>
      </c>
      <c r="F92" s="13" t="str">
        <f>_xll.BDH("ASIX US Equity","LOST_TIME_INCIDENT_RT_CNTRCTR","FY 2019","FY 2019","Currency=USD","Period=FY","BEST_FPERIOD_OVERRIDE=FY","FILING_STATUS=MR","Sort=A","Dates=H","DateFormat=P","Fill=—","Direction=H","UseDPDF=Y")</f>
        <v>—</v>
      </c>
      <c r="G92" s="13" t="str">
        <f>_xll.BDH("ASIX US Equity","LOST_TIME_INCIDENT_RT_CNTRCTR","FY 2020","FY 2020","Currency=USD","Period=FY","BEST_FPERIOD_OVERRIDE=FY","FILING_STATUS=MR","Sort=A","Dates=H","DateFormat=P","Fill=—","Direction=H","UseDPDF=Y")</f>
        <v>—</v>
      </c>
      <c r="H92" s="13" t="str">
        <f>_xll.BDH("ASIX US Equity","LOST_TIME_INCIDENT_RT_CNTRCTR","FY 2021","FY 2021","Currency=USD","Period=FY","BEST_FPERIOD_OVERRIDE=FY","FILING_STATUS=MR","Sort=A","Dates=H","DateFormat=P","Fill=—","Direction=H","UseDPDF=Y")</f>
        <v>—</v>
      </c>
      <c r="I92" s="13">
        <f>_xll.BDH("ASIX US Equity","LOST_TIME_INCIDENT_RT_CNTRCTR","FY 2022","FY 2022","Currency=USD","Period=FY","BEST_FPERIOD_OVERRIDE=FY","FILING_STATUS=MR","Sort=A","Dates=H","DateFormat=P","Fill=—","Direction=H","UseDPDF=Y")</f>
        <v>0.19</v>
      </c>
    </row>
    <row r="93" spans="1:9">
      <c r="A93" s="10" t="s">
        <v>154</v>
      </c>
      <c r="B93" s="10" t="s">
        <v>155</v>
      </c>
      <c r="C93" s="13">
        <f>_xll.BDH("ASIX US Equity","TOTAL_RECORDABLE_INCIDENT_RATE","FY 2016","FY 2016","Currency=USD","Period=FY","BEST_FPERIOD_OVERRIDE=FY","FILING_STATUS=MR","Sort=A","Dates=H","DateFormat=P","Fill=—","Direction=H","UseDPDF=Y")</f>
        <v>0.77</v>
      </c>
      <c r="D93" s="13">
        <f>_xll.BDH("ASIX US Equity","TOTAL_RECORDABLE_INCIDENT_RATE","FY 2017","FY 2017","Currency=USD","Period=FY","BEST_FPERIOD_OVERRIDE=FY","FILING_STATUS=MR","Sort=A","Dates=H","DateFormat=P","Fill=—","Direction=H","UseDPDF=Y")</f>
        <v>0.44</v>
      </c>
      <c r="E93" s="13">
        <f>_xll.BDH("ASIX US Equity","TOTAL_RECORDABLE_INCIDENT_RATE","FY 2018","FY 2018","Currency=USD","Period=FY","BEST_FPERIOD_OVERRIDE=FY","FILING_STATUS=MR","Sort=A","Dates=H","DateFormat=P","Fill=—","Direction=H","UseDPDF=Y")</f>
        <v>0.76</v>
      </c>
      <c r="F93" s="13">
        <f>_xll.BDH("ASIX US Equity","TOTAL_RECORDABLE_INCIDENT_RATE","FY 2019","FY 2019","Currency=USD","Period=FY","BEST_FPERIOD_OVERRIDE=FY","FILING_STATUS=MR","Sort=A","Dates=H","DateFormat=P","Fill=—","Direction=H","UseDPDF=Y")</f>
        <v>0.86</v>
      </c>
      <c r="G93" s="13">
        <f>_xll.BDH("ASIX US Equity","TOTAL_RECORDABLE_INCIDENT_RATE","FY 2020","FY 2020","Currency=USD","Period=FY","BEST_FPERIOD_OVERRIDE=FY","FILING_STATUS=MR","Sort=A","Dates=H","DateFormat=P","Fill=—","Direction=H","UseDPDF=Y")</f>
        <v>0.9</v>
      </c>
      <c r="H93" s="13">
        <f>_xll.BDH("ASIX US Equity","TOTAL_RECORDABLE_INCIDENT_RATE","FY 2021","FY 2021","Currency=USD","Period=FY","BEST_FPERIOD_OVERRIDE=FY","FILING_STATUS=MR","Sort=A","Dates=H","DateFormat=P","Fill=—","Direction=H","UseDPDF=Y")</f>
        <v>0.48</v>
      </c>
      <c r="I93" s="13">
        <f>_xll.BDH("ASIX US Equity","TOTAL_RECORDABLE_INCIDENT_RATE","FY 2022","FY 2022","Currency=USD","Period=FY","BEST_FPERIOD_OVERRIDE=FY","FILING_STATUS=MR","Sort=A","Dates=H","DateFormat=P","Fill=—","Direction=H","UseDPDF=Y")</f>
        <v>1.1499999999999999</v>
      </c>
    </row>
    <row r="94" spans="1:9">
      <c r="A94" s="10" t="s">
        <v>156</v>
      </c>
      <c r="B94" s="10" t="s">
        <v>157</v>
      </c>
      <c r="C94" s="13" t="str">
        <f>_xll.BDH("ASIX US Equity","TOT_RECORDABLE_INCID_RT_CNTRCTR","FY 2016","FY 2016","Currency=USD","Period=FY","BEST_FPERIOD_OVERRIDE=FY","FILING_STATUS=MR","Sort=A","Dates=H","DateFormat=P","Fill=—","Direction=H","UseDPDF=Y")</f>
        <v>—</v>
      </c>
      <c r="D94" s="13" t="str">
        <f>_xll.BDH("ASIX US Equity","TOT_RECORDABLE_INCID_RT_CNTRCTR","FY 2017","FY 2017","Currency=USD","Period=FY","BEST_FPERIOD_OVERRIDE=FY","FILING_STATUS=MR","Sort=A","Dates=H","DateFormat=P","Fill=—","Direction=H","UseDPDF=Y")</f>
        <v>—</v>
      </c>
      <c r="E94" s="13" t="str">
        <f>_xll.BDH("ASIX US Equity","TOT_RECORDABLE_INCID_RT_CNTRCTR","FY 2018","FY 2018","Currency=USD","Period=FY","BEST_FPERIOD_OVERRIDE=FY","FILING_STATUS=MR","Sort=A","Dates=H","DateFormat=P","Fill=—","Direction=H","UseDPDF=Y")</f>
        <v>—</v>
      </c>
      <c r="F94" s="13" t="str">
        <f>_xll.BDH("ASIX US Equity","TOT_RECORDABLE_INCID_RT_CNTRCTR","FY 2019","FY 2019","Currency=USD","Period=FY","BEST_FPERIOD_OVERRIDE=FY","FILING_STATUS=MR","Sort=A","Dates=H","DateFormat=P","Fill=—","Direction=H","UseDPDF=Y")</f>
        <v>—</v>
      </c>
      <c r="G94" s="13" t="str">
        <f>_xll.BDH("ASIX US Equity","TOT_RECORDABLE_INCID_RT_CNTRCTR","FY 2020","FY 2020","Currency=USD","Period=FY","BEST_FPERIOD_OVERRIDE=FY","FILING_STATUS=MR","Sort=A","Dates=H","DateFormat=P","Fill=—","Direction=H","UseDPDF=Y")</f>
        <v>—</v>
      </c>
      <c r="H94" s="13" t="str">
        <f>_xll.BDH("ASIX US Equity","TOT_RECORDABLE_INCID_RT_CNTRCTR","FY 2021","FY 2021","Currency=USD","Period=FY","BEST_FPERIOD_OVERRIDE=FY","FILING_STATUS=MR","Sort=A","Dates=H","DateFormat=P","Fill=—","Direction=H","UseDPDF=Y")</f>
        <v>—</v>
      </c>
      <c r="I94" s="13">
        <f>_xll.BDH("ASIX US Equity","TOT_RECORDABLE_INCID_RT_CNTRCTR","FY 2022","FY 2022","Currency=USD","Period=FY","BEST_FPERIOD_OVERRIDE=FY","FILING_STATUS=MR","Sort=A","Dates=H","DateFormat=P","Fill=—","Direction=H","UseDPDF=Y")</f>
        <v>0.94</v>
      </c>
    </row>
    <row r="95" spans="1:9">
      <c r="A95" s="10"/>
      <c r="B95" s="11"/>
      <c r="C95" s="11"/>
      <c r="D95" s="11"/>
      <c r="E95" s="11"/>
      <c r="F95" s="11"/>
      <c r="G95" s="11"/>
      <c r="H95" s="11"/>
      <c r="I95" s="11"/>
    </row>
    <row r="96" spans="1:9">
      <c r="A96" s="10" t="s">
        <v>158</v>
      </c>
      <c r="B96" s="11"/>
      <c r="C96" s="11"/>
      <c r="D96" s="11"/>
      <c r="E96" s="11"/>
      <c r="F96" s="11"/>
      <c r="G96" s="11"/>
      <c r="H96" s="11"/>
      <c r="I96" s="11"/>
    </row>
    <row r="97" spans="1:9">
      <c r="A97" s="10" t="s">
        <v>159</v>
      </c>
      <c r="B97" s="10" t="s">
        <v>160</v>
      </c>
      <c r="C97" s="11" t="s">
        <v>50</v>
      </c>
      <c r="D97" s="11" t="s">
        <v>51</v>
      </c>
      <c r="E97" s="11" t="s">
        <v>51</v>
      </c>
      <c r="F97" s="11" t="s">
        <v>51</v>
      </c>
      <c r="G97" s="11" t="s">
        <v>51</v>
      </c>
      <c r="H97" s="11" t="s">
        <v>51</v>
      </c>
      <c r="I97" s="11" t="s">
        <v>51</v>
      </c>
    </row>
    <row r="98" spans="1:9">
      <c r="A98" s="10" t="s">
        <v>161</v>
      </c>
      <c r="B98" s="10" t="s">
        <v>162</v>
      </c>
      <c r="C98" s="11" t="s">
        <v>50</v>
      </c>
      <c r="D98" s="11" t="s">
        <v>50</v>
      </c>
      <c r="E98" s="11" t="s">
        <v>50</v>
      </c>
      <c r="F98" s="11" t="s">
        <v>50</v>
      </c>
      <c r="G98" s="11" t="s">
        <v>50</v>
      </c>
      <c r="H98" s="11" t="s">
        <v>50</v>
      </c>
      <c r="I98" s="11" t="s">
        <v>50</v>
      </c>
    </row>
    <row r="99" spans="1:9">
      <c r="A99" s="10" t="s">
        <v>163</v>
      </c>
      <c r="B99" s="10" t="s">
        <v>164</v>
      </c>
      <c r="C99" s="13">
        <f>_xll.BDH("ASIX US Equity","NUMBER_EMPLOYEES_CSR","FY 2016","FY 2016","Currency=USD","Period=FY","BEST_FPERIOD_OVERRIDE=FY","FILING_STATUS=MR","Sort=A","Dates=H","DateFormat=P","Fill=—","Direction=H","UseDPDF=Y")</f>
        <v>1340</v>
      </c>
      <c r="D99" s="13">
        <f>_xll.BDH("ASIX US Equity","NUMBER_EMPLOYEES_CSR","FY 2017","FY 2017","Currency=USD","Period=FY","BEST_FPERIOD_OVERRIDE=FY","FILING_STATUS=MR","Sort=A","Dates=H","DateFormat=P","Fill=—","Direction=H","UseDPDF=Y")</f>
        <v>1510</v>
      </c>
      <c r="E99" s="13">
        <f>_xll.BDH("ASIX US Equity","NUMBER_EMPLOYEES_CSR","FY 2018","FY 2018","Currency=USD","Period=FY","BEST_FPERIOD_OVERRIDE=FY","FILING_STATUS=MR","Sort=A","Dates=H","DateFormat=P","Fill=—","Direction=H","UseDPDF=Y")</f>
        <v>1485</v>
      </c>
      <c r="F99" s="13">
        <f>_xll.BDH("ASIX US Equity","NUMBER_EMPLOYEES_CSR","FY 2019","FY 2019","Currency=USD","Period=FY","BEST_FPERIOD_OVERRIDE=FY","FILING_STATUS=MR","Sort=A","Dates=H","DateFormat=P","Fill=—","Direction=H","UseDPDF=Y")</f>
        <v>1520</v>
      </c>
      <c r="G99" s="13">
        <f>_xll.BDH("ASIX US Equity","NUMBER_EMPLOYEES_CSR","FY 2020","FY 2020","Currency=USD","Period=FY","BEST_FPERIOD_OVERRIDE=FY","FILING_STATUS=MR","Sort=A","Dates=H","DateFormat=P","Fill=—","Direction=H","UseDPDF=Y")</f>
        <v>1400</v>
      </c>
      <c r="H99" s="13">
        <f>_xll.BDH("ASIX US Equity","NUMBER_EMPLOYEES_CSR","FY 2021","FY 2021","Currency=USD","Period=FY","BEST_FPERIOD_OVERRIDE=FY","FILING_STATUS=MR","Sort=A","Dates=H","DateFormat=P","Fill=—","Direction=H","UseDPDF=Y")</f>
        <v>1375</v>
      </c>
      <c r="I99" s="13">
        <f>_xll.BDH("ASIX US Equity","NUMBER_EMPLOYEES_CSR","FY 2022","FY 2022","Currency=USD","Period=FY","BEST_FPERIOD_OVERRIDE=FY","FILING_STATUS=MR","Sort=A","Dates=H","DateFormat=P","Fill=—","Direction=H","UseDPDF=Y")</f>
        <v>1458</v>
      </c>
    </row>
    <row r="100" spans="1:9">
      <c r="A100" s="10" t="s">
        <v>165</v>
      </c>
      <c r="B100" s="10" t="s">
        <v>166</v>
      </c>
      <c r="C100" s="13" t="str">
        <f>_xll.BDH("ASIX US Equity","EMPLOYEE_TURNOVER_PCT","FY 2016","FY 2016","Currency=USD","Period=FY","BEST_FPERIOD_OVERRIDE=FY","FILING_STATUS=MR","Sort=A","Dates=H","DateFormat=P","Fill=—","Direction=H","UseDPDF=Y")</f>
        <v>—</v>
      </c>
      <c r="D100" s="13" t="str">
        <f>_xll.BDH("ASIX US Equity","EMPLOYEE_TURNOVER_PCT","FY 2017","FY 2017","Currency=USD","Period=FY","BEST_FPERIOD_OVERRIDE=FY","FILING_STATUS=MR","Sort=A","Dates=H","DateFormat=P","Fill=—","Direction=H","UseDPDF=Y")</f>
        <v>—</v>
      </c>
      <c r="E100" s="13" t="str">
        <f>_xll.BDH("ASIX US Equity","EMPLOYEE_TURNOVER_PCT","FY 2018","FY 2018","Currency=USD","Period=FY","BEST_FPERIOD_OVERRIDE=FY","FILING_STATUS=MR","Sort=A","Dates=H","DateFormat=P","Fill=—","Direction=H","UseDPDF=Y")</f>
        <v>—</v>
      </c>
      <c r="F100" s="13" t="str">
        <f>_xll.BDH("ASIX US Equity","EMPLOYEE_TURNOVER_PCT","FY 2019","FY 2019","Currency=USD","Period=FY","BEST_FPERIOD_OVERRIDE=FY","FILING_STATUS=MR","Sort=A","Dates=H","DateFormat=P","Fill=—","Direction=H","UseDPDF=Y")</f>
        <v>—</v>
      </c>
      <c r="G100" s="13" t="str">
        <f>_xll.BDH("ASIX US Equity","EMPLOYEE_TURNOVER_PCT","FY 2020","FY 2020","Currency=USD","Period=FY","BEST_FPERIOD_OVERRIDE=FY","FILING_STATUS=MR","Sort=A","Dates=H","DateFormat=P","Fill=—","Direction=H","UseDPDF=Y")</f>
        <v>—</v>
      </c>
      <c r="H100" s="13" t="str">
        <f>_xll.BDH("ASIX US Equity","EMPLOYEE_TURNOVER_PCT","FY 2021","FY 2021","Currency=USD","Period=FY","BEST_FPERIOD_OVERRIDE=FY","FILING_STATUS=MR","Sort=A","Dates=H","DateFormat=P","Fill=—","Direction=H","UseDPDF=Y")</f>
        <v>—</v>
      </c>
      <c r="I100" s="13">
        <f>_xll.BDH("ASIX US Equity","EMPLOYEE_TURNOVER_PCT","FY 2022","FY 2022","Currency=USD","Period=FY","BEST_FPERIOD_OVERRIDE=FY","FILING_STATUS=MR","Sort=A","Dates=H","DateFormat=P","Fill=—","Direction=H","UseDPDF=Y")</f>
        <v>14.79</v>
      </c>
    </row>
    <row r="101" spans="1:9">
      <c r="A101" s="10" t="s">
        <v>167</v>
      </c>
      <c r="B101" s="10" t="s">
        <v>168</v>
      </c>
      <c r="C101" s="13">
        <f>_xll.BDH("ASIX US Equity","PCT_EMPLOYEES_UNIONIZED","FY 2016","FY 2016","Currency=USD","Period=FY","BEST_FPERIOD_OVERRIDE=FY","FILING_STATUS=MR","Sort=A","Dates=H","DateFormat=P","Fill=—","Direction=H","UseDPDF=Y")</f>
        <v>55.97</v>
      </c>
      <c r="D101" s="13">
        <f>_xll.BDH("ASIX US Equity","PCT_EMPLOYEES_UNIONIZED","FY 2017","FY 2017","Currency=USD","Period=FY","BEST_FPERIOD_OVERRIDE=FY","FILING_STATUS=MR","Sort=A","Dates=H","DateFormat=P","Fill=—","Direction=H","UseDPDF=Y")</f>
        <v>50.33</v>
      </c>
      <c r="E101" s="13">
        <f>_xll.BDH("ASIX US Equity","PCT_EMPLOYEES_UNIONIZED","FY 2018","FY 2018","Currency=USD","Period=FY","BEST_FPERIOD_OVERRIDE=FY","FILING_STATUS=MR","Sort=A","Dates=H","DateFormat=P","Fill=—","Direction=H","UseDPDF=Y")</f>
        <v>49.15</v>
      </c>
      <c r="F101" s="13">
        <f>_xll.BDH("ASIX US Equity","PCT_EMPLOYEES_UNIONIZED","FY 2019","FY 2019","Currency=USD","Period=FY","BEST_FPERIOD_OVERRIDE=FY","FILING_STATUS=MR","Sort=A","Dates=H","DateFormat=P","Fill=—","Direction=H","UseDPDF=Y")</f>
        <v>48.36</v>
      </c>
      <c r="G101" s="13">
        <f>_xll.BDH("ASIX US Equity","PCT_EMPLOYEES_UNIONIZED","FY 2020","FY 2020","Currency=USD","Period=FY","BEST_FPERIOD_OVERRIDE=FY","FILING_STATUS=MR","Sort=A","Dates=H","DateFormat=P","Fill=—","Direction=H","UseDPDF=Y")</f>
        <v>50.35</v>
      </c>
      <c r="H101" s="13">
        <f>_xll.BDH("ASIX US Equity","PCT_EMPLOYEES_UNIONIZED","FY 2021","FY 2021","Currency=USD","Period=FY","BEST_FPERIOD_OVERRIDE=FY","FILING_STATUS=MR","Sort=A","Dates=H","DateFormat=P","Fill=—","Direction=H","UseDPDF=Y")</f>
        <v>51.27</v>
      </c>
      <c r="I101" s="13">
        <f>_xll.BDH("ASIX US Equity","PCT_EMPLOYEES_UNIONIZED","FY 2022","FY 2022","Currency=USD","Period=FY","BEST_FPERIOD_OVERRIDE=FY","FILING_STATUS=MR","Sort=A","Dates=H","DateFormat=P","Fill=—","Direction=H","UseDPDF=Y")</f>
        <v>51.02</v>
      </c>
    </row>
    <row r="102" spans="1:9">
      <c r="A102" s="10" t="s">
        <v>169</v>
      </c>
      <c r="B102" s="10" t="s">
        <v>170</v>
      </c>
      <c r="C102" s="13" t="str">
        <f>_xll.BDH("ASIX US Equity","TOT_HRS_SPENT_BY_FIRM_EMP_TRAIN","FY 2016","FY 2016","Currency=USD","Period=FY","BEST_FPERIOD_OVERRIDE=FY","FILING_STATUS=MR","Sort=A","Dates=H","DateFormat=P","Fill=—","Direction=H","UseDPDF=Y")</f>
        <v>—</v>
      </c>
      <c r="D102" s="13" t="str">
        <f>_xll.BDH("ASIX US Equity","TOT_HRS_SPENT_BY_FIRM_EMP_TRAIN","FY 2017","FY 2017","Currency=USD","Period=FY","BEST_FPERIOD_OVERRIDE=FY","FILING_STATUS=MR","Sort=A","Dates=H","DateFormat=P","Fill=—","Direction=H","UseDPDF=Y")</f>
        <v>—</v>
      </c>
      <c r="E102" s="13" t="str">
        <f>_xll.BDH("ASIX US Equity","TOT_HRS_SPENT_BY_FIRM_EMP_TRAIN","FY 2018","FY 2018","Currency=USD","Period=FY","BEST_FPERIOD_OVERRIDE=FY","FILING_STATUS=MR","Sort=A","Dates=H","DateFormat=P","Fill=—","Direction=H","UseDPDF=Y")</f>
        <v>—</v>
      </c>
      <c r="F102" s="13">
        <f>_xll.BDH("ASIX US Equity","TOT_HRS_SPENT_BY_FIRM_EMP_TRAIN","FY 2019","FY 2019","Currency=USD","Period=FY","BEST_FPERIOD_OVERRIDE=FY","FILING_STATUS=MR","Sort=A","Dates=H","DateFormat=P","Fill=—","Direction=H","UseDPDF=Y")</f>
        <v>81700</v>
      </c>
      <c r="G102" s="13">
        <f>_xll.BDH("ASIX US Equity","TOT_HRS_SPENT_BY_FIRM_EMP_TRAIN","FY 2020","FY 2020","Currency=USD","Period=FY","BEST_FPERIOD_OVERRIDE=FY","FILING_STATUS=MR","Sort=A","Dates=H","DateFormat=P","Fill=—","Direction=H","UseDPDF=Y")</f>
        <v>32000</v>
      </c>
      <c r="H102" s="13">
        <f>_xll.BDH("ASIX US Equity","TOT_HRS_SPENT_BY_FIRM_EMP_TRAIN","FY 2021","FY 2021","Currency=USD","Period=FY","BEST_FPERIOD_OVERRIDE=FY","FILING_STATUS=MR","Sort=A","Dates=H","DateFormat=P","Fill=—","Direction=H","UseDPDF=Y")</f>
        <v>28000</v>
      </c>
      <c r="I102" s="13" t="str">
        <f>_xll.BDH("ASIX US Equity","TOT_HRS_SPENT_BY_FIRM_EMP_TRAIN","FY 2022","FY 2022","Currency=USD","Period=FY","BEST_FPERIOD_OVERRIDE=FY","FILING_STATUS=MR","Sort=A","Dates=H","DateFormat=P","Fill=—","Direction=H","UseDPDF=Y")</f>
        <v>—</v>
      </c>
    </row>
    <row r="103" spans="1:9">
      <c r="A103" s="10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0" t="s">
        <v>101</v>
      </c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0" t="s">
        <v>171</v>
      </c>
      <c r="B105" s="10" t="s">
        <v>172</v>
      </c>
      <c r="C105" s="11" t="s">
        <v>50</v>
      </c>
      <c r="D105" s="11" t="s">
        <v>51</v>
      </c>
      <c r="E105" s="11" t="s">
        <v>51</v>
      </c>
      <c r="F105" s="11" t="s">
        <v>51</v>
      </c>
      <c r="G105" s="11" t="s">
        <v>51</v>
      </c>
      <c r="H105" s="11" t="s">
        <v>51</v>
      </c>
      <c r="I105" s="11" t="s">
        <v>51</v>
      </c>
    </row>
    <row r="106" spans="1:9">
      <c r="A106" s="10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0" t="s">
        <v>173</v>
      </c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0" t="s">
        <v>174</v>
      </c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0" t="s">
        <v>175</v>
      </c>
      <c r="B109" s="10" t="s">
        <v>176</v>
      </c>
      <c r="C109" s="13">
        <f>_xll.BDH("ASIX US Equity","YEARS_AUDITOR_EMPLOYED","FY 2016","FY 2016","Currency=USD","Period=FY","BEST_FPERIOD_OVERRIDE=FY","FILING_STATUS=MR","Sort=A","Dates=H","DateFormat=P","Fill=—","Direction=H","UseDPDF=Y")</f>
        <v>2</v>
      </c>
      <c r="D109" s="13">
        <f>_xll.BDH("ASIX US Equity","YEARS_AUDITOR_EMPLOYED","FY 2017","FY 2017","Currency=USD","Period=FY","BEST_FPERIOD_OVERRIDE=FY","FILING_STATUS=MR","Sort=A","Dates=H","DateFormat=P","Fill=—","Direction=H","UseDPDF=Y")</f>
        <v>3</v>
      </c>
      <c r="E109" s="13">
        <f>_xll.BDH("ASIX US Equity","YEARS_AUDITOR_EMPLOYED","FY 2018","FY 2018","Currency=USD","Period=FY","BEST_FPERIOD_OVERRIDE=FY","FILING_STATUS=MR","Sort=A","Dates=H","DateFormat=P","Fill=—","Direction=H","UseDPDF=Y")</f>
        <v>4</v>
      </c>
      <c r="F109" s="13">
        <f>_xll.BDH("ASIX US Equity","YEARS_AUDITOR_EMPLOYED","FY 2019","FY 2019","Currency=USD","Period=FY","BEST_FPERIOD_OVERRIDE=FY","FILING_STATUS=MR","Sort=A","Dates=H","DateFormat=P","Fill=—","Direction=H","UseDPDF=Y")</f>
        <v>5</v>
      </c>
      <c r="G109" s="13">
        <f>_xll.BDH("ASIX US Equity","YEARS_AUDITOR_EMPLOYED","FY 2020","FY 2020","Currency=USD","Period=FY","BEST_FPERIOD_OVERRIDE=FY","FILING_STATUS=MR","Sort=A","Dates=H","DateFormat=P","Fill=—","Direction=H","UseDPDF=Y")</f>
        <v>6</v>
      </c>
      <c r="H109" s="13">
        <f>_xll.BDH("ASIX US Equity","YEARS_AUDITOR_EMPLOYED","FY 2021","FY 2021","Currency=USD","Period=FY","BEST_FPERIOD_OVERRIDE=FY","FILING_STATUS=MR","Sort=A","Dates=H","DateFormat=P","Fill=—","Direction=H","UseDPDF=Y")</f>
        <v>7</v>
      </c>
      <c r="I109" s="13">
        <f>_xll.BDH("ASIX US Equity","YEARS_AUDITOR_EMPLOYED","FY 2022","FY 2022","Currency=USD","Period=FY","BEST_FPERIOD_OVERRIDE=FY","FILING_STATUS=MR","Sort=A","Dates=H","DateFormat=P","Fill=—","Direction=H","UseDPDF=Y")</f>
        <v>8</v>
      </c>
    </row>
    <row r="110" spans="1:9">
      <c r="A110" s="10" t="s">
        <v>177</v>
      </c>
      <c r="B110" s="10" t="s">
        <v>178</v>
      </c>
      <c r="C110" s="13">
        <f>_xll.BDH("ASIX US Equity","SIZE_OF_AUDIT_COMMITTEE","FY 2016","FY 2016","Currency=USD","Period=FY","BEST_FPERIOD_OVERRIDE=FY","FILING_STATUS=MR","Sort=A","Dates=H","DateFormat=P","Fill=—","Direction=H","UseDPDF=Y")</f>
        <v>3</v>
      </c>
      <c r="D110" s="13">
        <f>_xll.BDH("ASIX US Equity","SIZE_OF_AUDIT_COMMITTEE","FY 2017","FY 2017","Currency=USD","Period=FY","BEST_FPERIOD_OVERRIDE=FY","FILING_STATUS=MR","Sort=A","Dates=H","DateFormat=P","Fill=—","Direction=H","UseDPDF=Y")</f>
        <v>3</v>
      </c>
      <c r="E110" s="13">
        <f>_xll.BDH("ASIX US Equity","SIZE_OF_AUDIT_COMMITTEE","FY 2018","FY 2018","Currency=USD","Period=FY","BEST_FPERIOD_OVERRIDE=FY","FILING_STATUS=MR","Sort=A","Dates=H","DateFormat=P","Fill=—","Direction=H","UseDPDF=Y")</f>
        <v>3</v>
      </c>
      <c r="F110" s="13">
        <f>_xll.BDH("ASIX US Equity","SIZE_OF_AUDIT_COMMITTEE","FY 2019","FY 2019","Currency=USD","Period=FY","BEST_FPERIOD_OVERRIDE=FY","FILING_STATUS=MR","Sort=A","Dates=H","DateFormat=P","Fill=—","Direction=H","UseDPDF=Y")</f>
        <v>3</v>
      </c>
      <c r="G110" s="13">
        <f>_xll.BDH("ASIX US Equity","SIZE_OF_AUDIT_COMMITTEE","FY 2020","FY 2020","Currency=USD","Period=FY","BEST_FPERIOD_OVERRIDE=FY","FILING_STATUS=MR","Sort=A","Dates=H","DateFormat=P","Fill=—","Direction=H","UseDPDF=Y")</f>
        <v>3</v>
      </c>
      <c r="H110" s="13">
        <f>_xll.BDH("ASIX US Equity","SIZE_OF_AUDIT_COMMITTEE","FY 2021","FY 2021","Currency=USD","Period=FY","BEST_FPERIOD_OVERRIDE=FY","FILING_STATUS=MR","Sort=A","Dates=H","DateFormat=P","Fill=—","Direction=H","UseDPDF=Y")</f>
        <v>4</v>
      </c>
      <c r="I110" s="13">
        <f>_xll.BDH("ASIX US Equity","SIZE_OF_AUDIT_COMMITTEE","FY 2022","FY 2022","Currency=USD","Period=FY","BEST_FPERIOD_OVERRIDE=FY","FILING_STATUS=MR","Sort=A","Dates=H","DateFormat=P","Fill=—","Direction=H","UseDPDF=Y")</f>
        <v>4</v>
      </c>
    </row>
    <row r="111" spans="1:9">
      <c r="A111" s="10" t="s">
        <v>179</v>
      </c>
      <c r="B111" s="10" t="s">
        <v>180</v>
      </c>
      <c r="C111" s="13">
        <f>_xll.BDH("ASIX US Equity","NUM_IND_DIR_ON_AUD_CMTE","FY 2016","FY 2016","Currency=USD","Period=FY","BEST_FPERIOD_OVERRIDE=FY","FILING_STATUS=MR","Sort=A","Dates=H","DateFormat=P","Fill=—","Direction=H","UseDPDF=Y")</f>
        <v>3</v>
      </c>
      <c r="D111" s="13">
        <f>_xll.BDH("ASIX US Equity","NUM_IND_DIR_ON_AUD_CMTE","FY 2017","FY 2017","Currency=USD","Period=FY","BEST_FPERIOD_OVERRIDE=FY","FILING_STATUS=MR","Sort=A","Dates=H","DateFormat=P","Fill=—","Direction=H","UseDPDF=Y")</f>
        <v>3</v>
      </c>
      <c r="E111" s="13">
        <f>_xll.BDH("ASIX US Equity","NUM_IND_DIR_ON_AUD_CMTE","FY 2018","FY 2018","Currency=USD","Period=FY","BEST_FPERIOD_OVERRIDE=FY","FILING_STATUS=MR","Sort=A","Dates=H","DateFormat=P","Fill=—","Direction=H","UseDPDF=Y")</f>
        <v>3</v>
      </c>
      <c r="F111" s="13">
        <f>_xll.BDH("ASIX US Equity","NUM_IND_DIR_ON_AUD_CMTE","FY 2019","FY 2019","Currency=USD","Period=FY","BEST_FPERIOD_OVERRIDE=FY","FILING_STATUS=MR","Sort=A","Dates=H","DateFormat=P","Fill=—","Direction=H","UseDPDF=Y")</f>
        <v>3</v>
      </c>
      <c r="G111" s="13">
        <f>_xll.BDH("ASIX US Equity","NUM_IND_DIR_ON_AUD_CMTE","FY 2020","FY 2020","Currency=USD","Period=FY","BEST_FPERIOD_OVERRIDE=FY","FILING_STATUS=MR","Sort=A","Dates=H","DateFormat=P","Fill=—","Direction=H","UseDPDF=Y")</f>
        <v>3</v>
      </c>
      <c r="H111" s="13">
        <f>_xll.BDH("ASIX US Equity","NUM_IND_DIR_ON_AUD_CMTE","FY 2021","FY 2021","Currency=USD","Period=FY","BEST_FPERIOD_OVERRIDE=FY","FILING_STATUS=MR","Sort=A","Dates=H","DateFormat=P","Fill=—","Direction=H","UseDPDF=Y")</f>
        <v>4</v>
      </c>
      <c r="I111" s="13">
        <f>_xll.BDH("ASIX US Equity","NUM_IND_DIR_ON_AUD_CMTE","FY 2022","FY 2022","Currency=USD","Period=FY","BEST_FPERIOD_OVERRIDE=FY","FILING_STATUS=MR","Sort=A","Dates=H","DateFormat=P","Fill=—","Direction=H","UseDPDF=Y")</f>
        <v>4</v>
      </c>
    </row>
    <row r="112" spans="1:9">
      <c r="A112" s="10" t="s">
        <v>181</v>
      </c>
      <c r="B112" s="10" t="s">
        <v>182</v>
      </c>
      <c r="C112" s="13">
        <f>_xll.BDH("ASIX US Equity","AUDIT_COMMITTEE_MEETINGS","FY 2016","FY 2016","Currency=USD","Period=FY","BEST_FPERIOD_OVERRIDE=FY","FILING_STATUS=MR","Sort=A","Dates=H","DateFormat=P","Fill=—","Direction=H","UseDPDF=Y")</f>
        <v>2</v>
      </c>
      <c r="D112" s="13">
        <f>_xll.BDH("ASIX US Equity","AUDIT_COMMITTEE_MEETINGS","FY 2017","FY 2017","Currency=USD","Period=FY","BEST_FPERIOD_OVERRIDE=FY","FILING_STATUS=MR","Sort=A","Dates=H","DateFormat=P","Fill=—","Direction=H","UseDPDF=Y")</f>
        <v>9</v>
      </c>
      <c r="E112" s="13">
        <f>_xll.BDH("ASIX US Equity","AUDIT_COMMITTEE_MEETINGS","FY 2018","FY 2018","Currency=USD","Period=FY","BEST_FPERIOD_OVERRIDE=FY","FILING_STATUS=MR","Sort=A","Dates=H","DateFormat=P","Fill=—","Direction=H","UseDPDF=Y")</f>
        <v>9</v>
      </c>
      <c r="F112" s="13">
        <f>_xll.BDH("ASIX US Equity","AUDIT_COMMITTEE_MEETINGS","FY 2019","FY 2019","Currency=USD","Period=FY","BEST_FPERIOD_OVERRIDE=FY","FILING_STATUS=MR","Sort=A","Dates=H","DateFormat=P","Fill=—","Direction=H","UseDPDF=Y")</f>
        <v>9</v>
      </c>
      <c r="G112" s="13">
        <f>_xll.BDH("ASIX US Equity","AUDIT_COMMITTEE_MEETINGS","FY 2020","FY 2020","Currency=USD","Period=FY","BEST_FPERIOD_OVERRIDE=FY","FILING_STATUS=MR","Sort=A","Dates=H","DateFormat=P","Fill=—","Direction=H","UseDPDF=Y")</f>
        <v>9</v>
      </c>
      <c r="H112" s="13">
        <f>_xll.BDH("ASIX US Equity","AUDIT_COMMITTEE_MEETINGS","FY 2021","FY 2021","Currency=USD","Period=FY","BEST_FPERIOD_OVERRIDE=FY","FILING_STATUS=MR","Sort=A","Dates=H","DateFormat=P","Fill=—","Direction=H","UseDPDF=Y")</f>
        <v>7</v>
      </c>
      <c r="I112" s="13">
        <f>_xll.BDH("ASIX US Equity","AUDIT_COMMITTEE_MEETINGS","FY 2022","FY 2022","Currency=USD","Period=FY","BEST_FPERIOD_OVERRIDE=FY","FILING_STATUS=MR","Sort=A","Dates=H","DateFormat=P","Fill=—","Direction=H","UseDPDF=Y")</f>
        <v>6</v>
      </c>
    </row>
    <row r="113" spans="1:9">
      <c r="A113" s="10" t="s">
        <v>183</v>
      </c>
      <c r="B113" s="10" t="s">
        <v>184</v>
      </c>
      <c r="C113" s="13">
        <f>_xll.BDH("ASIX US Equity","AUDIT_COMMITTEE_MTG_ATTEND_PCT","FY 2016","FY 2016","Currency=USD","Period=FY","BEST_FPERIOD_OVERRIDE=FY","FILING_STATUS=MR","Sort=A","Dates=H","DateFormat=P","Fill=—","Direction=H","UseDPDF=Y")</f>
        <v>100</v>
      </c>
      <c r="D113" s="13">
        <f>_xll.BDH("ASIX US Equity","AUDIT_COMMITTEE_MTG_ATTEND_PCT","FY 2017","FY 2017","Currency=USD","Period=FY","BEST_FPERIOD_OVERRIDE=FY","FILING_STATUS=MR","Sort=A","Dates=H","DateFormat=P","Fill=—","Direction=H","UseDPDF=Y")</f>
        <v>100</v>
      </c>
      <c r="E113" s="13">
        <f>_xll.BDH("ASIX US Equity","AUDIT_COMMITTEE_MTG_ATTEND_PCT","FY 2018","FY 2018","Currency=USD","Period=FY","BEST_FPERIOD_OVERRIDE=FY","FILING_STATUS=MR","Sort=A","Dates=H","DateFormat=P","Fill=—","Direction=H","UseDPDF=Y")</f>
        <v>100</v>
      </c>
      <c r="F113" s="13">
        <f>_xll.BDH("ASIX US Equity","AUDIT_COMMITTEE_MTG_ATTEND_PCT","FY 2019","FY 2019","Currency=USD","Period=FY","BEST_FPERIOD_OVERRIDE=FY","FILING_STATUS=MR","Sort=A","Dates=H","DateFormat=P","Fill=—","Direction=H","UseDPDF=Y")</f>
        <v>100</v>
      </c>
      <c r="G113" s="13">
        <f>_xll.BDH("ASIX US Equity","AUDIT_COMMITTEE_MTG_ATTEND_PCT","FY 2020","FY 2020","Currency=USD","Period=FY","BEST_FPERIOD_OVERRIDE=FY","FILING_STATUS=MR","Sort=A","Dates=H","DateFormat=P","Fill=—","Direction=H","UseDPDF=Y")</f>
        <v>95</v>
      </c>
      <c r="H113" s="13">
        <f>_xll.BDH("ASIX US Equity","AUDIT_COMMITTEE_MTG_ATTEND_PCT","FY 2021","FY 2021","Currency=USD","Period=FY","BEST_FPERIOD_OVERRIDE=FY","FILING_STATUS=MR","Sort=A","Dates=H","DateFormat=P","Fill=—","Direction=H","UseDPDF=Y")</f>
        <v>100</v>
      </c>
      <c r="I113" s="13">
        <f>_xll.BDH("ASIX US Equity","AUDIT_COMMITTEE_MTG_ATTEND_PCT","FY 2022","FY 2022","Currency=USD","Period=FY","BEST_FPERIOD_OVERRIDE=FY","FILING_STATUS=MR","Sort=A","Dates=H","DateFormat=P","Fill=—","Direction=H","UseDPDF=Y")</f>
        <v>100</v>
      </c>
    </row>
    <row r="114" spans="1:9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0" t="s">
        <v>185</v>
      </c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0" t="s">
        <v>186</v>
      </c>
      <c r="B116" s="10" t="s">
        <v>187</v>
      </c>
      <c r="C116" s="11" t="s">
        <v>51</v>
      </c>
      <c r="D116" s="11" t="s">
        <v>51</v>
      </c>
      <c r="E116" s="11" t="s">
        <v>51</v>
      </c>
      <c r="F116" s="11" t="s">
        <v>51</v>
      </c>
      <c r="G116" s="11" t="s">
        <v>51</v>
      </c>
      <c r="H116" s="11" t="s">
        <v>51</v>
      </c>
      <c r="I116" s="11" t="s">
        <v>51</v>
      </c>
    </row>
    <row r="117" spans="1:9">
      <c r="A117" s="10" t="s">
        <v>188</v>
      </c>
      <c r="B117" s="10" t="s">
        <v>189</v>
      </c>
      <c r="C117" s="13">
        <f>_xll.BDH("ASIX US Equity","BOARD_SIZE","FY 2016","FY 2016","Currency=USD","Period=FY","BEST_FPERIOD_OVERRIDE=FY","FILING_STATUS=MR","Sort=A","Dates=H","DateFormat=P","Fill=—","Direction=H","UseDPDF=Y")</f>
        <v>7</v>
      </c>
      <c r="D117" s="13">
        <f>_xll.BDH("ASIX US Equity","BOARD_SIZE","FY 2017","FY 2017","Currency=USD","Period=FY","BEST_FPERIOD_OVERRIDE=FY","FILING_STATUS=MR","Sort=A","Dates=H","DateFormat=P","Fill=—","Direction=H","UseDPDF=Y")</f>
        <v>7</v>
      </c>
      <c r="E117" s="13">
        <f>_xll.BDH("ASIX US Equity","BOARD_SIZE","FY 2018","FY 2018","Currency=USD","Period=FY","BEST_FPERIOD_OVERRIDE=FY","FILING_STATUS=MR","Sort=A","Dates=H","DateFormat=P","Fill=—","Direction=H","UseDPDF=Y")</f>
        <v>7</v>
      </c>
      <c r="F117" s="13">
        <f>_xll.BDH("ASIX US Equity","BOARD_SIZE","FY 2019","FY 2019","Currency=USD","Period=FY","BEST_FPERIOD_OVERRIDE=FY","FILING_STATUS=MR","Sort=A","Dates=H","DateFormat=P","Fill=—","Direction=H","UseDPDF=Y")</f>
        <v>7</v>
      </c>
      <c r="G117" s="13">
        <f>_xll.BDH("ASIX US Equity","BOARD_SIZE","FY 2020","FY 2020","Currency=USD","Period=FY","BEST_FPERIOD_OVERRIDE=FY","FILING_STATUS=MR","Sort=A","Dates=H","DateFormat=P","Fill=—","Direction=H","UseDPDF=Y")</f>
        <v>8</v>
      </c>
      <c r="H117" s="13">
        <f>_xll.BDH("ASIX US Equity","BOARD_SIZE","FY 2021","FY 2021","Currency=USD","Period=FY","BEST_FPERIOD_OVERRIDE=FY","FILING_STATUS=MR","Sort=A","Dates=H","DateFormat=P","Fill=—","Direction=H","UseDPDF=Y")</f>
        <v>10</v>
      </c>
      <c r="I117" s="13">
        <f>_xll.BDH("ASIX US Equity","BOARD_SIZE","FY 2022","FY 2022","Currency=USD","Period=FY","BEST_FPERIOD_OVERRIDE=FY","FILING_STATUS=MR","Sort=A","Dates=H","DateFormat=P","Fill=—","Direction=H","UseDPDF=Y")</f>
        <v>9</v>
      </c>
    </row>
    <row r="118" spans="1:9">
      <c r="A118" s="10" t="s">
        <v>190</v>
      </c>
      <c r="B118" s="10" t="s">
        <v>191</v>
      </c>
      <c r="C118" s="13">
        <f>_xll.BDH("ASIX US Equity","NUM_EXECUTIVES_COMP_MANAGERS","FY 2016","FY 2016","Currency=USD","Period=FY","BEST_FPERIOD_OVERRIDE=FY","FILING_STATUS=MR","Sort=A","Dates=H","DateFormat=P","Fill=—","Direction=H","UseDPDF=Y")</f>
        <v>5</v>
      </c>
      <c r="D118" s="13">
        <f>_xll.BDH("ASIX US Equity","NUM_EXECUTIVES_COMP_MANAGERS","FY 2017","FY 2017","Currency=USD","Period=FY","BEST_FPERIOD_OVERRIDE=FY","FILING_STATUS=MR","Sort=A","Dates=H","DateFormat=P","Fill=—","Direction=H","UseDPDF=Y")</f>
        <v>5</v>
      </c>
      <c r="E118" s="13">
        <f>_xll.BDH("ASIX US Equity","NUM_EXECUTIVES_COMP_MANAGERS","FY 2018","FY 2018","Currency=USD","Period=FY","BEST_FPERIOD_OVERRIDE=FY","FILING_STATUS=MR","Sort=A","Dates=H","DateFormat=P","Fill=—","Direction=H","UseDPDF=Y")</f>
        <v>5</v>
      </c>
      <c r="F118" s="13">
        <f>_xll.BDH("ASIX US Equity","NUM_EXECUTIVES_COMP_MANAGERS","FY 2019","FY 2019","Currency=USD","Period=FY","BEST_FPERIOD_OVERRIDE=FY","FILING_STATUS=MR","Sort=A","Dates=H","DateFormat=P","Fill=—","Direction=H","UseDPDF=Y")</f>
        <v>6</v>
      </c>
      <c r="G118" s="13">
        <f>_xll.BDH("ASIX US Equity","NUM_EXECUTIVES_COMP_MANAGERS","FY 2020","FY 2020","Currency=USD","Period=FY","BEST_FPERIOD_OVERRIDE=FY","FILING_STATUS=MR","Sort=A","Dates=H","DateFormat=P","Fill=—","Direction=H","UseDPDF=Y")</f>
        <v>6</v>
      </c>
      <c r="H118" s="13">
        <f>_xll.BDH("ASIX US Equity","NUM_EXECUTIVES_COMP_MANAGERS","FY 2021","FY 2021","Currency=USD","Period=FY","BEST_FPERIOD_OVERRIDE=FY","FILING_STATUS=MR","Sort=A","Dates=H","DateFormat=P","Fill=—","Direction=H","UseDPDF=Y")</f>
        <v>6</v>
      </c>
      <c r="I118" s="13">
        <f>_xll.BDH("ASIX US Equity","NUM_EXECUTIVES_COMP_MANAGERS","FY 2022","FY 2022","Currency=USD","Period=FY","BEST_FPERIOD_OVERRIDE=FY","FILING_STATUS=MR","Sort=A","Dates=H","DateFormat=P","Fill=—","Direction=H","UseDPDF=Y")</f>
        <v>5</v>
      </c>
    </row>
    <row r="119" spans="1:9">
      <c r="A119" s="10" t="s">
        <v>192</v>
      </c>
      <c r="B119" s="10" t="s">
        <v>193</v>
      </c>
      <c r="C119" s="13">
        <f>_xll.BDH("ASIX US Equity","NUM_OF_NONEXEC_DIR_ON_BRD","FY 2016","FY 2016","Currency=USD","Period=FY","BEST_FPERIOD_OVERRIDE=FY","FILING_STATUS=MR","Sort=A","Dates=H","DateFormat=P","Fill=—","Direction=H","UseDPDF=Y")</f>
        <v>6</v>
      </c>
      <c r="D119" s="13">
        <f>_xll.BDH("ASIX US Equity","NUM_OF_NONEXEC_DIR_ON_BRD","FY 2017","FY 2017","Currency=USD","Period=FY","BEST_FPERIOD_OVERRIDE=FY","FILING_STATUS=MR","Sort=A","Dates=H","DateFormat=P","Fill=—","Direction=H","UseDPDF=Y")</f>
        <v>6</v>
      </c>
      <c r="E119" s="13">
        <f>_xll.BDH("ASIX US Equity","NUM_OF_NONEXEC_DIR_ON_BRD","FY 2018","FY 2018","Currency=USD","Period=FY","BEST_FPERIOD_OVERRIDE=FY","FILING_STATUS=MR","Sort=A","Dates=H","DateFormat=P","Fill=—","Direction=H","UseDPDF=Y")</f>
        <v>6</v>
      </c>
      <c r="F119" s="13">
        <f>_xll.BDH("ASIX US Equity","NUM_OF_NONEXEC_DIR_ON_BRD","FY 2019","FY 2019","Currency=USD","Period=FY","BEST_FPERIOD_OVERRIDE=FY","FILING_STATUS=MR","Sort=A","Dates=H","DateFormat=P","Fill=—","Direction=H","UseDPDF=Y")</f>
        <v>6</v>
      </c>
      <c r="G119" s="13">
        <f>_xll.BDH("ASIX US Equity","NUM_OF_NONEXEC_DIR_ON_BRD","FY 2020","FY 2020","Currency=USD","Period=FY","BEST_FPERIOD_OVERRIDE=FY","FILING_STATUS=MR","Sort=A","Dates=H","DateFormat=P","Fill=—","Direction=H","UseDPDF=Y")</f>
        <v>7</v>
      </c>
      <c r="H119" s="13">
        <f>_xll.BDH("ASIX US Equity","NUM_OF_NONEXEC_DIR_ON_BRD","FY 2021","FY 2021","Currency=USD","Period=FY","BEST_FPERIOD_OVERRIDE=FY","FILING_STATUS=MR","Sort=A","Dates=H","DateFormat=P","Fill=—","Direction=H","UseDPDF=Y")</f>
        <v>9</v>
      </c>
      <c r="I119" s="13">
        <f>_xll.BDH("ASIX US Equity","NUM_OF_NONEXEC_DIR_ON_BRD","FY 2022","FY 2022","Currency=USD","Period=FY","BEST_FPERIOD_OVERRIDE=FY","FILING_STATUS=MR","Sort=A","Dates=H","DateFormat=P","Fill=—","Direction=H","UseDPDF=Y")</f>
        <v>8</v>
      </c>
    </row>
    <row r="120" spans="1:9">
      <c r="A120" s="10" t="s">
        <v>194</v>
      </c>
      <c r="B120" s="10" t="s">
        <v>195</v>
      </c>
      <c r="C120" s="13">
        <f>_xll.BDH("ASIX US Equity","BOARD_MEETINGS_PER_YR","FY 2016","FY 2016","Currency=USD","Period=FY","BEST_FPERIOD_OVERRIDE=FY","FILING_STATUS=MR","Sort=A","Dates=H","DateFormat=P","Fill=—","Direction=H","UseDPDF=Y")</f>
        <v>2</v>
      </c>
      <c r="D120" s="13">
        <f>_xll.BDH("ASIX US Equity","BOARD_MEETINGS_PER_YR","FY 2017","FY 2017","Currency=USD","Period=FY","BEST_FPERIOD_OVERRIDE=FY","FILING_STATUS=MR","Sort=A","Dates=H","DateFormat=P","Fill=—","Direction=H","UseDPDF=Y")</f>
        <v>7</v>
      </c>
      <c r="E120" s="13">
        <f>_xll.BDH("ASIX US Equity","BOARD_MEETINGS_PER_YR","FY 2018","FY 2018","Currency=USD","Period=FY","BEST_FPERIOD_OVERRIDE=FY","FILING_STATUS=MR","Sort=A","Dates=H","DateFormat=P","Fill=—","Direction=H","UseDPDF=Y")</f>
        <v>7</v>
      </c>
      <c r="F120" s="13">
        <f>_xll.BDH("ASIX US Equity","BOARD_MEETINGS_PER_YR","FY 2019","FY 2019","Currency=USD","Period=FY","BEST_FPERIOD_OVERRIDE=FY","FILING_STATUS=MR","Sort=A","Dates=H","DateFormat=P","Fill=—","Direction=H","UseDPDF=Y")</f>
        <v>7</v>
      </c>
      <c r="G120" s="13">
        <f>_xll.BDH("ASIX US Equity","BOARD_MEETINGS_PER_YR","FY 2020","FY 2020","Currency=USD","Period=FY","BEST_FPERIOD_OVERRIDE=FY","FILING_STATUS=MR","Sort=A","Dates=H","DateFormat=P","Fill=—","Direction=H","UseDPDF=Y")</f>
        <v>7</v>
      </c>
      <c r="H120" s="13">
        <f>_xll.BDH("ASIX US Equity","BOARD_MEETINGS_PER_YR","FY 2021","FY 2021","Currency=USD","Period=FY","BEST_FPERIOD_OVERRIDE=FY","FILING_STATUS=MR","Sort=A","Dates=H","DateFormat=P","Fill=—","Direction=H","UseDPDF=Y")</f>
        <v>8</v>
      </c>
      <c r="I120" s="13">
        <f>_xll.BDH("ASIX US Equity","BOARD_MEETINGS_PER_YR","FY 2022","FY 2022","Currency=USD","Period=FY","BEST_FPERIOD_OVERRIDE=FY","FILING_STATUS=MR","Sort=A","Dates=H","DateFormat=P","Fill=—","Direction=H","UseDPDF=Y")</f>
        <v>5</v>
      </c>
    </row>
    <row r="121" spans="1:9">
      <c r="A121" s="10" t="s">
        <v>196</v>
      </c>
      <c r="B121" s="10" t="s">
        <v>197</v>
      </c>
      <c r="C121" s="13">
        <f>_xll.BDH("ASIX US Equity","BOARD_MEETING_ATTENDANCE_PCT","FY 2016","FY 2016","Currency=USD","Period=FY","BEST_FPERIOD_OVERRIDE=FY","FILING_STATUS=MR","Sort=A","Dates=H","DateFormat=P","Fill=—","Direction=H","UseDPDF=Y")</f>
        <v>100</v>
      </c>
      <c r="D121" s="13">
        <f>_xll.BDH("ASIX US Equity","BOARD_MEETING_ATTENDANCE_PCT","FY 2017","FY 2017","Currency=USD","Period=FY","BEST_FPERIOD_OVERRIDE=FY","FILING_STATUS=MR","Sort=A","Dates=H","DateFormat=P","Fill=—","Direction=H","UseDPDF=Y")</f>
        <v>100</v>
      </c>
      <c r="E121" s="13">
        <f>_xll.BDH("ASIX US Equity","BOARD_MEETING_ATTENDANCE_PCT","FY 2018","FY 2018","Currency=USD","Period=FY","BEST_FPERIOD_OVERRIDE=FY","FILING_STATUS=MR","Sort=A","Dates=H","DateFormat=P","Fill=—","Direction=H","UseDPDF=Y")</f>
        <v>100</v>
      </c>
      <c r="F121" s="13">
        <f>_xll.BDH("ASIX US Equity","BOARD_MEETING_ATTENDANCE_PCT","FY 2019","FY 2019","Currency=USD","Period=FY","BEST_FPERIOD_OVERRIDE=FY","FILING_STATUS=MR","Sort=A","Dates=H","DateFormat=P","Fill=—","Direction=H","UseDPDF=Y")</f>
        <v>100</v>
      </c>
      <c r="G121" s="13">
        <f>_xll.BDH("ASIX US Equity","BOARD_MEETING_ATTENDANCE_PCT","FY 2020","FY 2020","Currency=USD","Period=FY","BEST_FPERIOD_OVERRIDE=FY","FILING_STATUS=MR","Sort=A","Dates=H","DateFormat=P","Fill=—","Direction=H","UseDPDF=Y")</f>
        <v>100</v>
      </c>
      <c r="H121" s="13">
        <f>_xll.BDH("ASIX US Equity","BOARD_MEETING_ATTENDANCE_PCT","FY 2021","FY 2021","Currency=USD","Period=FY","BEST_FPERIOD_OVERRIDE=FY","FILING_STATUS=MR","Sort=A","Dates=H","DateFormat=P","Fill=—","Direction=H","UseDPDF=Y")</f>
        <v>100</v>
      </c>
      <c r="I121" s="13">
        <f>_xll.BDH("ASIX US Equity","BOARD_MEETING_ATTENDANCE_PCT","FY 2022","FY 2022","Currency=USD","Period=FY","BEST_FPERIOD_OVERRIDE=FY","FILING_STATUS=MR","Sort=A","Dates=H","DateFormat=P","Fill=—","Direction=H","UseDPDF=Y")</f>
        <v>100</v>
      </c>
    </row>
    <row r="122" spans="1:9">
      <c r="A122" s="10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0" t="s">
        <v>198</v>
      </c>
      <c r="B123" s="11"/>
      <c r="C123" s="11"/>
      <c r="D123" s="11"/>
      <c r="E123" s="11"/>
      <c r="F123" s="11"/>
      <c r="G123" s="11"/>
      <c r="H123" s="11"/>
      <c r="I123" s="11"/>
    </row>
    <row r="124" spans="1:9">
      <c r="A124" s="10" t="s">
        <v>199</v>
      </c>
      <c r="B124" s="10" t="s">
        <v>200</v>
      </c>
      <c r="C124" s="11" t="s">
        <v>51</v>
      </c>
      <c r="D124" s="11" t="s">
        <v>51</v>
      </c>
      <c r="E124" s="11" t="s">
        <v>51</v>
      </c>
      <c r="F124" s="11" t="s">
        <v>51</v>
      </c>
      <c r="G124" s="11" t="s">
        <v>51</v>
      </c>
      <c r="H124" s="11" t="s">
        <v>51</v>
      </c>
      <c r="I124" s="11" t="s">
        <v>51</v>
      </c>
    </row>
    <row r="125" spans="1:9">
      <c r="A125" s="10" t="s">
        <v>201</v>
      </c>
      <c r="B125" s="10" t="s">
        <v>202</v>
      </c>
      <c r="C125" s="11" t="s">
        <v>51</v>
      </c>
      <c r="D125" s="11" t="s">
        <v>51</v>
      </c>
      <c r="E125" s="11" t="s">
        <v>51</v>
      </c>
      <c r="F125" s="11" t="s">
        <v>51</v>
      </c>
      <c r="G125" s="11" t="s">
        <v>51</v>
      </c>
      <c r="H125" s="11" t="s">
        <v>51</v>
      </c>
      <c r="I125" s="11" t="s">
        <v>51</v>
      </c>
    </row>
    <row r="126" spans="1:9">
      <c r="A126" s="10" t="s">
        <v>203</v>
      </c>
      <c r="B126" s="10" t="s">
        <v>204</v>
      </c>
      <c r="C126" s="13">
        <f>_xll.BDH("ASIX US Equity","SIZE_OF_COMPENSATION_COMMITTEE","FY 2016","FY 2016","Currency=USD","Period=FY","BEST_FPERIOD_OVERRIDE=FY","FILING_STATUS=MR","Sort=A","Dates=H","DateFormat=P","Fill=—","Direction=H","UseDPDF=Y")</f>
        <v>3</v>
      </c>
      <c r="D126" s="13">
        <f>_xll.BDH("ASIX US Equity","SIZE_OF_COMPENSATION_COMMITTEE","FY 2017","FY 2017","Currency=USD","Period=FY","BEST_FPERIOD_OVERRIDE=FY","FILING_STATUS=MR","Sort=A","Dates=H","DateFormat=P","Fill=—","Direction=H","UseDPDF=Y")</f>
        <v>3</v>
      </c>
      <c r="E126" s="13">
        <f>_xll.BDH("ASIX US Equity","SIZE_OF_COMPENSATION_COMMITTEE","FY 2018","FY 2018","Currency=USD","Period=FY","BEST_FPERIOD_OVERRIDE=FY","FILING_STATUS=MR","Sort=A","Dates=H","DateFormat=P","Fill=—","Direction=H","UseDPDF=Y")</f>
        <v>3</v>
      </c>
      <c r="F126" s="13">
        <f>_xll.BDH("ASIX US Equity","SIZE_OF_COMPENSATION_COMMITTEE","FY 2019","FY 2019","Currency=USD","Period=FY","BEST_FPERIOD_OVERRIDE=FY","FILING_STATUS=MR","Sort=A","Dates=H","DateFormat=P","Fill=—","Direction=H","UseDPDF=Y")</f>
        <v>2</v>
      </c>
      <c r="G126" s="13">
        <f>_xll.BDH("ASIX US Equity","SIZE_OF_COMPENSATION_COMMITTEE","FY 2020","FY 2020","Currency=USD","Period=FY","BEST_FPERIOD_OVERRIDE=FY","FILING_STATUS=MR","Sort=A","Dates=H","DateFormat=P","Fill=—","Direction=H","UseDPDF=Y")</f>
        <v>3</v>
      </c>
      <c r="H126" s="13">
        <f>_xll.BDH("ASIX US Equity","SIZE_OF_COMPENSATION_COMMITTEE","FY 2021","FY 2021","Currency=USD","Period=FY","BEST_FPERIOD_OVERRIDE=FY","FILING_STATUS=MR","Sort=A","Dates=H","DateFormat=P","Fill=—","Direction=H","UseDPDF=Y")</f>
        <v>4</v>
      </c>
      <c r="I126" s="13">
        <f>_xll.BDH("ASIX US Equity","SIZE_OF_COMPENSATION_COMMITTEE","FY 2022","FY 2022","Currency=USD","Period=FY","BEST_FPERIOD_OVERRIDE=FY","FILING_STATUS=MR","Sort=A","Dates=H","DateFormat=P","Fill=—","Direction=H","UseDPDF=Y")</f>
        <v>3</v>
      </c>
    </row>
    <row r="127" spans="1:9">
      <c r="A127" s="10" t="s">
        <v>205</v>
      </c>
      <c r="B127" s="10" t="s">
        <v>206</v>
      </c>
      <c r="C127" s="13">
        <f>_xll.BDH("ASIX US Equity","NUM_IND_DIR_ON_CMPNSTN_CMTE","FY 2016","FY 2016","Currency=USD","Period=FY","BEST_FPERIOD_OVERRIDE=FY","FILING_STATUS=MR","Sort=A","Dates=H","DateFormat=P","Fill=—","Direction=H","UseDPDF=Y")</f>
        <v>3</v>
      </c>
      <c r="D127" s="13">
        <f>_xll.BDH("ASIX US Equity","NUM_IND_DIR_ON_CMPNSTN_CMTE","FY 2017","FY 2017","Currency=USD","Period=FY","BEST_FPERIOD_OVERRIDE=FY","FILING_STATUS=MR","Sort=A","Dates=H","DateFormat=P","Fill=—","Direction=H","UseDPDF=Y")</f>
        <v>3</v>
      </c>
      <c r="E127" s="13">
        <f>_xll.BDH("ASIX US Equity","NUM_IND_DIR_ON_CMPNSTN_CMTE","FY 2018","FY 2018","Currency=USD","Period=FY","BEST_FPERIOD_OVERRIDE=FY","FILING_STATUS=MR","Sort=A","Dates=H","DateFormat=P","Fill=—","Direction=H","UseDPDF=Y")</f>
        <v>3</v>
      </c>
      <c r="F127" s="13">
        <f>_xll.BDH("ASIX US Equity","NUM_IND_DIR_ON_CMPNSTN_CMTE","FY 2019","FY 2019","Currency=USD","Period=FY","BEST_FPERIOD_OVERRIDE=FY","FILING_STATUS=MR","Sort=A","Dates=H","DateFormat=P","Fill=—","Direction=H","UseDPDF=Y")</f>
        <v>2</v>
      </c>
      <c r="G127" s="13">
        <f>_xll.BDH("ASIX US Equity","NUM_IND_DIR_ON_CMPNSTN_CMTE","FY 2020","FY 2020","Currency=USD","Period=FY","BEST_FPERIOD_OVERRIDE=FY","FILING_STATUS=MR","Sort=A","Dates=H","DateFormat=P","Fill=—","Direction=H","UseDPDF=Y")</f>
        <v>3</v>
      </c>
      <c r="H127" s="13">
        <f>_xll.BDH("ASIX US Equity","NUM_IND_DIR_ON_CMPNSTN_CMTE","FY 2021","FY 2021","Currency=USD","Period=FY","BEST_FPERIOD_OVERRIDE=FY","FILING_STATUS=MR","Sort=A","Dates=H","DateFormat=P","Fill=—","Direction=H","UseDPDF=Y")</f>
        <v>4</v>
      </c>
      <c r="I127" s="13">
        <f>_xll.BDH("ASIX US Equity","NUM_IND_DIR_ON_CMPNSTN_CMTE","FY 2022","FY 2022","Currency=USD","Period=FY","BEST_FPERIOD_OVERRIDE=FY","FILING_STATUS=MR","Sort=A","Dates=H","DateFormat=P","Fill=—","Direction=H","UseDPDF=Y")</f>
        <v>3</v>
      </c>
    </row>
    <row r="128" spans="1:9">
      <c r="A128" s="10" t="s">
        <v>207</v>
      </c>
      <c r="B128" s="10" t="s">
        <v>208</v>
      </c>
      <c r="C128" s="13">
        <f>_xll.BDH("ASIX US Equity","NUM_COMPENSATION_CMTE_MTG","FY 2016","FY 2016","Currency=USD","Period=FY","BEST_FPERIOD_OVERRIDE=FY","FILING_STATUS=MR","Sort=A","Dates=H","DateFormat=P","Fill=—","Direction=H","UseDPDF=Y")</f>
        <v>2</v>
      </c>
      <c r="D128" s="13">
        <f>_xll.BDH("ASIX US Equity","NUM_COMPENSATION_CMTE_MTG","FY 2017","FY 2017","Currency=USD","Period=FY","BEST_FPERIOD_OVERRIDE=FY","FILING_STATUS=MR","Sort=A","Dates=H","DateFormat=P","Fill=—","Direction=H","UseDPDF=Y")</f>
        <v>8</v>
      </c>
      <c r="E128" s="13">
        <f>_xll.BDH("ASIX US Equity","NUM_COMPENSATION_CMTE_MTG","FY 2018","FY 2018","Currency=USD","Period=FY","BEST_FPERIOD_OVERRIDE=FY","FILING_STATUS=MR","Sort=A","Dates=H","DateFormat=P","Fill=—","Direction=H","UseDPDF=Y")</f>
        <v>6</v>
      </c>
      <c r="F128" s="13">
        <f>_xll.BDH("ASIX US Equity","NUM_COMPENSATION_CMTE_MTG","FY 2019","FY 2019","Currency=USD","Period=FY","BEST_FPERIOD_OVERRIDE=FY","FILING_STATUS=MR","Sort=A","Dates=H","DateFormat=P","Fill=—","Direction=H","UseDPDF=Y")</f>
        <v>6</v>
      </c>
      <c r="G128" s="13">
        <f>_xll.BDH("ASIX US Equity","NUM_COMPENSATION_CMTE_MTG","FY 2020","FY 2020","Currency=USD","Period=FY","BEST_FPERIOD_OVERRIDE=FY","FILING_STATUS=MR","Sort=A","Dates=H","DateFormat=P","Fill=—","Direction=H","UseDPDF=Y")</f>
        <v>5</v>
      </c>
      <c r="H128" s="13">
        <f>_xll.BDH("ASIX US Equity","NUM_COMPENSATION_CMTE_MTG","FY 2021","FY 2021","Currency=USD","Period=FY","BEST_FPERIOD_OVERRIDE=FY","FILING_STATUS=MR","Sort=A","Dates=H","DateFormat=P","Fill=—","Direction=H","UseDPDF=Y")</f>
        <v>5</v>
      </c>
      <c r="I128" s="13">
        <f>_xll.BDH("ASIX US Equity","NUM_COMPENSATION_CMTE_MTG","FY 2022","FY 2022","Currency=USD","Period=FY","BEST_FPERIOD_OVERRIDE=FY","FILING_STATUS=MR","Sort=A","Dates=H","DateFormat=P","Fill=—","Direction=H","UseDPDF=Y")</f>
        <v>5</v>
      </c>
    </row>
    <row r="129" spans="1:9">
      <c r="A129" s="10" t="s">
        <v>209</v>
      </c>
      <c r="B129" s="10" t="s">
        <v>210</v>
      </c>
      <c r="C129" s="13">
        <f>_xll.BDH("ASIX US Equity","COMPENSATION_CMTE_MTG_ATTEND_PCT","FY 2016","FY 2016","Currency=USD","Period=FY","BEST_FPERIOD_OVERRIDE=FY","FILING_STATUS=MR","Sort=A","Dates=H","DateFormat=P","Fill=—","Direction=H","UseDPDF=Y")</f>
        <v>100</v>
      </c>
      <c r="D129" s="13">
        <f>_xll.BDH("ASIX US Equity","COMPENSATION_CMTE_MTG_ATTEND_PCT","FY 2017","FY 2017","Currency=USD","Period=FY","BEST_FPERIOD_OVERRIDE=FY","FILING_STATUS=MR","Sort=A","Dates=H","DateFormat=P","Fill=—","Direction=H","UseDPDF=Y")</f>
        <v>100</v>
      </c>
      <c r="E129" s="13">
        <f>_xll.BDH("ASIX US Equity","COMPENSATION_CMTE_MTG_ATTEND_PCT","FY 2018","FY 2018","Currency=USD","Period=FY","BEST_FPERIOD_OVERRIDE=FY","FILING_STATUS=MR","Sort=A","Dates=H","DateFormat=P","Fill=—","Direction=H","UseDPDF=Y")</f>
        <v>100</v>
      </c>
      <c r="F129" s="13">
        <f>_xll.BDH("ASIX US Equity","COMPENSATION_CMTE_MTG_ATTEND_PCT","FY 2019","FY 2019","Currency=USD","Period=FY","BEST_FPERIOD_OVERRIDE=FY","FILING_STATUS=MR","Sort=A","Dates=H","DateFormat=P","Fill=—","Direction=H","UseDPDF=Y")</f>
        <v>100</v>
      </c>
      <c r="G129" s="13">
        <f>_xll.BDH("ASIX US Equity","COMPENSATION_CMTE_MTG_ATTEND_PCT","FY 2020","FY 2020","Currency=USD","Period=FY","BEST_FPERIOD_OVERRIDE=FY","FILING_STATUS=MR","Sort=A","Dates=H","DateFormat=P","Fill=—","Direction=H","UseDPDF=Y")</f>
        <v>95</v>
      </c>
      <c r="H129" s="13">
        <f>_xll.BDH("ASIX US Equity","COMPENSATION_CMTE_MTG_ATTEND_PCT","FY 2021","FY 2021","Currency=USD","Period=FY","BEST_FPERIOD_OVERRIDE=FY","FILING_STATUS=MR","Sort=A","Dates=H","DateFormat=P","Fill=—","Direction=H","UseDPDF=Y")</f>
        <v>100</v>
      </c>
      <c r="I129" s="13">
        <f>_xll.BDH("ASIX US Equity","COMPENSATION_CMTE_MTG_ATTEND_PCT","FY 2022","FY 2022","Currency=USD","Period=FY","BEST_FPERIOD_OVERRIDE=FY","FILING_STATUS=MR","Sort=A","Dates=H","DateFormat=P","Fill=—","Direction=H","UseDPDF=Y")</f>
        <v>100</v>
      </c>
    </row>
    <row r="130" spans="1:9">
      <c r="A130" s="10"/>
      <c r="B130" s="11"/>
      <c r="C130" s="11"/>
      <c r="D130" s="11"/>
      <c r="E130" s="11"/>
      <c r="F130" s="11"/>
      <c r="G130" s="11"/>
      <c r="H130" s="11"/>
      <c r="I130" s="11"/>
    </row>
    <row r="131" spans="1:9">
      <c r="A131" s="10" t="s">
        <v>125</v>
      </c>
      <c r="B131" s="11"/>
      <c r="C131" s="11"/>
      <c r="D131" s="11"/>
      <c r="E131" s="11"/>
      <c r="F131" s="11"/>
      <c r="G131" s="11"/>
      <c r="H131" s="11"/>
      <c r="I131" s="11"/>
    </row>
    <row r="132" spans="1:9">
      <c r="A132" s="10" t="s">
        <v>211</v>
      </c>
      <c r="B132" s="10" t="s">
        <v>212</v>
      </c>
      <c r="C132" s="13">
        <f>_xll.BDH("ASIX US Equity","NUMBER_OF_FEMALE_EXECUTIVES","FY 2016","FY 2016","Currency=USD","Period=FY","BEST_FPERIOD_OVERRIDE=FY","FILING_STATUS=MR","Sort=A","Dates=H","DateFormat=P","Fill=—","Direction=H","UseDPDF=Y")</f>
        <v>1</v>
      </c>
      <c r="D132" s="13">
        <f>_xll.BDH("ASIX US Equity","NUMBER_OF_FEMALE_EXECUTIVES","FY 2017","FY 2017","Currency=USD","Period=FY","BEST_FPERIOD_OVERRIDE=FY","FILING_STATUS=MR","Sort=A","Dates=H","DateFormat=P","Fill=—","Direction=H","UseDPDF=Y")</f>
        <v>1</v>
      </c>
      <c r="E132" s="13">
        <f>_xll.BDH("ASIX US Equity","NUMBER_OF_FEMALE_EXECUTIVES","FY 2018","FY 2018","Currency=USD","Period=FY","BEST_FPERIOD_OVERRIDE=FY","FILING_STATUS=MR","Sort=A","Dates=H","DateFormat=P","Fill=—","Direction=H","UseDPDF=Y")</f>
        <v>1</v>
      </c>
      <c r="F132" s="13">
        <f>_xll.BDH("ASIX US Equity","NUMBER_OF_FEMALE_EXECUTIVES","FY 2019","FY 2019","Currency=USD","Period=FY","BEST_FPERIOD_OVERRIDE=FY","FILING_STATUS=MR","Sort=A","Dates=H","DateFormat=P","Fill=—","Direction=H","UseDPDF=Y")</f>
        <v>1</v>
      </c>
      <c r="G132" s="13">
        <f>_xll.BDH("ASIX US Equity","NUMBER_OF_FEMALE_EXECUTIVES","FY 2020","FY 2020","Currency=USD","Period=FY","BEST_FPERIOD_OVERRIDE=FY","FILING_STATUS=MR","Sort=A","Dates=H","DateFormat=P","Fill=—","Direction=H","UseDPDF=Y")</f>
        <v>2</v>
      </c>
      <c r="H132" s="13">
        <f>_xll.BDH("ASIX US Equity","NUMBER_OF_FEMALE_EXECUTIVES","FY 2021","FY 2021","Currency=USD","Period=FY","BEST_FPERIOD_OVERRIDE=FY","FILING_STATUS=MR","Sort=A","Dates=H","DateFormat=P","Fill=—","Direction=H","UseDPDF=Y")</f>
        <v>2</v>
      </c>
      <c r="I132" s="13">
        <f>_xll.BDH("ASIX US Equity","NUMBER_OF_FEMALE_EXECUTIVES","FY 2022","FY 2022","Currency=USD","Period=FY","BEST_FPERIOD_OVERRIDE=FY","FILING_STATUS=MR","Sort=A","Dates=H","DateFormat=P","Fill=—","Direction=H","UseDPDF=Y")</f>
        <v>2</v>
      </c>
    </row>
    <row r="133" spans="1:9">
      <c r="A133" s="10" t="s">
        <v>213</v>
      </c>
      <c r="B133" s="10" t="s">
        <v>214</v>
      </c>
      <c r="C133" s="13">
        <f>_xll.BDH("ASIX US Equity","NUMBER_OF_WOMEN_ON_BOARD","FY 2016","FY 2016","Currency=USD","Period=FY","BEST_FPERIOD_OVERRIDE=FY","FILING_STATUS=MR","Sort=A","Dates=H","DateFormat=P","Fill=—","Direction=H","UseDPDF=Y")</f>
        <v>2</v>
      </c>
      <c r="D133" s="13">
        <f>_xll.BDH("ASIX US Equity","NUMBER_OF_WOMEN_ON_BOARD","FY 2017","FY 2017","Currency=USD","Period=FY","BEST_FPERIOD_OVERRIDE=FY","FILING_STATUS=MR","Sort=A","Dates=H","DateFormat=P","Fill=—","Direction=H","UseDPDF=Y")</f>
        <v>2</v>
      </c>
      <c r="E133" s="13">
        <f>_xll.BDH("ASIX US Equity","NUMBER_OF_WOMEN_ON_BOARD","FY 2018","FY 2018","Currency=USD","Period=FY","BEST_FPERIOD_OVERRIDE=FY","FILING_STATUS=MR","Sort=A","Dates=H","DateFormat=P","Fill=—","Direction=H","UseDPDF=Y")</f>
        <v>2</v>
      </c>
      <c r="F133" s="13">
        <f>_xll.BDH("ASIX US Equity","NUMBER_OF_WOMEN_ON_BOARD","FY 2019","FY 2019","Currency=USD","Period=FY","BEST_FPERIOD_OVERRIDE=FY","FILING_STATUS=MR","Sort=A","Dates=H","DateFormat=P","Fill=—","Direction=H","UseDPDF=Y")</f>
        <v>2</v>
      </c>
      <c r="G133" s="13">
        <f>_xll.BDH("ASIX US Equity","NUMBER_OF_WOMEN_ON_BOARD","FY 2020","FY 2020","Currency=USD","Period=FY","BEST_FPERIOD_OVERRIDE=FY","FILING_STATUS=MR","Sort=A","Dates=H","DateFormat=P","Fill=—","Direction=H","UseDPDF=Y")</f>
        <v>2</v>
      </c>
      <c r="H133" s="13">
        <f>_xll.BDH("ASIX US Equity","NUMBER_OF_WOMEN_ON_BOARD","FY 2021","FY 2021","Currency=USD","Period=FY","BEST_FPERIOD_OVERRIDE=FY","FILING_STATUS=MR","Sort=A","Dates=H","DateFormat=P","Fill=—","Direction=H","UseDPDF=Y")</f>
        <v>2</v>
      </c>
      <c r="I133" s="13">
        <f>_xll.BDH("ASIX US Equity","NUMBER_OF_WOMEN_ON_BOARD","FY 2022","FY 2022","Currency=USD","Period=FY","BEST_FPERIOD_OVERRIDE=FY","FILING_STATUS=MR","Sort=A","Dates=H","DateFormat=P","Fill=—","Direction=H","UseDPDF=Y")</f>
        <v>4</v>
      </c>
    </row>
    <row r="134" spans="1:9">
      <c r="A134" s="10" t="s">
        <v>215</v>
      </c>
      <c r="B134" s="10" t="s">
        <v>216</v>
      </c>
      <c r="C134" s="13" t="str">
        <f>_xll.BDH("ASIX US Equity","BOARD_AGE_LIMIT","FY 2016","FY 2016","Currency=USD","Period=FY","BEST_FPERIOD_OVERRIDE=FY","FILING_STATUS=MR","Sort=A","Dates=H","DateFormat=P","Fill=—","Direction=H","UseDPDF=Y")</f>
        <v>—</v>
      </c>
      <c r="D134" s="13">
        <f>_xll.BDH("ASIX US Equity","BOARD_AGE_LIMIT","FY 2017","FY 2017","Currency=USD","Period=FY","BEST_FPERIOD_OVERRIDE=FY","FILING_STATUS=MR","Sort=A","Dates=H","DateFormat=P","Fill=—","Direction=H","UseDPDF=Y")</f>
        <v>72</v>
      </c>
      <c r="E134" s="13">
        <f>_xll.BDH("ASIX US Equity","BOARD_AGE_LIMIT","FY 2018","FY 2018","Currency=USD","Period=FY","BEST_FPERIOD_OVERRIDE=FY","FILING_STATUS=MR","Sort=A","Dates=H","DateFormat=P","Fill=—","Direction=H","UseDPDF=Y")</f>
        <v>72</v>
      </c>
      <c r="F134" s="13">
        <f>_xll.BDH("ASIX US Equity","BOARD_AGE_LIMIT","FY 2019","FY 2019","Currency=USD","Period=FY","BEST_FPERIOD_OVERRIDE=FY","FILING_STATUS=MR","Sort=A","Dates=H","DateFormat=P","Fill=—","Direction=H","UseDPDF=Y")</f>
        <v>72</v>
      </c>
      <c r="G134" s="13">
        <f>_xll.BDH("ASIX US Equity","BOARD_AGE_LIMIT","FY 2020","FY 2020","Currency=USD","Period=FY","BEST_FPERIOD_OVERRIDE=FY","FILING_STATUS=MR","Sort=A","Dates=H","DateFormat=P","Fill=—","Direction=H","UseDPDF=Y")</f>
        <v>72</v>
      </c>
      <c r="H134" s="13">
        <f>_xll.BDH("ASIX US Equity","BOARD_AGE_LIMIT","FY 2021","FY 2021","Currency=USD","Period=FY","BEST_FPERIOD_OVERRIDE=FY","FILING_STATUS=MR","Sort=A","Dates=H","DateFormat=P","Fill=—","Direction=H","UseDPDF=Y")</f>
        <v>72</v>
      </c>
      <c r="I134" s="13">
        <f>_xll.BDH("ASIX US Equity","BOARD_AGE_LIMIT","FY 2022","FY 2022","Currency=USD","Period=FY","BEST_FPERIOD_OVERRIDE=FY","FILING_STATUS=MR","Sort=A","Dates=H","DateFormat=P","Fill=—","Direction=H","UseDPDF=Y")</f>
        <v>72</v>
      </c>
    </row>
    <row r="135" spans="1:9">
      <c r="A135" s="10" t="s">
        <v>217</v>
      </c>
      <c r="B135" s="10" t="s">
        <v>218</v>
      </c>
      <c r="C135" s="13">
        <f>_xll.BDH("ASIX US Equity","AGE_OF_YOUNGEST_DIRECTOR","FY 2016","FY 2016","Currency=USD","Period=FY","BEST_FPERIOD_OVERRIDE=FY","FILING_STATUS=MR","Sort=A","Dates=H","DateFormat=P","Fill=—","Direction=H","UseDPDF=Y")</f>
        <v>40</v>
      </c>
      <c r="D135" s="13">
        <f>_xll.BDH("ASIX US Equity","AGE_OF_YOUNGEST_DIRECTOR","FY 2017","FY 2017","Currency=USD","Period=FY","BEST_FPERIOD_OVERRIDE=FY","FILING_STATUS=MR","Sort=A","Dates=H","DateFormat=P","Fill=—","Direction=H","UseDPDF=Y")</f>
        <v>41</v>
      </c>
      <c r="E135" s="13">
        <f>_xll.BDH("ASIX US Equity","AGE_OF_YOUNGEST_DIRECTOR","FY 2018","FY 2018","Currency=USD","Period=FY","BEST_FPERIOD_OVERRIDE=FY","FILING_STATUS=MR","Sort=A","Dates=H","DateFormat=P","Fill=—","Direction=H","UseDPDF=Y")</f>
        <v>42</v>
      </c>
      <c r="F135" s="13">
        <f>_xll.BDH("ASIX US Equity","AGE_OF_YOUNGEST_DIRECTOR","FY 2019","FY 2019","Currency=USD","Period=FY","BEST_FPERIOD_OVERRIDE=FY","FILING_STATUS=MR","Sort=A","Dates=H","DateFormat=P","Fill=—","Direction=H","UseDPDF=Y")</f>
        <v>43</v>
      </c>
      <c r="G135" s="13">
        <f>_xll.BDH("ASIX US Equity","AGE_OF_YOUNGEST_DIRECTOR","FY 2020","FY 2020","Currency=USD","Period=FY","BEST_FPERIOD_OVERRIDE=FY","FILING_STATUS=MR","Sort=A","Dates=H","DateFormat=P","Fill=—","Direction=H","UseDPDF=Y")</f>
        <v>44</v>
      </c>
      <c r="H135" s="13">
        <f>_xll.BDH("ASIX US Equity","AGE_OF_YOUNGEST_DIRECTOR","FY 2021","FY 2021","Currency=USD","Period=FY","BEST_FPERIOD_OVERRIDE=FY","FILING_STATUS=MR","Sort=A","Dates=H","DateFormat=P","Fill=—","Direction=H","UseDPDF=Y")</f>
        <v>45</v>
      </c>
      <c r="I135" s="13">
        <f>_xll.BDH("ASIX US Equity","AGE_OF_YOUNGEST_DIRECTOR","FY 2022","FY 2022","Currency=USD","Period=FY","BEST_FPERIOD_OVERRIDE=FY","FILING_STATUS=MR","Sort=A","Dates=H","DateFormat=P","Fill=—","Direction=H","UseDPDF=Y")</f>
        <v>46</v>
      </c>
    </row>
    <row r="136" spans="1:9">
      <c r="A136" s="10" t="s">
        <v>219</v>
      </c>
      <c r="B136" s="10" t="s">
        <v>220</v>
      </c>
      <c r="C136" s="13">
        <f>_xll.BDH("ASIX US Equity","AGE_OF_OLDEST_DIRECTOR","FY 2016","FY 2016","Currency=USD","Period=FY","BEST_FPERIOD_OVERRIDE=FY","FILING_STATUS=MR","Sort=A","Dates=H","DateFormat=P","Fill=—","Direction=H","UseDPDF=Y")</f>
        <v>67</v>
      </c>
      <c r="D136" s="13">
        <f>_xll.BDH("ASIX US Equity","AGE_OF_OLDEST_DIRECTOR","FY 2017","FY 2017","Currency=USD","Period=FY","BEST_FPERIOD_OVERRIDE=FY","FILING_STATUS=MR","Sort=A","Dates=H","DateFormat=P","Fill=—","Direction=H","UseDPDF=Y")</f>
        <v>68</v>
      </c>
      <c r="E136" s="13">
        <f>_xll.BDH("ASIX US Equity","AGE_OF_OLDEST_DIRECTOR","FY 2018","FY 2018","Currency=USD","Period=FY","BEST_FPERIOD_OVERRIDE=FY","FILING_STATUS=MR","Sort=A","Dates=H","DateFormat=P","Fill=—","Direction=H","UseDPDF=Y")</f>
        <v>69</v>
      </c>
      <c r="F136" s="13">
        <f>_xll.BDH("ASIX US Equity","AGE_OF_OLDEST_DIRECTOR","FY 2019","FY 2019","Currency=USD","Period=FY","BEST_FPERIOD_OVERRIDE=FY","FILING_STATUS=MR","Sort=A","Dates=H","DateFormat=P","Fill=—","Direction=H","UseDPDF=Y")</f>
        <v>70</v>
      </c>
      <c r="G136" s="13">
        <f>_xll.BDH("ASIX US Equity","AGE_OF_OLDEST_DIRECTOR","FY 2020","FY 2020","Currency=USD","Period=FY","BEST_FPERIOD_OVERRIDE=FY","FILING_STATUS=MR","Sort=A","Dates=H","DateFormat=P","Fill=—","Direction=H","UseDPDF=Y")</f>
        <v>71</v>
      </c>
      <c r="H136" s="13">
        <f>_xll.BDH("ASIX US Equity","AGE_OF_OLDEST_DIRECTOR","FY 2021","FY 2021","Currency=USD","Period=FY","BEST_FPERIOD_OVERRIDE=FY","FILING_STATUS=MR","Sort=A","Dates=H","DateFormat=P","Fill=—","Direction=H","UseDPDF=Y")</f>
        <v>72</v>
      </c>
      <c r="I136" s="13">
        <f>_xll.BDH("ASIX US Equity","AGE_OF_OLDEST_DIRECTOR","FY 2022","FY 2022","Currency=USD","Period=FY","BEST_FPERIOD_OVERRIDE=FY","FILING_STATUS=MR","Sort=A","Dates=H","DateFormat=P","Fill=—","Direction=H","UseDPDF=Y")</f>
        <v>70</v>
      </c>
    </row>
    <row r="137" spans="1:9">
      <c r="A137" s="10"/>
      <c r="B137" s="11"/>
      <c r="C137" s="11"/>
      <c r="D137" s="11"/>
      <c r="E137" s="11"/>
      <c r="F137" s="11"/>
      <c r="G137" s="11"/>
      <c r="H137" s="11"/>
      <c r="I137" s="11"/>
    </row>
    <row r="138" spans="1:9">
      <c r="A138" s="10" t="s">
        <v>221</v>
      </c>
      <c r="B138" s="11"/>
      <c r="C138" s="11"/>
      <c r="D138" s="11"/>
      <c r="E138" s="11"/>
      <c r="F138" s="11"/>
      <c r="G138" s="11"/>
      <c r="H138" s="11"/>
      <c r="I138" s="11"/>
    </row>
    <row r="139" spans="1:9">
      <c r="A139" s="10" t="s">
        <v>222</v>
      </c>
      <c r="B139" s="10" t="s">
        <v>223</v>
      </c>
      <c r="C139" s="13">
        <f>_xll.BDH("ASIX US Equity","INDEPENDENT_DIRECTORS","FY 2016","FY 2016","Currency=USD","Period=FY","BEST_FPERIOD_OVERRIDE=FY","FILING_STATUS=MR","Sort=A","Dates=H","DateFormat=P","Fill=—","Direction=H","UseDPDF=Y")</f>
        <v>6</v>
      </c>
      <c r="D139" s="13">
        <f>_xll.BDH("ASIX US Equity","INDEPENDENT_DIRECTORS","FY 2017","FY 2017","Currency=USD","Period=FY","BEST_FPERIOD_OVERRIDE=FY","FILING_STATUS=MR","Sort=A","Dates=H","DateFormat=P","Fill=—","Direction=H","UseDPDF=Y")</f>
        <v>6</v>
      </c>
      <c r="E139" s="13">
        <f>_xll.BDH("ASIX US Equity","INDEPENDENT_DIRECTORS","FY 2018","FY 2018","Currency=USD","Period=FY","BEST_FPERIOD_OVERRIDE=FY","FILING_STATUS=MR","Sort=A","Dates=H","DateFormat=P","Fill=—","Direction=H","UseDPDF=Y")</f>
        <v>6</v>
      </c>
      <c r="F139" s="13">
        <f>_xll.BDH("ASIX US Equity","INDEPENDENT_DIRECTORS","FY 2019","FY 2019","Currency=USD","Period=FY","BEST_FPERIOD_OVERRIDE=FY","FILING_STATUS=MR","Sort=A","Dates=H","DateFormat=P","Fill=—","Direction=H","UseDPDF=Y")</f>
        <v>6</v>
      </c>
      <c r="G139" s="13">
        <f>_xll.BDH("ASIX US Equity","INDEPENDENT_DIRECTORS","FY 2020","FY 2020","Currency=USD","Period=FY","BEST_FPERIOD_OVERRIDE=FY","FILING_STATUS=MR","Sort=A","Dates=H","DateFormat=P","Fill=—","Direction=H","UseDPDF=Y")</f>
        <v>7</v>
      </c>
      <c r="H139" s="13">
        <f>_xll.BDH("ASIX US Equity","INDEPENDENT_DIRECTORS","FY 2021","FY 2021","Currency=USD","Period=FY","BEST_FPERIOD_OVERRIDE=FY","FILING_STATUS=MR","Sort=A","Dates=H","DateFormat=P","Fill=—","Direction=H","UseDPDF=Y")</f>
        <v>9</v>
      </c>
      <c r="I139" s="13">
        <f>_xll.BDH("ASIX US Equity","INDEPENDENT_DIRECTORS","FY 2022","FY 2022","Currency=USD","Period=FY","BEST_FPERIOD_OVERRIDE=FY","FILING_STATUS=MR","Sort=A","Dates=H","DateFormat=P","Fill=—","Direction=H","UseDPDF=Y")</f>
        <v>8</v>
      </c>
    </row>
    <row r="140" spans="1:9">
      <c r="A140" s="10"/>
      <c r="B140" s="11"/>
      <c r="C140" s="11"/>
      <c r="D140" s="11"/>
      <c r="E140" s="11"/>
      <c r="F140" s="11"/>
      <c r="G140" s="11"/>
      <c r="H140" s="11"/>
      <c r="I140" s="11"/>
    </row>
    <row r="141" spans="1:9">
      <c r="A141" s="10" t="s">
        <v>224</v>
      </c>
      <c r="B141" s="11"/>
      <c r="C141" s="11"/>
      <c r="D141" s="11"/>
      <c r="E141" s="11"/>
      <c r="F141" s="11"/>
      <c r="G141" s="11"/>
      <c r="H141" s="11"/>
      <c r="I141" s="11"/>
    </row>
    <row r="142" spans="1:9">
      <c r="A142" s="10" t="s">
        <v>225</v>
      </c>
      <c r="B142" s="10" t="s">
        <v>226</v>
      </c>
      <c r="C142" s="13">
        <f>_xll.BDH("ASIX US Equity","SIZE_OF_NOMINATION_COMMITTEE","FY 2016","FY 2016","Currency=USD","Period=FY","BEST_FPERIOD_OVERRIDE=FY","FILING_STATUS=MR","Sort=A","Dates=H","DateFormat=P","Fill=—","Direction=H","UseDPDF=Y")</f>
        <v>3</v>
      </c>
      <c r="D142" s="13">
        <f>_xll.BDH("ASIX US Equity","SIZE_OF_NOMINATION_COMMITTEE","FY 2017","FY 2017","Currency=USD","Period=FY","BEST_FPERIOD_OVERRIDE=FY","FILING_STATUS=MR","Sort=A","Dates=H","DateFormat=P","Fill=—","Direction=H","UseDPDF=Y")</f>
        <v>3</v>
      </c>
      <c r="E142" s="13">
        <f>_xll.BDH("ASIX US Equity","SIZE_OF_NOMINATION_COMMITTEE","FY 2018","FY 2018","Currency=USD","Period=FY","BEST_FPERIOD_OVERRIDE=FY","FILING_STATUS=MR","Sort=A","Dates=H","DateFormat=P","Fill=—","Direction=H","UseDPDF=Y")</f>
        <v>3</v>
      </c>
      <c r="F142" s="13">
        <f>_xll.BDH("ASIX US Equity","SIZE_OF_NOMINATION_COMMITTEE","FY 2019","FY 2019","Currency=USD","Period=FY","BEST_FPERIOD_OVERRIDE=FY","FILING_STATUS=MR","Sort=A","Dates=H","DateFormat=P","Fill=—","Direction=H","UseDPDF=Y")</f>
        <v>3</v>
      </c>
      <c r="G142" s="13">
        <f>_xll.BDH("ASIX US Equity","SIZE_OF_NOMINATION_COMMITTEE","FY 2020","FY 2020","Currency=USD","Period=FY","BEST_FPERIOD_OVERRIDE=FY","FILING_STATUS=MR","Sort=A","Dates=H","DateFormat=P","Fill=—","Direction=H","UseDPDF=Y")</f>
        <v>3</v>
      </c>
      <c r="H142" s="13">
        <f>_xll.BDH("ASIX US Equity","SIZE_OF_NOMINATION_COMMITTEE","FY 2021","FY 2021","Currency=USD","Period=FY","BEST_FPERIOD_OVERRIDE=FY","FILING_STATUS=MR","Sort=A","Dates=H","DateFormat=P","Fill=—","Direction=H","UseDPDF=Y")</f>
        <v>4</v>
      </c>
      <c r="I142" s="13">
        <f>_xll.BDH("ASIX US Equity","SIZE_OF_NOMINATION_COMMITTEE","FY 2022","FY 2022","Currency=USD","Period=FY","BEST_FPERIOD_OVERRIDE=FY","FILING_STATUS=MR","Sort=A","Dates=H","DateFormat=P","Fill=—","Direction=H","UseDPDF=Y")</f>
        <v>3</v>
      </c>
    </row>
    <row r="143" spans="1:9">
      <c r="A143" s="10" t="s">
        <v>227</v>
      </c>
      <c r="B143" s="10" t="s">
        <v>228</v>
      </c>
      <c r="C143" s="13">
        <f>_xll.BDH("ASIX US Equity","NUM_IND_DIR_ON_NOM_CMTE","FY 2016","FY 2016","Currency=USD","Period=FY","BEST_FPERIOD_OVERRIDE=FY","FILING_STATUS=MR","Sort=A","Dates=H","DateFormat=P","Fill=—","Direction=H","UseDPDF=Y")</f>
        <v>3</v>
      </c>
      <c r="D143" s="13">
        <f>_xll.BDH("ASIX US Equity","NUM_IND_DIR_ON_NOM_CMTE","FY 2017","FY 2017","Currency=USD","Period=FY","BEST_FPERIOD_OVERRIDE=FY","FILING_STATUS=MR","Sort=A","Dates=H","DateFormat=P","Fill=—","Direction=H","UseDPDF=Y")</f>
        <v>3</v>
      </c>
      <c r="E143" s="13">
        <f>_xll.BDH("ASIX US Equity","NUM_IND_DIR_ON_NOM_CMTE","FY 2018","FY 2018","Currency=USD","Period=FY","BEST_FPERIOD_OVERRIDE=FY","FILING_STATUS=MR","Sort=A","Dates=H","DateFormat=P","Fill=—","Direction=H","UseDPDF=Y")</f>
        <v>3</v>
      </c>
      <c r="F143" s="13">
        <f>_xll.BDH("ASIX US Equity","NUM_IND_DIR_ON_NOM_CMTE","FY 2019","FY 2019","Currency=USD","Period=FY","BEST_FPERIOD_OVERRIDE=FY","FILING_STATUS=MR","Sort=A","Dates=H","DateFormat=P","Fill=—","Direction=H","UseDPDF=Y")</f>
        <v>3</v>
      </c>
      <c r="G143" s="13">
        <f>_xll.BDH("ASIX US Equity","NUM_IND_DIR_ON_NOM_CMTE","FY 2020","FY 2020","Currency=USD","Period=FY","BEST_FPERIOD_OVERRIDE=FY","FILING_STATUS=MR","Sort=A","Dates=H","DateFormat=P","Fill=—","Direction=H","UseDPDF=Y")</f>
        <v>3</v>
      </c>
      <c r="H143" s="13">
        <f>_xll.BDH("ASIX US Equity","NUM_IND_DIR_ON_NOM_CMTE","FY 2021","FY 2021","Currency=USD","Period=FY","BEST_FPERIOD_OVERRIDE=FY","FILING_STATUS=MR","Sort=A","Dates=H","DateFormat=P","Fill=—","Direction=H","UseDPDF=Y")</f>
        <v>4</v>
      </c>
      <c r="I143" s="13">
        <f>_xll.BDH("ASIX US Equity","NUM_IND_DIR_ON_NOM_CMTE","FY 2022","FY 2022","Currency=USD","Period=FY","BEST_FPERIOD_OVERRIDE=FY","FILING_STATUS=MR","Sort=A","Dates=H","DateFormat=P","Fill=—","Direction=H","UseDPDF=Y")</f>
        <v>3</v>
      </c>
    </row>
    <row r="144" spans="1:9">
      <c r="A144" s="10" t="s">
        <v>229</v>
      </c>
      <c r="B144" s="10" t="s">
        <v>230</v>
      </c>
      <c r="C144" s="13">
        <f>_xll.BDH("ASIX US Equity","NUM_OF_NOMINATION_CMTE_MTG","FY 2016","FY 2016","Currency=USD","Period=FY","BEST_FPERIOD_OVERRIDE=FY","FILING_STATUS=MR","Sort=A","Dates=H","DateFormat=P","Fill=—","Direction=H","UseDPDF=Y")</f>
        <v>1</v>
      </c>
      <c r="D144" s="13">
        <f>_xll.BDH("ASIX US Equity","NUM_OF_NOMINATION_CMTE_MTG","FY 2017","FY 2017","Currency=USD","Period=FY","BEST_FPERIOD_OVERRIDE=FY","FILING_STATUS=MR","Sort=A","Dates=H","DateFormat=P","Fill=—","Direction=H","UseDPDF=Y")</f>
        <v>5</v>
      </c>
      <c r="E144" s="13">
        <f>_xll.BDH("ASIX US Equity","NUM_OF_NOMINATION_CMTE_MTG","FY 2018","FY 2018","Currency=USD","Period=FY","BEST_FPERIOD_OVERRIDE=FY","FILING_STATUS=MR","Sort=A","Dates=H","DateFormat=P","Fill=—","Direction=H","UseDPDF=Y")</f>
        <v>5</v>
      </c>
      <c r="F144" s="13">
        <f>_xll.BDH("ASIX US Equity","NUM_OF_NOMINATION_CMTE_MTG","FY 2019","FY 2019","Currency=USD","Period=FY","BEST_FPERIOD_OVERRIDE=FY","FILING_STATUS=MR","Sort=A","Dates=H","DateFormat=P","Fill=—","Direction=H","UseDPDF=Y")</f>
        <v>4</v>
      </c>
      <c r="G144" s="13">
        <f>_xll.BDH("ASIX US Equity","NUM_OF_NOMINATION_CMTE_MTG","FY 2020","FY 2020","Currency=USD","Period=FY","BEST_FPERIOD_OVERRIDE=FY","FILING_STATUS=MR","Sort=A","Dates=H","DateFormat=P","Fill=—","Direction=H","UseDPDF=Y")</f>
        <v>4</v>
      </c>
      <c r="H144" s="13">
        <f>_xll.BDH("ASIX US Equity","NUM_OF_NOMINATION_CMTE_MTG","FY 2021","FY 2021","Currency=USD","Period=FY","BEST_FPERIOD_OVERRIDE=FY","FILING_STATUS=MR","Sort=A","Dates=H","DateFormat=P","Fill=—","Direction=H","UseDPDF=Y")</f>
        <v>4</v>
      </c>
      <c r="I144" s="13">
        <f>_xll.BDH("ASIX US Equity","NUM_OF_NOMINATION_CMTE_MTG","FY 2022","FY 2022","Currency=USD","Period=FY","BEST_FPERIOD_OVERRIDE=FY","FILING_STATUS=MR","Sort=A","Dates=H","DateFormat=P","Fill=—","Direction=H","UseDPDF=Y")</f>
        <v>4</v>
      </c>
    </row>
    <row r="145" spans="1:9">
      <c r="A145" s="10" t="s">
        <v>231</v>
      </c>
      <c r="B145" s="10" t="s">
        <v>232</v>
      </c>
      <c r="C145" s="13">
        <f>_xll.BDH("ASIX US Equity","NOMINATION_CMTE_MTG_ATTEND_PCT","FY 2016","FY 2016","Currency=USD","Period=FY","BEST_FPERIOD_OVERRIDE=FY","FILING_STATUS=MR","Sort=A","Dates=H","DateFormat=P","Fill=—","Direction=H","UseDPDF=Y")</f>
        <v>100</v>
      </c>
      <c r="D145" s="13">
        <f>_xll.BDH("ASIX US Equity","NOMINATION_CMTE_MTG_ATTEND_PCT","FY 2017","FY 2017","Currency=USD","Period=FY","BEST_FPERIOD_OVERRIDE=FY","FILING_STATUS=MR","Sort=A","Dates=H","DateFormat=P","Fill=—","Direction=H","UseDPDF=Y")</f>
        <v>100</v>
      </c>
      <c r="E145" s="13">
        <f>_xll.BDH("ASIX US Equity","NOMINATION_CMTE_MTG_ATTEND_PCT","FY 2018","FY 2018","Currency=USD","Period=FY","BEST_FPERIOD_OVERRIDE=FY","FILING_STATUS=MR","Sort=A","Dates=H","DateFormat=P","Fill=—","Direction=H","UseDPDF=Y")</f>
        <v>100</v>
      </c>
      <c r="F145" s="13">
        <f>_xll.BDH("ASIX US Equity","NOMINATION_CMTE_MTG_ATTEND_PCT","FY 2019","FY 2019","Currency=USD","Period=FY","BEST_FPERIOD_OVERRIDE=FY","FILING_STATUS=MR","Sort=A","Dates=H","DateFormat=P","Fill=—","Direction=H","UseDPDF=Y")</f>
        <v>100</v>
      </c>
      <c r="G145" s="13">
        <f>_xll.BDH("ASIX US Equity","NOMINATION_CMTE_MTG_ATTEND_PCT","FY 2020","FY 2020","Currency=USD","Period=FY","BEST_FPERIOD_OVERRIDE=FY","FILING_STATUS=MR","Sort=A","Dates=H","DateFormat=P","Fill=—","Direction=H","UseDPDF=Y")</f>
        <v>95</v>
      </c>
      <c r="H145" s="13">
        <f>_xll.BDH("ASIX US Equity","NOMINATION_CMTE_MTG_ATTEND_PCT","FY 2021","FY 2021","Currency=USD","Period=FY","BEST_FPERIOD_OVERRIDE=FY","FILING_STATUS=MR","Sort=A","Dates=H","DateFormat=P","Fill=—","Direction=H","UseDPDF=Y")</f>
        <v>100</v>
      </c>
      <c r="I145" s="13">
        <f>_xll.BDH("ASIX US Equity","NOMINATION_CMTE_MTG_ATTEND_PCT","FY 2022","FY 2022","Currency=USD","Period=FY","BEST_FPERIOD_OVERRIDE=FY","FILING_STATUS=MR","Sort=A","Dates=H","DateFormat=P","Fill=—","Direction=H","UseDPDF=Y")</f>
        <v>100</v>
      </c>
    </row>
    <row r="146" spans="1:9">
      <c r="A146" s="10"/>
      <c r="B146" s="11"/>
      <c r="C146" s="11"/>
      <c r="D146" s="11"/>
      <c r="E146" s="11"/>
      <c r="F146" s="11"/>
      <c r="G146" s="11"/>
      <c r="H146" s="11"/>
      <c r="I146" s="11"/>
    </row>
    <row r="147" spans="1:9">
      <c r="A147" s="10" t="s">
        <v>233</v>
      </c>
      <c r="B147" s="11"/>
      <c r="C147" s="11"/>
      <c r="D147" s="11"/>
      <c r="E147" s="11"/>
      <c r="F147" s="11"/>
      <c r="G147" s="11"/>
      <c r="H147" s="11"/>
      <c r="I147" s="11"/>
    </row>
    <row r="148" spans="1:9">
      <c r="A148" s="10" t="s">
        <v>234</v>
      </c>
      <c r="B148" s="10" t="s">
        <v>235</v>
      </c>
      <c r="C148" s="11" t="s">
        <v>50</v>
      </c>
      <c r="D148" s="11" t="s">
        <v>50</v>
      </c>
      <c r="E148" s="11" t="s">
        <v>50</v>
      </c>
      <c r="F148" s="11" t="s">
        <v>50</v>
      </c>
      <c r="G148" s="11" t="s">
        <v>50</v>
      </c>
      <c r="H148" s="11" t="s">
        <v>50</v>
      </c>
      <c r="I148" s="11" t="s">
        <v>51</v>
      </c>
    </row>
    <row r="149" spans="1:9">
      <c r="A149" s="10" t="s">
        <v>236</v>
      </c>
      <c r="B149" s="10" t="s">
        <v>237</v>
      </c>
      <c r="C149" s="11" t="s">
        <v>50</v>
      </c>
      <c r="D149" s="11" t="s">
        <v>51</v>
      </c>
      <c r="E149" s="11" t="s">
        <v>51</v>
      </c>
      <c r="F149" s="11" t="s">
        <v>51</v>
      </c>
      <c r="G149" s="11" t="s">
        <v>51</v>
      </c>
      <c r="H149" s="11" t="s">
        <v>51</v>
      </c>
      <c r="I149" s="11" t="s">
        <v>51</v>
      </c>
    </row>
    <row r="150" spans="1:9">
      <c r="A150" s="10"/>
      <c r="B150" s="11"/>
      <c r="C150" s="11"/>
      <c r="D150" s="11"/>
      <c r="E150" s="11"/>
      <c r="F150" s="11"/>
      <c r="G150" s="11"/>
      <c r="H150" s="11"/>
      <c r="I150" s="11"/>
    </row>
    <row r="151" spans="1:9">
      <c r="A151" s="10" t="s">
        <v>238</v>
      </c>
      <c r="B151" s="11"/>
      <c r="C151" s="11"/>
      <c r="D151" s="11"/>
      <c r="E151" s="11"/>
      <c r="F151" s="11"/>
      <c r="G151" s="11"/>
      <c r="H151" s="11"/>
      <c r="I151" s="11"/>
    </row>
    <row r="152" spans="1:9">
      <c r="A152" s="10" t="s">
        <v>239</v>
      </c>
      <c r="B152" s="10" t="s">
        <v>240</v>
      </c>
      <c r="C152" s="13">
        <f>_xll.BDH("ASIX US Equity","BOARD_DURATION","FY 2016","FY 2016","Currency=USD","Period=FY","BEST_FPERIOD_OVERRIDE=FY","FILING_STATUS=MR","Sort=A","Dates=H","DateFormat=P","Fill=—","Direction=H","UseDPDF=Y")</f>
        <v>3</v>
      </c>
      <c r="D152" s="13" t="str">
        <f>_xll.BDH("ASIX US Equity","BOARD_DURATION","FY 2017","FY 2017","Currency=USD","Period=FY","BEST_FPERIOD_OVERRIDE=FY","FILING_STATUS=MR","Sort=A","Dates=H","DateFormat=P","Fill=—","Direction=H","UseDPDF=Y")</f>
        <v>—</v>
      </c>
      <c r="E152" s="13" t="str">
        <f>_xll.BDH("ASIX US Equity","BOARD_DURATION","FY 2018","FY 2018","Currency=USD","Period=FY","BEST_FPERIOD_OVERRIDE=FY","FILING_STATUS=MR","Sort=A","Dates=H","DateFormat=P","Fill=—","Direction=H","UseDPDF=Y")</f>
        <v>—</v>
      </c>
      <c r="F152" s="13">
        <f>_xll.BDH("ASIX US Equity","BOARD_DURATION","FY 2019","FY 2019","Currency=USD","Period=FY","BEST_FPERIOD_OVERRIDE=FY","FILING_STATUS=MR","Sort=A","Dates=H","DateFormat=P","Fill=—","Direction=H","UseDPDF=Y")</f>
        <v>1</v>
      </c>
      <c r="G152" s="13">
        <f>_xll.BDH("ASIX US Equity","BOARD_DURATION","FY 2020","FY 2020","Currency=USD","Period=FY","BEST_FPERIOD_OVERRIDE=FY","FILING_STATUS=MR","Sort=A","Dates=H","DateFormat=P","Fill=—","Direction=H","UseDPDF=Y")</f>
        <v>1</v>
      </c>
      <c r="H152" s="13">
        <f>_xll.BDH("ASIX US Equity","BOARD_DURATION","FY 2021","FY 2021","Currency=USD","Period=FY","BEST_FPERIOD_OVERRIDE=FY","FILING_STATUS=MR","Sort=A","Dates=H","DateFormat=P","Fill=—","Direction=H","UseDPDF=Y")</f>
        <v>1</v>
      </c>
      <c r="I152" s="13">
        <f>_xll.BDH("ASIX US Equity","BOARD_DURATION","FY 2022","FY 2022","Currency=USD","Period=FY","BEST_FPERIOD_OVERRIDE=FY","FILING_STATUS=MR","Sort=A","Dates=H","DateFormat=P","Fill=—","Direction=H","UseDPDF=Y")</f>
        <v>1</v>
      </c>
    </row>
    <row r="153" spans="1:9">
      <c r="A153" s="10" t="s">
        <v>123</v>
      </c>
      <c r="B153" s="10" t="s">
        <v>124</v>
      </c>
      <c r="C153" s="12" t="str">
        <f>_xll.BDH("ASIX US Equity","COMMUNITY_SPENDING","FY 2016","FY 2016","Currency=USD","Period=FY","BEST_FPERIOD_OVERRIDE=FY","FILING_STATUS=MR","SCALING_FORMAT=MLN","Sort=A","Dates=H","DateFormat=P","Fill=—","Direction=H","UseDPDF=Y")</f>
        <v>—</v>
      </c>
      <c r="D153" s="12">
        <f>_xll.BDH("ASIX US Equity","COMMUNITY_SPENDING","FY 2017","FY 2017","Currency=USD","Period=FY","BEST_FPERIOD_OVERRIDE=FY","FILING_STATUS=MR","SCALING_FORMAT=MLN","Sort=A","Dates=H","DateFormat=P","Fill=—","Direction=H","UseDPDF=Y")</f>
        <v>0.06</v>
      </c>
      <c r="E153" s="12" t="str">
        <f>_xll.BDH("ASIX US Equity","COMMUNITY_SPENDING","FY 2018","FY 2018","Currency=USD","Period=FY","BEST_FPERIOD_OVERRIDE=FY","FILING_STATUS=MR","SCALING_FORMAT=MLN","Sort=A","Dates=H","DateFormat=P","Fill=—","Direction=H","UseDPDF=Y")</f>
        <v>—</v>
      </c>
      <c r="F153" s="12" t="str">
        <f>_xll.BDH("ASIX US Equity","COMMUNITY_SPENDING","FY 2019","FY 2019","Currency=USD","Period=FY","BEST_FPERIOD_OVERRIDE=FY","FILING_STATUS=MR","SCALING_FORMAT=MLN","Sort=A","Dates=H","DateFormat=P","Fill=—","Direction=H","UseDPDF=Y")</f>
        <v>—</v>
      </c>
      <c r="G153" s="12" t="str">
        <f>_xll.BDH("ASIX US Equity","COMMUNITY_SPENDING","FY 2020","FY 2020","Currency=USD","Period=FY","BEST_FPERIOD_OVERRIDE=FY","FILING_STATUS=MR","SCALING_FORMAT=MLN","Sort=A","Dates=H","DateFormat=P","Fill=—","Direction=H","UseDPDF=Y")</f>
        <v>—</v>
      </c>
      <c r="H153" s="12" t="str">
        <f>_xll.BDH("ASIX US Equity","COMMUNITY_SPENDING","FY 2021","FY 2021","Currency=USD","Period=FY","BEST_FPERIOD_OVERRIDE=FY","FILING_STATUS=MR","SCALING_FORMAT=MLN","Sort=A","Dates=H","DateFormat=P","Fill=—","Direction=H","UseDPDF=Y")</f>
        <v>—</v>
      </c>
      <c r="I153" s="12" t="str">
        <f>_xll.BDH("ASIX US Equity","COMMUNITY_SPENDING","FY 2022","FY 2022","Currency=USD","Period=FY","BEST_FPERIOD_OVERRIDE=FY","FILING_STATUS=MR","SCALING_FORMAT=MLN","Sort=A","Dates=H","DateFormat=P","Fill=—","Direction=H","UseDPDF=Y")</f>
        <v>—</v>
      </c>
    </row>
    <row r="154" spans="1:9">
      <c r="A154" s="7" t="s">
        <v>241</v>
      </c>
      <c r="B154" s="7"/>
      <c r="C154" s="7" t="s">
        <v>242</v>
      </c>
      <c r="D154" s="7"/>
      <c r="E154" s="7"/>
      <c r="F154" s="7"/>
      <c r="G154" s="7"/>
      <c r="H154" s="7"/>
      <c r="I1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2023-12-04T20:13:34Z</dcterms:modified>
  <cp:category/>
  <cp:contentStatus/>
</cp:coreProperties>
</file>