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D79580ED-CE5C-4DBA-B8AA-FBE2C6A2E8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quid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H26" i="2"/>
  <c r="I26" i="2"/>
  <c r="I10" i="2"/>
  <c r="G18" i="2"/>
  <c r="E8" i="2"/>
  <c r="C8" i="2"/>
  <c r="G26" i="2"/>
  <c r="C9" i="2"/>
  <c r="J26" i="2"/>
  <c r="E12" i="2"/>
  <c r="D18" i="2"/>
  <c r="K13" i="2"/>
  <c r="F12" i="2"/>
  <c r="E13" i="2"/>
  <c r="C18" i="2"/>
  <c r="G16" i="2"/>
  <c r="E18" i="2"/>
  <c r="K24" i="2"/>
  <c r="G7" i="2"/>
  <c r="J20" i="2"/>
  <c r="J9" i="2"/>
  <c r="D25" i="2"/>
  <c r="L9" i="2"/>
  <c r="H22" i="2"/>
  <c r="K6" i="2"/>
  <c r="G8" i="2"/>
  <c r="C10" i="2"/>
  <c r="I12" i="2"/>
  <c r="I22" i="2"/>
  <c r="E25" i="2"/>
  <c r="E14" i="2"/>
  <c r="K9" i="2"/>
  <c r="K26" i="2"/>
  <c r="K16" i="2"/>
  <c r="C21" i="2"/>
  <c r="D21" i="2"/>
  <c r="J22" i="2"/>
  <c r="D10" i="2"/>
  <c r="H8" i="2"/>
  <c r="J12" i="2"/>
  <c r="F14" i="2"/>
  <c r="L16" i="2"/>
  <c r="L26" i="2"/>
  <c r="H18" i="2"/>
  <c r="F22" i="2"/>
  <c r="G6" i="2"/>
  <c r="F25" i="2"/>
  <c r="I18" i="2"/>
  <c r="H12" i="2"/>
  <c r="E22" i="2"/>
  <c r="C25" i="2"/>
  <c r="C28" i="2"/>
  <c r="J6" i="2"/>
  <c r="I16" i="2"/>
  <c r="J16" i="2"/>
  <c r="C7" i="2"/>
  <c r="K25" i="2"/>
  <c r="K22" i="2"/>
  <c r="E10" i="2"/>
  <c r="E21" i="2"/>
  <c r="D17" i="2"/>
  <c r="J8" i="2"/>
  <c r="G13" i="2"/>
  <c r="G25" i="2"/>
  <c r="C17" i="2"/>
  <c r="F10" i="2"/>
  <c r="D28" i="2"/>
  <c r="H16" i="2"/>
  <c r="F18" i="2"/>
  <c r="H25" i="2"/>
  <c r="D7" i="2"/>
  <c r="L12" i="2"/>
  <c r="H6" i="2"/>
  <c r="L22" i="2"/>
  <c r="L24" i="2"/>
  <c r="I9" i="2"/>
  <c r="F21" i="2"/>
  <c r="J18" i="2"/>
  <c r="H14" i="2"/>
  <c r="G22" i="2"/>
  <c r="E28" i="2"/>
  <c r="F8" i="2"/>
  <c r="G12" i="2"/>
  <c r="D14" i="2"/>
  <c r="K12" i="2"/>
  <c r="I14" i="2"/>
  <c r="G10" i="2"/>
  <c r="E7" i="2"/>
  <c r="I20" i="2"/>
  <c r="C14" i="2"/>
  <c r="L20" i="2"/>
  <c r="K8" i="2"/>
  <c r="D8" i="2"/>
  <c r="C13" i="2"/>
  <c r="G14" i="2"/>
  <c r="L13" i="2"/>
  <c r="I8" i="2"/>
  <c r="F7" i="2"/>
  <c r="H28" i="2"/>
  <c r="K20" i="2"/>
  <c r="I6" i="2"/>
  <c r="D13" i="2"/>
  <c r="L8" i="2"/>
  <c r="E17" i="2"/>
  <c r="G21" i="2"/>
  <c r="C24" i="2"/>
  <c r="F17" i="2"/>
  <c r="H10" i="2"/>
  <c r="I25" i="2"/>
  <c r="G17" i="2"/>
  <c r="C6" i="2"/>
  <c r="K18" i="2"/>
  <c r="G24" i="2"/>
  <c r="F28" i="2"/>
  <c r="J21" i="2"/>
  <c r="J25" i="2"/>
  <c r="C16" i="2"/>
  <c r="K14" i="2"/>
  <c r="C20" i="2"/>
  <c r="H21" i="2"/>
  <c r="L18" i="2"/>
  <c r="K10" i="2"/>
  <c r="G9" i="2"/>
  <c r="D24" i="2"/>
  <c r="E24" i="2"/>
  <c r="E20" i="2"/>
  <c r="J14" i="2"/>
  <c r="I17" i="2"/>
  <c r="D26" i="2"/>
  <c r="I7" i="2"/>
  <c r="K21" i="2"/>
  <c r="J7" i="2"/>
  <c r="G28" i="2"/>
  <c r="H13" i="2"/>
  <c r="F20" i="2"/>
  <c r="E6" i="2"/>
  <c r="E26" i="2"/>
  <c r="H17" i="2"/>
  <c r="D6" i="2"/>
  <c r="I21" i="2"/>
  <c r="F9" i="2"/>
  <c r="I28" i="2"/>
  <c r="L21" i="2"/>
  <c r="L10" i="2"/>
  <c r="L25" i="2"/>
  <c r="D9" i="2"/>
  <c r="C26" i="2"/>
  <c r="H20" i="2"/>
  <c r="F6" i="2"/>
  <c r="L14" i="2"/>
  <c r="C22" i="2"/>
  <c r="I24" i="2"/>
  <c r="J28" i="2"/>
  <c r="F13" i="2"/>
  <c r="H9" i="2"/>
  <c r="D22" i="2"/>
  <c r="H24" i="2"/>
  <c r="L7" i="2"/>
  <c r="J10" i="2"/>
  <c r="L17" i="2"/>
  <c r="I13" i="2"/>
  <c r="H7" i="2"/>
  <c r="F16" i="2"/>
  <c r="F26" i="2"/>
  <c r="J24" i="2"/>
  <c r="E16" i="2"/>
  <c r="K28" i="2"/>
  <c r="L28" i="2"/>
  <c r="K17" i="2"/>
  <c r="D20" i="2"/>
  <c r="F24" i="2"/>
  <c r="C12" i="2"/>
  <c r="K7" i="2"/>
  <c r="D16" i="2"/>
  <c r="G20" i="2"/>
  <c r="D12" i="2"/>
  <c r="E9" i="2"/>
  <c r="J13" i="2"/>
  <c r="J17" i="2"/>
</calcChain>
</file>

<file path=xl/sharedStrings.xml><?xml version="1.0" encoding="utf-8"?>
<sst xmlns="http://schemas.openxmlformats.org/spreadsheetml/2006/main" count="61" uniqueCount="61">
  <si>
    <t>Albemarle Corp (ALB US) - Liquidity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</si>
  <si>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</si>
  <si>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</si>
  <si>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</si>
  <si>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</si>
  <si>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</si>
  <si>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</si>
  <si>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</si>
  <si>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</si>
  <si>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</si>
  <si>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</si>
  <si>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</si>
  <si>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</si>
  <si>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</si>
  <si>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</si>
  <si>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</si>
  <si>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</si>
  <si>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</si>
  <si>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</si>
  <si>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</si>
  <si>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</si>
  <si>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</si>
  <si>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</si>
  <si>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Cash Ratio</t>
  </si>
  <si>
    <t>CASH_RATIO</t>
  </si>
  <si>
    <t>Current Ratio</t>
  </si>
  <si>
    <t>CUR_RATIO</t>
  </si>
  <si>
    <t>Quick Ratio</t>
  </si>
  <si>
    <t>QUICK_RATIO</t>
  </si>
  <si>
    <t>CFO/Avg Current Liab</t>
  </si>
  <si>
    <t>CFO_TO_AVG_CURRENT_LIABILITIES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</si>
  <si>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</si>
  <si>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</si>
  <si>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</si>
  <si>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</si>
  <si>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</si>
  <si>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</si>
  <si>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</si>
  <si>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</si>
  <si>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</si>
  <si>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</si>
  <si>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</si>
  <si>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TOT_DEBT_TO_TOT_CAP</t>
  </si>
  <si>
    <t>Total Debt/Total Assets</t>
  </si>
  <si>
    <t>TOT_DEBT_TO_TOT_ASSET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</si>
  <si>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</si>
  <si>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</si>
  <si>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</si>
  <si>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</si>
  <si>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</si>
  <si>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</si>
  <si>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Total Line of Credit</t>
  </si>
  <si>
    <t>BS_TOTAL_LINE_OF_CREDIT</t>
  </si>
  <si>
    <t xml:space="preserve">  Total Available Line Of Credit</t>
  </si>
  <si>
    <t>BS_TOTAL_AVAIL_LINE_OF_CREDIT</t>
  </si>
  <si>
    <t xml:space="preserve">  Total Credit Lines Drawn</t>
  </si>
  <si>
    <t>LINE_OF_CREDIT_UTILIZED_AMOUNT</t>
  </si>
  <si>
    <t>Total Commercial Paper Outstanding</t>
  </si>
  <si>
    <t>BS_TOT_COM_PAPER_ISSUED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</si>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</sst>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5" fillId="3" borderId="0" applyNumberFormat="0" applyBorder="0" applyAlignment="0" applyProtection="0"/>
    <xf numFmtId="0" fontId="2" fillId="33" borderId="0"/>
    <xf numFmtId="0" fontId="19" fillId="6" borderId="9" applyNumberFormat="0" applyAlignment="0" applyProtection="0"/>
    <xf numFmtId="0" fontId="21" fillId="7" borderId="12" applyNumberFormat="0" applyAlignment="0" applyProtection="0"/>
    <xf numFmtId="0" fontId="23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8" fillId="35" borderId="4" applyNumberFormat="0" applyAlignment="0" applyProtection="0"/>
    <xf numFmtId="0" fontId="7" fillId="34" borderId="5"/>
    <xf numFmtId="0" fontId="14" fillId="2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7" fillId="5" borderId="9" applyNumberFormat="0" applyAlignment="0" applyProtection="0"/>
    <xf numFmtId="0" fontId="20" fillId="0" borderId="11" applyNumberFormat="0" applyFill="0" applyAlignment="0" applyProtection="0"/>
    <xf numFmtId="0" fontId="16" fillId="4" borderId="0" applyNumberFormat="0" applyBorder="0" applyAlignment="0" applyProtection="0"/>
    <xf numFmtId="0" fontId="9" fillId="8" borderId="13" applyNumberFormat="0" applyFont="0" applyAlignment="0" applyProtection="0"/>
    <xf numFmtId="0" fontId="18" fillId="6" borderId="10" applyNumberFormat="0" applyAlignment="0" applyProtection="0"/>
    <xf numFmtId="0" fontId="10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</cellStyleXfs>
  <cellXfs count="13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8" fillId="35" borderId="4" xfId="34"/>
    <xf numFmtId="0" fontId="4" fillId="33" borderId="15" xfId="49">
      <alignment horizontal="left" vertical="center" readingOrder="1"/>
    </xf>
    <xf numFmtId="0" fontId="6" fillId="33" borderId="1" xfId="50">
      <alignment horizontal="left"/>
    </xf>
    <xf numFmtId="0" fontId="3" fillId="34" borderId="5" xfId="35" applyFont="1"/>
    <xf numFmtId="3" fontId="1" fillId="34" borderId="2" xfId="51">
      <alignment horizontal="right"/>
    </xf>
    <xf numFmtId="164" fontId="1" fillId="34" borderId="2" xfId="52">
      <alignment horizontal="right"/>
    </xf>
    <xf numFmtId="4" fontId="1" fillId="34" borderId="2" xfId="53">
      <alignment horizontal="right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49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0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standard_0_grouped" xfId="51" xr:uid="{00000000-0005-0000-0000-000023000000}"/>
    <cellStyle name="fa_data_standard_1_grouped" xfId="52" xr:uid="{00000000-0005-0000-0000-000024000000}"/>
    <cellStyle name="fa_data_standard_2_grouped" xfId="53" xr:uid="{00000000-0005-0000-0000-000025000000}"/>
    <cellStyle name="fa_footer_italic" xfId="34" xr:uid="{00000000-0005-0000-0000-000026000000}"/>
    <cellStyle name="fa_row_header_standard" xfId="35" xr:uid="{00000000-0005-0000-0000-000027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Neutral" xfId="43" builtinId="28" customBuiltin="1"/>
    <cellStyle name="Normal" xfId="0" builtinId="0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8" t="s">
        <v>12</v>
      </c>
      <c r="B5" s="8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9" t="s">
        <v>23</v>
      </c>
      <c r="B6" s="9" t="s">
        <v>24</v>
      </c>
      <c r="C6" s="12">
        <f>_xll.BDH("ALB US Equity","CASH_RATIO","FY 2013","FY 2013","Currency=USD","Period=FY","BEST_FPERIOD_OVERRIDE=FY","FILING_STATUS=MR","Sort=A","Dates=H","DateFormat=P","Fill=—","Direction=H","UseDPDF=Y")</f>
        <v>1.0936999999999999</v>
      </c>
      <c r="D6" s="12">
        <f>_xll.BDH("ALB US Equity","CASH_RATIO","FY 2014","FY 2014","Currency=USD","Period=FY","BEST_FPERIOD_OVERRIDE=FY","FILING_STATUS=MR","Sort=A","Dates=H","DateFormat=P","Fill=—","Direction=H","UseDPDF=Y")</f>
        <v>2.1842000000000001</v>
      </c>
      <c r="E6" s="12">
        <f>_xll.BDH("ALB US Equity","CASH_RATIO","FY 2015","FY 2015","Currency=USD","Period=FY","BEST_FPERIOD_OVERRIDE=FY","FILING_STATUS=MR","Sort=A","Dates=H","DateFormat=P","Fill=—","Direction=H","UseDPDF=Y")</f>
        <v>0.13220000000000001</v>
      </c>
      <c r="F6" s="12">
        <f>_xll.BDH("ALB US Equity","CASH_RATIO","FY 2016","FY 2016","Currency=USD","Period=FY","BEST_FPERIOD_OVERRIDE=FY","FILING_STATUS=MR","Sort=A","Dates=H","DateFormat=P","Fill=—","Direction=H","UseDPDF=Y")</f>
        <v>1.9907999999999999</v>
      </c>
      <c r="G6" s="12">
        <f>_xll.BDH("ALB US Equity","CASH_RATIO","FY 2017","FY 2017","Currency=USD","Period=FY","BEST_FPERIOD_OVERRIDE=FY","FILING_STATUS=MR","Sort=A","Dates=H","DateFormat=P","Fill=—","Direction=H","UseDPDF=Y")</f>
        <v>0.94699999999999995</v>
      </c>
      <c r="H6" s="12">
        <f>_xll.BDH("ALB US Equity","CASH_RATIO","FY 2018","FY 2018","Currency=USD","Period=FY","BEST_FPERIOD_OVERRIDE=FY","FILING_STATUS=MR","Sort=A","Dates=H","DateFormat=P","Fill=—","Direction=H","UseDPDF=Y")</f>
        <v>0.46929999999999999</v>
      </c>
      <c r="I6" s="12">
        <f>_xll.BDH("ALB US Equity","CASH_RATIO","FY 2019","FY 2019","Currency=USD","Period=FY","BEST_FPERIOD_OVERRIDE=FY","FILING_STATUS=MR","Sort=A","Dates=H","DateFormat=P","Fill=—","Direction=H","UseDPDF=Y")</f>
        <v>0.43509999999999999</v>
      </c>
      <c r="J6" s="12">
        <f>_xll.BDH("ALB US Equity","CASH_RATIO","FY 2020","FY 2020","Currency=USD","Period=FY","BEST_FPERIOD_OVERRIDE=FY","FILING_STATUS=MR","Sort=A","Dates=H","DateFormat=P","Fill=—","Direction=H","UseDPDF=Y")</f>
        <v>0.41439999999999999</v>
      </c>
      <c r="K6" s="12">
        <f>_xll.BDH("ALB US Equity","CASH_RATIO","FY 2021","FY 2021","Currency=USD","Period=FY","BEST_FPERIOD_OVERRIDE=FY","FILING_STATUS=MR","Sort=A","Dates=H","DateFormat=P","Fill=—","Direction=H","UseDPDF=Y")</f>
        <v>0.2344</v>
      </c>
      <c r="L6" s="12">
        <f>_xll.BDH("ALB US Equity","CASH_RATIO","FY 2022","FY 2022","Currency=USD","Period=FY","BEST_FPERIOD_OVERRIDE=FY","FILING_STATUS=MR","Sort=A","Dates=H","DateFormat=P","Fill=—","Direction=H","UseDPDF=Y")</f>
        <v>0.54690000000000005</v>
      </c>
    </row>
    <row r="7" spans="1:12">
      <c r="A7" s="9" t="s">
        <v>25</v>
      </c>
      <c r="B7" s="9" t="s">
        <v>26</v>
      </c>
      <c r="C7" s="12">
        <f>_xll.BDH("ALB US Equity","CUR_RATIO","FY 2013","FY 2013","Currency=USD","Period=FY","BEST_FPERIOD_OVERRIDE=FY","FILING_STATUS=MR","Sort=A","Dates=H","DateFormat=P","Fill=—","Direction=H","UseDPDF=Y")</f>
        <v>3.3984000000000001</v>
      </c>
      <c r="D7" s="12">
        <f>_xll.BDH("ALB US Equity","CUR_RATIO","FY 2014","FY 2014","Currency=USD","Period=FY","BEST_FPERIOD_OVERRIDE=FY","FILING_STATUS=MR","Sort=A","Dates=H","DateFormat=P","Fill=—","Direction=H","UseDPDF=Y")</f>
        <v>2.9379</v>
      </c>
      <c r="E7" s="12">
        <f>_xll.BDH("ALB US Equity","CUR_RATIO","FY 2015","FY 2015","Currency=USD","Period=FY","BEST_FPERIOD_OVERRIDE=FY","FILING_STATUS=MR","Sort=A","Dates=H","DateFormat=P","Fill=—","Direction=H","UseDPDF=Y")</f>
        <v>1.1326000000000001</v>
      </c>
      <c r="F7" s="12">
        <f>_xll.BDH("ALB US Equity","CUR_RATIO","FY 2016","FY 2016","Currency=USD","Period=FY","BEST_FPERIOD_OVERRIDE=FY","FILING_STATUS=MR","Sort=A","Dates=H","DateFormat=P","Fill=—","Direction=H","UseDPDF=Y")</f>
        <v>2.9003000000000001</v>
      </c>
      <c r="G7" s="12">
        <f>_xll.BDH("ALB US Equity","CUR_RATIO","FY 2017","FY 2017","Currency=USD","Period=FY","BEST_FPERIOD_OVERRIDE=FY","FILING_STATUS=MR","Sort=A","Dates=H","DateFormat=P","Fill=—","Direction=H","UseDPDF=Y")</f>
        <v>2.0630000000000002</v>
      </c>
      <c r="H7" s="12">
        <f>_xll.BDH("ALB US Equity","CUR_RATIO","FY 2018","FY 2018","Currency=USD","Period=FY","BEST_FPERIOD_OVERRIDE=FY","FILING_STATUS=MR","Sort=A","Dates=H","DateFormat=P","Fill=—","Direction=H","UseDPDF=Y")</f>
        <v>1.6890000000000001</v>
      </c>
      <c r="I7" s="12">
        <f>_xll.BDH("ALB US Equity","CUR_RATIO","FY 2019","FY 2019","Currency=USD","Period=FY","BEST_FPERIOD_OVERRIDE=FY","FILING_STATUS=MR","Sort=A","Dates=H","DateFormat=P","Fill=—","Direction=H","UseDPDF=Y")</f>
        <v>1.5791999999999999</v>
      </c>
      <c r="J7" s="12">
        <f>_xll.BDH("ALB US Equity","CUR_RATIO","FY 2020","FY 2020","Currency=USD","Period=FY","BEST_FPERIOD_OVERRIDE=FY","FILING_STATUS=MR","Sort=A","Dates=H","DateFormat=P","Fill=—","Direction=H","UseDPDF=Y")</f>
        <v>1.2243999999999999</v>
      </c>
      <c r="K7" s="12">
        <f>_xll.BDH("ALB US Equity","CUR_RATIO","FY 2021","FY 2021","Currency=USD","Period=FY","BEST_FPERIOD_OVERRIDE=FY","FILING_STATUS=MR","Sort=A","Dates=H","DateFormat=P","Fill=—","Direction=H","UseDPDF=Y")</f>
        <v>1.0637000000000001</v>
      </c>
      <c r="L7" s="12">
        <f>_xll.BDH("ALB US Equity","CUR_RATIO","FY 2022","FY 2022","Currency=USD","Period=FY","BEST_FPERIOD_OVERRIDE=FY","FILING_STATUS=MR","Sort=A","Dates=H","DateFormat=P","Fill=—","Direction=H","UseDPDF=Y")</f>
        <v>1.8923000000000001</v>
      </c>
    </row>
    <row r="8" spans="1:12">
      <c r="A8" s="9" t="s">
        <v>27</v>
      </c>
      <c r="B8" s="9" t="s">
        <v>28</v>
      </c>
      <c r="C8" s="12">
        <f>_xll.BDH("ALB US Equity","QUICK_RATIO","FY 2013","FY 2013","Currency=USD","Period=FY","BEST_FPERIOD_OVERRIDE=FY","FILING_STATUS=MR","Sort=A","Dates=H","DateFormat=P","Fill=—","Direction=H","UseDPDF=Y")</f>
        <v>2.1177000000000001</v>
      </c>
      <c r="D8" s="12">
        <f>_xll.BDH("ALB US Equity","QUICK_RATIO","FY 2014","FY 2014","Currency=USD","Period=FY","BEST_FPERIOD_OVERRIDE=FY","FILING_STATUS=MR","Sort=A","Dates=H","DateFormat=P","Fill=—","Direction=H","UseDPDF=Y")</f>
        <v>2.5222000000000002</v>
      </c>
      <c r="E8" s="12">
        <f>_xll.BDH("ALB US Equity","QUICK_RATIO","FY 2015","FY 2015","Currency=USD","Period=FY","BEST_FPERIOD_OVERRIDE=FY","FILING_STATUS=MR","Sort=A","Dates=H","DateFormat=P","Fill=—","Direction=H","UseDPDF=Y")</f>
        <v>0.37830000000000003</v>
      </c>
      <c r="F8" s="12">
        <f>_xll.BDH("ALB US Equity","QUICK_RATIO","FY 2016","FY 2016","Currency=USD","Period=FY","BEST_FPERIOD_OVERRIDE=FY","FILING_STATUS=MR","Sort=A","Dates=H","DateFormat=P","Fill=—","Direction=H","UseDPDF=Y")</f>
        <v>2.4171</v>
      </c>
      <c r="G8" s="12">
        <f>_xll.BDH("ALB US Equity","QUICK_RATIO","FY 2017","FY 2017","Currency=USD","Period=FY","BEST_FPERIOD_OVERRIDE=FY","FILING_STATUS=MR","Sort=A","Dates=H","DateFormat=P","Fill=—","Direction=H","UseDPDF=Y")</f>
        <v>1.3919999999999999</v>
      </c>
      <c r="H8" s="12">
        <f>_xll.BDH("ALB US Equity","QUICK_RATIO","FY 2018","FY 2018","Currency=USD","Period=FY","BEST_FPERIOD_OVERRIDE=FY","FILING_STATUS=MR","Sort=A","Dates=H","DateFormat=P","Fill=—","Direction=H","UseDPDF=Y")</f>
        <v>0.98129999999999995</v>
      </c>
      <c r="I8" s="12">
        <f>_xll.BDH("ALB US Equity","QUICK_RATIO","FY 2019","FY 2019","Currency=USD","Period=FY","BEST_FPERIOD_OVERRIDE=FY","FILING_STATUS=MR","Sort=A","Dates=H","DateFormat=P","Fill=—","Direction=H","UseDPDF=Y")</f>
        <v>0.87</v>
      </c>
      <c r="J8" s="12">
        <f>_xll.BDH("ALB US Equity","QUICK_RATIO","FY 2020","FY 2020","Currency=USD","Period=FY","BEST_FPERIOD_OVERRIDE=FY","FILING_STATUS=MR","Sort=A","Dates=H","DateFormat=P","Fill=—","Direction=H","UseDPDF=Y")</f>
        <v>0.70899999999999996</v>
      </c>
      <c r="K8" s="12">
        <f>_xll.BDH("ALB US Equity","QUICK_RATIO","FY 2021","FY 2021","Currency=USD","Period=FY","BEST_FPERIOD_OVERRIDE=FY","FILING_STATUS=MR","Sort=A","Dates=H","DateFormat=P","Fill=—","Direction=H","UseDPDF=Y")</f>
        <v>0.53149999999999997</v>
      </c>
      <c r="L8" s="12">
        <f>_xll.BDH("ALB US Equity","QUICK_RATIO","FY 2022","FY 2022","Currency=USD","Period=FY","BEST_FPERIOD_OVERRIDE=FY","FILING_STATUS=MR","Sort=A","Dates=H","DateFormat=P","Fill=—","Direction=H","UseDPDF=Y")</f>
        <v>0.98140000000000005</v>
      </c>
    </row>
    <row r="9" spans="1:12">
      <c r="A9" s="9" t="s">
        <v>29</v>
      </c>
      <c r="B9" s="9" t="s">
        <v>30</v>
      </c>
      <c r="C9" s="12">
        <f>_xll.BDH("ALB US Equity","CFO_TO_AVG_CURRENT_LIABILITIES","FY 2013","FY 2013","Currency=USD","Period=FY","BEST_FPERIOD_OVERRIDE=FY","FILING_STATUS=MR","Sort=A","Dates=H","DateFormat=P","Fill=—","Direction=H","UseDPDF=Y")</f>
        <v>1.054</v>
      </c>
      <c r="D9" s="12">
        <f>_xll.BDH("ALB US Equity","CFO_TO_AVG_CURRENT_LIABILITIES","FY 2014","FY 2014","Currency=USD","Period=FY","BEST_FPERIOD_OVERRIDE=FY","FILING_STATUS=MR","Sort=A","Dates=H","DateFormat=P","Fill=—","Direction=H","UseDPDF=Y")</f>
        <v>0.625</v>
      </c>
      <c r="E9" s="12">
        <f>_xll.BDH("ALB US Equity","CFO_TO_AVG_CURRENT_LIABILITIES","FY 2015","FY 2015","Currency=USD","Period=FY","BEST_FPERIOD_OVERRIDE=FY","FILING_STATUS=MR","Sort=A","Dates=H","DateFormat=P","Fill=—","Direction=H","UseDPDF=Y")</f>
        <v>0.26179999999999998</v>
      </c>
      <c r="F9" s="12">
        <f>_xll.BDH("ALB US Equity","CFO_TO_AVG_CURRENT_LIABILITIES","FY 2016","FY 2016","Currency=USD","Period=FY","BEST_FPERIOD_OVERRIDE=FY","FILING_STATUS=MR","Sort=A","Dates=H","DateFormat=P","Fill=—","Direction=H","UseDPDF=Y")</f>
        <v>0.53359999999999996</v>
      </c>
      <c r="G9" s="12">
        <f>_xll.BDH("ALB US Equity","CFO_TO_AVG_CURRENT_LIABILITIES","FY 2017","FY 2017","Currency=USD","Period=FY","BEST_FPERIOD_OVERRIDE=FY","FILING_STATUS=MR","Sort=A","Dates=H","DateFormat=P","Fill=—","Direction=H","UseDPDF=Y")</f>
        <v>0.25969999999999999</v>
      </c>
      <c r="H9" s="12">
        <f>_xll.BDH("ALB US Equity","CFO_TO_AVG_CURRENT_LIABILITIES","FY 2018","FY 2018","Currency=USD","Period=FY","BEST_FPERIOD_OVERRIDE=FY","FILING_STATUS=MR","Sort=A","Dates=H","DateFormat=P","Fill=—","Direction=H","UseDPDF=Y")</f>
        <v>0.4582</v>
      </c>
      <c r="I9" s="12">
        <f>_xll.BDH("ALB US Equity","CFO_TO_AVG_CURRENT_LIABILITIES","FY 2019","FY 2019","Currency=USD","Period=FY","BEST_FPERIOD_OVERRIDE=FY","FILING_STATUS=MR","Sort=A","Dates=H","DateFormat=P","Fill=—","Direction=H","UseDPDF=Y")</f>
        <v>0.55500000000000005</v>
      </c>
      <c r="J9" s="12">
        <f>_xll.BDH("ALB US Equity","CFO_TO_AVG_CURRENT_LIABILITIES","FY 2020","FY 2020","Currency=USD","Period=FY","BEST_FPERIOD_OVERRIDE=FY","FILING_STATUS=MR","Sort=A","Dates=H","DateFormat=P","Fill=—","Direction=H","UseDPDF=Y")</f>
        <v>0.49759999999999999</v>
      </c>
      <c r="K9" s="12">
        <f>_xll.BDH("ALB US Equity","CFO_TO_AVG_CURRENT_LIABILITIES","FY 2021","FY 2021","Currency=USD","Period=FY","BEST_FPERIOD_OVERRIDE=FY","FILING_STATUS=MR","Sort=A","Dates=H","DateFormat=P","Fill=—","Direction=H","UseDPDF=Y")</f>
        <v>0.18729999999999999</v>
      </c>
      <c r="L9" s="12">
        <f>_xll.BDH("ALB US Equity","CFO_TO_AVG_CURRENT_LIABILITIES","FY 2022","FY 2022","Currency=USD","Period=FY","BEST_FPERIOD_OVERRIDE=FY","FILING_STATUS=MR","Sort=A","Dates=H","DateFormat=P","Fill=—","Direction=H","UseDPDF=Y")</f>
        <v>0.82669999999999999</v>
      </c>
    </row>
    <row r="10" spans="1:12">
      <c r="A10" s="9" t="s">
        <v>31</v>
      </c>
      <c r="B10" s="9" t="s">
        <v>32</v>
      </c>
      <c r="C10" s="12">
        <f>_xll.BDH("ALB US Equity","COM_EQY_TO_TOT_ASSET","FY 2013","FY 2013","Currency=USD","Period=FY","BEST_FPERIOD_OVERRIDE=FY","FILING_STATUS=MR","Sort=A","Dates=H","DateFormat=P","Fill=—","Direction=H","UseDPDF=Y")</f>
        <v>45.3962</v>
      </c>
      <c r="D10" s="12">
        <f>_xll.BDH("ALB US Equity","COM_EQY_TO_TOT_ASSET","FY 2014","FY 2014","Currency=USD","Period=FY","BEST_FPERIOD_OVERRIDE=FY","FILING_STATUS=MR","Sort=A","Dates=H","DateFormat=P","Fill=—","Direction=H","UseDPDF=Y")</f>
        <v>26.027899999999999</v>
      </c>
      <c r="E10" s="12">
        <f>_xll.BDH("ALB US Equity","COM_EQY_TO_TOT_ASSET","FY 2015","FY 2015","Currency=USD","Period=FY","BEST_FPERIOD_OVERRIDE=FY","FILING_STATUS=MR","Sort=A","Dates=H","DateFormat=P","Fill=—","Direction=H","UseDPDF=Y")</f>
        <v>33.9071</v>
      </c>
      <c r="F10" s="12">
        <f>_xll.BDH("ALB US Equity","COM_EQY_TO_TOT_ASSET","FY 2016","FY 2016","Currency=USD","Period=FY","BEST_FPERIOD_OVERRIDE=FY","FILING_STATUS=MR","Sort=A","Dates=H","DateFormat=P","Fill=—","Direction=H","UseDPDF=Y")</f>
        <v>46.501199999999997</v>
      </c>
      <c r="G10" s="12">
        <f>_xll.BDH("ALB US Equity","COM_EQY_TO_TOT_ASSET","FY 2017","FY 2017","Currency=USD","Period=FY","BEST_FPERIOD_OVERRIDE=FY","FILING_STATUS=MR","Sort=A","Dates=H","DateFormat=P","Fill=—","Direction=H","UseDPDF=Y")</f>
        <v>47.408799999999999</v>
      </c>
      <c r="H10" s="12">
        <f>_xll.BDH("ALB US Equity","COM_EQY_TO_TOT_ASSET","FY 2018","FY 2018","Currency=USD","Period=FY","BEST_FPERIOD_OVERRIDE=FY","FILING_STATUS=MR","Sort=A","Dates=H","DateFormat=P","Fill=—","Direction=H","UseDPDF=Y")</f>
        <v>47.289299999999997</v>
      </c>
      <c r="I10" s="12">
        <f>_xll.BDH("ALB US Equity","COM_EQY_TO_TOT_ASSET","FY 2019","FY 2019","Currency=USD","Period=FY","BEST_FPERIOD_OVERRIDE=FY","FILING_STATUS=MR","Sort=A","Dates=H","DateFormat=P","Fill=—","Direction=H","UseDPDF=Y")</f>
        <v>39.877299999999998</v>
      </c>
      <c r="J10" s="12">
        <f>_xll.BDH("ALB US Equity","COM_EQY_TO_TOT_ASSET","FY 2020","FY 2020","Currency=USD","Period=FY","BEST_FPERIOD_OVERRIDE=FY","FILING_STATUS=MR","Sort=A","Dates=H","DateFormat=P","Fill=—","Direction=H","UseDPDF=Y")</f>
        <v>40.840600000000002</v>
      </c>
      <c r="K10" s="12">
        <f>_xll.BDH("ALB US Equity","COM_EQY_TO_TOT_ASSET","FY 2021","FY 2021","Currency=USD","Period=FY","BEST_FPERIOD_OVERRIDE=FY","FILING_STATUS=MR","Sort=A","Dates=H","DateFormat=P","Fill=—","Direction=H","UseDPDF=Y")</f>
        <v>51.259399999999999</v>
      </c>
      <c r="L10" s="12">
        <f>_xll.BDH("ALB US Equity","COM_EQY_TO_TOT_ASSET","FY 2022","FY 2022","Currency=USD","Period=FY","BEST_FPERIOD_OVERRIDE=FY","FILING_STATUS=MR","Sort=A","Dates=H","DateFormat=P","Fill=—","Direction=H","UseDPDF=Y")</f>
        <v>51.645699999999998</v>
      </c>
    </row>
    <row r="11" spans="1:1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>
      <c r="A12" s="9" t="s">
        <v>33</v>
      </c>
      <c r="B12" s="9" t="s">
        <v>34</v>
      </c>
      <c r="C12" s="12">
        <f>_xll.BDH("ALB US Equity","LT_DEBT_TO_TOT_EQY","FY 2013","FY 2013","Currency=USD","Period=FY","BEST_FPERIOD_OVERRIDE=FY","FILING_STATUS=MR","Sort=A","Dates=H","DateFormat=P","Fill=—","Direction=H","UseDPDF=Y")</f>
        <v>60.496000000000002</v>
      </c>
      <c r="D12" s="12">
        <f>_xll.BDH("ALB US Equity","LT_DEBT_TO_TOT_EQY","FY 2014","FY 2014","Currency=USD","Period=FY","BEST_FPERIOD_OVERRIDE=FY","FILING_STATUS=MR","Sort=A","Dates=H","DateFormat=P","Fill=—","Direction=H","UseDPDF=Y")</f>
        <v>149.3338</v>
      </c>
      <c r="E12" s="12">
        <f>_xll.BDH("ALB US Equity","LT_DEBT_TO_TOT_EQY","FY 2015","FY 2015","Currency=USD","Period=FY","BEST_FPERIOD_OVERRIDE=FY","FILING_STATUS=MR","Sort=A","Dates=H","DateFormat=P","Fill=—","Direction=H","UseDPDF=Y")</f>
        <v>92.372100000000003</v>
      </c>
      <c r="F12" s="12">
        <f>_xll.BDH("ALB US Equity","LT_DEBT_TO_TOT_EQY","FY 2016","FY 2016","Currency=USD","Period=FY","BEST_FPERIOD_OVERRIDE=FY","FILING_STATUS=MR","Sort=A","Dates=H","DateFormat=P","Fill=—","Direction=H","UseDPDF=Y")</f>
        <v>53.810099999999998</v>
      </c>
      <c r="G12" s="12">
        <f>_xll.BDH("ALB US Equity","LT_DEBT_TO_TOT_EQY","FY 2017","FY 2017","Currency=USD","Period=FY","BEST_FPERIOD_OVERRIDE=FY","FILING_STATUS=MR","Sort=A","Dates=H","DateFormat=P","Fill=—","Direction=H","UseDPDF=Y")</f>
        <v>36.942700000000002</v>
      </c>
      <c r="H12" s="12">
        <f>_xll.BDH("ALB US Equity","LT_DEBT_TO_TOT_EQY","FY 2018","FY 2018","Currency=USD","Period=FY","BEST_FPERIOD_OVERRIDE=FY","FILING_STATUS=MR","Sort=A","Dates=H","DateFormat=P","Fill=—","Direction=H","UseDPDF=Y")</f>
        <v>37.187399999999997</v>
      </c>
      <c r="I12" s="12">
        <f>_xll.BDH("ALB US Equity","LT_DEBT_TO_TOT_EQY","FY 2019","FY 2019","Currency=USD","Period=FY","BEST_FPERIOD_OVERRIDE=FY","FILING_STATUS=MR","Sort=A","Dates=H","DateFormat=P","Fill=—","Direction=H","UseDPDF=Y")</f>
        <v>72.738500000000002</v>
      </c>
      <c r="J12" s="12">
        <f>_xll.BDH("ALB US Equity","LT_DEBT_TO_TOT_EQY","FY 2020","FY 2020","Currency=USD","Period=FY","BEST_FPERIOD_OVERRIDE=FY","FILING_STATUS=MR","Sort=A","Dates=H","DateFormat=P","Fill=—","Direction=H","UseDPDF=Y")</f>
        <v>64.542599999999993</v>
      </c>
      <c r="K12" s="12">
        <f>_xll.BDH("ALB US Equity","LT_DEBT_TO_TOT_EQY","FY 2021","FY 2021","Currency=USD","Period=FY","BEST_FPERIOD_OVERRIDE=FY","FILING_STATUS=MR","Sort=A","Dates=H","DateFormat=P","Fill=—","Direction=H","UseDPDF=Y")</f>
        <v>36.711300000000001</v>
      </c>
      <c r="L12" s="12">
        <f>_xll.BDH("ALB US Equity","LT_DEBT_TO_TOT_EQY","FY 2022","FY 2022","Currency=USD","Period=FY","BEST_FPERIOD_OVERRIDE=FY","FILING_STATUS=MR","Sort=A","Dates=H","DateFormat=P","Fill=—","Direction=H","UseDPDF=Y")</f>
        <v>40.462699999999998</v>
      </c>
    </row>
    <row r="13" spans="1:12">
      <c r="A13" s="9" t="s">
        <v>35</v>
      </c>
      <c r="B13" s="9" t="s">
        <v>36</v>
      </c>
      <c r="C13" s="12">
        <f>_xll.BDH("ALB US Equity","LT_DEBT_TO_TOT_CAP","FY 2013","FY 2013","Currency=USD","Period=FY","BEST_FPERIOD_OVERRIDE=FY","FILING_STATUS=MR","Sort=A","Dates=H","DateFormat=P","Fill=—","Direction=H","UseDPDF=Y")</f>
        <v>37.365099999999998</v>
      </c>
      <c r="D13" s="12">
        <f>_xll.BDH("ALB US Equity","LT_DEBT_TO_TOT_CAP","FY 2014","FY 2014","Currency=USD","Period=FY","BEST_FPERIOD_OVERRIDE=FY","FILING_STATUS=MR","Sort=A","Dates=H","DateFormat=P","Fill=—","Direction=H","UseDPDF=Y")</f>
        <v>50.263500000000001</v>
      </c>
      <c r="E13" s="12">
        <f>_xll.BDH("ALB US Equity","LT_DEBT_TO_TOT_CAP","FY 2015","FY 2015","Currency=USD","Period=FY","BEST_FPERIOD_OVERRIDE=FY","FILING_STATUS=MR","Sort=A","Dates=H","DateFormat=P","Fill=—","Direction=H","UseDPDF=Y")</f>
        <v>42.695799999999998</v>
      </c>
      <c r="F13" s="12">
        <f>_xll.BDH("ALB US Equity","LT_DEBT_TO_TOT_CAP","FY 2016","FY 2016","Currency=USD","Period=FY","BEST_FPERIOD_OVERRIDE=FY","FILING_STATUS=MR","Sort=A","Dates=H","DateFormat=P","Fill=—","Direction=H","UseDPDF=Y")</f>
        <v>32.933399999999999</v>
      </c>
      <c r="G13" s="12">
        <f>_xll.BDH("ALB US Equity","LT_DEBT_TO_TOT_CAP","FY 2017","FY 2017","Currency=USD","Period=FY","BEST_FPERIOD_OVERRIDE=FY","FILING_STATUS=MR","Sort=A","Dates=H","DateFormat=P","Fill=—","Direction=H","UseDPDF=Y")</f>
        <v>23.830100000000002</v>
      </c>
      <c r="H13" s="12">
        <f>_xll.BDH("ALB US Equity","LT_DEBT_TO_TOT_CAP","FY 2018","FY 2018","Currency=USD","Period=FY","BEST_FPERIOD_OVERRIDE=FY","FILING_STATUS=MR","Sort=A","Dates=H","DateFormat=P","Fill=—","Direction=H","UseDPDF=Y")</f>
        <v>24.432099999999998</v>
      </c>
      <c r="I13" s="12">
        <f>_xll.BDH("ALB US Equity","LT_DEBT_TO_TOT_CAP","FY 2019","FY 2019","Currency=USD","Period=FY","BEST_FPERIOD_OVERRIDE=FY","FILING_STATUS=MR","Sort=A","Dates=H","DateFormat=P","Fill=—","Direction=H","UseDPDF=Y")</f>
        <v>38.004800000000003</v>
      </c>
      <c r="J13" s="12">
        <f>_xll.BDH("ALB US Equity","LT_DEBT_TO_TOT_CAP","FY 2020","FY 2020","Currency=USD","Period=FY","BEST_FPERIOD_OVERRIDE=FY","FILING_STATUS=MR","Sort=A","Dates=H","DateFormat=P","Fill=—","Direction=H","UseDPDF=Y")</f>
        <v>33.543700000000001</v>
      </c>
      <c r="K13" s="12">
        <f>_xll.BDH("ALB US Equity","LT_DEBT_TO_TOT_CAP","FY 2021","FY 2021","Currency=USD","Period=FY","BEST_FPERIOD_OVERRIDE=FY","FILING_STATUS=MR","Sort=A","Dates=H","DateFormat=P","Fill=—","Direction=H","UseDPDF=Y")</f>
        <v>23.4465</v>
      </c>
      <c r="L13" s="12">
        <f>_xll.BDH("ALB US Equity","LT_DEBT_TO_TOT_CAP","FY 2022","FY 2022","Currency=USD","Period=FY","BEST_FPERIOD_OVERRIDE=FY","FILING_STATUS=MR","Sort=A","Dates=H","DateFormat=P","Fill=—","Direction=H","UseDPDF=Y")</f>
        <v>27.711200000000002</v>
      </c>
    </row>
    <row r="14" spans="1:12">
      <c r="A14" s="9" t="s">
        <v>37</v>
      </c>
      <c r="B14" s="9" t="s">
        <v>38</v>
      </c>
      <c r="C14" s="12">
        <f>_xll.BDH("ALB US Equity","LT_DEBT_TO_TOT_ASSET","FY 2013","FY 2013","Currency=USD","Period=FY","BEST_FPERIOD_OVERRIDE=FY","FILING_STATUS=MR","Sort=A","Dates=H","DateFormat=P","Fill=—","Direction=H","UseDPDF=Y")</f>
        <v>29.410599999999999</v>
      </c>
      <c r="D14" s="12">
        <f>_xll.BDH("ALB US Equity","LT_DEBT_TO_TOT_ASSET","FY 2014","FY 2014","Currency=USD","Period=FY","BEST_FPERIOD_OVERRIDE=FY","FILING_STATUS=MR","Sort=A","Dates=H","DateFormat=P","Fill=—","Direction=H","UseDPDF=Y")</f>
        <v>42.561599999999999</v>
      </c>
      <c r="E14" s="12">
        <f>_xll.BDH("ALB US Equity","LT_DEBT_TO_TOT_ASSET","FY 2015","FY 2015","Currency=USD","Period=FY","BEST_FPERIOD_OVERRIDE=FY","FILING_STATUS=MR","Sort=A","Dates=H","DateFormat=P","Fill=—","Direction=H","UseDPDF=Y")</f>
        <v>32.734699999999997</v>
      </c>
      <c r="F14" s="12">
        <f>_xll.BDH("ALB US Equity","LT_DEBT_TO_TOT_ASSET","FY 2016","FY 2016","Currency=USD","Period=FY","BEST_FPERIOD_OVERRIDE=FY","FILING_STATUS=MR","Sort=A","Dates=H","DateFormat=P","Fill=—","Direction=H","UseDPDF=Y")</f>
        <v>25.995100000000001</v>
      </c>
      <c r="G14" s="12">
        <f>_xll.BDH("ALB US Equity","LT_DEBT_TO_TOT_ASSET","FY 2017","FY 2017","Currency=USD","Period=FY","BEST_FPERIOD_OVERRIDE=FY","FILING_STATUS=MR","Sort=A","Dates=H","DateFormat=P","Fill=—","Direction=H","UseDPDF=Y")</f>
        <v>18.196400000000001</v>
      </c>
      <c r="H14" s="12">
        <f>_xll.BDH("ALB US Equity","LT_DEBT_TO_TOT_ASSET","FY 2018","FY 2018","Currency=USD","Period=FY","BEST_FPERIOD_OVERRIDE=FY","FILING_STATUS=MR","Sort=A","Dates=H","DateFormat=P","Fill=—","Direction=H","UseDPDF=Y")</f>
        <v>18.438099999999999</v>
      </c>
      <c r="I14" s="12">
        <f>_xll.BDH("ALB US Equity","LT_DEBT_TO_TOT_ASSET","FY 2019","FY 2019","Currency=USD","Period=FY","BEST_FPERIOD_OVERRIDE=FY","FILING_STATUS=MR","Sort=A","Dates=H","DateFormat=P","Fill=—","Direction=H","UseDPDF=Y")</f>
        <v>30.196200000000001</v>
      </c>
      <c r="J14" s="12">
        <f>_xll.BDH("ALB US Equity","LT_DEBT_TO_TOT_ASSET","FY 2020","FY 2020","Currency=USD","Period=FY","BEST_FPERIOD_OVERRIDE=FY","FILING_STATUS=MR","Sort=A","Dates=H","DateFormat=P","Fill=—","Direction=H","UseDPDF=Y")</f>
        <v>27.597000000000001</v>
      </c>
      <c r="K14" s="12">
        <f>_xll.BDH("ALB US Equity","LT_DEBT_TO_TOT_ASSET","FY 2021","FY 2021","Currency=USD","Period=FY","BEST_FPERIOD_OVERRIDE=FY","FILING_STATUS=MR","Sort=A","Dates=H","DateFormat=P","Fill=—","Direction=H","UseDPDF=Y")</f>
        <v>19.421299999999999</v>
      </c>
      <c r="L14" s="12">
        <f>_xll.BDH("ALB US Equity","LT_DEBT_TO_TOT_ASSET","FY 2022","FY 2022","Currency=USD","Period=FY","BEST_FPERIOD_OVERRIDE=FY","FILING_STATUS=MR","Sort=A","Dates=H","DateFormat=P","Fill=—","Direction=H","UseDPDF=Y")</f>
        <v>21.442299999999999</v>
      </c>
    </row>
    <row r="15" spans="1:1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>
      <c r="A16" s="9" t="s">
        <v>39</v>
      </c>
      <c r="B16" s="9" t="s">
        <v>40</v>
      </c>
      <c r="C16" s="12">
        <f>_xll.BDH("ALB US Equity","TOT_DEBT_TO_TOT_EQY","FY 2013","FY 2013","Currency=USD","Period=FY","BEST_FPERIOD_OVERRIDE=FY","FILING_STATUS=MR","Sort=A","Dates=H","DateFormat=P","Fill=—","Direction=H","UseDPDF=Y")</f>
        <v>61.904899999999998</v>
      </c>
      <c r="D16" s="12">
        <f>_xll.BDH("ALB US Equity","TOT_DEBT_TO_TOT_EQY","FY 2014","FY 2014","Currency=USD","Period=FY","BEST_FPERIOD_OVERRIDE=FY","FILING_STATUS=MR","Sort=A","Dates=H","DateFormat=P","Fill=—","Direction=H","UseDPDF=Y")</f>
        <v>197.10210000000001</v>
      </c>
      <c r="E16" s="12">
        <f>_xll.BDH("ALB US Equity","TOT_DEBT_TO_TOT_EQY","FY 2015","FY 2015","Currency=USD","Period=FY","BEST_FPERIOD_OVERRIDE=FY","FILING_STATUS=MR","Sort=A","Dates=H","DateFormat=P","Fill=—","Direction=H","UseDPDF=Y")</f>
        <v>116.3492</v>
      </c>
      <c r="F16" s="12">
        <f>_xll.BDH("ALB US Equity","TOT_DEBT_TO_TOT_EQY","FY 2016","FY 2016","Currency=USD","Period=FY","BEST_FPERIOD_OVERRIDE=FY","FILING_STATUS=MR","Sort=A","Dates=H","DateFormat=P","Fill=—","Direction=H","UseDPDF=Y")</f>
        <v>63.390799999999999</v>
      </c>
      <c r="G16" s="12">
        <f>_xll.BDH("ALB US Equity","TOT_DEBT_TO_TOT_EQY","FY 2017","FY 2017","Currency=USD","Period=FY","BEST_FPERIOD_OVERRIDE=FY","FILING_STATUS=MR","Sort=A","Dates=H","DateFormat=P","Fill=—","Direction=H","UseDPDF=Y")</f>
        <v>55.025500000000001</v>
      </c>
      <c r="H16" s="12">
        <f>_xll.BDH("ALB US Equity","TOT_DEBT_TO_TOT_EQY","FY 2018","FY 2018","Currency=USD","Period=FY","BEST_FPERIOD_OVERRIDE=FY","FILING_STATUS=MR","Sort=A","Dates=H","DateFormat=P","Fill=—","Direction=H","UseDPDF=Y")</f>
        <v>52.2074</v>
      </c>
      <c r="I16" s="12">
        <f>_xll.BDH("ALB US Equity","TOT_DEBT_TO_TOT_EQY","FY 2019","FY 2019","Currency=USD","Period=FY","BEST_FPERIOD_OVERRIDE=FY","FILING_STATUS=MR","Sort=A","Dates=H","DateFormat=P","Fill=—","Direction=H","UseDPDF=Y")</f>
        <v>91.392899999999997</v>
      </c>
      <c r="J16" s="12">
        <f>_xll.BDH("ALB US Equity","TOT_DEBT_TO_TOT_EQY","FY 2020","FY 2020","Currency=USD","Period=FY","BEST_FPERIOD_OVERRIDE=FY","FILING_STATUS=MR","Sort=A","Dates=H","DateFormat=P","Fill=—","Direction=H","UseDPDF=Y")</f>
        <v>92.413499999999999</v>
      </c>
      <c r="K16" s="12">
        <f>_xll.BDH("ALB US Equity","TOT_DEBT_TO_TOT_EQY","FY 2021","FY 2021","Currency=USD","Period=FY","BEST_FPERIOD_OVERRIDE=FY","FILING_STATUS=MR","Sort=A","Dates=H","DateFormat=P","Fill=—","Direction=H","UseDPDF=Y")</f>
        <v>56.575099999999999</v>
      </c>
      <c r="L16" s="12">
        <f>_xll.BDH("ALB US Equity","TOT_DEBT_TO_TOT_EQY","FY 2022","FY 2022","Currency=USD","Period=FY","BEST_FPERIOD_OVERRIDE=FY","FILING_STATUS=MR","Sort=A","Dates=H","DateFormat=P","Fill=—","Direction=H","UseDPDF=Y")</f>
        <v>46.015900000000002</v>
      </c>
    </row>
    <row r="17" spans="1:12">
      <c r="A17" s="9" t="s">
        <v>41</v>
      </c>
      <c r="B17" s="9" t="s">
        <v>42</v>
      </c>
      <c r="C17" s="12">
        <f>_xll.BDH("ALB US Equity","TOT_DEBT_TO_TOT_CAP","FY 2013","FY 2013","Currency=USD","Period=FY","BEST_FPERIOD_OVERRIDE=FY","FILING_STATUS=MR","Sort=A","Dates=H","DateFormat=P","Fill=—","Direction=H","UseDPDF=Y")</f>
        <v>38.235399999999998</v>
      </c>
      <c r="D17" s="12">
        <f>_xll.BDH("ALB US Equity","TOT_DEBT_TO_TOT_CAP","FY 2014","FY 2014","Currency=USD","Period=FY","BEST_FPERIOD_OVERRIDE=FY","FILING_STATUS=MR","Sort=A","Dates=H","DateFormat=P","Fill=—","Direction=H","UseDPDF=Y")</f>
        <v>66.341499999999996</v>
      </c>
      <c r="E17" s="12">
        <f>_xll.BDH("ALB US Equity","TOT_DEBT_TO_TOT_CAP","FY 2015","FY 2015","Currency=USD","Period=FY","BEST_FPERIOD_OVERRIDE=FY","FILING_STATUS=MR","Sort=A","Dates=H","DateFormat=P","Fill=—","Direction=H","UseDPDF=Y")</f>
        <v>53.778399999999998</v>
      </c>
      <c r="F17" s="12">
        <f>_xll.BDH("ALB US Equity","TOT_DEBT_TO_TOT_CAP","FY 2016","FY 2016","Currency=USD","Period=FY","BEST_FPERIOD_OVERRIDE=FY","FILING_STATUS=MR","Sort=A","Dates=H","DateFormat=P","Fill=—","Direction=H","UseDPDF=Y")</f>
        <v>38.796999999999997</v>
      </c>
      <c r="G17" s="12">
        <f>_xll.BDH("ALB US Equity","TOT_DEBT_TO_TOT_CAP","FY 2017","FY 2017","Currency=USD","Period=FY","BEST_FPERIOD_OVERRIDE=FY","FILING_STATUS=MR","Sort=A","Dates=H","DateFormat=P","Fill=—","Direction=H","UseDPDF=Y")</f>
        <v>35.494500000000002</v>
      </c>
      <c r="H17" s="12">
        <f>_xll.BDH("ALB US Equity","TOT_DEBT_TO_TOT_CAP","FY 2018","FY 2018","Currency=USD","Period=FY","BEST_FPERIOD_OVERRIDE=FY","FILING_STATUS=MR","Sort=A","Dates=H","DateFormat=P","Fill=—","Direction=H","UseDPDF=Y")</f>
        <v>34.300199999999997</v>
      </c>
      <c r="I17" s="12">
        <f>_xll.BDH("ALB US Equity","TOT_DEBT_TO_TOT_CAP","FY 2019","FY 2019","Currency=USD","Period=FY","BEST_FPERIOD_OVERRIDE=FY","FILING_STATUS=MR","Sort=A","Dates=H","DateFormat=P","Fill=—","Direction=H","UseDPDF=Y")</f>
        <v>47.751399999999997</v>
      </c>
      <c r="J17" s="12">
        <f>_xll.BDH("ALB US Equity","TOT_DEBT_TO_TOT_CAP","FY 2020","FY 2020","Currency=USD","Period=FY","BEST_FPERIOD_OVERRIDE=FY","FILING_STATUS=MR","Sort=A","Dates=H","DateFormat=P","Fill=—","Direction=H","UseDPDF=Y")</f>
        <v>48.028599999999997</v>
      </c>
      <c r="K17" s="12">
        <f>_xll.BDH("ALB US Equity","TOT_DEBT_TO_TOT_CAP","FY 2021","FY 2021","Currency=USD","Period=FY","BEST_FPERIOD_OVERRIDE=FY","FILING_STATUS=MR","Sort=A","Dates=H","DateFormat=P","Fill=—","Direction=H","UseDPDF=Y")</f>
        <v>36.132899999999999</v>
      </c>
      <c r="L17" s="12">
        <f>_xll.BDH("ALB US Equity","TOT_DEBT_TO_TOT_CAP","FY 2022","FY 2022","Currency=USD","Period=FY","BEST_FPERIOD_OVERRIDE=FY","FILING_STATUS=MR","Sort=A","Dates=H","DateFormat=P","Fill=—","Direction=H","UseDPDF=Y")</f>
        <v>31.514299999999999</v>
      </c>
    </row>
    <row r="18" spans="1:12">
      <c r="A18" s="9" t="s">
        <v>43</v>
      </c>
      <c r="B18" s="9" t="s">
        <v>44</v>
      </c>
      <c r="C18" s="12">
        <f>_xll.BDH("ALB US Equity","TOT_DEBT_TO_TOT_ASSET","FY 2013","FY 2013","Currency=USD","Period=FY","BEST_FPERIOD_OVERRIDE=FY","FILING_STATUS=MR","Sort=A","Dates=H","DateFormat=P","Fill=—","Direction=H","UseDPDF=Y")</f>
        <v>30.095500000000001</v>
      </c>
      <c r="D18" s="12">
        <f>_xll.BDH("ALB US Equity","TOT_DEBT_TO_TOT_ASSET","FY 2014","FY 2014","Currency=USD","Period=FY","BEST_FPERIOD_OVERRIDE=FY","FILING_STATUS=MR","Sort=A","Dates=H","DateFormat=P","Fill=—","Direction=H","UseDPDF=Y")</f>
        <v>56.176000000000002</v>
      </c>
      <c r="E18" s="12">
        <f>_xll.BDH("ALB US Equity","TOT_DEBT_TO_TOT_ASSET","FY 2015","FY 2015","Currency=USD","Period=FY","BEST_FPERIOD_OVERRIDE=FY","FILING_STATUS=MR","Sort=A","Dates=H","DateFormat=P","Fill=—","Direction=H","UseDPDF=Y")</f>
        <v>41.231699999999996</v>
      </c>
      <c r="F18" s="12">
        <f>_xll.BDH("ALB US Equity","TOT_DEBT_TO_TOT_ASSET","FY 2016","FY 2016","Currency=USD","Period=FY","BEST_FPERIOD_OVERRIDE=FY","FILING_STATUS=MR","Sort=A","Dates=H","DateFormat=P","Fill=—","Direction=H","UseDPDF=Y")</f>
        <v>30.6235</v>
      </c>
      <c r="G18" s="12">
        <f>_xll.BDH("ALB US Equity","TOT_DEBT_TO_TOT_ASSET","FY 2017","FY 2017","Currency=USD","Period=FY","BEST_FPERIOD_OVERRIDE=FY","FILING_STATUS=MR","Sort=A","Dates=H","DateFormat=P","Fill=—","Direction=H","UseDPDF=Y")</f>
        <v>27.103200000000001</v>
      </c>
      <c r="H18" s="12">
        <f>_xll.BDH("ALB US Equity","TOT_DEBT_TO_TOT_ASSET","FY 2018","FY 2018","Currency=USD","Period=FY","BEST_FPERIOD_OVERRIDE=FY","FILING_STATUS=MR","Sort=A","Dates=H","DateFormat=P","Fill=—","Direction=H","UseDPDF=Y")</f>
        <v>25.885200000000001</v>
      </c>
      <c r="I18" s="12">
        <f>_xll.BDH("ALB US Equity","TOT_DEBT_TO_TOT_ASSET","FY 2019","FY 2019","Currency=USD","Period=FY","BEST_FPERIOD_OVERRIDE=FY","FILING_STATUS=MR","Sort=A","Dates=H","DateFormat=P","Fill=—","Direction=H","UseDPDF=Y")</f>
        <v>37.940300000000001</v>
      </c>
      <c r="J18" s="12">
        <f>_xll.BDH("ALB US Equity","TOT_DEBT_TO_TOT_ASSET","FY 2020","FY 2020","Currency=USD","Period=FY","BEST_FPERIOD_OVERRIDE=FY","FILING_STATUS=MR","Sort=A","Dates=H","DateFormat=P","Fill=—","Direction=H","UseDPDF=Y")</f>
        <v>39.514000000000003</v>
      </c>
      <c r="K18" s="12">
        <f>_xll.BDH("ALB US Equity","TOT_DEBT_TO_TOT_ASSET","FY 2021","FY 2021","Currency=USD","Period=FY","BEST_FPERIOD_OVERRIDE=FY","FILING_STATUS=MR","Sort=A","Dates=H","DateFormat=P","Fill=—","Direction=H","UseDPDF=Y")</f>
        <v>29.9298</v>
      </c>
      <c r="L18" s="12">
        <f>_xll.BDH("ALB US Equity","TOT_DEBT_TO_TOT_ASSET","FY 2022","FY 2022","Currency=USD","Period=FY","BEST_FPERIOD_OVERRIDE=FY","FILING_STATUS=MR","Sort=A","Dates=H","DateFormat=P","Fill=—","Direction=H","UseDPDF=Y")</f>
        <v>24.385100000000001</v>
      </c>
    </row>
    <row r="19" spans="1:1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>
      <c r="A20" s="9" t="s">
        <v>45</v>
      </c>
      <c r="B20" s="9" t="s">
        <v>46</v>
      </c>
      <c r="C20" s="12">
        <f>_xll.BDH("ALB US Equity","CASH_FLOW_TO_TOT_LIAB","FY 2013","FY 2013","Currency=USD","Period=FY","BEST_FPERIOD_OVERRIDE=FY","FILING_STATUS=MR","Sort=A","Dates=H","DateFormat=P","Fill=—","Direction=H","UseDPDF=Y")</f>
        <v>23.499099999999999</v>
      </c>
      <c r="D20" s="12">
        <f>_xll.BDH("ALB US Equity","CASH_FLOW_TO_TOT_LIAB","FY 2014","FY 2014","Currency=USD","Period=FY","BEST_FPERIOD_OVERRIDE=FY","FILING_STATUS=MR","Sort=A","Dates=H","DateFormat=P","Fill=—","Direction=H","UseDPDF=Y")</f>
        <v>13.190899999999999</v>
      </c>
      <c r="E20" s="12">
        <f>_xll.BDH("ALB US Equity","CASH_FLOW_TO_TOT_LIAB","FY 2015","FY 2015","Currency=USD","Period=FY","BEST_FPERIOD_OVERRIDE=FY","FILING_STATUS=MR","Sort=A","Dates=H","DateFormat=P","Fill=—","Direction=H","UseDPDF=Y")</f>
        <v>5.8227000000000002</v>
      </c>
      <c r="F20" s="12">
        <f>_xll.BDH("ALB US Equity","CASH_FLOW_TO_TOT_LIAB","FY 2016","FY 2016","Currency=USD","Period=FY","BEST_FPERIOD_OVERRIDE=FY","FILING_STATUS=MR","Sort=A","Dates=H","DateFormat=P","Fill=—","Direction=H","UseDPDF=Y")</f>
        <v>17.435300000000002</v>
      </c>
      <c r="G20" s="12">
        <f>_xll.BDH("ALB US Equity","CASH_FLOW_TO_TOT_LIAB","FY 2017","FY 2017","Currency=USD","Period=FY","BEST_FPERIOD_OVERRIDE=FY","FILING_STATUS=MR","Sort=A","Dates=H","DateFormat=P","Fill=—","Direction=H","UseDPDF=Y")</f>
        <v>7.7287999999999997</v>
      </c>
      <c r="H20" s="12">
        <f>_xll.BDH("ALB US Equity","CASH_FLOW_TO_TOT_LIAB","FY 2018","FY 2018","Currency=USD","Period=FY","BEST_FPERIOD_OVERRIDE=FY","FILING_STATUS=MR","Sort=A","Dates=H","DateFormat=P","Fill=—","Direction=H","UseDPDF=Y")</f>
        <v>14.2879</v>
      </c>
      <c r="I20" s="12">
        <f>_xll.BDH("ALB US Equity","CASH_FLOW_TO_TOT_LIAB","FY 2019","FY 2019","Currency=USD","Period=FY","BEST_FPERIOD_OVERRIDE=FY","FILING_STATUS=MR","Sort=A","Dates=H","DateFormat=P","Fill=—","Direction=H","UseDPDF=Y")</f>
        <v>12.4734</v>
      </c>
      <c r="J20" s="12">
        <f>_xll.BDH("ALB US Equity","CASH_FLOW_TO_TOT_LIAB","FY 2020","FY 2020","Currency=USD","Period=FY","BEST_FPERIOD_OVERRIDE=FY","FILING_STATUS=MR","Sort=A","Dates=H","DateFormat=P","Fill=—","Direction=H","UseDPDF=Y")</f>
        <v>13.3545</v>
      </c>
      <c r="K20" s="12">
        <f>_xll.BDH("ALB US Equity","CASH_FLOW_TO_TOT_LIAB","FY 2021","FY 2021","Currency=USD","Period=FY","BEST_FPERIOD_OVERRIDE=FY","FILING_STATUS=MR","Sort=A","Dates=H","DateFormat=P","Fill=—","Direction=H","UseDPDF=Y")</f>
        <v>6.6607000000000003</v>
      </c>
      <c r="L20" s="12">
        <f>_xll.BDH("ALB US Equity","CASH_FLOW_TO_TOT_LIAB","FY 2022","FY 2022","Currency=USD","Period=FY","BEST_FPERIOD_OVERRIDE=FY","FILING_STATUS=MR","Sort=A","Dates=H","DateFormat=P","Fill=—","Direction=H","UseDPDF=Y")</f>
        <v>26.258400000000002</v>
      </c>
    </row>
    <row r="21" spans="1:12">
      <c r="A21" s="9" t="s">
        <v>47</v>
      </c>
      <c r="B21" s="9" t="s">
        <v>48</v>
      </c>
      <c r="C21" s="12">
        <f>_xll.BDH("ALB US Equity","CAP_EXPEND_RATIO","FY 2013","FY 2013","Currency=USD","Period=FY","BEST_FPERIOD_OVERRIDE=FY","FILING_STATUS=MR","Sort=A","Dates=H","DateFormat=P","Fill=—","Direction=H","UseDPDF=Y")</f>
        <v>2.7864</v>
      </c>
      <c r="D21" s="12">
        <f>_xll.BDH("ALB US Equity","CAP_EXPEND_RATIO","FY 2014","FY 2014","Currency=USD","Period=FY","BEST_FPERIOD_OVERRIDE=FY","FILING_STATUS=MR","Sort=A","Dates=H","DateFormat=P","Fill=—","Direction=H","UseDPDF=Y")</f>
        <v>4.4549000000000003</v>
      </c>
      <c r="E21" s="12">
        <f>_xll.BDH("ALB US Equity","CAP_EXPEND_RATIO","FY 2015","FY 2015","Currency=USD","Period=FY","BEST_FPERIOD_OVERRIDE=FY","FILING_STATUS=MR","Sort=A","Dates=H","DateFormat=P","Fill=—","Direction=H","UseDPDF=Y")</f>
        <v>1.5849</v>
      </c>
      <c r="F21" s="12">
        <f>_xll.BDH("ALB US Equity","CAP_EXPEND_RATIO","FY 2016","FY 2016","Currency=USD","Period=FY","BEST_FPERIOD_OVERRIDE=FY","FILING_STATUS=MR","Sort=A","Dates=H","DateFormat=P","Fill=—","Direction=H","UseDPDF=Y")</f>
        <v>3.7402000000000002</v>
      </c>
      <c r="G21" s="12">
        <f>_xll.BDH("ALB US Equity","CAP_EXPEND_RATIO","FY 2017","FY 2017","Currency=USD","Period=FY","BEST_FPERIOD_OVERRIDE=FY","FILING_STATUS=MR","Sort=A","Dates=H","DateFormat=P","Fill=—","Direction=H","UseDPDF=Y")</f>
        <v>0.95679999999999998</v>
      </c>
      <c r="H21" s="12">
        <f>_xll.BDH("ALB US Equity","CAP_EXPEND_RATIO","FY 2018","FY 2018","Currency=USD","Period=FY","BEST_FPERIOD_OVERRIDE=FY","FILING_STATUS=MR","Sort=A","Dates=H","DateFormat=P","Fill=—","Direction=H","UseDPDF=Y")</f>
        <v>0.7802</v>
      </c>
      <c r="I21" s="12">
        <f>_xll.BDH("ALB US Equity","CAP_EXPEND_RATIO","FY 2019","FY 2019","Currency=USD","Period=FY","BEST_FPERIOD_OVERRIDE=FY","FILING_STATUS=MR","Sort=A","Dates=H","DateFormat=P","Fill=—","Direction=H","UseDPDF=Y")</f>
        <v>0.84450000000000003</v>
      </c>
      <c r="J21" s="12">
        <f>_xll.BDH("ALB US Equity","CAP_EXPEND_RATIO","FY 2020","FY 2020","Currency=USD","Period=FY","BEST_FPERIOD_OVERRIDE=FY","FILING_STATUS=MR","Sort=A","Dates=H","DateFormat=P","Fill=—","Direction=H","UseDPDF=Y")</f>
        <v>0.93940000000000001</v>
      </c>
      <c r="K21" s="12">
        <f>_xll.BDH("ALB US Equity","CAP_EXPEND_RATIO","FY 2021","FY 2021","Currency=USD","Period=FY","BEST_FPERIOD_OVERRIDE=FY","FILING_STATUS=MR","Sort=A","Dates=H","DateFormat=P","Fill=—","Direction=H","UseDPDF=Y")</f>
        <v>0.36099999999999999</v>
      </c>
      <c r="L21" s="12">
        <f>_xll.BDH("ALB US Equity","CAP_EXPEND_RATIO","FY 2022","FY 2022","Currency=USD","Period=FY","BEST_FPERIOD_OVERRIDE=FY","FILING_STATUS=MR","Sort=A","Dates=H","DateFormat=P","Fill=—","Direction=H","UseDPDF=Y")</f>
        <v>1.5122</v>
      </c>
    </row>
    <row r="22" spans="1:12">
      <c r="A22" s="9" t="s">
        <v>49</v>
      </c>
      <c r="B22" s="9" t="s">
        <v>50</v>
      </c>
      <c r="C22" s="12">
        <f>_xll.BDH("ALB US Equity","ALTMAN_Z_SCORE","FY 2013","FY 2013","Currency=USD","Period=FY","BEST_FPERIOD_OVERRIDE=FY","FILING_STATUS=MR","Sort=A","Dates=H","DateFormat=P","Fill=—","Direction=H","UseDPDF=Y")</f>
        <v>4.0632999999999999</v>
      </c>
      <c r="D22" s="12">
        <f>_xll.BDH("ALB US Equity","ALTMAN_Z_SCORE","FY 2014","FY 2014","Currency=USD","Period=FY","BEST_FPERIOD_OVERRIDE=FY","FILING_STATUS=MR","Sort=A","Dates=H","DateFormat=P","Fill=—","Direction=H","UseDPDF=Y")</f>
        <v>2.37</v>
      </c>
      <c r="E22" s="12">
        <f>_xll.BDH("ALB US Equity","ALTMAN_Z_SCORE","FY 2015","FY 2015","Currency=USD","Period=FY","BEST_FPERIOD_OVERRIDE=FY","FILING_STATUS=MR","Sort=A","Dates=H","DateFormat=P","Fill=—","Direction=H","UseDPDF=Y")</f>
        <v>1.4448000000000001</v>
      </c>
      <c r="F22" s="12">
        <f>_xll.BDH("ALB US Equity","ALTMAN_Z_SCORE","FY 2016","FY 2016","Currency=USD","Period=FY","BEST_FPERIOD_OVERRIDE=FY","FILING_STATUS=MR","Sort=A","Dates=H","DateFormat=P","Fill=—","Direction=H","UseDPDF=Y")</f>
        <v>2.9956999999999998</v>
      </c>
      <c r="G22" s="12">
        <f>_xll.BDH("ALB US Equity","ALTMAN_Z_SCORE","FY 2017","FY 2017","Currency=USD","Period=FY","BEST_FPERIOD_OVERRIDE=FY","FILING_STATUS=MR","Sort=A","Dates=H","DateFormat=P","Fill=—","Direction=H","UseDPDF=Y")</f>
        <v>3.7982</v>
      </c>
      <c r="H22" s="12">
        <f>_xll.BDH("ALB US Equity","ALTMAN_Z_SCORE","FY 2018","FY 2018","Currency=USD","Period=FY","BEST_FPERIOD_OVERRIDE=FY","FILING_STATUS=MR","Sort=A","Dates=H","DateFormat=P","Fill=—","Direction=H","UseDPDF=Y")</f>
        <v>3.2309999999999999</v>
      </c>
      <c r="I22" s="12">
        <f>_xll.BDH("ALB US Equity","ALTMAN_Z_SCORE","FY 2019","FY 2019","Currency=USD","Period=FY","BEST_FPERIOD_OVERRIDE=FY","FILING_STATUS=MR","Sort=A","Dates=H","DateFormat=P","Fill=—","Direction=H","UseDPDF=Y")</f>
        <v>2.1791</v>
      </c>
      <c r="J22" s="12">
        <f>_xll.BDH("ALB US Equity","ALTMAN_Z_SCORE","FY 2020","FY 2020","Currency=USD","Period=FY","BEST_FPERIOD_OVERRIDE=FY","FILING_STATUS=MR","Sort=A","Dates=H","DateFormat=P","Fill=—","Direction=H","UseDPDF=Y")</f>
        <v>2.7250000000000001</v>
      </c>
      <c r="K22" s="12">
        <f>_xll.BDH("ALB US Equity","ALTMAN_Z_SCORE","FY 2021","FY 2021","Currency=USD","Period=FY","BEST_FPERIOD_OVERRIDE=FY","FILING_STATUS=MR","Sort=A","Dates=H","DateFormat=P","Fill=—","Direction=H","UseDPDF=Y")</f>
        <v>4.3259999999999996</v>
      </c>
      <c r="L22" s="12">
        <f>_xll.BDH("ALB US Equity","ALTMAN_Z_SCORE","FY 2022","FY 2022","Currency=USD","Period=FY","BEST_FPERIOD_OVERRIDE=FY","FILING_STATUS=MR","Sort=A","Dates=H","DateFormat=P","Fill=—","Direction=H","UseDPDF=Y")</f>
        <v>4.0350000000000001</v>
      </c>
    </row>
    <row r="23" spans="1:1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>
      <c r="A24" s="9" t="s">
        <v>51</v>
      </c>
      <c r="B24" s="9" t="s">
        <v>52</v>
      </c>
      <c r="C24" s="11">
        <f>_xll.BDH("ALB US Equity","BS_TOTAL_LINE_OF_CREDIT","FY 2013","FY 2013","Currency=USD","Period=FY","BEST_FPERIOD_OVERRIDE=FY","FILING_STATUS=MR","SCALING_FORMAT=MLN","Sort=A","Dates=H","DateFormat=P","Fill=—","Direction=H","UseDPDF=Y")</f>
        <v>750</v>
      </c>
      <c r="D24" s="11">
        <f>_xll.BDH("ALB US Equity","BS_TOTAL_LINE_OF_CREDIT","FY 2014","FY 2014","Currency=USD","Period=FY","BEST_FPERIOD_OVERRIDE=FY","FILING_STATUS=MR","SCALING_FORMAT=MLN","Sort=A","Dates=H","DateFormat=P","Fill=—","Direction=H","UseDPDF=Y")</f>
        <v>750</v>
      </c>
      <c r="E24" s="11">
        <f>_xll.BDH("ALB US Equity","BS_TOTAL_LINE_OF_CREDIT","FY 2015","FY 2015","Currency=USD","Period=FY","BEST_FPERIOD_OVERRIDE=FY","FILING_STATUS=MR","SCALING_FORMAT=MLN","Sort=A","Dates=H","DateFormat=P","Fill=—","Direction=H","UseDPDF=Y")</f>
        <v>1000</v>
      </c>
      <c r="F24" s="11">
        <f>_xll.BDH("ALB US Equity","BS_TOTAL_LINE_OF_CREDIT","FY 2016","FY 2016","Currency=USD","Period=FY","BEST_FPERIOD_OVERRIDE=FY","FILING_STATUS=MR","SCALING_FORMAT=MLN","Sort=A","Dates=H","DateFormat=P","Fill=—","Direction=H","UseDPDF=Y")</f>
        <v>1000</v>
      </c>
      <c r="G24" s="11">
        <f>_xll.BDH("ALB US Equity","BS_TOTAL_LINE_OF_CREDIT","FY 2017","FY 2017","Currency=USD","Period=FY","BEST_FPERIOD_OVERRIDE=FY","FILING_STATUS=MR","SCALING_FORMAT=MLN","Sort=A","Dates=H","DateFormat=P","Fill=—","Direction=H","UseDPDF=Y")</f>
        <v>1000</v>
      </c>
      <c r="H24" s="11">
        <f>_xll.BDH("ALB US Equity","BS_TOTAL_LINE_OF_CREDIT","FY 2018","FY 2018","Currency=USD","Period=FY","BEST_FPERIOD_OVERRIDE=FY","FILING_STATUS=MR","SCALING_FORMAT=MLN","Sort=A","Dates=H","DateFormat=P","Fill=—","Direction=H","UseDPDF=Y")</f>
        <v>1000</v>
      </c>
      <c r="I24" s="11">
        <f>_xll.BDH("ALB US Equity","BS_TOTAL_LINE_OF_CREDIT","FY 2019","FY 2019","Currency=USD","Period=FY","BEST_FPERIOD_OVERRIDE=FY","FILING_STATUS=MR","SCALING_FORMAT=MLN","Sort=A","Dates=H","DateFormat=P","Fill=—","Direction=H","UseDPDF=Y")</f>
        <v>1000</v>
      </c>
      <c r="J24" s="11">
        <f>_xll.BDH("ALB US Equity","BS_TOTAL_LINE_OF_CREDIT","FY 2020","FY 2020","Currency=USD","Period=FY","BEST_FPERIOD_OVERRIDE=FY","FILING_STATUS=MR","SCALING_FORMAT=MLN","Sort=A","Dates=H","DateFormat=P","Fill=—","Direction=H","UseDPDF=Y")</f>
        <v>1000</v>
      </c>
      <c r="K24" s="11">
        <f>_xll.BDH("ALB US Equity","BS_TOTAL_LINE_OF_CREDIT","FY 2021","FY 2021","Currency=USD","Period=FY","BEST_FPERIOD_OVERRIDE=FY","FILING_STATUS=MR","SCALING_FORMAT=MLN","Sort=A","Dates=H","DateFormat=P","Fill=—","Direction=H","UseDPDF=Y")</f>
        <v>1000</v>
      </c>
      <c r="L24" s="11">
        <f>_xll.BDH("ALB US Equity","BS_TOTAL_LINE_OF_CREDIT","FY 2022","FY 2022","Currency=USD","Period=FY","BEST_FPERIOD_OVERRIDE=FY","FILING_STATUS=MR","SCALING_FORMAT=MLN","Sort=A","Dates=H","DateFormat=P","Fill=—","Direction=H","UseDPDF=Y")</f>
        <v>1500</v>
      </c>
    </row>
    <row r="25" spans="1:12">
      <c r="A25" s="9" t="s">
        <v>53</v>
      </c>
      <c r="B25" s="9" t="s">
        <v>54</v>
      </c>
      <c r="C25" s="11">
        <f>_xll.BDH("ALB US Equity","BS_TOTAL_AVAIL_LINE_OF_CREDIT","FY 2013","FY 2013","Currency=USD","Period=FY","BEST_FPERIOD_OVERRIDE=FY","FILING_STATUS=MR","SCALING_FORMAT=MLN","Sort=A","Dates=H","DateFormat=P","Fill=—","Direction=H","UseDPDF=Y")</f>
        <v>750</v>
      </c>
      <c r="D25" s="11">
        <f>_xll.BDH("ALB US Equity","BS_TOTAL_AVAIL_LINE_OF_CREDIT","FY 2014","FY 2014","Currency=USD","Period=FY","BEST_FPERIOD_OVERRIDE=FY","FILING_STATUS=MR","SCALING_FORMAT=MLN","Sort=A","Dates=H","DateFormat=P","Fill=—","Direction=H","UseDPDF=Y")</f>
        <v>750</v>
      </c>
      <c r="E25" s="11">
        <f>_xll.BDH("ALB US Equity","BS_TOTAL_AVAIL_LINE_OF_CREDIT","FY 2015","FY 2015","Currency=USD","Period=FY","BEST_FPERIOD_OVERRIDE=FY","FILING_STATUS=MR","SCALING_FORMAT=MLN","Sort=A","Dates=H","DateFormat=P","Fill=—","Direction=H","UseDPDF=Y")</f>
        <v>1000</v>
      </c>
      <c r="F25" s="11">
        <f>_xll.BDH("ALB US Equity","BS_TOTAL_AVAIL_LINE_OF_CREDIT","FY 2016","FY 2016","Currency=USD","Period=FY","BEST_FPERIOD_OVERRIDE=FY","FILING_STATUS=MR","SCALING_FORMAT=MLN","Sort=A","Dates=H","DateFormat=P","Fill=—","Direction=H","UseDPDF=Y")</f>
        <v>752.49699999999996</v>
      </c>
      <c r="G25" s="11">
        <f>_xll.BDH("ALB US Equity","BS_TOTAL_AVAIL_LINE_OF_CREDIT","FY 2017","FY 2017","Currency=USD","Period=FY","BEST_FPERIOD_OVERRIDE=FY","FILING_STATUS=MR","SCALING_FORMAT=MLN","Sort=A","Dates=H","DateFormat=P","Fill=—","Direction=H","UseDPDF=Y")</f>
        <v>578.67899999999997</v>
      </c>
      <c r="H25" s="11">
        <f>_xll.BDH("ALB US Equity","BS_TOTAL_AVAIL_LINE_OF_CREDIT","FY 2018","FY 2018","Currency=USD","Period=FY","BEST_FPERIOD_OVERRIDE=FY","FILING_STATUS=MR","SCALING_FORMAT=MLN","Sort=A","Dates=H","DateFormat=P","Fill=—","Direction=H","UseDPDF=Y")</f>
        <v>693.39400000000001</v>
      </c>
      <c r="I25" s="11">
        <f>_xll.BDH("ALB US Equity","BS_TOTAL_AVAIL_LINE_OF_CREDIT","FY 2019","FY 2019","Currency=USD","Period=FY","BEST_FPERIOD_OVERRIDE=FY","FILING_STATUS=MR","SCALING_FORMAT=MLN","Sort=A","Dates=H","DateFormat=P","Fill=—","Direction=H","UseDPDF=Y")</f>
        <v>813.3</v>
      </c>
      <c r="J25" s="11">
        <f>_xll.BDH("ALB US Equity","BS_TOTAL_AVAIL_LINE_OF_CREDIT","FY 2020","FY 2020","Currency=USD","Period=FY","BEST_FPERIOD_OVERRIDE=FY","FILING_STATUS=MR","SCALING_FORMAT=MLN","Sort=A","Dates=H","DateFormat=P","Fill=—","Direction=H","UseDPDF=Y")</f>
        <v>675</v>
      </c>
      <c r="K25" s="11">
        <f>_xll.BDH("ALB US Equity","BS_TOTAL_AVAIL_LINE_OF_CREDIT","FY 2021","FY 2021","Currency=USD","Period=FY","BEST_FPERIOD_OVERRIDE=FY","FILING_STATUS=MR","SCALING_FORMAT=MLN","Sort=A","Dates=H","DateFormat=P","Fill=—","Direction=H","UseDPDF=Y")</f>
        <v>611.5</v>
      </c>
      <c r="L25" s="11">
        <f>_xll.BDH("ALB US Equity","BS_TOTAL_AVAIL_LINE_OF_CREDIT","FY 2022","FY 2022","Currency=USD","Period=FY","BEST_FPERIOD_OVERRIDE=FY","FILING_STATUS=MR","SCALING_FORMAT=MLN","Sort=A","Dates=H","DateFormat=P","Fill=—","Direction=H","UseDPDF=Y")</f>
        <v>1500</v>
      </c>
    </row>
    <row r="26" spans="1:12">
      <c r="A26" s="9" t="s">
        <v>55</v>
      </c>
      <c r="B26" s="9" t="s">
        <v>56</v>
      </c>
      <c r="C26" s="11">
        <f>_xll.BDH("ALB US Equity","LINE_OF_CREDIT_UTILIZED_AMOUNT","FY 2013","FY 2013","Currency=USD","Period=FY","BEST_FPERIOD_OVERRIDE=FY","FILING_STATUS=MR","SCALING_FORMAT=MLN","Sort=A","Dates=H","DateFormat=P","Fill=—","Direction=H","UseDPDF=Y")</f>
        <v>0</v>
      </c>
      <c r="D26" s="11">
        <f>_xll.BDH("ALB US Equity","LINE_OF_CREDIT_UTILIZED_AMOUNT","FY 2014","FY 2014","Currency=USD","Period=FY","BEST_FPERIOD_OVERRIDE=FY","FILING_STATUS=MR","SCALING_FORMAT=MLN","Sort=A","Dates=H","DateFormat=P","Fill=—","Direction=H","UseDPDF=Y")</f>
        <v>0</v>
      </c>
      <c r="E26" s="11">
        <f>_xll.BDH("ALB US Equity","LINE_OF_CREDIT_UTILIZED_AMOUNT","FY 2015","FY 2015","Currency=USD","Period=FY","BEST_FPERIOD_OVERRIDE=FY","FILING_STATUS=MR","SCALING_FORMAT=MLN","Sort=A","Dates=H","DateFormat=P","Fill=—","Direction=H","UseDPDF=Y")</f>
        <v>0</v>
      </c>
      <c r="F26" s="11">
        <f>_xll.BDH("ALB US Equity","LINE_OF_CREDIT_UTILIZED_AMOUNT","FY 2016","FY 2016","Currency=USD","Period=FY","BEST_FPERIOD_OVERRIDE=FY","FILING_STATUS=MR","SCALING_FORMAT=MLN","Sort=A","Dates=H","DateFormat=P","Fill=—","Direction=H","UseDPDF=Y")</f>
        <v>0</v>
      </c>
      <c r="G26" s="11">
        <f>_xll.BDH("ALB US Equity","LINE_OF_CREDIT_UTILIZED_AMOUNT","FY 2017","FY 2017","Currency=USD","Period=FY","BEST_FPERIOD_OVERRIDE=FY","FILING_STATUS=MR","SCALING_FORMAT=MLN","Sort=A","Dates=H","DateFormat=P","Fill=—","Direction=H","UseDPDF=Y")</f>
        <v>0</v>
      </c>
      <c r="H26" s="11">
        <f>_xll.BDH("ALB US Equity","LINE_OF_CREDIT_UTILIZED_AMOUNT","FY 2018","FY 2018","Currency=USD","Period=FY","BEST_FPERIOD_OVERRIDE=FY","FILING_STATUS=MR","SCALING_FORMAT=MLN","Sort=A","Dates=H","DateFormat=P","Fill=—","Direction=H","UseDPDF=Y")</f>
        <v>0</v>
      </c>
      <c r="I26" s="11">
        <f>_xll.BDH("ALB US Equity","LINE_OF_CREDIT_UTILIZED_AMOUNT","FY 2019","FY 2019","Currency=USD","Period=FY","BEST_FPERIOD_OVERRIDE=FY","FILING_STATUS=MR","SCALING_FORMAT=MLN","Sort=A","Dates=H","DateFormat=P","Fill=—","Direction=H","UseDPDF=Y")</f>
        <v>186.7</v>
      </c>
      <c r="J26" s="11">
        <f>_xll.BDH("ALB US Equity","LINE_OF_CREDIT_UTILIZED_AMOUNT","FY 2020","FY 2020","Currency=USD","Period=FY","BEST_FPERIOD_OVERRIDE=FY","FILING_STATUS=MR","SCALING_FORMAT=MLN","Sort=A","Dates=H","DateFormat=P","Fill=—","Direction=H","UseDPDF=Y")</f>
        <v>325</v>
      </c>
      <c r="K26" s="11">
        <f>_xll.BDH("ALB US Equity","LINE_OF_CREDIT_UTILIZED_AMOUNT","FY 2021","FY 2021","Currency=USD","Period=FY","BEST_FPERIOD_OVERRIDE=FY","FILING_STATUS=MR","SCALING_FORMAT=MLN","Sort=A","Dates=H","DateFormat=P","Fill=—","Direction=H","UseDPDF=Y")</f>
        <v>388.5</v>
      </c>
      <c r="L26" s="11">
        <f>_xll.BDH("ALB US Equity","LINE_OF_CREDIT_UTILIZED_AMOUNT","FY 2022","FY 2022","Currency=USD","Period=FY","BEST_FPERIOD_OVERRIDE=FY","FILING_STATUS=MR","SCALING_FORMAT=MLN","Sort=A","Dates=H","DateFormat=P","Fill=—","Direction=H","UseDPDF=Y")</f>
        <v>0</v>
      </c>
    </row>
    <row r="27" spans="1:1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>
      <c r="A28" s="9" t="s">
        <v>57</v>
      </c>
      <c r="B28" s="9" t="s">
        <v>58</v>
      </c>
      <c r="C28" s="11">
        <f>_xll.BDH("ALB US Equity","BS_TOT_COM_PAPER_ISSUED","FY 2013","FY 2013","Currency=USD","Period=FY","BEST_FPERIOD_OVERRIDE=FY","FILING_STATUS=MR","SCALING_FORMAT=MLN","Sort=A","Dates=H","DateFormat=P","Fill=—","Direction=H","UseDPDF=Y")</f>
        <v>363</v>
      </c>
      <c r="D28" s="11">
        <f>_xll.BDH("ALB US Equity","BS_TOT_COM_PAPER_ISSUED","FY 2014","FY 2014","Currency=USD","Period=FY","BEST_FPERIOD_OVERRIDE=FY","FILING_STATUS=MR","SCALING_FORMAT=MLN","Sort=A","Dates=H","DateFormat=P","Fill=—","Direction=H","UseDPDF=Y")</f>
        <v>367.178</v>
      </c>
      <c r="E28" s="11">
        <f>_xll.BDH("ALB US Equity","BS_TOT_COM_PAPER_ISSUED","FY 2015","FY 2015","Currency=USD","Period=FY","BEST_FPERIOD_OVERRIDE=FY","FILING_STATUS=MR","SCALING_FORMAT=MLN","Sort=A","Dates=H","DateFormat=P","Fill=—","Direction=H","UseDPDF=Y")</f>
        <v>351.34899999999999</v>
      </c>
      <c r="F28" s="11">
        <f>_xll.BDH("ALB US Equity","BS_TOT_COM_PAPER_ISSUED","FY 2016","FY 2016","Currency=USD","Period=FY","BEST_FPERIOD_OVERRIDE=FY","FILING_STATUS=MR","SCALING_FORMAT=MLN","Sort=A","Dates=H","DateFormat=P","Fill=—","Direction=H","UseDPDF=Y")</f>
        <v>247.50299999999999</v>
      </c>
      <c r="G28" s="11">
        <f>_xll.BDH("ALB US Equity","BS_TOT_COM_PAPER_ISSUED","FY 2017","FY 2017","Currency=USD","Period=FY","BEST_FPERIOD_OVERRIDE=FY","FILING_STATUS=MR","SCALING_FORMAT=MLN","Sort=A","Dates=H","DateFormat=P","Fill=—","Direction=H","UseDPDF=Y")</f>
        <v>421.32100000000003</v>
      </c>
      <c r="H28" s="11">
        <f>_xll.BDH("ALB US Equity","BS_TOT_COM_PAPER_ISSUED","FY 2018","FY 2018","Currency=USD","Period=FY","BEST_FPERIOD_OVERRIDE=FY","FILING_STATUS=MR","SCALING_FORMAT=MLN","Sort=A","Dates=H","DateFormat=P","Fill=—","Direction=H","UseDPDF=Y")</f>
        <v>306.60599999999999</v>
      </c>
      <c r="I28" s="11">
        <f>_xll.BDH("ALB US Equity","BS_TOT_COM_PAPER_ISSUED","FY 2019","FY 2019","Currency=USD","Period=FY","BEST_FPERIOD_OVERRIDE=FY","FILING_STATUS=MR","SCALING_FORMAT=MLN","Sort=A","Dates=H","DateFormat=P","Fill=—","Direction=H","UseDPDF=Y")</f>
        <v>434.24099999999999</v>
      </c>
      <c r="J28" s="11">
        <f>_xll.BDH("ALB US Equity","BS_TOT_COM_PAPER_ISSUED","FY 2020","FY 2020","Currency=USD","Period=FY","BEST_FPERIOD_OVERRIDE=FY","FILING_STATUS=MR","SCALING_FORMAT=MLN","Sort=A","Dates=H","DateFormat=P","Fill=—","Direction=H","UseDPDF=Y")</f>
        <v>325</v>
      </c>
      <c r="K28" s="11">
        <f>_xll.BDH("ALB US Equity","BS_TOT_COM_PAPER_ISSUED","FY 2021","FY 2021","Currency=USD","Period=FY","BEST_FPERIOD_OVERRIDE=FY","FILING_STATUS=MR","SCALING_FORMAT=MLN","Sort=A","Dates=H","DateFormat=P","Fill=—","Direction=H","UseDPDF=Y")</f>
        <v>388.5</v>
      </c>
      <c r="L28" s="11">
        <f>_xll.BDH("ALB US Equity","BS_TOT_COM_PAPER_ISSUED","FY 2022","FY 2022","Currency=USD","Period=FY","BEST_FPERIOD_OVERRIDE=FY","FILING_STATUS=MR","SCALING_FORMAT=MLN","Sort=A","Dates=H","DateFormat=P","Fill=—","Direction=H","UseDPDF=Y")</f>
        <v>0</v>
      </c>
    </row>
    <row r="29" spans="1:12">
      <c r="A29" s="6" t="s">
        <v>59</v>
      </c>
      <c r="B29" s="6"/>
      <c r="C29" s="6" t="s">
        <v>60</v>
      </c>
      <c r="D29" s="6"/>
      <c r="E29" s="6"/>
      <c r="F29" s="6"/>
      <c r="G29" s="6"/>
      <c r="H29" s="6"/>
      <c r="I29" s="6"/>
      <c r="J29" s="6"/>
      <c r="K29" s="6"/>
      <c r="L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2023-12-04T20:14:36Z</dcterms:modified>
  <cp:category/>
  <cp:contentStatus/>
</cp:coreProperties>
</file>