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m23424_bristol_ac_uk/Documents/"/>
    </mc:Choice>
  </mc:AlternateContent>
  <xr:revisionPtr revIDLastSave="0" documentId="8_{B3BD4132-5B37-4D81-B473-74A5BC5BB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G - Overview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2" l="1"/>
  <c r="H9" i="2"/>
  <c r="J47" i="2"/>
  <c r="H30" i="2"/>
  <c r="H50" i="2"/>
  <c r="F35" i="2"/>
  <c r="L50" i="2"/>
  <c r="F107" i="2"/>
  <c r="F21" i="2"/>
  <c r="H41" i="2"/>
  <c r="L67" i="2"/>
  <c r="D57" i="2"/>
  <c r="F49" i="2"/>
  <c r="D46" i="2"/>
  <c r="D32" i="2"/>
  <c r="L86" i="2"/>
  <c r="L39" i="2"/>
  <c r="J58" i="2"/>
  <c r="H52" i="2"/>
  <c r="F60" i="2"/>
  <c r="F100" i="2"/>
  <c r="F85" i="2"/>
  <c r="J33" i="2"/>
  <c r="H95" i="2"/>
  <c r="D97" i="2"/>
  <c r="J83" i="2"/>
  <c r="H69" i="2"/>
  <c r="D109" i="2"/>
  <c r="L105" i="2"/>
  <c r="J98" i="2"/>
  <c r="J116" i="2"/>
  <c r="H124" i="2"/>
  <c r="H150" i="2"/>
  <c r="L134" i="2"/>
  <c r="H107" i="2"/>
  <c r="L119" i="2"/>
  <c r="D126" i="2"/>
  <c r="H136" i="2"/>
  <c r="F143" i="2"/>
  <c r="D140" i="2"/>
  <c r="J141" i="2"/>
  <c r="F118" i="2"/>
  <c r="H39" i="2"/>
  <c r="F133" i="2"/>
  <c r="J127" i="2"/>
  <c r="L146" i="2"/>
  <c r="H22" i="2"/>
  <c r="J159" i="2"/>
  <c r="H67" i="2"/>
  <c r="D152" i="2"/>
  <c r="D13" i="2"/>
  <c r="C49" i="2"/>
  <c r="L84" i="2"/>
  <c r="E30" i="2"/>
  <c r="H105" i="2"/>
  <c r="I86" i="2"/>
  <c r="E35" i="2"/>
  <c r="I83" i="2"/>
  <c r="C140" i="2"/>
  <c r="C10" i="2"/>
  <c r="G159" i="2"/>
  <c r="K67" i="2"/>
  <c r="G127" i="2"/>
  <c r="G107" i="2"/>
  <c r="K50" i="2"/>
  <c r="C126" i="2"/>
  <c r="F8" i="2"/>
  <c r="G95" i="2"/>
  <c r="G150" i="2"/>
  <c r="G8" i="2"/>
  <c r="G116" i="2"/>
  <c r="K146" i="2"/>
  <c r="G21" i="2"/>
  <c r="E100" i="2"/>
  <c r="I13" i="2"/>
  <c r="H13" i="2"/>
  <c r="D15" i="2"/>
  <c r="J16" i="2"/>
  <c r="I159" i="2"/>
  <c r="L9" i="2"/>
  <c r="K16" i="2"/>
  <c r="E118" i="2"/>
  <c r="E15" i="2"/>
  <c r="C152" i="2"/>
  <c r="C29" i="2"/>
  <c r="E32" i="2"/>
  <c r="C40" i="2"/>
  <c r="K33" i="2"/>
  <c r="I30" i="2"/>
  <c r="G35" i="2"/>
  <c r="K47" i="2"/>
  <c r="E46" i="2"/>
  <c r="G49" i="2"/>
  <c r="I41" i="2"/>
  <c r="I52" i="2"/>
  <c r="K58" i="2"/>
  <c r="E57" i="2"/>
  <c r="C68" i="2"/>
  <c r="G60" i="2"/>
  <c r="C51" i="2"/>
  <c r="C106" i="2"/>
  <c r="I69" i="2"/>
  <c r="G85" i="2"/>
  <c r="K83" i="2"/>
  <c r="G100" i="2"/>
  <c r="G118" i="2"/>
  <c r="C91" i="2"/>
  <c r="I95" i="2"/>
  <c r="E97" i="2"/>
  <c r="K116" i="2"/>
  <c r="I124" i="2"/>
  <c r="K98" i="2"/>
  <c r="I107" i="2"/>
  <c r="E109" i="2"/>
  <c r="K127" i="2"/>
  <c r="K141" i="2"/>
  <c r="C120" i="2"/>
  <c r="E126" i="2"/>
  <c r="I136" i="2"/>
  <c r="G133" i="2"/>
  <c r="C135" i="2"/>
  <c r="K56" i="2"/>
  <c r="C149" i="2"/>
  <c r="K159" i="2"/>
  <c r="G143" i="2"/>
  <c r="E140" i="2"/>
  <c r="E152" i="2"/>
  <c r="L125" i="2"/>
  <c r="I150" i="2"/>
  <c r="E41" i="2"/>
  <c r="C100" i="2"/>
  <c r="G16" i="2"/>
  <c r="G41" i="2"/>
  <c r="C57" i="2"/>
  <c r="F47" i="2"/>
  <c r="C32" i="2"/>
  <c r="J41" i="2"/>
  <c r="J30" i="2"/>
  <c r="H35" i="2"/>
  <c r="L151" i="2"/>
  <c r="H49" i="2"/>
  <c r="J52" i="2"/>
  <c r="I116" i="2"/>
  <c r="G136" i="2"/>
  <c r="D68" i="2"/>
  <c r="F46" i="2"/>
  <c r="L47" i="2"/>
  <c r="D51" i="2"/>
  <c r="F57" i="2"/>
  <c r="L83" i="2"/>
  <c r="H60" i="2"/>
  <c r="L58" i="2"/>
  <c r="H85" i="2"/>
  <c r="J69" i="2"/>
  <c r="L98" i="2"/>
  <c r="F126" i="2"/>
  <c r="H8" i="2"/>
  <c r="J136" i="2"/>
  <c r="F97" i="2"/>
  <c r="J95" i="2"/>
  <c r="D135" i="2"/>
  <c r="D106" i="2"/>
  <c r="D91" i="2"/>
  <c r="H100" i="2"/>
  <c r="I98" i="2"/>
  <c r="D120" i="2"/>
  <c r="F140" i="2"/>
  <c r="J124" i="2"/>
  <c r="J107" i="2"/>
  <c r="L116" i="2"/>
  <c r="L141" i="2"/>
  <c r="H118" i="2"/>
  <c r="L127" i="2"/>
  <c r="L159" i="2"/>
  <c r="F109" i="2"/>
  <c r="J150" i="2"/>
  <c r="D149" i="2"/>
  <c r="F32" i="2"/>
  <c r="H143" i="2"/>
  <c r="F152" i="2"/>
  <c r="I127" i="2"/>
  <c r="L16" i="2"/>
  <c r="H133" i="2"/>
  <c r="K69" i="2"/>
  <c r="E91" i="2"/>
  <c r="C84" i="2"/>
  <c r="I85" i="2"/>
  <c r="I100" i="2"/>
  <c r="K95" i="2"/>
  <c r="C99" i="2"/>
  <c r="G97" i="2"/>
  <c r="C142" i="2"/>
  <c r="E106" i="2"/>
  <c r="G109" i="2"/>
  <c r="C117" i="2"/>
  <c r="I118" i="2"/>
  <c r="D95" i="2"/>
  <c r="E120" i="2"/>
  <c r="K136" i="2"/>
  <c r="G126" i="2"/>
  <c r="K124" i="2"/>
  <c r="E135" i="2"/>
  <c r="G140" i="2"/>
  <c r="K107" i="2"/>
  <c r="I133" i="2"/>
  <c r="E149" i="2"/>
  <c r="I143" i="2"/>
  <c r="K150" i="2"/>
  <c r="G152" i="2"/>
  <c r="J108" i="2"/>
  <c r="J56" i="2"/>
  <c r="K14" i="2"/>
  <c r="L34" i="2"/>
  <c r="C128" i="2"/>
  <c r="D60" i="2"/>
  <c r="K108" i="2"/>
  <c r="G47" i="2"/>
  <c r="K139" i="2"/>
  <c r="K70" i="2"/>
  <c r="F95" i="2"/>
  <c r="G30" i="2"/>
  <c r="D8" i="2"/>
  <c r="L31" i="2"/>
  <c r="C46" i="2"/>
  <c r="G69" i="2"/>
  <c r="J134" i="2"/>
  <c r="C15" i="2"/>
  <c r="K86" i="2"/>
  <c r="H159" i="2"/>
  <c r="C78" i="2"/>
  <c r="C160" i="2"/>
  <c r="G52" i="2"/>
  <c r="G15" i="2"/>
  <c r="E29" i="2"/>
  <c r="I49" i="2"/>
  <c r="E133" i="2"/>
  <c r="E40" i="2"/>
  <c r="D7" i="2"/>
  <c r="K41" i="2"/>
  <c r="K52" i="2"/>
  <c r="G57" i="2"/>
  <c r="L30" i="2"/>
  <c r="I60" i="2"/>
  <c r="J21" i="2"/>
  <c r="F10" i="2"/>
  <c r="D20" i="2"/>
  <c r="F29" i="2"/>
  <c r="H32" i="2"/>
  <c r="D34" i="2"/>
  <c r="D48" i="2"/>
  <c r="F40" i="2"/>
  <c r="H46" i="2"/>
  <c r="J35" i="2"/>
  <c r="J49" i="2"/>
  <c r="H57" i="2"/>
  <c r="J60" i="2"/>
  <c r="H97" i="2"/>
  <c r="J85" i="2"/>
  <c r="F51" i="2"/>
  <c r="L95" i="2"/>
  <c r="L69" i="2"/>
  <c r="D59" i="2"/>
  <c r="L52" i="2"/>
  <c r="L41" i="2"/>
  <c r="F68" i="2"/>
  <c r="L124" i="2"/>
  <c r="J100" i="2"/>
  <c r="F91" i="2"/>
  <c r="D84" i="2"/>
  <c r="L107" i="2"/>
  <c r="F106" i="2"/>
  <c r="D99" i="2"/>
  <c r="H109" i="2"/>
  <c r="J133" i="2"/>
  <c r="J118" i="2"/>
  <c r="F120" i="2"/>
  <c r="D117" i="2"/>
  <c r="D128" i="2"/>
  <c r="L136" i="2"/>
  <c r="F135" i="2"/>
  <c r="H126" i="2"/>
  <c r="J143" i="2"/>
  <c r="D142" i="2"/>
  <c r="L150" i="2"/>
  <c r="H140" i="2"/>
  <c r="E136" i="2"/>
  <c r="D35" i="2"/>
  <c r="H152" i="2"/>
  <c r="D52" i="2"/>
  <c r="D78" i="2"/>
  <c r="D160" i="2"/>
  <c r="H86" i="2"/>
  <c r="E52" i="2"/>
  <c r="D85" i="2"/>
  <c r="J9" i="2"/>
  <c r="C21" i="2"/>
  <c r="F33" i="2"/>
  <c r="F149" i="2"/>
  <c r="H21" i="2"/>
  <c r="D10" i="2"/>
  <c r="I58" i="2"/>
  <c r="L56" i="2"/>
  <c r="G124" i="2"/>
  <c r="L108" i="2"/>
  <c r="C85" i="2"/>
  <c r="H15" i="2"/>
  <c r="E143" i="2"/>
  <c r="C7" i="2"/>
  <c r="I21" i="2"/>
  <c r="K8" i="2"/>
  <c r="K13" i="2"/>
  <c r="G32" i="2"/>
  <c r="G10" i="2"/>
  <c r="C34" i="2"/>
  <c r="E7" i="2"/>
  <c r="G46" i="2"/>
  <c r="C14" i="2"/>
  <c r="I15" i="2"/>
  <c r="F136" i="2"/>
  <c r="E20" i="2"/>
  <c r="C31" i="2"/>
  <c r="E34" i="2"/>
  <c r="I32" i="2"/>
  <c r="C42" i="2"/>
  <c r="G40" i="2"/>
  <c r="K21" i="2"/>
  <c r="G91" i="2"/>
  <c r="G29" i="2"/>
  <c r="K35" i="2"/>
  <c r="I97" i="2"/>
  <c r="E48" i="2"/>
  <c r="K49" i="2"/>
  <c r="I57" i="2"/>
  <c r="G51" i="2"/>
  <c r="C56" i="2"/>
  <c r="E59" i="2"/>
  <c r="K85" i="2"/>
  <c r="K60" i="2"/>
  <c r="E84" i="2"/>
  <c r="C70" i="2"/>
  <c r="G68" i="2"/>
  <c r="C96" i="2"/>
  <c r="I46" i="2"/>
  <c r="K100" i="2"/>
  <c r="E99" i="2"/>
  <c r="G120" i="2"/>
  <c r="E117" i="2"/>
  <c r="K118" i="2"/>
  <c r="C108" i="2"/>
  <c r="G106" i="2"/>
  <c r="E128" i="2"/>
  <c r="E78" i="2"/>
  <c r="E160" i="2"/>
  <c r="I109" i="2"/>
  <c r="E13" i="2"/>
  <c r="G149" i="2"/>
  <c r="G135" i="2"/>
  <c r="I152" i="2"/>
  <c r="C139" i="2"/>
  <c r="I126" i="2"/>
  <c r="K133" i="2"/>
  <c r="I140" i="2"/>
  <c r="C125" i="2"/>
  <c r="K143" i="2"/>
  <c r="F16" i="2"/>
  <c r="J31" i="2"/>
  <c r="C151" i="2"/>
  <c r="E142" i="2"/>
  <c r="F83" i="2"/>
  <c r="D107" i="2"/>
  <c r="J42" i="2"/>
  <c r="G83" i="2"/>
  <c r="F58" i="2"/>
  <c r="C118" i="2"/>
  <c r="E60" i="2"/>
  <c r="I39" i="2"/>
  <c r="C143" i="2"/>
  <c r="H16" i="2"/>
  <c r="H83" i="2"/>
  <c r="E21" i="2"/>
  <c r="F30" i="2"/>
  <c r="K125" i="2"/>
  <c r="D100" i="2"/>
  <c r="H127" i="2"/>
  <c r="L42" i="2"/>
  <c r="D118" i="2"/>
  <c r="H141" i="2"/>
  <c r="C109" i="2"/>
  <c r="K119" i="2"/>
  <c r="C59" i="2"/>
  <c r="L33" i="2"/>
  <c r="I141" i="2"/>
  <c r="K39" i="2"/>
  <c r="E85" i="2"/>
  <c r="C20" i="2"/>
  <c r="K105" i="2"/>
  <c r="C97" i="2"/>
  <c r="E68" i="2"/>
  <c r="E10" i="2"/>
  <c r="K30" i="2"/>
  <c r="J13" i="2"/>
  <c r="L8" i="2"/>
  <c r="I8" i="2"/>
  <c r="D29" i="2"/>
  <c r="C48" i="2"/>
  <c r="I35" i="2"/>
  <c r="E51" i="2"/>
  <c r="J8" i="2"/>
  <c r="F7" i="2"/>
  <c r="F20" i="2"/>
  <c r="L13" i="2"/>
  <c r="D40" i="2"/>
  <c r="J15" i="2"/>
  <c r="L35" i="2"/>
  <c r="D14" i="2"/>
  <c r="H10" i="2"/>
  <c r="L21" i="2"/>
  <c r="F34" i="2"/>
  <c r="D31" i="2"/>
  <c r="D42" i="2"/>
  <c r="H29" i="2"/>
  <c r="J32" i="2"/>
  <c r="H40" i="2"/>
  <c r="H51" i="2"/>
  <c r="D56" i="2"/>
  <c r="F59" i="2"/>
  <c r="J57" i="2"/>
  <c r="H68" i="2"/>
  <c r="J46" i="2"/>
  <c r="F48" i="2"/>
  <c r="L49" i="2"/>
  <c r="L60" i="2"/>
  <c r="D96" i="2"/>
  <c r="L85" i="2"/>
  <c r="H91" i="2"/>
  <c r="J97" i="2"/>
  <c r="D70" i="2"/>
  <c r="F84" i="2"/>
  <c r="L133" i="2"/>
  <c r="F99" i="2"/>
  <c r="D139" i="2"/>
  <c r="J140" i="2"/>
  <c r="H106" i="2"/>
  <c r="H135" i="2"/>
  <c r="L100" i="2"/>
  <c r="D125" i="2"/>
  <c r="H120" i="2"/>
  <c r="F117" i="2"/>
  <c r="J126" i="2"/>
  <c r="J109" i="2"/>
  <c r="F128" i="2"/>
  <c r="L118" i="2"/>
  <c r="F142" i="2"/>
  <c r="L143" i="2"/>
  <c r="D108" i="2"/>
  <c r="H149" i="2"/>
  <c r="L70" i="2"/>
  <c r="D151" i="2"/>
  <c r="J39" i="2"/>
  <c r="J152" i="2"/>
  <c r="F78" i="2"/>
  <c r="F160" i="2"/>
  <c r="E95" i="2"/>
  <c r="C9" i="2"/>
  <c r="E108" i="2"/>
  <c r="H98" i="2"/>
  <c r="C39" i="2"/>
  <c r="F52" i="2"/>
  <c r="F15" i="2"/>
  <c r="K134" i="2"/>
  <c r="G13" i="2"/>
  <c r="L139" i="2"/>
  <c r="I10" i="2"/>
  <c r="K15" i="2"/>
  <c r="C22" i="2"/>
  <c r="G20" i="2"/>
  <c r="E31" i="2"/>
  <c r="K32" i="2"/>
  <c r="I106" i="2"/>
  <c r="I29" i="2"/>
  <c r="G7" i="2"/>
  <c r="C50" i="2"/>
  <c r="G34" i="2"/>
  <c r="E14" i="2"/>
  <c r="E96" i="2"/>
  <c r="I68" i="2"/>
  <c r="E56" i="2"/>
  <c r="K109" i="2"/>
  <c r="I40" i="2"/>
  <c r="G84" i="2"/>
  <c r="C86" i="2"/>
  <c r="G117" i="2"/>
  <c r="K97" i="2"/>
  <c r="K140" i="2"/>
  <c r="I91" i="2"/>
  <c r="G48" i="2"/>
  <c r="G99" i="2"/>
  <c r="G59" i="2"/>
  <c r="E42" i="2"/>
  <c r="I50" i="2"/>
  <c r="E70" i="2"/>
  <c r="C119" i="2"/>
  <c r="K46" i="2"/>
  <c r="I51" i="2"/>
  <c r="C105" i="2"/>
  <c r="E125" i="2"/>
  <c r="K57" i="2"/>
  <c r="C67" i="2"/>
  <c r="I120" i="2"/>
  <c r="K126" i="2"/>
  <c r="I135" i="2"/>
  <c r="C134" i="2"/>
  <c r="I105" i="2"/>
  <c r="G78" i="2"/>
  <c r="G160" i="2"/>
  <c r="E139" i="2"/>
  <c r="L7" i="2"/>
  <c r="G128" i="2"/>
  <c r="G142" i="2"/>
  <c r="E151" i="2"/>
  <c r="K152" i="2"/>
  <c r="C146" i="2"/>
  <c r="E124" i="2"/>
  <c r="I149" i="2"/>
  <c r="K31" i="2"/>
  <c r="L20" i="2"/>
  <c r="I146" i="2"/>
  <c r="I67" i="2"/>
  <c r="H47" i="2"/>
  <c r="J67" i="2"/>
  <c r="H59" i="2"/>
  <c r="D21" i="2"/>
  <c r="F56" i="2"/>
  <c r="K9" i="2"/>
  <c r="H34" i="2"/>
  <c r="L46" i="2"/>
  <c r="J40" i="2"/>
  <c r="F150" i="2"/>
  <c r="F70" i="2"/>
  <c r="H48" i="2"/>
  <c r="J91" i="2"/>
  <c r="L97" i="2"/>
  <c r="J51" i="2"/>
  <c r="D67" i="2"/>
  <c r="L57" i="2"/>
  <c r="H116" i="2"/>
  <c r="L96" i="2"/>
  <c r="J68" i="2"/>
  <c r="J29" i="2"/>
  <c r="H99" i="2"/>
  <c r="F96" i="2"/>
  <c r="D86" i="2"/>
  <c r="H84" i="2"/>
  <c r="F42" i="2"/>
  <c r="D105" i="2"/>
  <c r="D119" i="2"/>
  <c r="D50" i="2"/>
  <c r="J106" i="2"/>
  <c r="F108" i="2"/>
  <c r="L126" i="2"/>
  <c r="H117" i="2"/>
  <c r="L109" i="2"/>
  <c r="J14" i="2"/>
  <c r="F125" i="2"/>
  <c r="H78" i="2"/>
  <c r="H160" i="2"/>
  <c r="J120" i="2"/>
  <c r="L152" i="2"/>
  <c r="L140" i="2"/>
  <c r="F151" i="2"/>
  <c r="J149" i="2"/>
  <c r="F139" i="2"/>
  <c r="J135" i="2"/>
  <c r="D134" i="2"/>
  <c r="L48" i="2"/>
  <c r="D146" i="2"/>
  <c r="H142" i="2"/>
  <c r="J70" i="2"/>
  <c r="H128" i="2"/>
  <c r="L99" i="2"/>
  <c r="C35" i="2"/>
  <c r="C8" i="2"/>
  <c r="D30" i="2"/>
  <c r="G98" i="2"/>
  <c r="F13" i="2"/>
  <c r="C60" i="2"/>
  <c r="J22" i="2"/>
  <c r="E22" i="2"/>
  <c r="G141" i="2"/>
  <c r="C33" i="2"/>
  <c r="J50" i="2"/>
  <c r="I20" i="2"/>
  <c r="G70" i="2"/>
  <c r="I34" i="2"/>
  <c r="E86" i="2"/>
  <c r="E67" i="2"/>
  <c r="C58" i="2"/>
  <c r="E50" i="2"/>
  <c r="K29" i="2"/>
  <c r="K40" i="2"/>
  <c r="E105" i="2"/>
  <c r="I99" i="2"/>
  <c r="C83" i="2"/>
  <c r="G96" i="2"/>
  <c r="C98" i="2"/>
  <c r="I84" i="2"/>
  <c r="D41" i="2"/>
  <c r="K91" i="2"/>
  <c r="G108" i="2"/>
  <c r="K106" i="2"/>
  <c r="G151" i="2"/>
  <c r="C116" i="2"/>
  <c r="I117" i="2"/>
  <c r="G125" i="2"/>
  <c r="C127" i="2"/>
  <c r="I142" i="2"/>
  <c r="K120" i="2"/>
  <c r="C141" i="2"/>
  <c r="K135" i="2"/>
  <c r="I128" i="2"/>
  <c r="E134" i="2"/>
  <c r="J146" i="2"/>
  <c r="G139" i="2"/>
  <c r="E146" i="2"/>
  <c r="F116" i="2"/>
  <c r="I78" i="2"/>
  <c r="I160" i="2"/>
  <c r="L59" i="2"/>
  <c r="L14" i="2"/>
  <c r="E119" i="2"/>
  <c r="K149" i="2"/>
  <c r="C159" i="2"/>
  <c r="E150" i="2"/>
  <c r="K96" i="2"/>
  <c r="J96" i="2"/>
  <c r="I134" i="2"/>
  <c r="D49" i="2"/>
  <c r="J86" i="2"/>
  <c r="H33" i="2"/>
  <c r="F69" i="2"/>
  <c r="J119" i="2"/>
  <c r="D39" i="2"/>
  <c r="I16" i="2"/>
  <c r="D133" i="2"/>
  <c r="I22" i="2"/>
  <c r="I47" i="2"/>
  <c r="I33" i="2"/>
  <c r="G31" i="2"/>
  <c r="L15" i="2"/>
  <c r="D9" i="2"/>
  <c r="F9" i="2"/>
  <c r="J10" i="2"/>
  <c r="E9" i="2"/>
  <c r="D22" i="2"/>
  <c r="C47" i="2"/>
  <c r="L32" i="2"/>
  <c r="L29" i="2"/>
  <c r="G14" i="2"/>
  <c r="J105" i="2"/>
  <c r="I59" i="2"/>
  <c r="E39" i="2"/>
  <c r="L10" i="2"/>
  <c r="K51" i="2"/>
  <c r="K68" i="2"/>
  <c r="G42" i="2"/>
  <c r="D16" i="2"/>
  <c r="H14" i="2"/>
  <c r="L40" i="2"/>
  <c r="G56" i="2"/>
  <c r="L51" i="2"/>
  <c r="J34" i="2"/>
  <c r="I48" i="2"/>
  <c r="F22" i="2"/>
  <c r="H31" i="2"/>
  <c r="D33" i="2"/>
  <c r="F39" i="2"/>
  <c r="H42" i="2"/>
  <c r="J7" i="2"/>
  <c r="D47" i="2"/>
  <c r="J48" i="2"/>
  <c r="F50" i="2"/>
  <c r="H56" i="2"/>
  <c r="J20" i="2"/>
  <c r="D58" i="2"/>
  <c r="D83" i="2"/>
  <c r="L68" i="2"/>
  <c r="J59" i="2"/>
  <c r="H70" i="2"/>
  <c r="J84" i="2"/>
  <c r="D116" i="2"/>
  <c r="L91" i="2"/>
  <c r="F67" i="2"/>
  <c r="J99" i="2"/>
  <c r="H108" i="2"/>
  <c r="H96" i="2"/>
  <c r="D98" i="2"/>
  <c r="D141" i="2"/>
  <c r="J117" i="2"/>
  <c r="F86" i="2"/>
  <c r="D127" i="2"/>
  <c r="F119" i="2"/>
  <c r="J142" i="2"/>
  <c r="H125" i="2"/>
  <c r="L120" i="2"/>
  <c r="G33" i="2"/>
  <c r="J128" i="2"/>
  <c r="F134" i="2"/>
  <c r="F146" i="2"/>
  <c r="H139" i="2"/>
  <c r="F105" i="2"/>
  <c r="L106" i="2"/>
  <c r="L149" i="2"/>
  <c r="H151" i="2"/>
  <c r="D69" i="2"/>
  <c r="F98" i="2"/>
  <c r="D159" i="2"/>
  <c r="J78" i="2"/>
  <c r="J160" i="2"/>
  <c r="E107" i="2"/>
  <c r="F14" i="2"/>
  <c r="E8" i="2"/>
  <c r="I9" i="2"/>
  <c r="L135" i="2"/>
  <c r="H7" i="2"/>
  <c r="C16" i="2"/>
  <c r="K151" i="2"/>
  <c r="I119" i="2"/>
  <c r="K42" i="2"/>
  <c r="E69" i="2"/>
  <c r="G58" i="2"/>
  <c r="K22" i="2"/>
  <c r="C133" i="2"/>
  <c r="F124" i="2"/>
  <c r="F41" i="2"/>
  <c r="K10" i="2"/>
  <c r="E49" i="2"/>
  <c r="I7" i="2"/>
  <c r="D143" i="2"/>
  <c r="F31" i="2"/>
  <c r="E47" i="2"/>
  <c r="H20" i="2"/>
  <c r="H58" i="2"/>
  <c r="K99" i="2"/>
  <c r="I139" i="2"/>
  <c r="C30" i="2"/>
  <c r="E16" i="2"/>
  <c r="K20" i="2"/>
  <c r="I31" i="2"/>
  <c r="C13" i="2"/>
  <c r="K117" i="2"/>
  <c r="C124" i="2"/>
  <c r="K7" i="2"/>
  <c r="C69" i="2"/>
  <c r="G134" i="2"/>
  <c r="E83" i="2"/>
  <c r="G9" i="2"/>
  <c r="G22" i="2"/>
  <c r="G105" i="2"/>
  <c r="I14" i="2"/>
  <c r="C41" i="2"/>
  <c r="G50" i="2"/>
  <c r="I151" i="2"/>
  <c r="I108" i="2"/>
  <c r="E33" i="2"/>
  <c r="G39" i="2"/>
  <c r="K84" i="2"/>
  <c r="G86" i="2"/>
  <c r="K34" i="2"/>
  <c r="I56" i="2"/>
  <c r="G67" i="2"/>
  <c r="I42" i="2"/>
  <c r="C136" i="2"/>
  <c r="E58" i="2"/>
  <c r="C52" i="2"/>
  <c r="K59" i="2"/>
  <c r="K48" i="2"/>
  <c r="H134" i="2"/>
  <c r="K128" i="2"/>
  <c r="K142" i="2"/>
  <c r="L117" i="2"/>
  <c r="L78" i="2"/>
  <c r="L160" i="2"/>
  <c r="E159" i="2"/>
  <c r="E116" i="2"/>
  <c r="H119" i="2"/>
  <c r="C95" i="2"/>
  <c r="D136" i="2"/>
  <c r="E127" i="2"/>
  <c r="I96" i="2"/>
  <c r="C107" i="2"/>
  <c r="G146" i="2"/>
  <c r="C150" i="2"/>
  <c r="K78" i="2"/>
  <c r="K160" i="2"/>
  <c r="F127" i="2"/>
  <c r="I70" i="2"/>
  <c r="H146" i="2"/>
  <c r="L142" i="2"/>
  <c r="J125" i="2"/>
  <c r="L128" i="2"/>
  <c r="E141" i="2"/>
  <c r="E98" i="2"/>
  <c r="F141" i="2"/>
  <c r="I125" i="2"/>
  <c r="G119" i="2"/>
  <c r="F159" i="2"/>
  <c r="D150" i="2"/>
  <c r="D124" i="2"/>
  <c r="J139" i="2"/>
  <c r="J151" i="2"/>
</calcChain>
</file>

<file path=xl/sharedStrings.xml><?xml version="1.0" encoding="utf-8"?>
<sst xmlns="http://schemas.openxmlformats.org/spreadsheetml/2006/main" count="525" uniqueCount="264">
  <si>
    <t>Albemarle Corp (ALB US) - Overview</t>
  </si>
  <si>
    <t>In Millions of USD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</si>
  <si>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</si>
  <si>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</si>
  <si>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</si>
  <si>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</si>
  <si>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</si>
  <si>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</si>
  <si>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</si>
  <si>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</si>
  <si>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</si>
  <si>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</si>
  <si>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</si>
  <si>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</si>
  <si>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</si>
  <si>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</si>
  <si>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</si>
  <si>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</si>
  <si>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</si>
  <si>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</si>
  <si>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</si>
  <si>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</si>
  <si>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</si>
  <si>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</si>
  <si>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</si>
  <si>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</si>
  <si>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</si>
  <si>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</si>
  <si>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</si>
  <si>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</si>
  <si>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</si>
  <si>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</si>
  <si>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</si>
  <si>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</si>
  <si>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</si>
  <si>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</si>
  <si>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</si>
  <si>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</si>
  <si>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</si>
  <si>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</si>
  <si>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</si>
  <si>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</si>
  <si>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</si>
  <si>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</si>
  <si>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</si>
  <si>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</si>
  <si>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</si>
  <si>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</si>
  <si>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</si>
  <si>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</si>
  <si>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</si>
  <si>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</si>
  <si>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Yes</t>
  </si>
  <si>
    <t>Climate Change Policy</t>
  </si>
  <si>
    <t>CLIMATE_CHG_POLICY</t>
  </si>
  <si>
    <t>No</t>
  </si>
  <si>
    <t>Climate Change Opportunities Discussed</t>
  </si>
  <si>
    <t>CLIMATE_CHG_OPPORTUNITIES</t>
  </si>
  <si>
    <t>Risks of Climate Change Discussed</t>
  </si>
  <si>
    <t>CLIMATE_RISKS</t>
  </si>
  <si>
    <t>ODS Emissions</t>
  </si>
  <si>
    <t>ODS_EMISSIONS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</si>
  <si>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</si>
  <si>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</si>
  <si>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</si>
  <si>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</si>
  <si>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</si>
  <si>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</si>
  <si>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2 Market-Based</t>
  </si>
  <si>
    <t>GHG_SCOPE_2_MARKET_BASED</t>
  </si>
  <si>
    <t>GHG Scope 3</t>
  </si>
  <si>
    <t>GHG_SCOPE_3</t>
  </si>
  <si>
    <t>Scope of Disclosure</t>
  </si>
  <si>
    <t>SCOPE_OF_DISCLOSURE</t>
  </si>
  <si>
    <t>Ecological &amp; Biodiversity Impacts</t>
  </si>
  <si>
    <t>Biodiversity Policy</t>
  </si>
  <si>
    <t>BIODIVERSITY_POLICY</t>
  </si>
  <si>
    <t>Number of Environmental Fines</t>
  </si>
  <si>
    <t>NUM_ENVIRON_FINES</t>
  </si>
  <si>
    <t>Amount of Environmental Fines</t>
  </si>
  <si>
    <t>ENVIRON_FINES_AMT</t>
  </si>
  <si>
    <t>Number of Significant Environmental Fines</t>
  </si>
  <si>
    <t>NUM_SIGNIF_ENVIRONMENTAL_FINES</t>
  </si>
  <si>
    <t>Amount of Significant Environmental Fines</t>
  </si>
  <si>
    <t>AMOUNT_OF_SIGNFCNT_ENV_FINES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</si>
  <si>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</si>
  <si>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</si>
  <si>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</si>
  <si>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</si>
  <si>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</si>
  <si>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</si>
  <si>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</si>
  <si>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</si>
  <si>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</si>
  <si>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Self Generated Renewable Electricity</t>
  </si>
  <si>
    <t>SELF_GEN_RENEWABLE_ELECTRICITY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</si>
  <si>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</si>
  <si>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</si>
  <si>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</si>
  <si>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</si>
  <si>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</si>
  <si>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</si>
  <si>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</si>
  <si>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</si>
  <si>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</si>
  <si>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</si>
  <si>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</si>
  <si>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</si>
  <si>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</si>
  <si>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Waste Recycled</t>
  </si>
  <si>
    <t>WASTE_RECYCLED</t>
  </si>
  <si>
    <t>Waste Sent to Landfills</t>
  </si>
  <si>
    <t>WASTE_SENT_TO_LANDFILLS</t>
  </si>
  <si>
    <t>Raw Materials Used</t>
  </si>
  <si>
    <t>RAW_MAT_USED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</si>
  <si>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</si>
  <si>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</si>
  <si>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</si>
  <si>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</si>
  <si>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</si>
  <si>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</si>
  <si>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</si>
  <si>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</si>
  <si>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</si>
  <si>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</si>
  <si>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Water Consumption</t>
  </si>
  <si>
    <t>WATER_CONSMPTN</t>
  </si>
  <si>
    <t>Water per Unit of Production</t>
  </si>
  <si>
    <t>WATER_PER_UNIT_OF_PROD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</si>
  <si>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</si>
  <si>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</si>
  <si>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</si>
  <si>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</si>
  <si>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</si>
  <si>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</si>
  <si>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</si>
  <si>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</si>
  <si>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n/a</t>
  </si>
  <si>
    <t>Consumer Data Protection Policy</t>
  </si>
  <si>
    <t>CONSUMER_DATA_PROTECTION_POLICY</t>
  </si>
  <si>
    <t>Community Spending</t>
  </si>
  <si>
    <t>COMMUNITY_SPENDING</t>
  </si>
  <si>
    <t>Diversity</t>
  </si>
  <si>
    <t>Equal Opportunity Policy</t>
  </si>
  <si>
    <t>EQUAL_OPPORTUNITY_POLICY</t>
  </si>
  <si>
    <t>Gender Pay Gap Breakout</t>
  </si>
  <si>
    <t>GENDER_PAY_GAP_BREAKOUT</t>
  </si>
  <si>
    <t>Pct Women in Management</t>
  </si>
  <si>
    <t>PCT_WOMEN_MGT</t>
  </si>
  <si>
    <t>Pct Women in Middle and or Other Management</t>
  </si>
  <si>
    <t>PCT_WOMEN_IN_MID_AND_OTHER_MGMT</t>
  </si>
  <si>
    <t>Pct Women in Workforce</t>
  </si>
  <si>
    <t>PCT_WOMEN_EMPLOYEES</t>
  </si>
  <si>
    <t>80%+ Workforce Gender Pay Gap Waterfall</t>
  </si>
  <si>
    <t>GENDER_PAY_GAP_WATERFALL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</si>
  <si>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</si>
  <si>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</si>
  <si>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</si>
  <si>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</si>
  <si>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</si>
  <si>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</si>
  <si>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</si>
  <si>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</si>
  <si>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</si>
  <si>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</si>
  <si>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</si>
  <si>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</si>
  <si>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Contractors</t>
  </si>
  <si>
    <t>FATALITIES_CONTRACTORS</t>
  </si>
  <si>
    <t>Fatalities - Total</t>
  </si>
  <si>
    <t>FATALITIES_TOTAL</t>
  </si>
  <si>
    <t>Lost Time Incident Rate - Employees</t>
  </si>
  <si>
    <t>LOST_TIME_INCIDENT_RATE</t>
  </si>
  <si>
    <t>Total Recordable Incident Rate - Employees</t>
  </si>
  <si>
    <t>TOTAL_RECORDABLE_INCIDENT_RATE</t>
  </si>
  <si>
    <t>Total Recordable Incident Rate - Contractors</t>
  </si>
  <si>
    <t>TOT_RECORDABLE_INCID_RT_CNTRCTR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</si>
  <si>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</si>
  <si>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</si>
  <si>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</si>
  <si>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</si>
  <si>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</si>
  <si>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</si>
  <si>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</si>
  <si>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Number of Contractors</t>
  </si>
  <si>
    <t>NUMBER_OF_CONTRACTORS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</si>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</sst>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4" fontId="7" fillId="34" borderId="2">
      <alignment horizontal="right"/>
    </xf>
  </cellStyleXfs>
  <cellXfs count="16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7" fillId="34" borderId="5" xfId="35"/>
    <xf numFmtId="0" fontId="9" fillId="35" borderId="4" xfId="34"/>
    <xf numFmtId="0" fontId="4" fillId="33" borderId="15" xfId="50">
      <alignment horizontal="left" vertical="center" readingOrder="1"/>
    </xf>
    <xf numFmtId="0" fontId="6" fillId="33" borderId="1" xfId="51">
      <alignment horizontal="left"/>
    </xf>
    <xf numFmtId="0" fontId="3" fillId="34" borderId="5" xfId="36" applyFont="1"/>
    <xf numFmtId="3" fontId="1" fillId="34" borderId="2" xfId="52">
      <alignment horizontal="right"/>
    </xf>
    <xf numFmtId="164" fontId="1" fillId="34" borderId="2" xfId="53">
      <alignment horizontal="right"/>
    </xf>
    <xf numFmtId="4" fontId="1" fillId="34" borderId="2" xfId="54">
      <alignment horizontal="right"/>
    </xf>
    <xf numFmtId="3" fontId="7" fillId="34" borderId="2" xfId="55">
      <alignment horizontal="right"/>
    </xf>
    <xf numFmtId="4" fontId="7" fillId="34" borderId="2" xfId="56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5" xr:uid="{00000000-0005-0000-0000-000023000000}"/>
    <cellStyle name="fa_data_bold_2_grouped" xfId="56" xr:uid="{00000000-0005-0000-0000-000024000000}"/>
    <cellStyle name="fa_data_standard_0_grouped" xfId="52" xr:uid="{00000000-0005-0000-0000-000025000000}"/>
    <cellStyle name="fa_data_standard_1_grouped" xfId="53" xr:uid="{00000000-0005-0000-0000-000026000000}"/>
    <cellStyle name="fa_data_standard_2_grouped" xfId="54" xr:uid="{00000000-0005-0000-0000-000027000000}"/>
    <cellStyle name="fa_footer_italic" xfId="34" xr:uid="{00000000-0005-0000-0000-000028000000}"/>
    <cellStyle name="fa_row_header_bold" xfId="35" xr:uid="{00000000-0005-0000-0000-000029000000}"/>
    <cellStyle name="fa_row_header_standard" xfId="36" xr:uid="{00000000-0005-0000-0000-00002A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12" width="11.8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>
      <c r="A6" s="10" t="s">
        <v>23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>
      <c r="A7" s="10" t="s">
        <v>24</v>
      </c>
      <c r="B7" s="10" t="s">
        <v>25</v>
      </c>
      <c r="C7" s="13" t="str">
        <f>_xll.BDH("ALB US Equity","ESG_SCORE","FY 2013","FY 2013","Currency=USD","Period=FY","BEST_FPERIOD_OVERRIDE=FY","FILING_STATUS=MR","Sort=A","Dates=H","DateFormat=P","Fill=—","Direction=H","UseDPDF=Y")</f>
        <v>—</v>
      </c>
      <c r="D7" s="13" t="str">
        <f>_xll.BDH("ALB US Equity","ESG_SCORE","FY 2014","FY 2014","Currency=USD","Period=FY","BEST_FPERIOD_OVERRIDE=FY","FILING_STATUS=MR","Sort=A","Dates=H","DateFormat=P","Fill=—","Direction=H","UseDPDF=Y")</f>
        <v>—</v>
      </c>
      <c r="E7" s="13">
        <f>_xll.BDH("ALB US Equity","ESG_SCORE","FY 2015","FY 2015","Currency=USD","Period=FY","BEST_FPERIOD_OVERRIDE=FY","FILING_STATUS=MR","Sort=A","Dates=H","DateFormat=P","Fill=—","Direction=H","UseDPDF=Y")</f>
        <v>2.86</v>
      </c>
      <c r="F7" s="13">
        <f>_xll.BDH("ALB US Equity","ESG_SCORE","FY 2016","FY 2016","Currency=USD","Period=FY","BEST_FPERIOD_OVERRIDE=FY","FILING_STATUS=MR","Sort=A","Dates=H","DateFormat=P","Fill=—","Direction=H","UseDPDF=Y")</f>
        <v>4.09</v>
      </c>
      <c r="G7" s="13">
        <f>_xll.BDH("ALB US Equity","ESG_SCORE","FY 2017","FY 2017","Currency=USD","Period=FY","BEST_FPERIOD_OVERRIDE=FY","FILING_STATUS=MR","Sort=A","Dates=H","DateFormat=P","Fill=—","Direction=H","UseDPDF=Y")</f>
        <v>3.92</v>
      </c>
      <c r="H7" s="13">
        <f>_xll.BDH("ALB US Equity","ESG_SCORE","FY 2018","FY 2018","Currency=USD","Period=FY","BEST_FPERIOD_OVERRIDE=FY","FILING_STATUS=MR","Sort=A","Dates=H","DateFormat=P","Fill=—","Direction=H","UseDPDF=Y")</f>
        <v>5.15</v>
      </c>
      <c r="I7" s="13">
        <f>_xll.BDH("ALB US Equity","ESG_SCORE","FY 2019","FY 2019","Currency=USD","Period=FY","BEST_FPERIOD_OVERRIDE=FY","FILING_STATUS=MR","Sort=A","Dates=H","DateFormat=P","Fill=—","Direction=H","UseDPDF=Y")</f>
        <v>5.59</v>
      </c>
      <c r="J7" s="13">
        <f>_xll.BDH("ALB US Equity","ESG_SCORE","FY 2020","FY 2020","Currency=USD","Period=FY","BEST_FPERIOD_OVERRIDE=FY","FILING_STATUS=MR","Sort=A","Dates=H","DateFormat=P","Fill=—","Direction=H","UseDPDF=Y")</f>
        <v>5.9</v>
      </c>
      <c r="K7" s="13">
        <f>_xll.BDH("ALB US Equity","ESG_SCORE","FY 2021","FY 2021","Currency=USD","Period=FY","BEST_FPERIOD_OVERRIDE=FY","FILING_STATUS=MR","Sort=A","Dates=H","DateFormat=P","Fill=—","Direction=H","UseDPDF=Y")</f>
        <v>5.37</v>
      </c>
      <c r="L7" s="13" t="str">
        <f>_xll.BDH("ALB US Equity","ESG_SCORE","FY 2022","FY 2022","Currency=USD","Period=FY","BEST_FPERIOD_OVERRIDE=FY","FILING_STATUS=MR","Sort=A","Dates=H","DateFormat=P","Fill=—","Direction=H","UseDPDF=Y")</f>
        <v>—</v>
      </c>
    </row>
    <row r="8" spans="1:12">
      <c r="A8" s="10" t="s">
        <v>26</v>
      </c>
      <c r="B8" s="10" t="s">
        <v>27</v>
      </c>
      <c r="C8" s="13" t="str">
        <f>_xll.BDH("ALB US Equity","ENVIRONMENTAL_SCORE","FY 2013","FY 2013","Currency=USD","Period=FY","BEST_FPERIOD_OVERRIDE=FY","FILING_STATUS=MR","Sort=A","Dates=H","DateFormat=P","Fill=—","Direction=H","UseDPDF=Y")</f>
        <v>—</v>
      </c>
      <c r="D8" s="13" t="str">
        <f>_xll.BDH("ALB US Equity","ENVIRONMENTAL_SCORE","FY 2014","FY 2014","Currency=USD","Period=FY","BEST_FPERIOD_OVERRIDE=FY","FILING_STATUS=MR","Sort=A","Dates=H","DateFormat=P","Fill=—","Direction=H","UseDPDF=Y")</f>
        <v>—</v>
      </c>
      <c r="E8" s="13">
        <f>_xll.BDH("ALB US Equity","ENVIRONMENTAL_SCORE","FY 2015","FY 2015","Currency=USD","Period=FY","BEST_FPERIOD_OVERRIDE=FY","FILING_STATUS=MR","Sort=A","Dates=H","DateFormat=P","Fill=—","Direction=H","UseDPDF=Y")</f>
        <v>1.1299999999999999</v>
      </c>
      <c r="F8" s="13">
        <f>_xll.BDH("ALB US Equity","ENVIRONMENTAL_SCORE","FY 2016","FY 2016","Currency=USD","Period=FY","BEST_FPERIOD_OVERRIDE=FY","FILING_STATUS=MR","Sort=A","Dates=H","DateFormat=P","Fill=—","Direction=H","UseDPDF=Y")</f>
        <v>1.82</v>
      </c>
      <c r="G8" s="13">
        <f>_xll.BDH("ALB US Equity","ENVIRONMENTAL_SCORE","FY 2017","FY 2017","Currency=USD","Period=FY","BEST_FPERIOD_OVERRIDE=FY","FILING_STATUS=MR","Sort=A","Dates=H","DateFormat=P","Fill=—","Direction=H","UseDPDF=Y")</f>
        <v>1.5</v>
      </c>
      <c r="H8" s="13">
        <f>_xll.BDH("ALB US Equity","ENVIRONMENTAL_SCORE","FY 2018","FY 2018","Currency=USD","Period=FY","BEST_FPERIOD_OVERRIDE=FY","FILING_STATUS=MR","Sort=A","Dates=H","DateFormat=P","Fill=—","Direction=H","UseDPDF=Y")</f>
        <v>2.71</v>
      </c>
      <c r="I8" s="13">
        <f>_xll.BDH("ALB US Equity","ENVIRONMENTAL_SCORE","FY 2019","FY 2019","Currency=USD","Period=FY","BEST_FPERIOD_OVERRIDE=FY","FILING_STATUS=MR","Sort=A","Dates=H","DateFormat=P","Fill=—","Direction=H","UseDPDF=Y")</f>
        <v>3.36</v>
      </c>
      <c r="J8" s="13">
        <f>_xll.BDH("ALB US Equity","ENVIRONMENTAL_SCORE","FY 2020","FY 2020","Currency=USD","Period=FY","BEST_FPERIOD_OVERRIDE=FY","FILING_STATUS=MR","Sort=A","Dates=H","DateFormat=P","Fill=—","Direction=H","UseDPDF=Y")</f>
        <v>3.82</v>
      </c>
      <c r="K8" s="13">
        <f>_xll.BDH("ALB US Equity","ENVIRONMENTAL_SCORE","FY 2021","FY 2021","Currency=USD","Period=FY","BEST_FPERIOD_OVERRIDE=FY","FILING_STATUS=MR","Sort=A","Dates=H","DateFormat=P","Fill=—","Direction=H","UseDPDF=Y")</f>
        <v>4.6500000000000004</v>
      </c>
      <c r="L8" s="13" t="str">
        <f>_xll.BDH("ALB US Equity","ENVIRONMENTAL_SCORE","FY 2022","FY 2022","Currency=USD","Period=FY","BEST_FPERIOD_OVERRIDE=FY","FILING_STATUS=MR","Sort=A","Dates=H","DateFormat=P","Fill=—","Direction=H","UseDPDF=Y")</f>
        <v>—</v>
      </c>
    </row>
    <row r="9" spans="1:12">
      <c r="A9" s="10" t="s">
        <v>28</v>
      </c>
      <c r="B9" s="10" t="s">
        <v>29</v>
      </c>
      <c r="C9" s="13" t="str">
        <f>_xll.BDH("ALB US Equity","SOCIAL_SCORE","FY 2013","FY 2013","Currency=USD","Period=FY","BEST_FPERIOD_OVERRIDE=FY","FILING_STATUS=MR","Sort=A","Dates=H","DateFormat=P","Fill=—","Direction=H","UseDPDF=Y")</f>
        <v>—</v>
      </c>
      <c r="D9" s="13" t="str">
        <f>_xll.BDH("ALB US Equity","SOCIAL_SCORE","FY 2014","FY 2014","Currency=USD","Period=FY","BEST_FPERIOD_OVERRIDE=FY","FILING_STATUS=MR","Sort=A","Dates=H","DateFormat=P","Fill=—","Direction=H","UseDPDF=Y")</f>
        <v>—</v>
      </c>
      <c r="E9" s="13">
        <f>_xll.BDH("ALB US Equity","SOCIAL_SCORE","FY 2015","FY 2015","Currency=USD","Period=FY","BEST_FPERIOD_OVERRIDE=FY","FILING_STATUS=MR","Sort=A","Dates=H","DateFormat=P","Fill=—","Direction=H","UseDPDF=Y")</f>
        <v>2.31</v>
      </c>
      <c r="F9" s="13">
        <f>_xll.BDH("ALB US Equity","SOCIAL_SCORE","FY 2016","FY 2016","Currency=USD","Period=FY","BEST_FPERIOD_OVERRIDE=FY","FILING_STATUS=MR","Sort=A","Dates=H","DateFormat=P","Fill=—","Direction=H","UseDPDF=Y")</f>
        <v>5.84</v>
      </c>
      <c r="G9" s="13">
        <f>_xll.BDH("ALB US Equity","SOCIAL_SCORE","FY 2017","FY 2017","Currency=USD","Period=FY","BEST_FPERIOD_OVERRIDE=FY","FILING_STATUS=MR","Sort=A","Dates=H","DateFormat=P","Fill=—","Direction=H","UseDPDF=Y")</f>
        <v>5.65</v>
      </c>
      <c r="H9" s="13">
        <f>_xll.BDH("ALB US Equity","SOCIAL_SCORE","FY 2018","FY 2018","Currency=USD","Period=FY","BEST_FPERIOD_OVERRIDE=FY","FILING_STATUS=MR","Sort=A","Dates=H","DateFormat=P","Fill=—","Direction=H","UseDPDF=Y")</f>
        <v>7.79</v>
      </c>
      <c r="I9" s="13">
        <f>_xll.BDH("ALB US Equity","SOCIAL_SCORE","FY 2019","FY 2019","Currency=USD","Period=FY","BEST_FPERIOD_OVERRIDE=FY","FILING_STATUS=MR","Sort=A","Dates=H","DateFormat=P","Fill=—","Direction=H","UseDPDF=Y")</f>
        <v>8.0399999999999991</v>
      </c>
      <c r="J9" s="13">
        <f>_xll.BDH("ALB US Equity","SOCIAL_SCORE","FY 2020","FY 2020","Currency=USD","Period=FY","BEST_FPERIOD_OVERRIDE=FY","FILING_STATUS=MR","Sort=A","Dates=H","DateFormat=P","Fill=—","Direction=H","UseDPDF=Y")</f>
        <v>8.25</v>
      </c>
      <c r="K9" s="13">
        <f>_xll.BDH("ALB US Equity","SOCIAL_SCORE","FY 2021","FY 2021","Currency=USD","Period=FY","BEST_FPERIOD_OVERRIDE=FY","FILING_STATUS=MR","Sort=A","Dates=H","DateFormat=P","Fill=—","Direction=H","UseDPDF=Y")</f>
        <v>4.34</v>
      </c>
      <c r="L9" s="13" t="str">
        <f>_xll.BDH("ALB US Equity","SOCIAL_SCORE","FY 2022","FY 2022","Currency=USD","Period=FY","BEST_FPERIOD_OVERRIDE=FY","FILING_STATUS=MR","Sort=A","Dates=H","DateFormat=P","Fill=—","Direction=H","UseDPDF=Y")</f>
        <v>—</v>
      </c>
    </row>
    <row r="10" spans="1:12">
      <c r="A10" s="10" t="s">
        <v>30</v>
      </c>
      <c r="B10" s="10" t="s">
        <v>31</v>
      </c>
      <c r="C10" s="13" t="str">
        <f>_xll.BDH("ALB US Equity","GOVERNANCE_SCORE","FY 2013","FY 2013","Currency=USD","Period=FY","BEST_FPERIOD_OVERRIDE=FY","FILING_STATUS=MR","Sort=A","Dates=H","DateFormat=P","Fill=—","Direction=H","UseDPDF=Y")</f>
        <v>—</v>
      </c>
      <c r="D10" s="13" t="str">
        <f>_xll.BDH("ALB US Equity","GOVERNANCE_SCORE","FY 2014","FY 2014","Currency=USD","Period=FY","BEST_FPERIOD_OVERRIDE=FY","FILING_STATUS=MR","Sort=A","Dates=H","DateFormat=P","Fill=—","Direction=H","UseDPDF=Y")</f>
        <v>—</v>
      </c>
      <c r="E10" s="13">
        <f>_xll.BDH("ALB US Equity","GOVERNANCE_SCORE","FY 2015","FY 2015","Currency=USD","Period=FY","BEST_FPERIOD_OVERRIDE=FY","FILING_STATUS=MR","Sort=A","Dates=H","DateFormat=P","Fill=—","Direction=H","UseDPDF=Y")</f>
        <v>7.71</v>
      </c>
      <c r="F10" s="13">
        <f>_xll.BDH("ALB US Equity","GOVERNANCE_SCORE","FY 2016","FY 2016","Currency=USD","Period=FY","BEST_FPERIOD_OVERRIDE=FY","FILING_STATUS=MR","Sort=A","Dates=H","DateFormat=P","Fill=—","Direction=H","UseDPDF=Y")</f>
        <v>7.16</v>
      </c>
      <c r="G10" s="13">
        <f>_xll.BDH("ALB US Equity","GOVERNANCE_SCORE","FY 2017","FY 2017","Currency=USD","Period=FY","BEST_FPERIOD_OVERRIDE=FY","FILING_STATUS=MR","Sort=A","Dates=H","DateFormat=P","Fill=—","Direction=H","UseDPDF=Y")</f>
        <v>7.53</v>
      </c>
      <c r="H10" s="13">
        <f>_xll.BDH("ALB US Equity","GOVERNANCE_SCORE","FY 2018","FY 2018","Currency=USD","Period=FY","BEST_FPERIOD_OVERRIDE=FY","FILING_STATUS=MR","Sort=A","Dates=H","DateFormat=P","Fill=—","Direction=H","UseDPDF=Y")</f>
        <v>7.51</v>
      </c>
      <c r="I10" s="13">
        <f>_xll.BDH("ALB US Equity","GOVERNANCE_SCORE","FY 2019","FY 2019","Currency=USD","Period=FY","BEST_FPERIOD_OVERRIDE=FY","FILING_STATUS=MR","Sort=A","Dates=H","DateFormat=P","Fill=—","Direction=H","UseDPDF=Y")</f>
        <v>7.58</v>
      </c>
      <c r="J10" s="13">
        <f>_xll.BDH("ALB US Equity","GOVERNANCE_SCORE","FY 2020","FY 2020","Currency=USD","Period=FY","BEST_FPERIOD_OVERRIDE=FY","FILING_STATUS=MR","Sort=A","Dates=H","DateFormat=P","Fill=—","Direction=H","UseDPDF=Y")</f>
        <v>7.6</v>
      </c>
      <c r="K10" s="13">
        <f>_xll.BDH("ALB US Equity","GOVERNANCE_SCORE","FY 2021","FY 2021","Currency=USD","Period=FY","BEST_FPERIOD_OVERRIDE=FY","FILING_STATUS=MR","Sort=A","Dates=H","DateFormat=P","Fill=—","Direction=H","UseDPDF=Y")</f>
        <v>7.9</v>
      </c>
      <c r="L10" s="13" t="str">
        <f>_xll.BDH("ALB US Equity","GOVERNANCE_SCORE","FY 2022","FY 2022","Currency=USD","Period=FY","BEST_FPERIOD_OVERRIDE=FY","FILING_STATUS=MR","Sort=A","Dates=H","DateFormat=P","Fill=—","Direction=H","UseDPDF=Y")</f>
        <v>—</v>
      </c>
    </row>
    <row r="11" spans="1:1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0" t="s">
        <v>32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6" t="s">
        <v>33</v>
      </c>
      <c r="B13" s="6" t="s">
        <v>34</v>
      </c>
      <c r="C13" s="15">
        <f>_xll.BDH("ALB US Equity","ESG_DISCLOSURE_SCORE","FY 2013","FY 2013","Currency=USD","Period=FY","BEST_FPERIOD_OVERRIDE=FY","FILING_STATUS=MR","Sort=A","Dates=H","DateFormat=P","Fill=—","Direction=H","UseDPDF=Y")</f>
        <v>50.176000000000002</v>
      </c>
      <c r="D13" s="15">
        <f>_xll.BDH("ALB US Equity","ESG_DISCLOSURE_SCORE","FY 2014","FY 2014","Currency=USD","Period=FY","BEST_FPERIOD_OVERRIDE=FY","FILING_STATUS=MR","Sort=A","Dates=H","DateFormat=P","Fill=—","Direction=H","UseDPDF=Y")</f>
        <v>55.3767</v>
      </c>
      <c r="E13" s="15">
        <f>_xll.BDH("ALB US Equity","ESG_DISCLOSURE_SCORE","FY 2015","FY 2015","Currency=USD","Period=FY","BEST_FPERIOD_OVERRIDE=FY","FILING_STATUS=MR","Sort=A","Dates=H","DateFormat=P","Fill=—","Direction=H","UseDPDF=Y")</f>
        <v>48.244599999999998</v>
      </c>
      <c r="F13" s="15">
        <f>_xll.BDH("ALB US Equity","ESG_DISCLOSURE_SCORE","FY 2016","FY 2016","Currency=USD","Period=FY","BEST_FPERIOD_OVERRIDE=FY","FILING_STATUS=MR","Sort=A","Dates=H","DateFormat=P","Fill=—","Direction=H","UseDPDF=Y")</f>
        <v>55.417000000000002</v>
      </c>
      <c r="G13" s="15">
        <f>_xll.BDH("ALB US Equity","ESG_DISCLOSURE_SCORE","FY 2017","FY 2017","Currency=USD","Period=FY","BEST_FPERIOD_OVERRIDE=FY","FILING_STATUS=MR","Sort=A","Dates=H","DateFormat=P","Fill=—","Direction=H","UseDPDF=Y")</f>
        <v>55.386800000000001</v>
      </c>
      <c r="H13" s="15">
        <f>_xll.BDH("ALB US Equity","ESG_DISCLOSURE_SCORE","FY 2018","FY 2018","Currency=USD","Period=FY","BEST_FPERIOD_OVERRIDE=FY","FILING_STATUS=MR","Sort=A","Dates=H","DateFormat=P","Fill=—","Direction=H","UseDPDF=Y")</f>
        <v>63.514699999999998</v>
      </c>
      <c r="I13" s="15">
        <f>_xll.BDH("ALB US Equity","ESG_DISCLOSURE_SCORE","FY 2019","FY 2019","Currency=USD","Period=FY","BEST_FPERIOD_OVERRIDE=FY","FILING_STATUS=MR","Sort=A","Dates=H","DateFormat=P","Fill=—","Direction=H","UseDPDF=Y")</f>
        <v>64.731899999999996</v>
      </c>
      <c r="J13" s="15">
        <f>_xll.BDH("ALB US Equity","ESG_DISCLOSURE_SCORE","FY 2020","FY 2020","Currency=USD","Period=FY","BEST_FPERIOD_OVERRIDE=FY","FILING_STATUS=MR","Sort=A","Dates=H","DateFormat=P","Fill=—","Direction=H","UseDPDF=Y")</f>
        <v>70.013099999999994</v>
      </c>
      <c r="K13" s="15">
        <f>_xll.BDH("ALB US Equity","ESG_DISCLOSURE_SCORE","FY 2021","FY 2021","Currency=USD","Period=FY","BEST_FPERIOD_OVERRIDE=FY","FILING_STATUS=MR","Sort=A","Dates=H","DateFormat=P","Fill=—","Direction=H","UseDPDF=Y")</f>
        <v>73.644499999999994</v>
      </c>
      <c r="L13" s="15">
        <f>_xll.BDH("ALB US Equity","ESG_DISCLOSURE_SCORE","FY 2022","FY 2022","Currency=USD","Period=FY","BEST_FPERIOD_OVERRIDE=FY","FILING_STATUS=MR","Sort=A","Dates=H","DateFormat=P","Fill=—","Direction=H","UseDPDF=Y")</f>
        <v>73.121399999999994</v>
      </c>
    </row>
    <row r="14" spans="1:12">
      <c r="A14" s="10" t="s">
        <v>35</v>
      </c>
      <c r="B14" s="10" t="s">
        <v>36</v>
      </c>
      <c r="C14" s="13">
        <f>_xll.BDH("ALB US Equity","ENVIRON_DISCLOSURE_SCORE","FY 2013","FY 2013","Currency=USD","Period=FY","BEST_FPERIOD_OVERRIDE=FY","FILING_STATUS=MR","Sort=A","Dates=H","DateFormat=P","Fill=—","Direction=H","UseDPDF=Y")</f>
        <v>44.065199999999997</v>
      </c>
      <c r="D14" s="13">
        <f>_xll.BDH("ALB US Equity","ENVIRON_DISCLOSURE_SCORE","FY 2014","FY 2014","Currency=USD","Period=FY","BEST_FPERIOD_OVERRIDE=FY","FILING_STATUS=MR","Sort=A","Dates=H","DateFormat=P","Fill=—","Direction=H","UseDPDF=Y")</f>
        <v>59.287199999999999</v>
      </c>
      <c r="E14" s="13">
        <f>_xll.BDH("ALB US Equity","ENVIRON_DISCLOSURE_SCORE","FY 2015","FY 2015","Currency=USD","Period=FY","BEST_FPERIOD_OVERRIDE=FY","FILING_STATUS=MR","Sort=A","Dates=H","DateFormat=P","Fill=—","Direction=H","UseDPDF=Y")</f>
        <v>21.896699999999999</v>
      </c>
      <c r="F14" s="13">
        <f>_xll.BDH("ALB US Equity","ENVIRON_DISCLOSURE_SCORE","FY 2016","FY 2016","Currency=USD","Period=FY","BEST_FPERIOD_OVERRIDE=FY","FILING_STATUS=MR","Sort=A","Dates=H","DateFormat=P","Fill=—","Direction=H","UseDPDF=Y")</f>
        <v>43.430999999999997</v>
      </c>
      <c r="G14" s="13">
        <f>_xll.BDH("ALB US Equity","ENVIRON_DISCLOSURE_SCORE","FY 2017","FY 2017","Currency=USD","Period=FY","BEST_FPERIOD_OVERRIDE=FY","FILING_STATUS=MR","Sort=A","Dates=H","DateFormat=P","Fill=—","Direction=H","UseDPDF=Y")</f>
        <v>40.833599999999997</v>
      </c>
      <c r="H14" s="13">
        <f>_xll.BDH("ALB US Equity","ENVIRON_DISCLOSURE_SCORE","FY 2018","FY 2018","Currency=USD","Period=FY","BEST_FPERIOD_OVERRIDE=FY","FILING_STATUS=MR","Sort=A","Dates=H","DateFormat=P","Fill=—","Direction=H","UseDPDF=Y")</f>
        <v>53.820599999999999</v>
      </c>
      <c r="I14" s="13">
        <f>_xll.BDH("ALB US Equity","ENVIRON_DISCLOSURE_SCORE","FY 2019","FY 2019","Currency=USD","Period=FY","BEST_FPERIOD_OVERRIDE=FY","FILING_STATUS=MR","Sort=A","Dates=H","DateFormat=P","Fill=—","Direction=H","UseDPDF=Y")</f>
        <v>56.840800000000002</v>
      </c>
      <c r="J14" s="13">
        <f>_xll.BDH("ALB US Equity","ENVIRON_DISCLOSURE_SCORE","FY 2020","FY 2020","Currency=USD","Period=FY","BEST_FPERIOD_OVERRIDE=FY","FILING_STATUS=MR","Sort=A","Dates=H","DateFormat=P","Fill=—","Direction=H","UseDPDF=Y")</f>
        <v>64.149799999999999</v>
      </c>
      <c r="K14" s="13">
        <f>_xll.BDH("ALB US Equity","ENVIRON_DISCLOSURE_SCORE","FY 2021","FY 2021","Currency=USD","Period=FY","BEST_FPERIOD_OVERRIDE=FY","FILING_STATUS=MR","Sort=A","Dates=H","DateFormat=P","Fill=—","Direction=H","UseDPDF=Y")</f>
        <v>69.405000000000001</v>
      </c>
      <c r="L14" s="13">
        <f>_xll.BDH("ALB US Equity","ENVIRON_DISCLOSURE_SCORE","FY 2022","FY 2022","Currency=USD","Period=FY","BEST_FPERIOD_OVERRIDE=FY","FILING_STATUS=MR","Sort=A","Dates=H","DateFormat=P","Fill=—","Direction=H","UseDPDF=Y")</f>
        <v>69.405000000000001</v>
      </c>
    </row>
    <row r="15" spans="1:12">
      <c r="A15" s="10" t="s">
        <v>37</v>
      </c>
      <c r="B15" s="10" t="s">
        <v>38</v>
      </c>
      <c r="C15" s="13">
        <f>_xll.BDH("ALB US Equity","SOCIAL_DISCLOSURE_SCORE","FY 2013","FY 2013","Currency=USD","Period=FY","BEST_FPERIOD_OVERRIDE=FY","FILING_STATUS=MR","Sort=A","Dates=H","DateFormat=P","Fill=—","Direction=H","UseDPDF=Y")</f>
        <v>23.307099999999998</v>
      </c>
      <c r="D15" s="13">
        <f>_xll.BDH("ALB US Equity","SOCIAL_DISCLOSURE_SCORE","FY 2014","FY 2014","Currency=USD","Period=FY","BEST_FPERIOD_OVERRIDE=FY","FILING_STATUS=MR","Sort=A","Dates=H","DateFormat=P","Fill=—","Direction=H","UseDPDF=Y")</f>
        <v>23.700099999999999</v>
      </c>
      <c r="E15" s="13">
        <f>_xll.BDH("ALB US Equity","SOCIAL_DISCLOSURE_SCORE","FY 2015","FY 2015","Currency=USD","Period=FY","BEST_FPERIOD_OVERRIDE=FY","FILING_STATUS=MR","Sort=A","Dates=H","DateFormat=P","Fill=—","Direction=H","UseDPDF=Y")</f>
        <v>37.726700000000001</v>
      </c>
      <c r="F15" s="13">
        <f>_xll.BDH("ALB US Equity","SOCIAL_DISCLOSURE_SCORE","FY 2016","FY 2016","Currency=USD","Period=FY","BEST_FPERIOD_OVERRIDE=FY","FILING_STATUS=MR","Sort=A","Dates=H","DateFormat=P","Fill=—","Direction=H","UseDPDF=Y")</f>
        <v>37.726700000000001</v>
      </c>
      <c r="G15" s="13">
        <f>_xll.BDH("ALB US Equity","SOCIAL_DISCLOSURE_SCORE","FY 2017","FY 2017","Currency=USD","Period=FY","BEST_FPERIOD_OVERRIDE=FY","FILING_STATUS=MR","Sort=A","Dates=H","DateFormat=P","Fill=—","Direction=H","UseDPDF=Y")</f>
        <v>37.726700000000001</v>
      </c>
      <c r="H15" s="13">
        <f>_xll.BDH("ALB US Equity","SOCIAL_DISCLOSURE_SCORE","FY 2018","FY 2018","Currency=USD","Period=FY","BEST_FPERIOD_OVERRIDE=FY","FILING_STATUS=MR","Sort=A","Dates=H","DateFormat=P","Fill=—","Direction=H","UseDPDF=Y")</f>
        <v>49.153599999999997</v>
      </c>
      <c r="I15" s="13">
        <f>_xll.BDH("ALB US Equity","SOCIAL_DISCLOSURE_SCORE","FY 2019","FY 2019","Currency=USD","Period=FY","BEST_FPERIOD_OVERRIDE=FY","FILING_STATUS=MR","Sort=A","Dates=H","DateFormat=P","Fill=—","Direction=H","UseDPDF=Y")</f>
        <v>49.788400000000003</v>
      </c>
      <c r="J15" s="13">
        <f>_xll.BDH("ALB US Equity","SOCIAL_DISCLOSURE_SCORE","FY 2020","FY 2020","Currency=USD","Period=FY","BEST_FPERIOD_OVERRIDE=FY","FILING_STATUS=MR","Sort=A","Dates=H","DateFormat=P","Fill=—","Direction=H","UseDPDF=Y")</f>
        <v>58.343400000000003</v>
      </c>
      <c r="K15" s="13">
        <f>_xll.BDH("ALB US Equity","SOCIAL_DISCLOSURE_SCORE","FY 2021","FY 2021","Currency=USD","Period=FY","BEST_FPERIOD_OVERRIDE=FY","FILING_STATUS=MR","Sort=A","Dates=H","DateFormat=P","Fill=—","Direction=H","UseDPDF=Y")</f>
        <v>57.708599999999997</v>
      </c>
      <c r="L15" s="13">
        <f>_xll.BDH("ALB US Equity","SOCIAL_DISCLOSURE_SCORE","FY 2022","FY 2022","Currency=USD","Period=FY","BEST_FPERIOD_OVERRIDE=FY","FILING_STATUS=MR","Sort=A","Dates=H","DateFormat=P","Fill=—","Direction=H","UseDPDF=Y")</f>
        <v>56.136600000000001</v>
      </c>
    </row>
    <row r="16" spans="1:12">
      <c r="A16" s="10" t="s">
        <v>39</v>
      </c>
      <c r="B16" s="10" t="s">
        <v>40</v>
      </c>
      <c r="C16" s="13">
        <f>_xll.BDH("ALB US Equity","GOVNCE_DISCLOSURE_SCORE","FY 2013","FY 2013","Currency=USD","Period=FY","BEST_FPERIOD_OVERRIDE=FY","FILING_STATUS=MR","Sort=A","Dates=H","DateFormat=P","Fill=—","Direction=H","UseDPDF=Y")</f>
        <v>83.022300000000001</v>
      </c>
      <c r="D16" s="13">
        <f>_xll.BDH("ALB US Equity","GOVNCE_DISCLOSURE_SCORE","FY 2014","FY 2014","Currency=USD","Period=FY","BEST_FPERIOD_OVERRIDE=FY","FILING_STATUS=MR","Sort=A","Dates=H","DateFormat=P","Fill=—","Direction=H","UseDPDF=Y")</f>
        <v>83.022300000000001</v>
      </c>
      <c r="E16" s="13">
        <f>_xll.BDH("ALB US Equity","GOVNCE_DISCLOSURE_SCORE","FY 2015","FY 2015","Currency=USD","Period=FY","BEST_FPERIOD_OVERRIDE=FY","FILING_STATUS=MR","Sort=A","Dates=H","DateFormat=P","Fill=—","Direction=H","UseDPDF=Y")</f>
        <v>84.978899999999996</v>
      </c>
      <c r="F16" s="13">
        <f>_xll.BDH("ALB US Equity","GOVNCE_DISCLOSURE_SCORE","FY 2016","FY 2016","Currency=USD","Period=FY","BEST_FPERIOD_OVERRIDE=FY","FILING_STATUS=MR","Sort=A","Dates=H","DateFormat=P","Fill=—","Direction=H","UseDPDF=Y")</f>
        <v>84.978899999999996</v>
      </c>
      <c r="G16" s="13">
        <f>_xll.BDH("ALB US Equity","GOVNCE_DISCLOSURE_SCORE","FY 2017","FY 2017","Currency=USD","Period=FY","BEST_FPERIOD_OVERRIDE=FY","FILING_STATUS=MR","Sort=A","Dates=H","DateFormat=P","Fill=—","Direction=H","UseDPDF=Y")</f>
        <v>87.477400000000003</v>
      </c>
      <c r="H16" s="13">
        <f>_xll.BDH("ALB US Equity","GOVNCE_DISCLOSURE_SCORE","FY 2018","FY 2018","Currency=USD","Period=FY","BEST_FPERIOD_OVERRIDE=FY","FILING_STATUS=MR","Sort=A","Dates=H","DateFormat=P","Fill=—","Direction=H","UseDPDF=Y")</f>
        <v>87.477400000000003</v>
      </c>
      <c r="I16" s="13">
        <f>_xll.BDH("ALB US Equity","GOVNCE_DISCLOSURE_SCORE","FY 2019","FY 2019","Currency=USD","Period=FY","BEST_FPERIOD_OVERRIDE=FY","FILING_STATUS=MR","Sort=A","Dates=H","DateFormat=P","Fill=—","Direction=H","UseDPDF=Y")</f>
        <v>87.477400000000003</v>
      </c>
      <c r="J16" s="13">
        <f>_xll.BDH("ALB US Equity","GOVNCE_DISCLOSURE_SCORE","FY 2020","FY 2020","Currency=USD","Period=FY","BEST_FPERIOD_OVERRIDE=FY","FILING_STATUS=MR","Sort=A","Dates=H","DateFormat=P","Fill=—","Direction=H","UseDPDF=Y")</f>
        <v>87.477400000000003</v>
      </c>
      <c r="K16" s="13">
        <f>_xll.BDH("ALB US Equity","GOVNCE_DISCLOSURE_SCORE","FY 2021","FY 2021","Currency=USD","Period=FY","BEST_FPERIOD_OVERRIDE=FY","FILING_STATUS=MR","Sort=A","Dates=H","DateFormat=P","Fill=—","Direction=H","UseDPDF=Y")</f>
        <v>93.738699999999994</v>
      </c>
      <c r="L16" s="13">
        <f>_xll.BDH("ALB US Equity","GOVNCE_DISCLOSURE_SCORE","FY 2022","FY 2022","Currency=USD","Period=FY","BEST_FPERIOD_OVERRIDE=FY","FILING_STATUS=MR","Sort=A","Dates=H","DateFormat=P","Fill=—","Direction=H","UseDPDF=Y")</f>
        <v>93.738699999999994</v>
      </c>
    </row>
    <row r="17" spans="1:1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6" t="s">
        <v>41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0" t="s">
        <v>42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A20" s="10" t="s">
        <v>43</v>
      </c>
      <c r="B20" s="10" t="s">
        <v>44</v>
      </c>
      <c r="C20" s="12">
        <f>_xll.BDH("ALB US Equity","NOX_EMISSIONS","FY 2013","FY 2013","Currency=USD","Period=FY","BEST_FPERIOD_OVERRIDE=FY","FILING_STATUS=MR","Sort=A","Dates=H","DateFormat=P","Fill=—","Direction=H","UseDPDF=Y")</f>
        <v>0.74199999999999999</v>
      </c>
      <c r="D20" s="12">
        <f>_xll.BDH("ALB US Equity","NOX_EMISSIONS","FY 2014","FY 2014","Currency=USD","Period=FY","BEST_FPERIOD_OVERRIDE=FY","FILING_STATUS=MR","Sort=A","Dates=H","DateFormat=P","Fill=—","Direction=H","UseDPDF=Y")</f>
        <v>0.58099999999999996</v>
      </c>
      <c r="E20" s="12" t="str">
        <f>_xll.BDH("ALB US Equity","NOX_EMISSIONS","FY 2015","FY 2015","Currency=USD","Period=FY","BEST_FPERIOD_OVERRIDE=FY","FILING_STATUS=MR","Sort=A","Dates=H","DateFormat=P","Fill=—","Direction=H","UseDPDF=Y")</f>
        <v>—</v>
      </c>
      <c r="F20" s="12">
        <f>_xll.BDH("ALB US Equity","NOX_EMISSIONS","FY 2016","FY 2016","Currency=USD","Period=FY","BEST_FPERIOD_OVERRIDE=FY","FILING_STATUS=MR","Sort=A","Dates=H","DateFormat=P","Fill=—","Direction=H","UseDPDF=Y")</f>
        <v>0.81200000000000006</v>
      </c>
      <c r="G20" s="12">
        <f>_xll.BDH("ALB US Equity","NOX_EMISSIONS","FY 2017","FY 2017","Currency=USD","Period=FY","BEST_FPERIOD_OVERRIDE=FY","FILING_STATUS=MR","Sort=A","Dates=H","DateFormat=P","Fill=—","Direction=H","UseDPDF=Y")</f>
        <v>0.46400000000000002</v>
      </c>
      <c r="H20" s="12">
        <f>_xll.BDH("ALB US Equity","NOX_EMISSIONS","FY 2018","FY 2018","Currency=USD","Period=FY","BEST_FPERIOD_OVERRIDE=FY","FILING_STATUS=MR","Sort=A","Dates=H","DateFormat=P","Fill=—","Direction=H","UseDPDF=Y")</f>
        <v>0.63900000000000001</v>
      </c>
      <c r="I20" s="12">
        <f>_xll.BDH("ALB US Equity","NOX_EMISSIONS","FY 2019","FY 2019","Currency=USD","Period=FY","BEST_FPERIOD_OVERRIDE=FY","FILING_STATUS=MR","Sort=A","Dates=H","DateFormat=P","Fill=—","Direction=H","UseDPDF=Y")</f>
        <v>0.71</v>
      </c>
      <c r="J20" s="12">
        <f>_xll.BDH("ALB US Equity","NOX_EMISSIONS","FY 2020","FY 2020","Currency=USD","Period=FY","BEST_FPERIOD_OVERRIDE=FY","FILING_STATUS=MR","Sort=A","Dates=H","DateFormat=P","Fill=—","Direction=H","UseDPDF=Y")</f>
        <v>0.64700000000000002</v>
      </c>
      <c r="K20" s="12">
        <f>_xll.BDH("ALB US Equity","NOX_EMISSIONS","FY 2021","FY 2021","Currency=USD","Period=FY","BEST_FPERIOD_OVERRIDE=FY","FILING_STATUS=MR","Sort=A","Dates=H","DateFormat=P","Fill=—","Direction=H","UseDPDF=Y")</f>
        <v>0.753</v>
      </c>
      <c r="L20" s="12">
        <f>_xll.BDH("ALB US Equity","NOX_EMISSIONS","FY 2022","FY 2022","Currency=USD","Period=FY","BEST_FPERIOD_OVERRIDE=FY","FILING_STATUS=MR","Sort=A","Dates=H","DateFormat=P","Fill=—","Direction=H","UseDPDF=Y")</f>
        <v>0.69199999999999995</v>
      </c>
    </row>
    <row r="21" spans="1:12">
      <c r="A21" s="10" t="s">
        <v>45</v>
      </c>
      <c r="B21" s="10" t="s">
        <v>46</v>
      </c>
      <c r="C21" s="12" t="str">
        <f>_xll.BDH("ALB US Equity","VOC_EMISSIONS","FY 2013","FY 2013","Currency=USD","Period=FY","BEST_FPERIOD_OVERRIDE=FY","FILING_STATUS=MR","Sort=A","Dates=H","DateFormat=P","Fill=—","Direction=H","UseDPDF=Y")</f>
        <v>—</v>
      </c>
      <c r="D21" s="12" t="str">
        <f>_xll.BDH("ALB US Equity","VOC_EMISSIONS","FY 2014","FY 2014","Currency=USD","Period=FY","BEST_FPERIOD_OVERRIDE=FY","FILING_STATUS=MR","Sort=A","Dates=H","DateFormat=P","Fill=—","Direction=H","UseDPDF=Y")</f>
        <v>—</v>
      </c>
      <c r="E21" s="12" t="str">
        <f>_xll.BDH("ALB US Equity","VOC_EMISSIONS","FY 2015","FY 2015","Currency=USD","Period=FY","BEST_FPERIOD_OVERRIDE=FY","FILING_STATUS=MR","Sort=A","Dates=H","DateFormat=P","Fill=—","Direction=H","UseDPDF=Y")</f>
        <v>—</v>
      </c>
      <c r="F21" s="12" t="str">
        <f>_xll.BDH("ALB US Equity","VOC_EMISSIONS","FY 2016","FY 2016","Currency=USD","Period=FY","BEST_FPERIOD_OVERRIDE=FY","FILING_STATUS=MR","Sort=A","Dates=H","DateFormat=P","Fill=—","Direction=H","UseDPDF=Y")</f>
        <v>—</v>
      </c>
      <c r="G21" s="12" t="str">
        <f>_xll.BDH("ALB US Equity","VOC_EMISSIONS","FY 2017","FY 2017","Currency=USD","Period=FY","BEST_FPERIOD_OVERRIDE=FY","FILING_STATUS=MR","Sort=A","Dates=H","DateFormat=P","Fill=—","Direction=H","UseDPDF=Y")</f>
        <v>—</v>
      </c>
      <c r="H21" s="12" t="str">
        <f>_xll.BDH("ALB US Equity","VOC_EMISSIONS","FY 2018","FY 2018","Currency=USD","Period=FY","BEST_FPERIOD_OVERRIDE=FY","FILING_STATUS=MR","Sort=A","Dates=H","DateFormat=P","Fill=—","Direction=H","UseDPDF=Y")</f>
        <v>—</v>
      </c>
      <c r="I21" s="12">
        <f>_xll.BDH("ALB US Equity","VOC_EMISSIONS","FY 2019","FY 2019","Currency=USD","Period=FY","BEST_FPERIOD_OVERRIDE=FY","FILING_STATUS=MR","Sort=A","Dates=H","DateFormat=P","Fill=—","Direction=H","UseDPDF=Y")</f>
        <v>0.84699999999999998</v>
      </c>
      <c r="J21" s="12">
        <f>_xll.BDH("ALB US Equity","VOC_EMISSIONS","FY 2020","FY 2020","Currency=USD","Period=FY","BEST_FPERIOD_OVERRIDE=FY","FILING_STATUS=MR","Sort=A","Dates=H","DateFormat=P","Fill=—","Direction=H","UseDPDF=Y")</f>
        <v>0.97299999999999998</v>
      </c>
      <c r="K21" s="12">
        <f>_xll.BDH("ALB US Equity","VOC_EMISSIONS","FY 2021","FY 2021","Currency=USD","Period=FY","BEST_FPERIOD_OVERRIDE=FY","FILING_STATUS=MR","Sort=A","Dates=H","DateFormat=P","Fill=—","Direction=H","UseDPDF=Y")</f>
        <v>0.86599999999999999</v>
      </c>
      <c r="L21" s="12">
        <f>_xll.BDH("ALB US Equity","VOC_EMISSIONS","FY 2022","FY 2022","Currency=USD","Period=FY","BEST_FPERIOD_OVERRIDE=FY","FILING_STATUS=MR","Sort=A","Dates=H","DateFormat=P","Fill=—","Direction=H","UseDPDF=Y")</f>
        <v>0.91700000000000004</v>
      </c>
    </row>
    <row r="22" spans="1:12">
      <c r="A22" s="10" t="s">
        <v>47</v>
      </c>
      <c r="B22" s="10" t="s">
        <v>48</v>
      </c>
      <c r="C22" s="12">
        <f>_xll.BDH("ALB US Equity","SULPHUR_DIOXIDE_SULPHUR_OXIDE_EM","FY 2013","FY 2013","Currency=USD","Period=FY","BEST_FPERIOD_OVERRIDE=FY","FILING_STATUS=MR","Sort=A","Dates=H","DateFormat=P","Fill=—","Direction=H","UseDPDF=Y")</f>
        <v>2.9020000000000001</v>
      </c>
      <c r="D22" s="12">
        <f>_xll.BDH("ALB US Equity","SULPHUR_DIOXIDE_SULPHUR_OXIDE_EM","FY 2014","FY 2014","Currency=USD","Period=FY","BEST_FPERIOD_OVERRIDE=FY","FILING_STATUS=MR","Sort=A","Dates=H","DateFormat=P","Fill=—","Direction=H","UseDPDF=Y")</f>
        <v>1.2929999999999999</v>
      </c>
      <c r="E22" s="12" t="str">
        <f>_xll.BDH("ALB US Equity","SULPHUR_DIOXIDE_SULPHUR_OXIDE_EM","FY 2015","FY 2015","Currency=USD","Period=FY","BEST_FPERIOD_OVERRIDE=FY","FILING_STATUS=MR","Sort=A","Dates=H","DateFormat=P","Fill=—","Direction=H","UseDPDF=Y")</f>
        <v>—</v>
      </c>
      <c r="F22" s="12">
        <f>_xll.BDH("ALB US Equity","SULPHUR_DIOXIDE_SULPHUR_OXIDE_EM","FY 2016","FY 2016","Currency=USD","Period=FY","BEST_FPERIOD_OVERRIDE=FY","FILING_STATUS=MR","Sort=A","Dates=H","DateFormat=P","Fill=—","Direction=H","UseDPDF=Y")</f>
        <v>4.6900000000000004</v>
      </c>
      <c r="G22" s="12">
        <f>_xll.BDH("ALB US Equity","SULPHUR_DIOXIDE_SULPHUR_OXIDE_EM","FY 2017","FY 2017","Currency=USD","Period=FY","BEST_FPERIOD_OVERRIDE=FY","FILING_STATUS=MR","Sort=A","Dates=H","DateFormat=P","Fill=—","Direction=H","UseDPDF=Y")</f>
        <v>3.2149999999999999</v>
      </c>
      <c r="H22" s="12">
        <f>_xll.BDH("ALB US Equity","SULPHUR_DIOXIDE_SULPHUR_OXIDE_EM","FY 2018","FY 2018","Currency=USD","Period=FY","BEST_FPERIOD_OVERRIDE=FY","FILING_STATUS=MR","Sort=A","Dates=H","DateFormat=P","Fill=—","Direction=H","UseDPDF=Y")</f>
        <v>3.056</v>
      </c>
      <c r="I22" s="12">
        <f>_xll.BDH("ALB US Equity","SULPHUR_DIOXIDE_SULPHUR_OXIDE_EM","FY 2019","FY 2019","Currency=USD","Period=FY","BEST_FPERIOD_OVERRIDE=FY","FILING_STATUS=MR","Sort=A","Dates=H","DateFormat=P","Fill=—","Direction=H","UseDPDF=Y")</f>
        <v>1.458</v>
      </c>
      <c r="J22" s="12">
        <f>_xll.BDH("ALB US Equity","SULPHUR_DIOXIDE_SULPHUR_OXIDE_EM","FY 2020","FY 2020","Currency=USD","Period=FY","BEST_FPERIOD_OVERRIDE=FY","FILING_STATUS=MR","Sort=A","Dates=H","DateFormat=P","Fill=—","Direction=H","UseDPDF=Y")</f>
        <v>1.4019999999999999</v>
      </c>
      <c r="K22" s="12">
        <f>_xll.BDH("ALB US Equity","SULPHUR_DIOXIDE_SULPHUR_OXIDE_EM","FY 2021","FY 2021","Currency=USD","Period=FY","BEST_FPERIOD_OVERRIDE=FY","FILING_STATUS=MR","Sort=A","Dates=H","DateFormat=P","Fill=—","Direction=H","UseDPDF=Y")</f>
        <v>1.4470000000000001</v>
      </c>
      <c r="L22" s="12">
        <f>_xll.BDH("ALB US Equity","SULPHUR_DIOXIDE_SULPHUR_OXIDE_EM","FY 2022","FY 2022","Currency=USD","Period=FY","BEST_FPERIOD_OVERRIDE=FY","FILING_STATUS=MR","Sort=A","Dates=H","DateFormat=P","Fill=—","Direction=H","UseDPDF=Y")</f>
        <v>1.361</v>
      </c>
    </row>
    <row r="23" spans="1:1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0" t="s">
        <v>49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A25" s="10" t="s">
        <v>50</v>
      </c>
      <c r="B25" s="10" t="s">
        <v>51</v>
      </c>
      <c r="C25" s="11" t="s">
        <v>52</v>
      </c>
      <c r="D25" s="11" t="s">
        <v>52</v>
      </c>
      <c r="E25" s="11" t="s">
        <v>52</v>
      </c>
      <c r="F25" s="11" t="s">
        <v>52</v>
      </c>
      <c r="G25" s="11" t="s">
        <v>52</v>
      </c>
      <c r="H25" s="11" t="s">
        <v>52</v>
      </c>
      <c r="I25" s="11" t="s">
        <v>52</v>
      </c>
      <c r="J25" s="11" t="s">
        <v>52</v>
      </c>
      <c r="K25" s="11" t="s">
        <v>52</v>
      </c>
      <c r="L25" s="11" t="s">
        <v>52</v>
      </c>
    </row>
    <row r="26" spans="1:12">
      <c r="A26" s="10" t="s">
        <v>53</v>
      </c>
      <c r="B26" s="10" t="s">
        <v>54</v>
      </c>
      <c r="C26" s="11" t="s">
        <v>55</v>
      </c>
      <c r="D26" s="11" t="s">
        <v>55</v>
      </c>
      <c r="E26" s="11" t="s">
        <v>55</v>
      </c>
      <c r="F26" s="11" t="s">
        <v>55</v>
      </c>
      <c r="G26" s="11" t="s">
        <v>55</v>
      </c>
      <c r="H26" s="11" t="s">
        <v>55</v>
      </c>
      <c r="I26" s="11" t="s">
        <v>52</v>
      </c>
      <c r="J26" s="11" t="s">
        <v>52</v>
      </c>
      <c r="K26" s="11" t="s">
        <v>52</v>
      </c>
      <c r="L26" s="11" t="s">
        <v>52</v>
      </c>
    </row>
    <row r="27" spans="1:12">
      <c r="A27" s="10" t="s">
        <v>56</v>
      </c>
      <c r="B27" s="10" t="s">
        <v>57</v>
      </c>
      <c r="C27" s="11" t="s">
        <v>55</v>
      </c>
      <c r="D27" s="11" t="s">
        <v>55</v>
      </c>
      <c r="E27" s="11" t="s">
        <v>55</v>
      </c>
      <c r="F27" s="11" t="s">
        <v>55</v>
      </c>
      <c r="G27" s="11" t="s">
        <v>55</v>
      </c>
      <c r="H27" s="11" t="s">
        <v>55</v>
      </c>
      <c r="I27" s="11" t="s">
        <v>55</v>
      </c>
      <c r="J27" s="11" t="s">
        <v>55</v>
      </c>
      <c r="K27" s="11" t="s">
        <v>55</v>
      </c>
      <c r="L27" s="11" t="s">
        <v>55</v>
      </c>
    </row>
    <row r="28" spans="1:12">
      <c r="A28" s="10" t="s">
        <v>58</v>
      </c>
      <c r="B28" s="10" t="s">
        <v>59</v>
      </c>
      <c r="C28" s="11" t="s">
        <v>52</v>
      </c>
      <c r="D28" s="11" t="s">
        <v>52</v>
      </c>
      <c r="E28" s="11" t="s">
        <v>52</v>
      </c>
      <c r="F28" s="11" t="s">
        <v>52</v>
      </c>
      <c r="G28" s="11" t="s">
        <v>52</v>
      </c>
      <c r="H28" s="11" t="s">
        <v>52</v>
      </c>
      <c r="I28" s="11" t="s">
        <v>52</v>
      </c>
      <c r="J28" s="11" t="s">
        <v>52</v>
      </c>
      <c r="K28" s="11" t="s">
        <v>52</v>
      </c>
      <c r="L28" s="11" t="s">
        <v>52</v>
      </c>
    </row>
    <row r="29" spans="1:12">
      <c r="A29" s="10" t="s">
        <v>60</v>
      </c>
      <c r="B29" s="10" t="s">
        <v>61</v>
      </c>
      <c r="C29" s="12">
        <f>_xll.BDH("ALB US Equity","ODS_EMISSIONS","FY 2013","FY 2013","Currency=USD","Period=FY","BEST_FPERIOD_OVERRIDE=FY","FILING_STATUS=MR","Sort=A","Dates=H","DateFormat=P","Fill=—","Direction=H","UseDPDF=Y")</f>
        <v>0</v>
      </c>
      <c r="D29" s="12">
        <f>_xll.BDH("ALB US Equity","ODS_EMISSIONS","FY 2014","FY 2014","Currency=USD","Period=FY","BEST_FPERIOD_OVERRIDE=FY","FILING_STATUS=MR","Sort=A","Dates=H","DateFormat=P","Fill=—","Direction=H","UseDPDF=Y")</f>
        <v>0</v>
      </c>
      <c r="E29" s="12" t="str">
        <f>_xll.BDH("ALB US Equity","ODS_EMISSIONS","FY 2015","FY 2015","Currency=USD","Period=FY","BEST_FPERIOD_OVERRIDE=FY","FILING_STATUS=MR","Sort=A","Dates=H","DateFormat=P","Fill=—","Direction=H","UseDPDF=Y")</f>
        <v>—</v>
      </c>
      <c r="F29" s="12">
        <f>_xll.BDH("ALB US Equity","ODS_EMISSIONS","FY 2016","FY 2016","Currency=USD","Period=FY","BEST_FPERIOD_OVERRIDE=FY","FILING_STATUS=MR","Sort=A","Dates=H","DateFormat=P","Fill=—","Direction=H","UseDPDF=Y")</f>
        <v>5.0000000000000001E-3</v>
      </c>
      <c r="G29" s="12">
        <f>_xll.BDH("ALB US Equity","ODS_EMISSIONS","FY 2017","FY 2017","Currency=USD","Period=FY","BEST_FPERIOD_OVERRIDE=FY","FILING_STATUS=MR","Sort=A","Dates=H","DateFormat=P","Fill=—","Direction=H","UseDPDF=Y")</f>
        <v>1E-3</v>
      </c>
      <c r="H29" s="12">
        <f>_xll.BDH("ALB US Equity","ODS_EMISSIONS","FY 2018","FY 2018","Currency=USD","Period=FY","BEST_FPERIOD_OVERRIDE=FY","FILING_STATUS=MR","Sort=A","Dates=H","DateFormat=P","Fill=—","Direction=H","UseDPDF=Y")</f>
        <v>0</v>
      </c>
      <c r="I29" s="12" t="str">
        <f>_xll.BDH("ALB US Equity","ODS_EMISSIONS","FY 2019","FY 2019","Currency=USD","Period=FY","BEST_FPERIOD_OVERRIDE=FY","FILING_STATUS=MR","Sort=A","Dates=H","DateFormat=P","Fill=—","Direction=H","UseDPDF=Y")</f>
        <v>—</v>
      </c>
      <c r="J29" s="12" t="str">
        <f>_xll.BDH("ALB US Equity","ODS_EMISSIONS","FY 2020","FY 2020","Currency=USD","Period=FY","BEST_FPERIOD_OVERRIDE=FY","FILING_STATUS=MR","Sort=A","Dates=H","DateFormat=P","Fill=—","Direction=H","UseDPDF=Y")</f>
        <v>—</v>
      </c>
      <c r="K29" s="12" t="str">
        <f>_xll.BDH("ALB US Equity","ODS_EMISSIONS","FY 2021","FY 2021","Currency=USD","Period=FY","BEST_FPERIOD_OVERRIDE=FY","FILING_STATUS=MR","Sort=A","Dates=H","DateFormat=P","Fill=—","Direction=H","UseDPDF=Y")</f>
        <v>—</v>
      </c>
      <c r="L29" s="12" t="str">
        <f>_xll.BDH("ALB US Equity","ODS_EMISSIONS","FY 2022","FY 2022","Currency=USD","Period=FY","BEST_FPERIOD_OVERRIDE=FY","FILING_STATUS=MR","Sort=A","Dates=H","DateFormat=P","Fill=—","Direction=H","UseDPDF=Y")</f>
        <v>—</v>
      </c>
    </row>
    <row r="30" spans="1:12">
      <c r="A30" s="10" t="s">
        <v>62</v>
      </c>
      <c r="B30" s="10" t="s">
        <v>63</v>
      </c>
      <c r="C30" s="12" t="str">
        <f>_xll.BDH("ALB US Equity","CO2_SCOPE_1","FY 2013","FY 2013","Currency=USD","Period=FY","BEST_FPERIOD_OVERRIDE=FY","FILING_STATUS=MR","Sort=A","Dates=H","DateFormat=P","Fill=—","Direction=H","UseDPDF=Y")</f>
        <v>—</v>
      </c>
      <c r="D30" s="12" t="str">
        <f>_xll.BDH("ALB US Equity","CO2_SCOPE_1","FY 2014","FY 2014","Currency=USD","Period=FY","BEST_FPERIOD_OVERRIDE=FY","FILING_STATUS=MR","Sort=A","Dates=H","DateFormat=P","Fill=—","Direction=H","UseDPDF=Y")</f>
        <v>—</v>
      </c>
      <c r="E30" s="12" t="str">
        <f>_xll.BDH("ALB US Equity","CO2_SCOPE_1","FY 2015","FY 2015","Currency=USD","Period=FY","BEST_FPERIOD_OVERRIDE=FY","FILING_STATUS=MR","Sort=A","Dates=H","DateFormat=P","Fill=—","Direction=H","UseDPDF=Y")</f>
        <v>—</v>
      </c>
      <c r="F30" s="12" t="str">
        <f>_xll.BDH("ALB US Equity","CO2_SCOPE_1","FY 2016","FY 2016","Currency=USD","Period=FY","BEST_FPERIOD_OVERRIDE=FY","FILING_STATUS=MR","Sort=A","Dates=H","DateFormat=P","Fill=—","Direction=H","UseDPDF=Y")</f>
        <v>—</v>
      </c>
      <c r="G30" s="12" t="str">
        <f>_xll.BDH("ALB US Equity","CO2_SCOPE_1","FY 2017","FY 2017","Currency=USD","Period=FY","BEST_FPERIOD_OVERRIDE=FY","FILING_STATUS=MR","Sort=A","Dates=H","DateFormat=P","Fill=—","Direction=H","UseDPDF=Y")</f>
        <v>—</v>
      </c>
      <c r="H30" s="12" t="str">
        <f>_xll.BDH("ALB US Equity","CO2_SCOPE_1","FY 2018","FY 2018","Currency=USD","Period=FY","BEST_FPERIOD_OVERRIDE=FY","FILING_STATUS=MR","Sort=A","Dates=H","DateFormat=P","Fill=—","Direction=H","UseDPDF=Y")</f>
        <v>—</v>
      </c>
      <c r="I30" s="12" t="str">
        <f>_xll.BDH("ALB US Equity","CO2_SCOPE_1","FY 2019","FY 2019","Currency=USD","Period=FY","BEST_FPERIOD_OVERRIDE=FY","FILING_STATUS=MR","Sort=A","Dates=H","DateFormat=P","Fill=—","Direction=H","UseDPDF=Y")</f>
        <v>—</v>
      </c>
      <c r="J30" s="12" t="str">
        <f>_xll.BDH("ALB US Equity","CO2_SCOPE_1","FY 2020","FY 2020","Currency=USD","Period=FY","BEST_FPERIOD_OVERRIDE=FY","FILING_STATUS=MR","Sort=A","Dates=H","DateFormat=P","Fill=—","Direction=H","UseDPDF=Y")</f>
        <v>—</v>
      </c>
      <c r="K30" s="12">
        <f>_xll.BDH("ALB US Equity","CO2_SCOPE_1","FY 2021","FY 2021","Currency=USD","Period=FY","BEST_FPERIOD_OVERRIDE=FY","FILING_STATUS=MR","Sort=A","Dates=H","DateFormat=P","Fill=—","Direction=H","UseDPDF=Y")</f>
        <v>588.08199999999999</v>
      </c>
      <c r="L30" s="12">
        <f>_xll.BDH("ALB US Equity","CO2_SCOPE_1","FY 2022","FY 2022","Currency=USD","Period=FY","BEST_FPERIOD_OVERRIDE=FY","FILING_STATUS=MR","Sort=A","Dates=H","DateFormat=P","Fill=—","Direction=H","UseDPDF=Y")</f>
        <v>537.06399999999996</v>
      </c>
    </row>
    <row r="31" spans="1:12">
      <c r="A31" s="10" t="s">
        <v>64</v>
      </c>
      <c r="B31" s="10" t="s">
        <v>65</v>
      </c>
      <c r="C31" s="12">
        <f>_xll.BDH("ALB US Equity","GHG_SCOPE_1","FY 2013","FY 2013","Currency=USD","Period=FY","BEST_FPERIOD_OVERRIDE=FY","FILING_STATUS=MR","Sort=A","Dates=H","DateFormat=P","Fill=—","Direction=H","UseDPDF=Y")</f>
        <v>747</v>
      </c>
      <c r="D31" s="12">
        <f>_xll.BDH("ALB US Equity","GHG_SCOPE_1","FY 2014","FY 2014","Currency=USD","Period=FY","BEST_FPERIOD_OVERRIDE=FY","FILING_STATUS=MR","Sort=A","Dates=H","DateFormat=P","Fill=—","Direction=H","UseDPDF=Y")</f>
        <v>705</v>
      </c>
      <c r="E31" s="12" t="str">
        <f>_xll.BDH("ALB US Equity","GHG_SCOPE_1","FY 2015","FY 2015","Currency=USD","Period=FY","BEST_FPERIOD_OVERRIDE=FY","FILING_STATUS=MR","Sort=A","Dates=H","DateFormat=P","Fill=—","Direction=H","UseDPDF=Y")</f>
        <v>—</v>
      </c>
      <c r="F31" s="12" t="str">
        <f>_xll.BDH("ALB US Equity","GHG_SCOPE_1","FY 2016","FY 2016","Currency=USD","Period=FY","BEST_FPERIOD_OVERRIDE=FY","FILING_STATUS=MR","Sort=A","Dates=H","DateFormat=P","Fill=—","Direction=H","UseDPDF=Y")</f>
        <v>—</v>
      </c>
      <c r="G31" s="12" t="str">
        <f>_xll.BDH("ALB US Equity","GHG_SCOPE_1","FY 2017","FY 2017","Currency=USD","Period=FY","BEST_FPERIOD_OVERRIDE=FY","FILING_STATUS=MR","Sort=A","Dates=H","DateFormat=P","Fill=—","Direction=H","UseDPDF=Y")</f>
        <v>—</v>
      </c>
      <c r="H31" s="12">
        <f>_xll.BDH("ALB US Equity","GHG_SCOPE_1","FY 2018","FY 2018","Currency=USD","Period=FY","BEST_FPERIOD_OVERRIDE=FY","FILING_STATUS=MR","Sort=A","Dates=H","DateFormat=P","Fill=—","Direction=H","UseDPDF=Y")</f>
        <v>575</v>
      </c>
      <c r="I31" s="12">
        <f>_xll.BDH("ALB US Equity","GHG_SCOPE_1","FY 2019","FY 2019","Currency=USD","Period=FY","BEST_FPERIOD_OVERRIDE=FY","FILING_STATUS=MR","Sort=A","Dates=H","DateFormat=P","Fill=—","Direction=H","UseDPDF=Y")</f>
        <v>606.70799999999997</v>
      </c>
      <c r="J31" s="12">
        <f>_xll.BDH("ALB US Equity","GHG_SCOPE_1","FY 2020","FY 2020","Currency=USD","Period=FY","BEST_FPERIOD_OVERRIDE=FY","FILING_STATUS=MR","Sort=A","Dates=H","DateFormat=P","Fill=—","Direction=H","UseDPDF=Y")</f>
        <v>585</v>
      </c>
      <c r="K31" s="12">
        <f>_xll.BDH("ALB US Equity","GHG_SCOPE_1","FY 2021","FY 2021","Currency=USD","Period=FY","BEST_FPERIOD_OVERRIDE=FY","FILING_STATUS=MR","Sort=A","Dates=H","DateFormat=P","Fill=—","Direction=H","UseDPDF=Y")</f>
        <v>605</v>
      </c>
      <c r="L31" s="12">
        <f>_xll.BDH("ALB US Equity","GHG_SCOPE_1","FY 2022","FY 2022","Currency=USD","Period=FY","BEST_FPERIOD_OVERRIDE=FY","FILING_STATUS=MR","Sort=A","Dates=H","DateFormat=P","Fill=—","Direction=H","UseDPDF=Y")</f>
        <v>617.63599999999997</v>
      </c>
    </row>
    <row r="32" spans="1:12">
      <c r="A32" s="10" t="s">
        <v>66</v>
      </c>
      <c r="B32" s="10" t="s">
        <v>67</v>
      </c>
      <c r="C32" s="12">
        <f>_xll.BDH("ALB US Equity","GHG_SCOPE_2_LOCATION_BASED","FY 2013","FY 2013","Currency=USD","Period=FY","BEST_FPERIOD_OVERRIDE=FY","FILING_STATUS=MR","Sort=A","Dates=H","DateFormat=P","Fill=—","Direction=H","UseDPDF=Y")</f>
        <v>393</v>
      </c>
      <c r="D32" s="12">
        <f>_xll.BDH("ALB US Equity","GHG_SCOPE_2_LOCATION_BASED","FY 2014","FY 2014","Currency=USD","Period=FY","BEST_FPERIOD_OVERRIDE=FY","FILING_STATUS=MR","Sort=A","Dates=H","DateFormat=P","Fill=—","Direction=H","UseDPDF=Y")</f>
        <v>204</v>
      </c>
      <c r="E32" s="12" t="str">
        <f>_xll.BDH("ALB US Equity","GHG_SCOPE_2_LOCATION_BASED","FY 2015","FY 2015","Currency=USD","Period=FY","BEST_FPERIOD_OVERRIDE=FY","FILING_STATUS=MR","Sort=A","Dates=H","DateFormat=P","Fill=—","Direction=H","UseDPDF=Y")</f>
        <v>—</v>
      </c>
      <c r="F32" s="12" t="str">
        <f>_xll.BDH("ALB US Equity","GHG_SCOPE_2_LOCATION_BASED","FY 2016","FY 2016","Currency=USD","Period=FY","BEST_FPERIOD_OVERRIDE=FY","FILING_STATUS=MR","Sort=A","Dates=H","DateFormat=P","Fill=—","Direction=H","UseDPDF=Y")</f>
        <v>—</v>
      </c>
      <c r="G32" s="12" t="str">
        <f>_xll.BDH("ALB US Equity","GHG_SCOPE_2_LOCATION_BASED","FY 2017","FY 2017","Currency=USD","Period=FY","BEST_FPERIOD_OVERRIDE=FY","FILING_STATUS=MR","Sort=A","Dates=H","DateFormat=P","Fill=—","Direction=H","UseDPDF=Y")</f>
        <v>—</v>
      </c>
      <c r="H32" s="12">
        <f>_xll.BDH("ALB US Equity","GHG_SCOPE_2_LOCATION_BASED","FY 2018","FY 2018","Currency=USD","Period=FY","BEST_FPERIOD_OVERRIDE=FY","FILING_STATUS=MR","Sort=A","Dates=H","DateFormat=P","Fill=—","Direction=H","UseDPDF=Y")</f>
        <v>386</v>
      </c>
      <c r="I32" s="12" t="str">
        <f>_xll.BDH("ALB US Equity","GHG_SCOPE_2_LOCATION_BASED","FY 2019","FY 2019","Currency=USD","Period=FY","BEST_FPERIOD_OVERRIDE=FY","FILING_STATUS=MR","Sort=A","Dates=H","DateFormat=P","Fill=—","Direction=H","UseDPDF=Y")</f>
        <v>—</v>
      </c>
      <c r="J32" s="12" t="str">
        <f>_xll.BDH("ALB US Equity","GHG_SCOPE_2_LOCATION_BASED","FY 2020","FY 2020","Currency=USD","Period=FY","BEST_FPERIOD_OVERRIDE=FY","FILING_STATUS=MR","Sort=A","Dates=H","DateFormat=P","Fill=—","Direction=H","UseDPDF=Y")</f>
        <v>—</v>
      </c>
      <c r="K32" s="12">
        <f>_xll.BDH("ALB US Equity","GHG_SCOPE_2_LOCATION_BASED","FY 2021","FY 2021","Currency=USD","Period=FY","BEST_FPERIOD_OVERRIDE=FY","FILING_STATUS=MR","Sort=A","Dates=H","DateFormat=P","Fill=—","Direction=H","UseDPDF=Y")</f>
        <v>348</v>
      </c>
      <c r="L32" s="12">
        <f>_xll.BDH("ALB US Equity","GHG_SCOPE_2_LOCATION_BASED","FY 2022","FY 2022","Currency=USD","Period=FY","BEST_FPERIOD_OVERRIDE=FY","FILING_STATUS=MR","Sort=A","Dates=H","DateFormat=P","Fill=—","Direction=H","UseDPDF=Y")</f>
        <v>334.37900000000002</v>
      </c>
    </row>
    <row r="33" spans="1:12">
      <c r="A33" s="10" t="s">
        <v>68</v>
      </c>
      <c r="B33" s="10" t="s">
        <v>69</v>
      </c>
      <c r="C33" s="12" t="str">
        <f>_xll.BDH("ALB US Equity","GHG_SCOPE_2_MARKET_BASED","FY 2013","FY 2013","Currency=USD","Period=FY","BEST_FPERIOD_OVERRIDE=FY","FILING_STATUS=MR","Sort=A","Dates=H","DateFormat=P","Fill=—","Direction=H","UseDPDF=Y")</f>
        <v>—</v>
      </c>
      <c r="D33" s="12" t="str">
        <f>_xll.BDH("ALB US Equity","GHG_SCOPE_2_MARKET_BASED","FY 2014","FY 2014","Currency=USD","Period=FY","BEST_FPERIOD_OVERRIDE=FY","FILING_STATUS=MR","Sort=A","Dates=H","DateFormat=P","Fill=—","Direction=H","UseDPDF=Y")</f>
        <v>—</v>
      </c>
      <c r="E33" s="12" t="str">
        <f>_xll.BDH("ALB US Equity","GHG_SCOPE_2_MARKET_BASED","FY 2015","FY 2015","Currency=USD","Period=FY","BEST_FPERIOD_OVERRIDE=FY","FILING_STATUS=MR","Sort=A","Dates=H","DateFormat=P","Fill=—","Direction=H","UseDPDF=Y")</f>
        <v>—</v>
      </c>
      <c r="F33" s="12" t="str">
        <f>_xll.BDH("ALB US Equity","GHG_SCOPE_2_MARKET_BASED","FY 2016","FY 2016","Currency=USD","Period=FY","BEST_FPERIOD_OVERRIDE=FY","FILING_STATUS=MR","Sort=A","Dates=H","DateFormat=P","Fill=—","Direction=H","UseDPDF=Y")</f>
        <v>—</v>
      </c>
      <c r="G33" s="12" t="str">
        <f>_xll.BDH("ALB US Equity","GHG_SCOPE_2_MARKET_BASED","FY 2017","FY 2017","Currency=USD","Period=FY","BEST_FPERIOD_OVERRIDE=FY","FILING_STATUS=MR","Sort=A","Dates=H","DateFormat=P","Fill=—","Direction=H","UseDPDF=Y")</f>
        <v>—</v>
      </c>
      <c r="H33" s="12" t="str">
        <f>_xll.BDH("ALB US Equity","GHG_SCOPE_2_MARKET_BASED","FY 2018","FY 2018","Currency=USD","Period=FY","BEST_FPERIOD_OVERRIDE=FY","FILING_STATUS=MR","Sort=A","Dates=H","DateFormat=P","Fill=—","Direction=H","UseDPDF=Y")</f>
        <v>—</v>
      </c>
      <c r="I33" s="12">
        <f>_xll.BDH("ALB US Equity","GHG_SCOPE_2_MARKET_BASED","FY 2019","FY 2019","Currency=USD","Period=FY","BEST_FPERIOD_OVERRIDE=FY","FILING_STATUS=MR","Sort=A","Dates=H","DateFormat=P","Fill=—","Direction=H","UseDPDF=Y")</f>
        <v>358.17500000000001</v>
      </c>
      <c r="J33" s="12">
        <f>_xll.BDH("ALB US Equity","GHG_SCOPE_2_MARKET_BASED","FY 2020","FY 2020","Currency=USD","Period=FY","BEST_FPERIOD_OVERRIDE=FY","FILING_STATUS=MR","Sort=A","Dates=H","DateFormat=P","Fill=—","Direction=H","UseDPDF=Y")</f>
        <v>350</v>
      </c>
      <c r="K33" s="12">
        <f>_xll.BDH("ALB US Equity","GHG_SCOPE_2_MARKET_BASED","FY 2021","FY 2021","Currency=USD","Period=FY","BEST_FPERIOD_OVERRIDE=FY","FILING_STATUS=MR","Sort=A","Dates=H","DateFormat=P","Fill=—","Direction=H","UseDPDF=Y")</f>
        <v>294</v>
      </c>
      <c r="L33" s="12">
        <f>_xll.BDH("ALB US Equity","GHG_SCOPE_2_MARKET_BASED","FY 2022","FY 2022","Currency=USD","Period=FY","BEST_FPERIOD_OVERRIDE=FY","FILING_STATUS=MR","Sort=A","Dates=H","DateFormat=P","Fill=—","Direction=H","UseDPDF=Y")</f>
        <v>291.54700000000003</v>
      </c>
    </row>
    <row r="34" spans="1:12">
      <c r="A34" s="10" t="s">
        <v>70</v>
      </c>
      <c r="B34" s="10" t="s">
        <v>71</v>
      </c>
      <c r="C34" s="12">
        <f>_xll.BDH("ALB US Equity","GHG_SCOPE_3","FY 2013","FY 2013","Currency=USD","Period=FY","BEST_FPERIOD_OVERRIDE=FY","FILING_STATUS=MR","Sort=A","Dates=H","DateFormat=P","Fill=—","Direction=H","UseDPDF=Y")</f>
        <v>19.684999999999999</v>
      </c>
      <c r="D34" s="12">
        <f>_xll.BDH("ALB US Equity","GHG_SCOPE_3","FY 2014","FY 2014","Currency=USD","Period=FY","BEST_FPERIOD_OVERRIDE=FY","FILING_STATUS=MR","Sort=A","Dates=H","DateFormat=P","Fill=—","Direction=H","UseDPDF=Y")</f>
        <v>20.006</v>
      </c>
      <c r="E34" s="12" t="str">
        <f>_xll.BDH("ALB US Equity","GHG_SCOPE_3","FY 2015","FY 2015","Currency=USD","Period=FY","BEST_FPERIOD_OVERRIDE=FY","FILING_STATUS=MR","Sort=A","Dates=H","DateFormat=P","Fill=—","Direction=H","UseDPDF=Y")</f>
        <v>—</v>
      </c>
      <c r="F34" s="12" t="str">
        <f>_xll.BDH("ALB US Equity","GHG_SCOPE_3","FY 2016","FY 2016","Currency=USD","Period=FY","BEST_FPERIOD_OVERRIDE=FY","FILING_STATUS=MR","Sort=A","Dates=H","DateFormat=P","Fill=—","Direction=H","UseDPDF=Y")</f>
        <v>—</v>
      </c>
      <c r="G34" s="12" t="str">
        <f>_xll.BDH("ALB US Equity","GHG_SCOPE_3","FY 2017","FY 2017","Currency=USD","Period=FY","BEST_FPERIOD_OVERRIDE=FY","FILING_STATUS=MR","Sort=A","Dates=H","DateFormat=P","Fill=—","Direction=H","UseDPDF=Y")</f>
        <v>—</v>
      </c>
      <c r="H34" s="12" t="str">
        <f>_xll.BDH("ALB US Equity","GHG_SCOPE_3","FY 2018","FY 2018","Currency=USD","Period=FY","BEST_FPERIOD_OVERRIDE=FY","FILING_STATUS=MR","Sort=A","Dates=H","DateFormat=P","Fill=—","Direction=H","UseDPDF=Y")</f>
        <v>—</v>
      </c>
      <c r="I34" s="12" t="str">
        <f>_xll.BDH("ALB US Equity","GHG_SCOPE_3","FY 2019","FY 2019","Currency=USD","Period=FY","BEST_FPERIOD_OVERRIDE=FY","FILING_STATUS=MR","Sort=A","Dates=H","DateFormat=P","Fill=—","Direction=H","UseDPDF=Y")</f>
        <v>—</v>
      </c>
      <c r="J34" s="12" t="str">
        <f>_xll.BDH("ALB US Equity","GHG_SCOPE_3","FY 2020","FY 2020","Currency=USD","Period=FY","BEST_FPERIOD_OVERRIDE=FY","FILING_STATUS=MR","Sort=A","Dates=H","DateFormat=P","Fill=—","Direction=H","UseDPDF=Y")</f>
        <v>—</v>
      </c>
      <c r="K34" s="12">
        <f>_xll.BDH("ALB US Equity","GHG_SCOPE_3","FY 2021","FY 2021","Currency=USD","Period=FY","BEST_FPERIOD_OVERRIDE=FY","FILING_STATUS=MR","Sort=A","Dates=H","DateFormat=P","Fill=—","Direction=H","UseDPDF=Y")</f>
        <v>1675</v>
      </c>
      <c r="L34" s="12">
        <f>_xll.BDH("ALB US Equity","GHG_SCOPE_3","FY 2022","FY 2022","Currency=USD","Period=FY","BEST_FPERIOD_OVERRIDE=FY","FILING_STATUS=MR","Sort=A","Dates=H","DateFormat=P","Fill=—","Direction=H","UseDPDF=Y")</f>
        <v>1994.18</v>
      </c>
    </row>
    <row r="35" spans="1:12">
      <c r="A35" s="10" t="s">
        <v>72</v>
      </c>
      <c r="B35" s="10" t="s">
        <v>73</v>
      </c>
      <c r="C35" s="13" t="str">
        <f>_xll.BDH("ALB US Equity","SCOPE_OF_DISCLOSURE","FY 2013","FY 2013","Currency=USD","Period=FY","BEST_FPERIOD_OVERRIDE=FY","FILING_STATUS=MR","Sort=A","Dates=H","DateFormat=P","Fill=—","Direction=H","UseDPDF=Y")</f>
        <v>—</v>
      </c>
      <c r="D35" s="13" t="str">
        <f>_xll.BDH("ALB US Equity","SCOPE_OF_DISCLOSURE","FY 2014","FY 2014","Currency=USD","Period=FY","BEST_FPERIOD_OVERRIDE=FY","FILING_STATUS=MR","Sort=A","Dates=H","DateFormat=P","Fill=—","Direction=H","UseDPDF=Y")</f>
        <v>—</v>
      </c>
      <c r="E35" s="13" t="str">
        <f>_xll.BDH("ALB US Equity","SCOPE_OF_DISCLOSURE","FY 2015","FY 2015","Currency=USD","Period=FY","BEST_FPERIOD_OVERRIDE=FY","FILING_STATUS=MR","Sort=A","Dates=H","DateFormat=P","Fill=—","Direction=H","UseDPDF=Y")</f>
        <v>—</v>
      </c>
      <c r="F35" s="13" t="str">
        <f>_xll.BDH("ALB US Equity","SCOPE_OF_DISCLOSURE","FY 2016","FY 2016","Currency=USD","Period=FY","BEST_FPERIOD_OVERRIDE=FY","FILING_STATUS=MR","Sort=A","Dates=H","DateFormat=P","Fill=—","Direction=H","UseDPDF=Y")</f>
        <v>—</v>
      </c>
      <c r="G35" s="13" t="str">
        <f>_xll.BDH("ALB US Equity","SCOPE_OF_DISCLOSURE","FY 2017","FY 2017","Currency=USD","Period=FY","BEST_FPERIOD_OVERRIDE=FY","FILING_STATUS=MR","Sort=A","Dates=H","DateFormat=P","Fill=—","Direction=H","UseDPDF=Y")</f>
        <v>—</v>
      </c>
      <c r="H35" s="13" t="str">
        <f>_xll.BDH("ALB US Equity","SCOPE_OF_DISCLOSURE","FY 2018","FY 2018","Currency=USD","Period=FY","BEST_FPERIOD_OVERRIDE=FY","FILING_STATUS=MR","Sort=A","Dates=H","DateFormat=P","Fill=—","Direction=H","UseDPDF=Y")</f>
        <v>—</v>
      </c>
      <c r="I35" s="13" t="str">
        <f>_xll.BDH("ALB US Equity","SCOPE_OF_DISCLOSURE","FY 2019","FY 2019","Currency=USD","Period=FY","BEST_FPERIOD_OVERRIDE=FY","FILING_STATUS=MR","Sort=A","Dates=H","DateFormat=P","Fill=—","Direction=H","UseDPDF=Y")</f>
        <v>—</v>
      </c>
      <c r="J35" s="13" t="str">
        <f>_xll.BDH("ALB US Equity","SCOPE_OF_DISCLOSURE","FY 2020","FY 2020","Currency=USD","Period=FY","BEST_FPERIOD_OVERRIDE=FY","FILING_STATUS=MR","Sort=A","Dates=H","DateFormat=P","Fill=—","Direction=H","UseDPDF=Y")</f>
        <v>—</v>
      </c>
      <c r="K35" s="13">
        <f>_xll.BDH("ALB US Equity","SCOPE_OF_DISCLOSURE","FY 2021","FY 2021","Currency=USD","Period=FY","BEST_FPERIOD_OVERRIDE=FY","FILING_STATUS=MR","Sort=A","Dates=H","DateFormat=P","Fill=—","Direction=H","UseDPDF=Y")</f>
        <v>2</v>
      </c>
      <c r="L35" s="13">
        <f>_xll.BDH("ALB US Equity","SCOPE_OF_DISCLOSURE","FY 2022","FY 2022","Currency=USD","Period=FY","BEST_FPERIOD_OVERRIDE=FY","FILING_STATUS=MR","Sort=A","Dates=H","DateFormat=P","Fill=—","Direction=H","UseDPDF=Y")</f>
        <v>2</v>
      </c>
    </row>
    <row r="36" spans="1:1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>
      <c r="A37" s="10" t="s">
        <v>74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A38" s="10" t="s">
        <v>75</v>
      </c>
      <c r="B38" s="10" t="s">
        <v>76</v>
      </c>
      <c r="C38" s="11" t="s">
        <v>52</v>
      </c>
      <c r="D38" s="11" t="s">
        <v>52</v>
      </c>
      <c r="E38" s="11" t="s">
        <v>52</v>
      </c>
      <c r="F38" s="11" t="s">
        <v>52</v>
      </c>
      <c r="G38" s="11" t="s">
        <v>52</v>
      </c>
      <c r="H38" s="11" t="s">
        <v>52</v>
      </c>
      <c r="I38" s="11" t="s">
        <v>52</v>
      </c>
      <c r="J38" s="11" t="s">
        <v>52</v>
      </c>
      <c r="K38" s="11" t="s">
        <v>52</v>
      </c>
      <c r="L38" s="11" t="s">
        <v>52</v>
      </c>
    </row>
    <row r="39" spans="1:12">
      <c r="A39" s="10" t="s">
        <v>77</v>
      </c>
      <c r="B39" s="10" t="s">
        <v>78</v>
      </c>
      <c r="C39" s="13">
        <f>_xll.BDH("ALB US Equity","NUM_ENVIRON_FINES","FY 2013","FY 2013","Currency=USD","Period=FY","BEST_FPERIOD_OVERRIDE=FY","FILING_STATUS=MR","Sort=A","Dates=H","DateFormat=P","Fill=—","Direction=H","UseDPDF=Y")</f>
        <v>0</v>
      </c>
      <c r="D39" s="13">
        <f>_xll.BDH("ALB US Equity","NUM_ENVIRON_FINES","FY 2014","FY 2014","Currency=USD","Period=FY","BEST_FPERIOD_OVERRIDE=FY","FILING_STATUS=MR","Sort=A","Dates=H","DateFormat=P","Fill=—","Direction=H","UseDPDF=Y")</f>
        <v>0</v>
      </c>
      <c r="E39" s="13" t="str">
        <f>_xll.BDH("ALB US Equity","NUM_ENVIRON_FINES","FY 2015","FY 2015","Currency=USD","Period=FY","BEST_FPERIOD_OVERRIDE=FY","FILING_STATUS=MR","Sort=A","Dates=H","DateFormat=P","Fill=—","Direction=H","UseDPDF=Y")</f>
        <v>—</v>
      </c>
      <c r="F39" s="13">
        <f>_xll.BDH("ALB US Equity","NUM_ENVIRON_FINES","FY 2016","FY 2016","Currency=USD","Period=FY","BEST_FPERIOD_OVERRIDE=FY","FILING_STATUS=MR","Sort=A","Dates=H","DateFormat=P","Fill=—","Direction=H","UseDPDF=Y")</f>
        <v>1</v>
      </c>
      <c r="G39" s="13">
        <f>_xll.BDH("ALB US Equity","NUM_ENVIRON_FINES","FY 2017","FY 2017","Currency=USD","Period=FY","BEST_FPERIOD_OVERRIDE=FY","FILING_STATUS=MR","Sort=A","Dates=H","DateFormat=P","Fill=—","Direction=H","UseDPDF=Y")</f>
        <v>3</v>
      </c>
      <c r="H39" s="13">
        <f>_xll.BDH("ALB US Equity","NUM_ENVIRON_FINES","FY 2018","FY 2018","Currency=USD","Period=FY","BEST_FPERIOD_OVERRIDE=FY","FILING_STATUS=MR","Sort=A","Dates=H","DateFormat=P","Fill=—","Direction=H","UseDPDF=Y")</f>
        <v>0</v>
      </c>
      <c r="I39" s="13">
        <f>_xll.BDH("ALB US Equity","NUM_ENVIRON_FINES","FY 2019","FY 2019","Currency=USD","Period=FY","BEST_FPERIOD_OVERRIDE=FY","FILING_STATUS=MR","Sort=A","Dates=H","DateFormat=P","Fill=—","Direction=H","UseDPDF=Y")</f>
        <v>0</v>
      </c>
      <c r="J39" s="13">
        <f>_xll.BDH("ALB US Equity","NUM_ENVIRON_FINES","FY 2020","FY 2020","Currency=USD","Period=FY","BEST_FPERIOD_OVERRIDE=FY","FILING_STATUS=MR","Sort=A","Dates=H","DateFormat=P","Fill=—","Direction=H","UseDPDF=Y")</f>
        <v>0</v>
      </c>
      <c r="K39" s="13">
        <f>_xll.BDH("ALB US Equity","NUM_ENVIRON_FINES","FY 2021","FY 2021","Currency=USD","Period=FY","BEST_FPERIOD_OVERRIDE=FY","FILING_STATUS=MR","Sort=A","Dates=H","DateFormat=P","Fill=—","Direction=H","UseDPDF=Y")</f>
        <v>0</v>
      </c>
      <c r="L39" s="13">
        <f>_xll.BDH("ALB US Equity","NUM_ENVIRON_FINES","FY 2022","FY 2022","Currency=USD","Period=FY","BEST_FPERIOD_OVERRIDE=FY","FILING_STATUS=MR","Sort=A","Dates=H","DateFormat=P","Fill=—","Direction=H","UseDPDF=Y")</f>
        <v>0</v>
      </c>
    </row>
    <row r="40" spans="1:12">
      <c r="A40" s="10" t="s">
        <v>79</v>
      </c>
      <c r="B40" s="10" t="s">
        <v>80</v>
      </c>
      <c r="C40" s="12">
        <f>_xll.BDH("ALB US Equity","ENVIRON_FINES_AMT","FY 2013","FY 2013","Currency=USD","Period=FY","BEST_FPERIOD_OVERRIDE=FY","FILING_STATUS=MR","SCALING_FORMAT=MLN","Sort=A","Dates=H","DateFormat=P","Fill=—","Direction=H","UseDPDF=Y")</f>
        <v>0</v>
      </c>
      <c r="D40" s="12">
        <f>_xll.BDH("ALB US Equity","ENVIRON_FINES_AMT","FY 2014","FY 2014","Currency=USD","Period=FY","BEST_FPERIOD_OVERRIDE=FY","FILING_STATUS=MR","SCALING_FORMAT=MLN","Sort=A","Dates=H","DateFormat=P","Fill=—","Direction=H","UseDPDF=Y")</f>
        <v>0</v>
      </c>
      <c r="E40" s="12" t="str">
        <f>_xll.BDH("ALB US Equity","ENVIRON_FINES_AMT","FY 2015","FY 2015","Currency=USD","Period=FY","BEST_FPERIOD_OVERRIDE=FY","FILING_STATUS=MR","SCALING_FORMAT=MLN","Sort=A","Dates=H","DateFormat=P","Fill=—","Direction=H","UseDPDF=Y")</f>
        <v>—</v>
      </c>
      <c r="F40" s="12">
        <f>_xll.BDH("ALB US Equity","ENVIRON_FINES_AMT","FY 2016","FY 2016","Currency=USD","Period=FY","BEST_FPERIOD_OVERRIDE=FY","FILING_STATUS=MR","SCALING_FORMAT=MLN","Sort=A","Dates=H","DateFormat=P","Fill=—","Direction=H","UseDPDF=Y")</f>
        <v>4.0000000000000001E-3</v>
      </c>
      <c r="G40" s="12">
        <f>_xll.BDH("ALB US Equity","ENVIRON_FINES_AMT","FY 2017","FY 2017","Currency=USD","Period=FY","BEST_FPERIOD_OVERRIDE=FY","FILING_STATUS=MR","SCALING_FORMAT=MLN","Sort=A","Dates=H","DateFormat=P","Fill=—","Direction=H","UseDPDF=Y")</f>
        <v>3.7999999999999999E-2</v>
      </c>
      <c r="H40" s="12">
        <f>_xll.BDH("ALB US Equity","ENVIRON_FINES_AMT","FY 2018","FY 2018","Currency=USD","Period=FY","BEST_FPERIOD_OVERRIDE=FY","FILING_STATUS=MR","SCALING_FORMAT=MLN","Sort=A","Dates=H","DateFormat=P","Fill=—","Direction=H","UseDPDF=Y")</f>
        <v>0</v>
      </c>
      <c r="I40" s="12">
        <f>_xll.BDH("ALB US Equity","ENVIRON_FINES_AMT","FY 2019","FY 2019","Currency=USD","Period=FY","BEST_FPERIOD_OVERRIDE=FY","FILING_STATUS=MR","SCALING_FORMAT=MLN","Sort=A","Dates=H","DateFormat=P","Fill=—","Direction=H","UseDPDF=Y")</f>
        <v>0</v>
      </c>
      <c r="J40" s="12">
        <f>_xll.BDH("ALB US Equity","ENVIRON_FINES_AMT","FY 2020","FY 2020","Currency=USD","Period=FY","BEST_FPERIOD_OVERRIDE=FY","FILING_STATUS=MR","SCALING_FORMAT=MLN","Sort=A","Dates=H","DateFormat=P","Fill=—","Direction=H","UseDPDF=Y")</f>
        <v>0</v>
      </c>
      <c r="K40" s="12">
        <f>_xll.BDH("ALB US Equity","ENVIRON_FINES_AMT","FY 2021","FY 2021","Currency=USD","Period=FY","BEST_FPERIOD_OVERRIDE=FY","FILING_STATUS=MR","SCALING_FORMAT=MLN","Sort=A","Dates=H","DateFormat=P","Fill=—","Direction=H","UseDPDF=Y")</f>
        <v>0</v>
      </c>
      <c r="L40" s="12">
        <f>_xll.BDH("ALB US Equity","ENVIRON_FINES_AMT","FY 2022","FY 2022","Currency=USD","Period=FY","BEST_FPERIOD_OVERRIDE=FY","FILING_STATUS=MR","SCALING_FORMAT=MLN","Sort=A","Dates=H","DateFormat=P","Fill=—","Direction=H","UseDPDF=Y")</f>
        <v>0</v>
      </c>
    </row>
    <row r="41" spans="1:12">
      <c r="A41" s="10" t="s">
        <v>81</v>
      </c>
      <c r="B41" s="10" t="s">
        <v>82</v>
      </c>
      <c r="C41" s="13" t="str">
        <f>_xll.BDH("ALB US Equity","NUM_SIGNIF_ENVIRONMENTAL_FINES","FY 2013","FY 2013","Currency=USD","Period=FY","BEST_FPERIOD_OVERRIDE=FY","FILING_STATUS=MR","Sort=A","Dates=H","DateFormat=P","Fill=—","Direction=H","UseDPDF=Y")</f>
        <v>—</v>
      </c>
      <c r="D41" s="13" t="str">
        <f>_xll.BDH("ALB US Equity","NUM_SIGNIF_ENVIRONMENTAL_FINES","FY 2014","FY 2014","Currency=USD","Period=FY","BEST_FPERIOD_OVERRIDE=FY","FILING_STATUS=MR","Sort=A","Dates=H","DateFormat=P","Fill=—","Direction=H","UseDPDF=Y")</f>
        <v>—</v>
      </c>
      <c r="E41" s="13" t="str">
        <f>_xll.BDH("ALB US Equity","NUM_SIGNIF_ENVIRONMENTAL_FINES","FY 2015","FY 2015","Currency=USD","Period=FY","BEST_FPERIOD_OVERRIDE=FY","FILING_STATUS=MR","Sort=A","Dates=H","DateFormat=P","Fill=—","Direction=H","UseDPDF=Y")</f>
        <v>—</v>
      </c>
      <c r="F41" s="13" t="str">
        <f>_xll.BDH("ALB US Equity","NUM_SIGNIF_ENVIRONMENTAL_FINES","FY 2016","FY 2016","Currency=USD","Period=FY","BEST_FPERIOD_OVERRIDE=FY","FILING_STATUS=MR","Sort=A","Dates=H","DateFormat=P","Fill=—","Direction=H","UseDPDF=Y")</f>
        <v>—</v>
      </c>
      <c r="G41" s="13" t="str">
        <f>_xll.BDH("ALB US Equity","NUM_SIGNIF_ENVIRONMENTAL_FINES","FY 2017","FY 2017","Currency=USD","Period=FY","BEST_FPERIOD_OVERRIDE=FY","FILING_STATUS=MR","Sort=A","Dates=H","DateFormat=P","Fill=—","Direction=H","UseDPDF=Y")</f>
        <v>—</v>
      </c>
      <c r="H41" s="13">
        <f>_xll.BDH("ALB US Equity","NUM_SIGNIF_ENVIRONMENTAL_FINES","FY 2018","FY 2018","Currency=USD","Period=FY","BEST_FPERIOD_OVERRIDE=FY","FILING_STATUS=MR","Sort=A","Dates=H","DateFormat=P","Fill=—","Direction=H","UseDPDF=Y")</f>
        <v>0</v>
      </c>
      <c r="I41" s="13">
        <f>_xll.BDH("ALB US Equity","NUM_SIGNIF_ENVIRONMENTAL_FINES","FY 2019","FY 2019","Currency=USD","Period=FY","BEST_FPERIOD_OVERRIDE=FY","FILING_STATUS=MR","Sort=A","Dates=H","DateFormat=P","Fill=—","Direction=H","UseDPDF=Y")</f>
        <v>0</v>
      </c>
      <c r="J41" s="13">
        <f>_xll.BDH("ALB US Equity","NUM_SIGNIF_ENVIRONMENTAL_FINES","FY 2020","FY 2020","Currency=USD","Period=FY","BEST_FPERIOD_OVERRIDE=FY","FILING_STATUS=MR","Sort=A","Dates=H","DateFormat=P","Fill=—","Direction=H","UseDPDF=Y")</f>
        <v>0</v>
      </c>
      <c r="K41" s="13">
        <f>_xll.BDH("ALB US Equity","NUM_SIGNIF_ENVIRONMENTAL_FINES","FY 2021","FY 2021","Currency=USD","Period=FY","BEST_FPERIOD_OVERRIDE=FY","FILING_STATUS=MR","Sort=A","Dates=H","DateFormat=P","Fill=—","Direction=H","UseDPDF=Y")</f>
        <v>0</v>
      </c>
      <c r="L41" s="13">
        <f>_xll.BDH("ALB US Equity","NUM_SIGNIF_ENVIRONMENTAL_FINES","FY 2022","FY 2022","Currency=USD","Period=FY","BEST_FPERIOD_OVERRIDE=FY","FILING_STATUS=MR","Sort=A","Dates=H","DateFormat=P","Fill=—","Direction=H","UseDPDF=Y")</f>
        <v>0</v>
      </c>
    </row>
    <row r="42" spans="1:12">
      <c r="A42" s="10" t="s">
        <v>83</v>
      </c>
      <c r="B42" s="10" t="s">
        <v>84</v>
      </c>
      <c r="C42" s="12" t="str">
        <f>_xll.BDH("ALB US Equity","AMOUNT_OF_SIGNFCNT_ENV_FINES","FY 2013","FY 2013","Currency=USD","Period=FY","BEST_FPERIOD_OVERRIDE=FY","FILING_STATUS=MR","Sort=A","Dates=H","DateFormat=P","Fill=—","Direction=H","UseDPDF=Y")</f>
        <v>—</v>
      </c>
      <c r="D42" s="12" t="str">
        <f>_xll.BDH("ALB US Equity","AMOUNT_OF_SIGNFCNT_ENV_FINES","FY 2014","FY 2014","Currency=USD","Period=FY","BEST_FPERIOD_OVERRIDE=FY","FILING_STATUS=MR","Sort=A","Dates=H","DateFormat=P","Fill=—","Direction=H","UseDPDF=Y")</f>
        <v>—</v>
      </c>
      <c r="E42" s="12" t="str">
        <f>_xll.BDH("ALB US Equity","AMOUNT_OF_SIGNFCNT_ENV_FINES","FY 2015","FY 2015","Currency=USD","Period=FY","BEST_FPERIOD_OVERRIDE=FY","FILING_STATUS=MR","Sort=A","Dates=H","DateFormat=P","Fill=—","Direction=H","UseDPDF=Y")</f>
        <v>—</v>
      </c>
      <c r="F42" s="12" t="str">
        <f>_xll.BDH("ALB US Equity","AMOUNT_OF_SIGNFCNT_ENV_FINES","FY 2016","FY 2016","Currency=USD","Period=FY","BEST_FPERIOD_OVERRIDE=FY","FILING_STATUS=MR","Sort=A","Dates=H","DateFormat=P","Fill=—","Direction=H","UseDPDF=Y")</f>
        <v>—</v>
      </c>
      <c r="G42" s="12" t="str">
        <f>_xll.BDH("ALB US Equity","AMOUNT_OF_SIGNFCNT_ENV_FINES","FY 2017","FY 2017","Currency=USD","Period=FY","BEST_FPERIOD_OVERRIDE=FY","FILING_STATUS=MR","Sort=A","Dates=H","DateFormat=P","Fill=—","Direction=H","UseDPDF=Y")</f>
        <v>—</v>
      </c>
      <c r="H42" s="12">
        <f>_xll.BDH("ALB US Equity","AMOUNT_OF_SIGNFCNT_ENV_FINES","FY 2018","FY 2018","Currency=USD","Period=FY","BEST_FPERIOD_OVERRIDE=FY","FILING_STATUS=MR","Sort=A","Dates=H","DateFormat=P","Fill=—","Direction=H","UseDPDF=Y")</f>
        <v>0</v>
      </c>
      <c r="I42" s="12">
        <f>_xll.BDH("ALB US Equity","AMOUNT_OF_SIGNFCNT_ENV_FINES","FY 2019","FY 2019","Currency=USD","Period=FY","BEST_FPERIOD_OVERRIDE=FY","FILING_STATUS=MR","Sort=A","Dates=H","DateFormat=P","Fill=—","Direction=H","UseDPDF=Y")</f>
        <v>0</v>
      </c>
      <c r="J42" s="12">
        <f>_xll.BDH("ALB US Equity","AMOUNT_OF_SIGNFCNT_ENV_FINES","FY 2020","FY 2020","Currency=USD","Period=FY","BEST_FPERIOD_OVERRIDE=FY","FILING_STATUS=MR","Sort=A","Dates=H","DateFormat=P","Fill=—","Direction=H","UseDPDF=Y")</f>
        <v>0</v>
      </c>
      <c r="K42" s="12">
        <f>_xll.BDH("ALB US Equity","AMOUNT_OF_SIGNFCNT_ENV_FINES","FY 2021","FY 2021","Currency=USD","Period=FY","BEST_FPERIOD_OVERRIDE=FY","FILING_STATUS=MR","Sort=A","Dates=H","DateFormat=P","Fill=—","Direction=H","UseDPDF=Y")</f>
        <v>0</v>
      </c>
      <c r="L42" s="12">
        <f>_xll.BDH("ALB US Equity","AMOUNT_OF_SIGNFCNT_ENV_FINES","FY 2022","FY 2022","Currency=USD","Period=FY","BEST_FPERIOD_OVERRIDE=FY","FILING_STATUS=MR","Sort=A","Dates=H","DateFormat=P","Fill=—","Direction=H","UseDPDF=Y")</f>
        <v>0</v>
      </c>
    </row>
    <row r="43" spans="1:12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>
      <c r="A44" s="10" t="s">
        <v>85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>
      <c r="A45" s="10" t="s">
        <v>86</v>
      </c>
      <c r="B45" s="10" t="s">
        <v>87</v>
      </c>
      <c r="C45" s="11" t="s">
        <v>52</v>
      </c>
      <c r="D45" s="11" t="s">
        <v>52</v>
      </c>
      <c r="E45" s="11" t="s">
        <v>52</v>
      </c>
      <c r="F45" s="11" t="s">
        <v>52</v>
      </c>
      <c r="G45" s="11" t="s">
        <v>52</v>
      </c>
      <c r="H45" s="11" t="s">
        <v>52</v>
      </c>
      <c r="I45" s="11" t="s">
        <v>52</v>
      </c>
      <c r="J45" s="11" t="s">
        <v>52</v>
      </c>
      <c r="K45" s="11" t="s">
        <v>52</v>
      </c>
      <c r="L45" s="11" t="s">
        <v>52</v>
      </c>
    </row>
    <row r="46" spans="1:12">
      <c r="A46" s="10" t="s">
        <v>88</v>
      </c>
      <c r="B46" s="10" t="s">
        <v>89</v>
      </c>
      <c r="C46" s="12">
        <f>_xll.BDH("ALB US Equity","ENERGY_CONSUMPTION","FY 2013","FY 2013","Currency=USD","Period=FY","BEST_FPERIOD_OVERRIDE=FY","FILING_STATUS=MR","Sort=A","Dates=H","DateFormat=P","Fill=—","Direction=H","UseDPDF=Y")</f>
        <v>5777.78</v>
      </c>
      <c r="D46" s="12">
        <f>_xll.BDH("ALB US Equity","ENERGY_CONSUMPTION","FY 2014","FY 2014","Currency=USD","Period=FY","BEST_FPERIOD_OVERRIDE=FY","FILING_STATUS=MR","Sort=A","Dates=H","DateFormat=P","Fill=—","Direction=H","UseDPDF=Y")</f>
        <v>4694.4399999999996</v>
      </c>
      <c r="E46" s="12">
        <f>_xll.BDH("ALB US Equity","ENERGY_CONSUMPTION","FY 2015","FY 2015","Currency=USD","Period=FY","BEST_FPERIOD_OVERRIDE=FY","FILING_STATUS=MR","Sort=A","Dates=H","DateFormat=P","Fill=—","Direction=H","UseDPDF=Y")</f>
        <v>4565.82</v>
      </c>
      <c r="F46" s="12">
        <f>_xll.BDH("ALB US Equity","ENERGY_CONSUMPTION","FY 2016","FY 2016","Currency=USD","Period=FY","BEST_FPERIOD_OVERRIDE=FY","FILING_STATUS=MR","Sort=A","Dates=H","DateFormat=P","Fill=—","Direction=H","UseDPDF=Y")</f>
        <v>8099.7</v>
      </c>
      <c r="G46" s="12" t="str">
        <f>_xll.BDH("ALB US Equity","ENERGY_CONSUMPTION","FY 2017","FY 2017","Currency=USD","Period=FY","BEST_FPERIOD_OVERRIDE=FY","FILING_STATUS=MR","Sort=A","Dates=H","DateFormat=P","Fill=—","Direction=H","UseDPDF=Y")</f>
        <v>—</v>
      </c>
      <c r="H46" s="12" t="str">
        <f>_xll.BDH("ALB US Equity","ENERGY_CONSUMPTION","FY 2018","FY 2018","Currency=USD","Period=FY","BEST_FPERIOD_OVERRIDE=FY","FILING_STATUS=MR","Sort=A","Dates=H","DateFormat=P","Fill=—","Direction=H","UseDPDF=Y")</f>
        <v>—</v>
      </c>
      <c r="I46" s="12">
        <f>_xll.BDH("ALB US Equity","ENERGY_CONSUMPTION","FY 2019","FY 2019","Currency=USD","Period=FY","BEST_FPERIOD_OVERRIDE=FY","FILING_STATUS=MR","Sort=A","Dates=H","DateFormat=P","Fill=—","Direction=H","UseDPDF=Y")</f>
        <v>3916.67</v>
      </c>
      <c r="J46" s="12">
        <f>_xll.BDH("ALB US Equity","ENERGY_CONSUMPTION","FY 2020","FY 2020","Currency=USD","Period=FY","BEST_FPERIOD_OVERRIDE=FY","FILING_STATUS=MR","Sort=A","Dates=H","DateFormat=P","Fill=—","Direction=H","UseDPDF=Y")</f>
        <v>3750</v>
      </c>
      <c r="K46" s="12">
        <f>_xll.BDH("ALB US Equity","ENERGY_CONSUMPTION","FY 2021","FY 2021","Currency=USD","Period=FY","BEST_FPERIOD_OVERRIDE=FY","FILING_STATUS=MR","Sort=A","Dates=H","DateFormat=P","Fill=—","Direction=H","UseDPDF=Y")</f>
        <v>3833.33</v>
      </c>
      <c r="L46" s="12">
        <f>_xll.BDH("ALB US Equity","ENERGY_CONSUMPTION","FY 2022","FY 2022","Currency=USD","Period=FY","BEST_FPERIOD_OVERRIDE=FY","FILING_STATUS=MR","Sort=A","Dates=H","DateFormat=P","Fill=—","Direction=H","UseDPDF=Y")</f>
        <v>3864.47</v>
      </c>
    </row>
    <row r="47" spans="1:12">
      <c r="A47" s="10" t="s">
        <v>90</v>
      </c>
      <c r="B47" s="10" t="s">
        <v>91</v>
      </c>
      <c r="C47" s="12" t="str">
        <f>_xll.BDH("ALB US Equity","RENEW_ENERGY_USE","FY 2013","FY 2013","Currency=USD","Period=FY","BEST_FPERIOD_OVERRIDE=FY","FILING_STATUS=MR","Sort=A","Dates=H","DateFormat=P","Fill=—","Direction=H","UseDPDF=Y")</f>
        <v>—</v>
      </c>
      <c r="D47" s="12" t="str">
        <f>_xll.BDH("ALB US Equity","RENEW_ENERGY_USE","FY 2014","FY 2014","Currency=USD","Period=FY","BEST_FPERIOD_OVERRIDE=FY","FILING_STATUS=MR","Sort=A","Dates=H","DateFormat=P","Fill=—","Direction=H","UseDPDF=Y")</f>
        <v>—</v>
      </c>
      <c r="E47" s="12" t="str">
        <f>_xll.BDH("ALB US Equity","RENEW_ENERGY_USE","FY 2015","FY 2015","Currency=USD","Period=FY","BEST_FPERIOD_OVERRIDE=FY","FILING_STATUS=MR","Sort=A","Dates=H","DateFormat=P","Fill=—","Direction=H","UseDPDF=Y")</f>
        <v>—</v>
      </c>
      <c r="F47" s="12" t="str">
        <f>_xll.BDH("ALB US Equity","RENEW_ENERGY_USE","FY 2016","FY 2016","Currency=USD","Period=FY","BEST_FPERIOD_OVERRIDE=FY","FILING_STATUS=MR","Sort=A","Dates=H","DateFormat=P","Fill=—","Direction=H","UseDPDF=Y")</f>
        <v>—</v>
      </c>
      <c r="G47" s="12" t="str">
        <f>_xll.BDH("ALB US Equity","RENEW_ENERGY_USE","FY 2017","FY 2017","Currency=USD","Period=FY","BEST_FPERIOD_OVERRIDE=FY","FILING_STATUS=MR","Sort=A","Dates=H","DateFormat=P","Fill=—","Direction=H","UseDPDF=Y")</f>
        <v>—</v>
      </c>
      <c r="H47" s="12" t="str">
        <f>_xll.BDH("ALB US Equity","RENEW_ENERGY_USE","FY 2018","FY 2018","Currency=USD","Period=FY","BEST_FPERIOD_OVERRIDE=FY","FILING_STATUS=MR","Sort=A","Dates=H","DateFormat=P","Fill=—","Direction=H","UseDPDF=Y")</f>
        <v>—</v>
      </c>
      <c r="I47" s="12">
        <f>_xll.BDH("ALB US Equity","RENEW_ENERGY_USE","FY 2019","FY 2019","Currency=USD","Period=FY","BEST_FPERIOD_OVERRIDE=FY","FILING_STATUS=MR","Sort=A","Dates=H","DateFormat=P","Fill=—","Direction=H","UseDPDF=Y")</f>
        <v>78.332999999999998</v>
      </c>
      <c r="J47" s="12">
        <f>_xll.BDH("ALB US Equity","RENEW_ENERGY_USE","FY 2020","FY 2020","Currency=USD","Period=FY","BEST_FPERIOD_OVERRIDE=FY","FILING_STATUS=MR","Sort=A","Dates=H","DateFormat=P","Fill=—","Direction=H","UseDPDF=Y")</f>
        <v>63.75</v>
      </c>
      <c r="K47" s="12">
        <f>_xll.BDH("ALB US Equity","RENEW_ENERGY_USE","FY 2021","FY 2021","Currency=USD","Period=FY","BEST_FPERIOD_OVERRIDE=FY","FILING_STATUS=MR","Sort=A","Dates=H","DateFormat=P","Fill=—","Direction=H","UseDPDF=Y")</f>
        <v>122.667</v>
      </c>
      <c r="L47" s="12">
        <f>_xll.BDH("ALB US Equity","RENEW_ENERGY_USE","FY 2022","FY 2022","Currency=USD","Period=FY","BEST_FPERIOD_OVERRIDE=FY","FILING_STATUS=MR","Sort=A","Dates=H","DateFormat=P","Fill=—","Direction=H","UseDPDF=Y")</f>
        <v>139.30000000000001</v>
      </c>
    </row>
    <row r="48" spans="1:12">
      <c r="A48" s="10" t="s">
        <v>92</v>
      </c>
      <c r="B48" s="10" t="s">
        <v>93</v>
      </c>
      <c r="C48" s="12">
        <f>_xll.BDH("ALB US Equity","ELECTRICITY_USED","FY 2013","FY 2013","Currency=USD","Period=FY","BEST_FPERIOD_OVERRIDE=FY","FILING_STATUS=MR","Sort=A","Dates=H","DateFormat=P","Fill=—","Direction=H","UseDPDF=Y")</f>
        <v>1944.44</v>
      </c>
      <c r="D48" s="12">
        <f>_xll.BDH("ALB US Equity","ELECTRICITY_USED","FY 2014","FY 2014","Currency=USD","Period=FY","BEST_FPERIOD_OVERRIDE=FY","FILING_STATUS=MR","Sort=A","Dates=H","DateFormat=P","Fill=—","Direction=H","UseDPDF=Y")</f>
        <v>1388.89</v>
      </c>
      <c r="E48" s="12" t="str">
        <f>_xll.BDH("ALB US Equity","ELECTRICITY_USED","FY 2015","FY 2015","Currency=USD","Period=FY","BEST_FPERIOD_OVERRIDE=FY","FILING_STATUS=MR","Sort=A","Dates=H","DateFormat=P","Fill=—","Direction=H","UseDPDF=Y")</f>
        <v>—</v>
      </c>
      <c r="F48" s="12">
        <f>_xll.BDH("ALB US Equity","ELECTRICITY_USED","FY 2016","FY 2016","Currency=USD","Period=FY","BEST_FPERIOD_OVERRIDE=FY","FILING_STATUS=MR","Sort=A","Dates=H","DateFormat=P","Fill=—","Direction=H","UseDPDF=Y")</f>
        <v>2122.6799999999998</v>
      </c>
      <c r="G48" s="12" t="str">
        <f>_xll.BDH("ALB US Equity","ELECTRICITY_USED","FY 2017","FY 2017","Currency=USD","Period=FY","BEST_FPERIOD_OVERRIDE=FY","FILING_STATUS=MR","Sort=A","Dates=H","DateFormat=P","Fill=—","Direction=H","UseDPDF=Y")</f>
        <v>—</v>
      </c>
      <c r="H48" s="12" t="str">
        <f>_xll.BDH("ALB US Equity","ELECTRICITY_USED","FY 2018","FY 2018","Currency=USD","Period=FY","BEST_FPERIOD_OVERRIDE=FY","FILING_STATUS=MR","Sort=A","Dates=H","DateFormat=P","Fill=—","Direction=H","UseDPDF=Y")</f>
        <v>—</v>
      </c>
      <c r="I48" s="12">
        <f>_xll.BDH("ALB US Equity","ELECTRICITY_USED","FY 2019","FY 2019","Currency=USD","Period=FY","BEST_FPERIOD_OVERRIDE=FY","FILING_STATUS=MR","Sort=A","Dates=H","DateFormat=P","Fill=—","Direction=H","UseDPDF=Y")</f>
        <v>822.5</v>
      </c>
      <c r="J48" s="12">
        <f>_xll.BDH("ALB US Equity","ELECTRICITY_USED","FY 2020","FY 2020","Currency=USD","Period=FY","BEST_FPERIOD_OVERRIDE=FY","FILING_STATUS=MR","Sort=A","Dates=H","DateFormat=P","Fill=—","Direction=H","UseDPDF=Y")</f>
        <v>787.5</v>
      </c>
      <c r="K48" s="12">
        <f>_xll.BDH("ALB US Equity","ELECTRICITY_USED","FY 2021","FY 2021","Currency=USD","Period=FY","BEST_FPERIOD_OVERRIDE=FY","FILING_STATUS=MR","Sort=A","Dates=H","DateFormat=P","Fill=—","Direction=H","UseDPDF=Y")</f>
        <v>805</v>
      </c>
      <c r="L48" s="12">
        <f>_xll.BDH("ALB US Equity","ELECTRICITY_USED","FY 2022","FY 2022","Currency=USD","Period=FY","BEST_FPERIOD_OVERRIDE=FY","FILING_STATUS=MR","Sort=A","Dates=H","DateFormat=P","Fill=—","Direction=H","UseDPDF=Y")</f>
        <v>858.12800000000004</v>
      </c>
    </row>
    <row r="49" spans="1:12">
      <c r="A49" s="10" t="s">
        <v>94</v>
      </c>
      <c r="B49" s="10" t="s">
        <v>95</v>
      </c>
      <c r="C49" s="12" t="str">
        <f>_xll.BDH("ALB US Equity","SELF_GEN_RENEWABLE_ELECTRICITY","FY 2013","FY 2013","Currency=USD","Period=FY","BEST_FPERIOD_OVERRIDE=FY","FILING_STATUS=MR","Sort=A","Dates=H","DateFormat=P","Fill=—","Direction=H","UseDPDF=Y")</f>
        <v>—</v>
      </c>
      <c r="D49" s="12" t="str">
        <f>_xll.BDH("ALB US Equity","SELF_GEN_RENEWABLE_ELECTRICITY","FY 2014","FY 2014","Currency=USD","Period=FY","BEST_FPERIOD_OVERRIDE=FY","FILING_STATUS=MR","Sort=A","Dates=H","DateFormat=P","Fill=—","Direction=H","UseDPDF=Y")</f>
        <v>—</v>
      </c>
      <c r="E49" s="12" t="str">
        <f>_xll.BDH("ALB US Equity","SELF_GEN_RENEWABLE_ELECTRICITY","FY 2015","FY 2015","Currency=USD","Period=FY","BEST_FPERIOD_OVERRIDE=FY","FILING_STATUS=MR","Sort=A","Dates=H","DateFormat=P","Fill=—","Direction=H","UseDPDF=Y")</f>
        <v>—</v>
      </c>
      <c r="F49" s="12" t="str">
        <f>_xll.BDH("ALB US Equity","SELF_GEN_RENEWABLE_ELECTRICITY","FY 2016","FY 2016","Currency=USD","Period=FY","BEST_FPERIOD_OVERRIDE=FY","FILING_STATUS=MR","Sort=A","Dates=H","DateFormat=P","Fill=—","Direction=H","UseDPDF=Y")</f>
        <v>—</v>
      </c>
      <c r="G49" s="12" t="str">
        <f>_xll.BDH("ALB US Equity","SELF_GEN_RENEWABLE_ELECTRICITY","FY 2017","FY 2017","Currency=USD","Period=FY","BEST_FPERIOD_OVERRIDE=FY","FILING_STATUS=MR","Sort=A","Dates=H","DateFormat=P","Fill=—","Direction=H","UseDPDF=Y")</f>
        <v>—</v>
      </c>
      <c r="H49" s="12" t="str">
        <f>_xll.BDH("ALB US Equity","SELF_GEN_RENEWABLE_ELECTRICITY","FY 2018","FY 2018","Currency=USD","Period=FY","BEST_FPERIOD_OVERRIDE=FY","FILING_STATUS=MR","Sort=A","Dates=H","DateFormat=P","Fill=—","Direction=H","UseDPDF=Y")</f>
        <v>—</v>
      </c>
      <c r="I49" s="12" t="str">
        <f>_xll.BDH("ALB US Equity","SELF_GEN_RENEWABLE_ELECTRICITY","FY 2019","FY 2019","Currency=USD","Period=FY","BEST_FPERIOD_OVERRIDE=FY","FILING_STATUS=MR","Sort=A","Dates=H","DateFormat=P","Fill=—","Direction=H","UseDPDF=Y")</f>
        <v>—</v>
      </c>
      <c r="J49" s="12" t="str">
        <f>_xll.BDH("ALB US Equity","SELF_GEN_RENEWABLE_ELECTRICITY","FY 2020","FY 2020","Currency=USD","Period=FY","BEST_FPERIOD_OVERRIDE=FY","FILING_STATUS=MR","Sort=A","Dates=H","DateFormat=P","Fill=—","Direction=H","UseDPDF=Y")</f>
        <v>—</v>
      </c>
      <c r="K49" s="12">
        <f>_xll.BDH("ALB US Equity","SELF_GEN_RENEWABLE_ELECTRICITY","FY 2021","FY 2021","Currency=USD","Period=FY","BEST_FPERIOD_OVERRIDE=FY","FILING_STATUS=MR","Sort=A","Dates=H","DateFormat=P","Fill=—","Direction=H","UseDPDF=Y")</f>
        <v>0</v>
      </c>
      <c r="L49" s="12">
        <f>_xll.BDH("ALB US Equity","SELF_GEN_RENEWABLE_ELECTRICITY","FY 2022","FY 2022","Currency=USD","Period=FY","BEST_FPERIOD_OVERRIDE=FY","FILING_STATUS=MR","Sort=A","Dates=H","DateFormat=P","Fill=—","Direction=H","UseDPDF=Y")</f>
        <v>0</v>
      </c>
    </row>
    <row r="50" spans="1:12">
      <c r="A50" s="10" t="s">
        <v>96</v>
      </c>
      <c r="B50" s="10" t="s">
        <v>97</v>
      </c>
      <c r="C50" s="12">
        <f>_xll.BDH("ALB US Equity","COAL_USED","FY 2013","FY 2013","Currency=USD","Period=FY","BEST_FPERIOD_OVERRIDE=FY","FILING_STATUS=MR","Sort=A","Dates=H","DateFormat=P","Fill=—","Direction=H","UseDPDF=Y")</f>
        <v>95.033000000000001</v>
      </c>
      <c r="D50" s="12">
        <f>_xll.BDH("ALB US Equity","COAL_USED","FY 2014","FY 2014","Currency=USD","Period=FY","BEST_FPERIOD_OVERRIDE=FY","FILING_STATUS=MR","Sort=A","Dates=H","DateFormat=P","Fill=—","Direction=H","UseDPDF=Y")</f>
        <v>98.992000000000004</v>
      </c>
      <c r="E50" s="12" t="str">
        <f>_xll.BDH("ALB US Equity","COAL_USED","FY 2015","FY 2015","Currency=USD","Period=FY","BEST_FPERIOD_OVERRIDE=FY","FILING_STATUS=MR","Sort=A","Dates=H","DateFormat=P","Fill=—","Direction=H","UseDPDF=Y")</f>
        <v>—</v>
      </c>
      <c r="F50" s="12" t="str">
        <f>_xll.BDH("ALB US Equity","COAL_USED","FY 2016","FY 2016","Currency=USD","Period=FY","BEST_FPERIOD_OVERRIDE=FY","FILING_STATUS=MR","Sort=A","Dates=H","DateFormat=P","Fill=—","Direction=H","UseDPDF=Y")</f>
        <v>—</v>
      </c>
      <c r="G50" s="12" t="str">
        <f>_xll.BDH("ALB US Equity","COAL_USED","FY 2017","FY 2017","Currency=USD","Period=FY","BEST_FPERIOD_OVERRIDE=FY","FILING_STATUS=MR","Sort=A","Dates=H","DateFormat=P","Fill=—","Direction=H","UseDPDF=Y")</f>
        <v>—</v>
      </c>
      <c r="H50" s="12" t="str">
        <f>_xll.BDH("ALB US Equity","COAL_USED","FY 2018","FY 2018","Currency=USD","Period=FY","BEST_FPERIOD_OVERRIDE=FY","FILING_STATUS=MR","Sort=A","Dates=H","DateFormat=P","Fill=—","Direction=H","UseDPDF=Y")</f>
        <v>—</v>
      </c>
      <c r="I50" s="12" t="str">
        <f>_xll.BDH("ALB US Equity","COAL_USED","FY 2019","FY 2019","Currency=USD","Period=FY","BEST_FPERIOD_OVERRIDE=FY","FILING_STATUS=MR","Sort=A","Dates=H","DateFormat=P","Fill=—","Direction=H","UseDPDF=Y")</f>
        <v>—</v>
      </c>
      <c r="J50" s="12" t="str">
        <f>_xll.BDH("ALB US Equity","COAL_USED","FY 2020","FY 2020","Currency=USD","Period=FY","BEST_FPERIOD_OVERRIDE=FY","FILING_STATUS=MR","Sort=A","Dates=H","DateFormat=P","Fill=—","Direction=H","UseDPDF=Y")</f>
        <v>—</v>
      </c>
      <c r="K50" s="12">
        <f>_xll.BDH("ALB US Equity","COAL_USED","FY 2021","FY 2021","Currency=USD","Period=FY","BEST_FPERIOD_OVERRIDE=FY","FILING_STATUS=MR","Sort=A","Dates=H","DateFormat=P","Fill=—","Direction=H","UseDPDF=Y")</f>
        <v>0</v>
      </c>
      <c r="L50" s="12">
        <f>_xll.BDH("ALB US Equity","COAL_USED","FY 2022","FY 2022","Currency=USD","Period=FY","BEST_FPERIOD_OVERRIDE=FY","FILING_STATUS=MR","Sort=A","Dates=H","DateFormat=P","Fill=—","Direction=H","UseDPDF=Y")</f>
        <v>0</v>
      </c>
    </row>
    <row r="51" spans="1:12">
      <c r="A51" s="10" t="s">
        <v>98</v>
      </c>
      <c r="B51" s="10" t="s">
        <v>99</v>
      </c>
      <c r="C51" s="12">
        <f>_xll.BDH("ALB US Equity","NAT_GAS_USED","FY 2013","FY 2013","Currency=USD","Period=FY","BEST_FPERIOD_OVERRIDE=FY","FILING_STATUS=MR","Sort=A","Dates=H","DateFormat=P","Fill=—","Direction=H","UseDPDF=Y")</f>
        <v>278739</v>
      </c>
      <c r="D51" s="12">
        <f>_xll.BDH("ALB US Equity","NAT_GAS_USED","FY 2014","FY 2014","Currency=USD","Period=FY","BEST_FPERIOD_OVERRIDE=FY","FILING_STATUS=MR","Sort=A","Dates=H","DateFormat=P","Fill=—","Direction=H","UseDPDF=Y")</f>
        <v>257090</v>
      </c>
      <c r="E51" s="12" t="str">
        <f>_xll.BDH("ALB US Equity","NAT_GAS_USED","FY 2015","FY 2015","Currency=USD","Period=FY","BEST_FPERIOD_OVERRIDE=FY","FILING_STATUS=MR","Sort=A","Dates=H","DateFormat=P","Fill=—","Direction=H","UseDPDF=Y")</f>
        <v>—</v>
      </c>
      <c r="F51" s="12" t="str">
        <f>_xll.BDH("ALB US Equity","NAT_GAS_USED","FY 2016","FY 2016","Currency=USD","Period=FY","BEST_FPERIOD_OVERRIDE=FY","FILING_STATUS=MR","Sort=A","Dates=H","DateFormat=P","Fill=—","Direction=H","UseDPDF=Y")</f>
        <v>—</v>
      </c>
      <c r="G51" s="12" t="str">
        <f>_xll.BDH("ALB US Equity","NAT_GAS_USED","FY 2017","FY 2017","Currency=USD","Period=FY","BEST_FPERIOD_OVERRIDE=FY","FILING_STATUS=MR","Sort=A","Dates=H","DateFormat=P","Fill=—","Direction=H","UseDPDF=Y")</f>
        <v>—</v>
      </c>
      <c r="H51" s="12" t="str">
        <f>_xll.BDH("ALB US Equity","NAT_GAS_USED","FY 2018","FY 2018","Currency=USD","Period=FY","BEST_FPERIOD_OVERRIDE=FY","FILING_STATUS=MR","Sort=A","Dates=H","DateFormat=P","Fill=—","Direction=H","UseDPDF=Y")</f>
        <v>—</v>
      </c>
      <c r="I51" s="12" t="str">
        <f>_xll.BDH("ALB US Equity","NAT_GAS_USED","FY 2019","FY 2019","Currency=USD","Period=FY","BEST_FPERIOD_OVERRIDE=FY","FILING_STATUS=MR","Sort=A","Dates=H","DateFormat=P","Fill=—","Direction=H","UseDPDF=Y")</f>
        <v>—</v>
      </c>
      <c r="J51" s="12" t="str">
        <f>_xll.BDH("ALB US Equity","NAT_GAS_USED","FY 2020","FY 2020","Currency=USD","Period=FY","BEST_FPERIOD_OVERRIDE=FY","FILING_STATUS=MR","Sort=A","Dates=H","DateFormat=P","Fill=—","Direction=H","UseDPDF=Y")</f>
        <v>—</v>
      </c>
      <c r="K51" s="12">
        <f>_xll.BDH("ALB US Equity","NAT_GAS_USED","FY 2021","FY 2021","Currency=USD","Period=FY","BEST_FPERIOD_OVERRIDE=FY","FILING_STATUS=MR","Sort=A","Dates=H","DateFormat=P","Fill=—","Direction=H","UseDPDF=Y")</f>
        <v>273352</v>
      </c>
      <c r="L51" s="12">
        <f>_xll.BDH("ALB US Equity","NAT_GAS_USED","FY 2022","FY 2022","Currency=USD","Period=FY","BEST_FPERIOD_OVERRIDE=FY","FILING_STATUS=MR","Sort=A","Dates=H","DateFormat=P","Fill=—","Direction=H","UseDPDF=Y")</f>
        <v>283513</v>
      </c>
    </row>
    <row r="52" spans="1:12">
      <c r="A52" s="10" t="s">
        <v>100</v>
      </c>
      <c r="B52" s="10" t="s">
        <v>101</v>
      </c>
      <c r="C52" s="12" t="str">
        <f>_xll.BDH("ALB US Equity","OIL_DIESEL_USED","FY 2013","FY 2013","Currency=USD","Period=FY","BEST_FPERIOD_OVERRIDE=FY","FILING_STATUS=MR","Sort=A","Dates=H","DateFormat=P","Fill=—","Direction=H","UseDPDF=Y")</f>
        <v>—</v>
      </c>
      <c r="D52" s="12" t="str">
        <f>_xll.BDH("ALB US Equity","OIL_DIESEL_USED","FY 2014","FY 2014","Currency=USD","Period=FY","BEST_FPERIOD_OVERRIDE=FY","FILING_STATUS=MR","Sort=A","Dates=H","DateFormat=P","Fill=—","Direction=H","UseDPDF=Y")</f>
        <v>—</v>
      </c>
      <c r="E52" s="12" t="str">
        <f>_xll.BDH("ALB US Equity","OIL_DIESEL_USED","FY 2015","FY 2015","Currency=USD","Period=FY","BEST_FPERIOD_OVERRIDE=FY","FILING_STATUS=MR","Sort=A","Dates=H","DateFormat=P","Fill=—","Direction=H","UseDPDF=Y")</f>
        <v>—</v>
      </c>
      <c r="F52" s="12" t="str">
        <f>_xll.BDH("ALB US Equity","OIL_DIESEL_USED","FY 2016","FY 2016","Currency=USD","Period=FY","BEST_FPERIOD_OVERRIDE=FY","FILING_STATUS=MR","Sort=A","Dates=H","DateFormat=P","Fill=—","Direction=H","UseDPDF=Y")</f>
        <v>—</v>
      </c>
      <c r="G52" s="12" t="str">
        <f>_xll.BDH("ALB US Equity","OIL_DIESEL_USED","FY 2017","FY 2017","Currency=USD","Period=FY","BEST_FPERIOD_OVERRIDE=FY","FILING_STATUS=MR","Sort=A","Dates=H","DateFormat=P","Fill=—","Direction=H","UseDPDF=Y")</f>
        <v>—</v>
      </c>
      <c r="H52" s="12" t="str">
        <f>_xll.BDH("ALB US Equity","OIL_DIESEL_USED","FY 2018","FY 2018","Currency=USD","Period=FY","BEST_FPERIOD_OVERRIDE=FY","FILING_STATUS=MR","Sort=A","Dates=H","DateFormat=P","Fill=—","Direction=H","UseDPDF=Y")</f>
        <v>—</v>
      </c>
      <c r="I52" s="12" t="str">
        <f>_xll.BDH("ALB US Equity","OIL_DIESEL_USED","FY 2019","FY 2019","Currency=USD","Period=FY","BEST_FPERIOD_OVERRIDE=FY","FILING_STATUS=MR","Sort=A","Dates=H","DateFormat=P","Fill=—","Direction=H","UseDPDF=Y")</f>
        <v>—</v>
      </c>
      <c r="J52" s="12" t="str">
        <f>_xll.BDH("ALB US Equity","OIL_DIESEL_USED","FY 2020","FY 2020","Currency=USD","Period=FY","BEST_FPERIOD_OVERRIDE=FY","FILING_STATUS=MR","Sort=A","Dates=H","DateFormat=P","Fill=—","Direction=H","UseDPDF=Y")</f>
        <v>—</v>
      </c>
      <c r="K52" s="12">
        <f>_xll.BDH("ALB US Equity","OIL_DIESEL_USED","FY 2021","FY 2021","Currency=USD","Period=FY","BEST_FPERIOD_OVERRIDE=FY","FILING_STATUS=MR","Sort=A","Dates=H","DateFormat=P","Fill=—","Direction=H","UseDPDF=Y")</f>
        <v>5.0890000000000004</v>
      </c>
      <c r="L52" s="12">
        <f>_xll.BDH("ALB US Equity","OIL_DIESEL_USED","FY 2022","FY 2022","Currency=USD","Period=FY","BEST_FPERIOD_OVERRIDE=FY","FILING_STATUS=MR","Sort=A","Dates=H","DateFormat=P","Fill=—","Direction=H","UseDPDF=Y")</f>
        <v>4.5650000000000004</v>
      </c>
    </row>
    <row r="53" spans="1:1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>
      <c r="A54" s="10" t="s">
        <v>102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>
      <c r="A55" s="10" t="s">
        <v>103</v>
      </c>
      <c r="B55" s="10" t="s">
        <v>104</v>
      </c>
      <c r="C55" s="11" t="s">
        <v>52</v>
      </c>
      <c r="D55" s="11" t="s">
        <v>52</v>
      </c>
      <c r="E55" s="11" t="s">
        <v>52</v>
      </c>
      <c r="F55" s="11" t="s">
        <v>52</v>
      </c>
      <c r="G55" s="11" t="s">
        <v>52</v>
      </c>
      <c r="H55" s="11" t="s">
        <v>52</v>
      </c>
      <c r="I55" s="11" t="s">
        <v>52</v>
      </c>
      <c r="J55" s="11" t="s">
        <v>52</v>
      </c>
      <c r="K55" s="11" t="s">
        <v>52</v>
      </c>
      <c r="L55" s="11" t="s">
        <v>52</v>
      </c>
    </row>
    <row r="56" spans="1:12">
      <c r="A56" s="10" t="s">
        <v>105</v>
      </c>
      <c r="B56" s="10" t="s">
        <v>106</v>
      </c>
      <c r="C56" s="12">
        <f>_xll.BDH("ALB US Equity","HAZARDOUS_WASTE","FY 2013","FY 2013","Currency=USD","Period=FY","BEST_FPERIOD_OVERRIDE=FY","FILING_STATUS=MR","Sort=A","Dates=H","DateFormat=P","Fill=—","Direction=H","UseDPDF=Y")</f>
        <v>18.742000000000001</v>
      </c>
      <c r="D56" s="12">
        <f>_xll.BDH("ALB US Equity","HAZARDOUS_WASTE","FY 2014","FY 2014","Currency=USD","Period=FY","BEST_FPERIOD_OVERRIDE=FY","FILING_STATUS=MR","Sort=A","Dates=H","DateFormat=P","Fill=—","Direction=H","UseDPDF=Y")</f>
        <v>37.566000000000003</v>
      </c>
      <c r="E56" s="12" t="str">
        <f>_xll.BDH("ALB US Equity","HAZARDOUS_WASTE","FY 2015","FY 2015","Currency=USD","Period=FY","BEST_FPERIOD_OVERRIDE=FY","FILING_STATUS=MR","Sort=A","Dates=H","DateFormat=P","Fill=—","Direction=H","UseDPDF=Y")</f>
        <v>—</v>
      </c>
      <c r="F56" s="12">
        <f>_xll.BDH("ALB US Equity","HAZARDOUS_WASTE","FY 2016","FY 2016","Currency=USD","Period=FY","BEST_FPERIOD_OVERRIDE=FY","FILING_STATUS=MR","Sort=A","Dates=H","DateFormat=P","Fill=—","Direction=H","UseDPDF=Y")</f>
        <v>11.497999999999999</v>
      </c>
      <c r="G56" s="12">
        <f>_xll.BDH("ALB US Equity","HAZARDOUS_WASTE","FY 2017","FY 2017","Currency=USD","Period=FY","BEST_FPERIOD_OVERRIDE=FY","FILING_STATUS=MR","Sort=A","Dates=H","DateFormat=P","Fill=—","Direction=H","UseDPDF=Y")</f>
        <v>15.233000000000001</v>
      </c>
      <c r="H56" s="12">
        <f>_xll.BDH("ALB US Equity","HAZARDOUS_WASTE","FY 2018","FY 2018","Currency=USD","Period=FY","BEST_FPERIOD_OVERRIDE=FY","FILING_STATUS=MR","Sort=A","Dates=H","DateFormat=P","Fill=—","Direction=H","UseDPDF=Y")</f>
        <v>20</v>
      </c>
      <c r="I56" s="12">
        <f>_xll.BDH("ALB US Equity","HAZARDOUS_WASTE","FY 2019","FY 2019","Currency=USD","Period=FY","BEST_FPERIOD_OVERRIDE=FY","FILING_STATUS=MR","Sort=A","Dates=H","DateFormat=P","Fill=—","Direction=H","UseDPDF=Y")</f>
        <v>21</v>
      </c>
      <c r="J56" s="12">
        <f>_xll.BDH("ALB US Equity","HAZARDOUS_WASTE","FY 2020","FY 2020","Currency=USD","Period=FY","BEST_FPERIOD_OVERRIDE=FY","FILING_STATUS=MR","Sort=A","Dates=H","DateFormat=P","Fill=—","Direction=H","UseDPDF=Y")</f>
        <v>21</v>
      </c>
      <c r="K56" s="12">
        <f>_xll.BDH("ALB US Equity","HAZARDOUS_WASTE","FY 2021","FY 2021","Currency=USD","Period=FY","BEST_FPERIOD_OVERRIDE=FY","FILING_STATUS=MR","Sort=A","Dates=H","DateFormat=P","Fill=—","Direction=H","UseDPDF=Y")</f>
        <v>13</v>
      </c>
      <c r="L56" s="12">
        <f>_xll.BDH("ALB US Equity","HAZARDOUS_WASTE","FY 2022","FY 2022","Currency=USD","Period=FY","BEST_FPERIOD_OVERRIDE=FY","FILING_STATUS=MR","Sort=A","Dates=H","DateFormat=P","Fill=—","Direction=H","UseDPDF=Y")</f>
        <v>9</v>
      </c>
    </row>
    <row r="57" spans="1:12">
      <c r="A57" s="10" t="s">
        <v>107</v>
      </c>
      <c r="B57" s="10" t="s">
        <v>108</v>
      </c>
      <c r="C57" s="12">
        <f>_xll.BDH("ALB US Equity","TOTAL_WASTE","FY 2013","FY 2013","Currency=USD","Period=FY","BEST_FPERIOD_OVERRIDE=FY","FILING_STATUS=MR","Sort=A","Dates=H","DateFormat=P","Fill=—","Direction=H","UseDPDF=Y")</f>
        <v>145.49100000000001</v>
      </c>
      <c r="D57" s="12">
        <f>_xll.BDH("ALB US Equity","TOTAL_WASTE","FY 2014","FY 2014","Currency=USD","Period=FY","BEST_FPERIOD_OVERRIDE=FY","FILING_STATUS=MR","Sort=A","Dates=H","DateFormat=P","Fill=—","Direction=H","UseDPDF=Y")</f>
        <v>169.649</v>
      </c>
      <c r="E57" s="12" t="str">
        <f>_xll.BDH("ALB US Equity","TOTAL_WASTE","FY 2015","FY 2015","Currency=USD","Period=FY","BEST_FPERIOD_OVERRIDE=FY","FILING_STATUS=MR","Sort=A","Dates=H","DateFormat=P","Fill=—","Direction=H","UseDPDF=Y")</f>
        <v>—</v>
      </c>
      <c r="F57" s="12">
        <f>_xll.BDH("ALB US Equity","TOTAL_WASTE","FY 2016","FY 2016","Currency=USD","Period=FY","BEST_FPERIOD_OVERRIDE=FY","FILING_STATUS=MR","Sort=A","Dates=H","DateFormat=P","Fill=—","Direction=H","UseDPDF=Y")</f>
        <v>18.940000000000001</v>
      </c>
      <c r="G57" s="12">
        <f>_xll.BDH("ALB US Equity","TOTAL_WASTE","FY 2017","FY 2017","Currency=USD","Period=FY","BEST_FPERIOD_OVERRIDE=FY","FILING_STATUS=MR","Sort=A","Dates=H","DateFormat=P","Fill=—","Direction=H","UseDPDF=Y")</f>
        <v>88.894999999999996</v>
      </c>
      <c r="H57" s="12">
        <f>_xll.BDH("ALB US Equity","TOTAL_WASTE","FY 2018","FY 2018","Currency=USD","Period=FY","BEST_FPERIOD_OVERRIDE=FY","FILING_STATUS=MR","Sort=A","Dates=H","DateFormat=P","Fill=—","Direction=H","UseDPDF=Y")</f>
        <v>110</v>
      </c>
      <c r="I57" s="12" t="str">
        <f>_xll.BDH("ALB US Equity","TOTAL_WASTE","FY 2019","FY 2019","Currency=USD","Period=FY","BEST_FPERIOD_OVERRIDE=FY","FILING_STATUS=MR","Sort=A","Dates=H","DateFormat=P","Fill=—","Direction=H","UseDPDF=Y")</f>
        <v>—</v>
      </c>
      <c r="J57" s="12">
        <f>_xll.BDH("ALB US Equity","TOTAL_WASTE","FY 2020","FY 2020","Currency=USD","Period=FY","BEST_FPERIOD_OVERRIDE=FY","FILING_STATUS=MR","Sort=A","Dates=H","DateFormat=P","Fill=—","Direction=H","UseDPDF=Y")</f>
        <v>327</v>
      </c>
      <c r="K57" s="12" t="str">
        <f>_xll.BDH("ALB US Equity","TOTAL_WASTE","FY 2021","FY 2021","Currency=USD","Period=FY","BEST_FPERIOD_OVERRIDE=FY","FILING_STATUS=MR","Sort=A","Dates=H","DateFormat=P","Fill=—","Direction=H","UseDPDF=Y")</f>
        <v>—</v>
      </c>
      <c r="L57" s="12" t="str">
        <f>_xll.BDH("ALB US Equity","TOTAL_WASTE","FY 2022","FY 2022","Currency=USD","Period=FY","BEST_FPERIOD_OVERRIDE=FY","FILING_STATUS=MR","Sort=A","Dates=H","DateFormat=P","Fill=—","Direction=H","UseDPDF=Y")</f>
        <v>—</v>
      </c>
    </row>
    <row r="58" spans="1:12">
      <c r="A58" s="10" t="s">
        <v>109</v>
      </c>
      <c r="B58" s="10" t="s">
        <v>110</v>
      </c>
      <c r="C58" s="12">
        <f>_xll.BDH("ALB US Equity","WASTE_RECYCLED","FY 2013","FY 2013","Currency=USD","Period=FY","BEST_FPERIOD_OVERRIDE=FY","FILING_STATUS=MR","Sort=A","Dates=H","DateFormat=P","Fill=—","Direction=H","UseDPDF=Y")</f>
        <v>8.7739999999999991</v>
      </c>
      <c r="D58" s="12">
        <f>_xll.BDH("ALB US Equity","WASTE_RECYCLED","FY 2014","FY 2014","Currency=USD","Period=FY","BEST_FPERIOD_OVERRIDE=FY","FILING_STATUS=MR","Sort=A","Dates=H","DateFormat=P","Fill=—","Direction=H","UseDPDF=Y")</f>
        <v>2.823</v>
      </c>
      <c r="E58" s="12" t="str">
        <f>_xll.BDH("ALB US Equity","WASTE_RECYCLED","FY 2015","FY 2015","Currency=USD","Period=FY","BEST_FPERIOD_OVERRIDE=FY","FILING_STATUS=MR","Sort=A","Dates=H","DateFormat=P","Fill=—","Direction=H","UseDPDF=Y")</f>
        <v>—</v>
      </c>
      <c r="F58" s="12" t="str">
        <f>_xll.BDH("ALB US Equity","WASTE_RECYCLED","FY 2016","FY 2016","Currency=USD","Period=FY","BEST_FPERIOD_OVERRIDE=FY","FILING_STATUS=MR","Sort=A","Dates=H","DateFormat=P","Fill=—","Direction=H","UseDPDF=Y")</f>
        <v>—</v>
      </c>
      <c r="G58" s="12" t="str">
        <f>_xll.BDH("ALB US Equity","WASTE_RECYCLED","FY 2017","FY 2017","Currency=USD","Period=FY","BEST_FPERIOD_OVERRIDE=FY","FILING_STATUS=MR","Sort=A","Dates=H","DateFormat=P","Fill=—","Direction=H","UseDPDF=Y")</f>
        <v>—</v>
      </c>
      <c r="H58" s="12" t="str">
        <f>_xll.BDH("ALB US Equity","WASTE_RECYCLED","FY 2018","FY 2018","Currency=USD","Period=FY","BEST_FPERIOD_OVERRIDE=FY","FILING_STATUS=MR","Sort=A","Dates=H","DateFormat=P","Fill=—","Direction=H","UseDPDF=Y")</f>
        <v>—</v>
      </c>
      <c r="I58" s="12" t="str">
        <f>_xll.BDH("ALB US Equity","WASTE_RECYCLED","FY 2019","FY 2019","Currency=USD","Period=FY","BEST_FPERIOD_OVERRIDE=FY","FILING_STATUS=MR","Sort=A","Dates=H","DateFormat=P","Fill=—","Direction=H","UseDPDF=Y")</f>
        <v>—</v>
      </c>
      <c r="J58" s="12">
        <f>_xll.BDH("ALB US Equity","WASTE_RECYCLED","FY 2020","FY 2020","Currency=USD","Period=FY","BEST_FPERIOD_OVERRIDE=FY","FILING_STATUS=MR","Sort=A","Dates=H","DateFormat=P","Fill=—","Direction=H","UseDPDF=Y")</f>
        <v>293.37</v>
      </c>
      <c r="K58" s="12" t="str">
        <f>_xll.BDH("ALB US Equity","WASTE_RECYCLED","FY 2021","FY 2021","Currency=USD","Period=FY","BEST_FPERIOD_OVERRIDE=FY","FILING_STATUS=MR","Sort=A","Dates=H","DateFormat=P","Fill=—","Direction=H","UseDPDF=Y")</f>
        <v>—</v>
      </c>
      <c r="L58" s="12" t="str">
        <f>_xll.BDH("ALB US Equity","WASTE_RECYCLED","FY 2022","FY 2022","Currency=USD","Period=FY","BEST_FPERIOD_OVERRIDE=FY","FILING_STATUS=MR","Sort=A","Dates=H","DateFormat=P","Fill=—","Direction=H","UseDPDF=Y")</f>
        <v>—</v>
      </c>
    </row>
    <row r="59" spans="1:12">
      <c r="A59" s="10" t="s">
        <v>111</v>
      </c>
      <c r="B59" s="10" t="s">
        <v>112</v>
      </c>
      <c r="C59" s="12">
        <f>_xll.BDH("ALB US Equity","WASTE_SENT_TO_LANDFILLS","FY 2013","FY 2013","Currency=USD","Period=FY","BEST_FPERIOD_OVERRIDE=FY","FILING_STATUS=MR","Sort=A","Dates=H","DateFormat=P","Fill=—","Direction=H","UseDPDF=Y")</f>
        <v>30.606999999999999</v>
      </c>
      <c r="D59" s="12">
        <f>_xll.BDH("ALB US Equity","WASTE_SENT_TO_LANDFILLS","FY 2014","FY 2014","Currency=USD","Period=FY","BEST_FPERIOD_OVERRIDE=FY","FILING_STATUS=MR","Sort=A","Dates=H","DateFormat=P","Fill=—","Direction=H","UseDPDF=Y")</f>
        <v>6.0350000000000001</v>
      </c>
      <c r="E59" s="12" t="str">
        <f>_xll.BDH("ALB US Equity","WASTE_SENT_TO_LANDFILLS","FY 2015","FY 2015","Currency=USD","Period=FY","BEST_FPERIOD_OVERRIDE=FY","FILING_STATUS=MR","Sort=A","Dates=H","DateFormat=P","Fill=—","Direction=H","UseDPDF=Y")</f>
        <v>—</v>
      </c>
      <c r="F59" s="12" t="str">
        <f>_xll.BDH("ALB US Equity","WASTE_SENT_TO_LANDFILLS","FY 2016","FY 2016","Currency=USD","Period=FY","BEST_FPERIOD_OVERRIDE=FY","FILING_STATUS=MR","Sort=A","Dates=H","DateFormat=P","Fill=—","Direction=H","UseDPDF=Y")</f>
        <v>—</v>
      </c>
      <c r="G59" s="12" t="str">
        <f>_xll.BDH("ALB US Equity","WASTE_SENT_TO_LANDFILLS","FY 2017","FY 2017","Currency=USD","Period=FY","BEST_FPERIOD_OVERRIDE=FY","FILING_STATUS=MR","Sort=A","Dates=H","DateFormat=P","Fill=—","Direction=H","UseDPDF=Y")</f>
        <v>—</v>
      </c>
      <c r="H59" s="12" t="str">
        <f>_xll.BDH("ALB US Equity","WASTE_SENT_TO_LANDFILLS","FY 2018","FY 2018","Currency=USD","Period=FY","BEST_FPERIOD_OVERRIDE=FY","FILING_STATUS=MR","Sort=A","Dates=H","DateFormat=P","Fill=—","Direction=H","UseDPDF=Y")</f>
        <v>—</v>
      </c>
      <c r="I59" s="12" t="str">
        <f>_xll.BDH("ALB US Equity","WASTE_SENT_TO_LANDFILLS","FY 2019","FY 2019","Currency=USD","Period=FY","BEST_FPERIOD_OVERRIDE=FY","FILING_STATUS=MR","Sort=A","Dates=H","DateFormat=P","Fill=—","Direction=H","UseDPDF=Y")</f>
        <v>—</v>
      </c>
      <c r="J59" s="12" t="str">
        <f>_xll.BDH("ALB US Equity","WASTE_SENT_TO_LANDFILLS","FY 2020","FY 2020","Currency=USD","Period=FY","BEST_FPERIOD_OVERRIDE=FY","FILING_STATUS=MR","Sort=A","Dates=H","DateFormat=P","Fill=—","Direction=H","UseDPDF=Y")</f>
        <v>—</v>
      </c>
      <c r="K59" s="12" t="str">
        <f>_xll.BDH("ALB US Equity","WASTE_SENT_TO_LANDFILLS","FY 2021","FY 2021","Currency=USD","Period=FY","BEST_FPERIOD_OVERRIDE=FY","FILING_STATUS=MR","Sort=A","Dates=H","DateFormat=P","Fill=—","Direction=H","UseDPDF=Y")</f>
        <v>—</v>
      </c>
      <c r="L59" s="12" t="str">
        <f>_xll.BDH("ALB US Equity","WASTE_SENT_TO_LANDFILLS","FY 2022","FY 2022","Currency=USD","Period=FY","BEST_FPERIOD_OVERRIDE=FY","FILING_STATUS=MR","Sort=A","Dates=H","DateFormat=P","Fill=—","Direction=H","UseDPDF=Y")</f>
        <v>—</v>
      </c>
    </row>
    <row r="60" spans="1:12">
      <c r="A60" s="10" t="s">
        <v>113</v>
      </c>
      <c r="B60" s="10" t="s">
        <v>114</v>
      </c>
      <c r="C60" s="12">
        <f>_xll.BDH("ALB US Equity","RAW_MAT_USED","FY 2013","FY 2013","Currency=USD","Period=FY","BEST_FPERIOD_OVERRIDE=FY","FILING_STATUS=MR","Sort=A","Dates=H","DateFormat=P","Fill=—","Direction=H","UseDPDF=Y")</f>
        <v>1060</v>
      </c>
      <c r="D60" s="12">
        <f>_xll.BDH("ALB US Equity","RAW_MAT_USED","FY 2014","FY 2014","Currency=USD","Period=FY","BEST_FPERIOD_OVERRIDE=FY","FILING_STATUS=MR","Sort=A","Dates=H","DateFormat=P","Fill=—","Direction=H","UseDPDF=Y")</f>
        <v>960</v>
      </c>
      <c r="E60" s="12" t="str">
        <f>_xll.BDH("ALB US Equity","RAW_MAT_USED","FY 2015","FY 2015","Currency=USD","Period=FY","BEST_FPERIOD_OVERRIDE=FY","FILING_STATUS=MR","Sort=A","Dates=H","DateFormat=P","Fill=—","Direction=H","UseDPDF=Y")</f>
        <v>—</v>
      </c>
      <c r="F60" s="12">
        <f>_xll.BDH("ALB US Equity","RAW_MAT_USED","FY 2016","FY 2016","Currency=USD","Period=FY","BEST_FPERIOD_OVERRIDE=FY","FILING_STATUS=MR","Sort=A","Dates=H","DateFormat=P","Fill=—","Direction=H","UseDPDF=Y")</f>
        <v>730</v>
      </c>
      <c r="G60" s="12">
        <f>_xll.BDH("ALB US Equity","RAW_MAT_USED","FY 2017","FY 2017","Currency=USD","Period=FY","BEST_FPERIOD_OVERRIDE=FY","FILING_STATUS=MR","Sort=A","Dates=H","DateFormat=P","Fill=—","Direction=H","UseDPDF=Y")</f>
        <v>1430</v>
      </c>
      <c r="H60" s="12">
        <f>_xll.BDH("ALB US Equity","RAW_MAT_USED","FY 2018","FY 2018","Currency=USD","Period=FY","BEST_FPERIOD_OVERRIDE=FY","FILING_STATUS=MR","Sort=A","Dates=H","DateFormat=P","Fill=—","Direction=H","UseDPDF=Y")</f>
        <v>1470</v>
      </c>
      <c r="I60" s="12" t="str">
        <f>_xll.BDH("ALB US Equity","RAW_MAT_USED","FY 2019","FY 2019","Currency=USD","Period=FY","BEST_FPERIOD_OVERRIDE=FY","FILING_STATUS=MR","Sort=A","Dates=H","DateFormat=P","Fill=—","Direction=H","UseDPDF=Y")</f>
        <v>—</v>
      </c>
      <c r="J60" s="12" t="str">
        <f>_xll.BDH("ALB US Equity","RAW_MAT_USED","FY 2020","FY 2020","Currency=USD","Period=FY","BEST_FPERIOD_OVERRIDE=FY","FILING_STATUS=MR","Sort=A","Dates=H","DateFormat=P","Fill=—","Direction=H","UseDPDF=Y")</f>
        <v>—</v>
      </c>
      <c r="K60" s="12" t="str">
        <f>_xll.BDH("ALB US Equity","RAW_MAT_USED","FY 2021","FY 2021","Currency=USD","Period=FY","BEST_FPERIOD_OVERRIDE=FY","FILING_STATUS=MR","Sort=A","Dates=H","DateFormat=P","Fill=—","Direction=H","UseDPDF=Y")</f>
        <v>—</v>
      </c>
      <c r="L60" s="12" t="str">
        <f>_xll.BDH("ALB US Equity","RAW_MAT_USED","FY 2022","FY 2022","Currency=USD","Period=FY","BEST_FPERIOD_OVERRIDE=FY","FILING_STATUS=MR","Sort=A","Dates=H","DateFormat=P","Fill=—","Direction=H","UseDPDF=Y")</f>
        <v>—</v>
      </c>
    </row>
    <row r="61" spans="1:1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>
      <c r="A62" s="10" t="s">
        <v>115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0" t="s">
        <v>116</v>
      </c>
      <c r="B63" s="10" t="s">
        <v>117</v>
      </c>
      <c r="C63" s="11" t="s">
        <v>55</v>
      </c>
      <c r="D63" s="11" t="s">
        <v>52</v>
      </c>
      <c r="E63" s="11" t="s">
        <v>52</v>
      </c>
      <c r="F63" s="11" t="s">
        <v>52</v>
      </c>
      <c r="G63" s="11" t="s">
        <v>52</v>
      </c>
      <c r="H63" s="11" t="s">
        <v>52</v>
      </c>
      <c r="I63" s="11" t="s">
        <v>52</v>
      </c>
      <c r="J63" s="11" t="s">
        <v>52</v>
      </c>
      <c r="K63" s="11" t="s">
        <v>52</v>
      </c>
      <c r="L63" s="11" t="s">
        <v>52</v>
      </c>
    </row>
    <row r="64" spans="1:1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10" t="s">
        <v>118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>
      <c r="A66" s="10" t="s">
        <v>119</v>
      </c>
      <c r="B66" s="10" t="s">
        <v>120</v>
      </c>
      <c r="C66" s="11" t="s">
        <v>55</v>
      </c>
      <c r="D66" s="11" t="s">
        <v>52</v>
      </c>
      <c r="E66" s="11" t="s">
        <v>55</v>
      </c>
      <c r="F66" s="11" t="s">
        <v>55</v>
      </c>
      <c r="G66" s="11" t="s">
        <v>52</v>
      </c>
      <c r="H66" s="11" t="s">
        <v>52</v>
      </c>
      <c r="I66" s="11" t="s">
        <v>52</v>
      </c>
      <c r="J66" s="11" t="s">
        <v>52</v>
      </c>
      <c r="K66" s="11" t="s">
        <v>52</v>
      </c>
      <c r="L66" s="11" t="s">
        <v>52</v>
      </c>
    </row>
    <row r="67" spans="1:12">
      <c r="A67" s="10" t="s">
        <v>121</v>
      </c>
      <c r="B67" s="10" t="s">
        <v>122</v>
      </c>
      <c r="C67" s="12">
        <f>_xll.BDH("ALB US Equity","TOTAL_WATER_WITHDRAWAL","FY 2013","FY 2013","Currency=USD","Period=FY","BEST_FPERIOD_OVERRIDE=FY","FILING_STATUS=MR","Sort=A","Dates=H","DateFormat=P","Fill=—","Direction=H","UseDPDF=Y")</f>
        <v>19700</v>
      </c>
      <c r="D67" s="12">
        <f>_xll.BDH("ALB US Equity","TOTAL_WATER_WITHDRAWAL","FY 2014","FY 2014","Currency=USD","Period=FY","BEST_FPERIOD_OVERRIDE=FY","FILING_STATUS=MR","Sort=A","Dates=H","DateFormat=P","Fill=—","Direction=H","UseDPDF=Y")</f>
        <v>15800</v>
      </c>
      <c r="E67" s="12">
        <f>_xll.BDH("ALB US Equity","TOTAL_WATER_WITHDRAWAL","FY 2015","FY 2015","Currency=USD","Period=FY","BEST_FPERIOD_OVERRIDE=FY","FILING_STATUS=MR","Sort=A","Dates=H","DateFormat=P","Fill=—","Direction=H","UseDPDF=Y")</f>
        <v>10930</v>
      </c>
      <c r="F67" s="12">
        <f>_xll.BDH("ALB US Equity","TOTAL_WATER_WITHDRAWAL","FY 2016","FY 2016","Currency=USD","Period=FY","BEST_FPERIOD_OVERRIDE=FY","FILING_STATUS=MR","Sort=A","Dates=H","DateFormat=P","Fill=—","Direction=H","UseDPDF=Y")</f>
        <v>11850</v>
      </c>
      <c r="G67" s="12">
        <f>_xll.BDH("ALB US Equity","TOTAL_WATER_WITHDRAWAL","FY 2017","FY 2017","Currency=USD","Period=FY","BEST_FPERIOD_OVERRIDE=FY","FILING_STATUS=MR","Sort=A","Dates=H","DateFormat=P","Fill=—","Direction=H","UseDPDF=Y")</f>
        <v>12630</v>
      </c>
      <c r="H67" s="12">
        <f>_xll.BDH("ALB US Equity","TOTAL_WATER_WITHDRAWAL","FY 2018","FY 2018","Currency=USD","Period=FY","BEST_FPERIOD_OVERRIDE=FY","FILING_STATUS=MR","Sort=A","Dates=H","DateFormat=P","Fill=—","Direction=H","UseDPDF=Y")</f>
        <v>12060</v>
      </c>
      <c r="I67" s="12">
        <f>_xll.BDH("ALB US Equity","TOTAL_WATER_WITHDRAWAL","FY 2019","FY 2019","Currency=USD","Period=FY","BEST_FPERIOD_OVERRIDE=FY","FILING_STATUS=MR","Sort=A","Dates=H","DateFormat=P","Fill=—","Direction=H","UseDPDF=Y")</f>
        <v>25500</v>
      </c>
      <c r="J67" s="12">
        <f>_xll.BDH("ALB US Equity","TOTAL_WATER_WITHDRAWAL","FY 2020","FY 2020","Currency=USD","Period=FY","BEST_FPERIOD_OVERRIDE=FY","FILING_STATUS=MR","Sort=A","Dates=H","DateFormat=P","Fill=—","Direction=H","UseDPDF=Y")</f>
        <v>24400</v>
      </c>
      <c r="K67" s="12">
        <f>_xll.BDH("ALB US Equity","TOTAL_WATER_WITHDRAWAL","FY 2021","FY 2021","Currency=USD","Period=FY","BEST_FPERIOD_OVERRIDE=FY","FILING_STATUS=MR","Sort=A","Dates=H","DateFormat=P","Fill=—","Direction=H","UseDPDF=Y")</f>
        <v>23000</v>
      </c>
      <c r="L67" s="12">
        <f>_xll.BDH("ALB US Equity","TOTAL_WATER_WITHDRAWAL","FY 2022","FY 2022","Currency=USD","Period=FY","BEST_FPERIOD_OVERRIDE=FY","FILING_STATUS=MR","Sort=A","Dates=H","DateFormat=P","Fill=—","Direction=H","UseDPDF=Y")</f>
        <v>22600</v>
      </c>
    </row>
    <row r="68" spans="1:12">
      <c r="A68" s="10" t="s">
        <v>123</v>
      </c>
      <c r="B68" s="10" t="s">
        <v>124</v>
      </c>
      <c r="C68" s="12">
        <f>_xll.BDH("ALB US Equity","TOTAL_WATER_DISCHARGED","FY 2013","FY 2013","Currency=USD","Period=FY","BEST_FPERIOD_OVERRIDE=FY","FILING_STATUS=MR","Sort=A","Dates=H","DateFormat=P","Fill=—","Direction=H","UseDPDF=Y")</f>
        <v>20500</v>
      </c>
      <c r="D68" s="12">
        <f>_xll.BDH("ALB US Equity","TOTAL_WATER_DISCHARGED","FY 2014","FY 2014","Currency=USD","Period=FY","BEST_FPERIOD_OVERRIDE=FY","FILING_STATUS=MR","Sort=A","Dates=H","DateFormat=P","Fill=—","Direction=H","UseDPDF=Y")</f>
        <v>17400</v>
      </c>
      <c r="E68" s="12" t="str">
        <f>_xll.BDH("ALB US Equity","TOTAL_WATER_DISCHARGED","FY 2015","FY 2015","Currency=USD","Period=FY","BEST_FPERIOD_OVERRIDE=FY","FILING_STATUS=MR","Sort=A","Dates=H","DateFormat=P","Fill=—","Direction=H","UseDPDF=Y")</f>
        <v>—</v>
      </c>
      <c r="F68" s="12" t="str">
        <f>_xll.BDH("ALB US Equity","TOTAL_WATER_DISCHARGED","FY 2016","FY 2016","Currency=USD","Period=FY","BEST_FPERIOD_OVERRIDE=FY","FILING_STATUS=MR","Sort=A","Dates=H","DateFormat=P","Fill=—","Direction=H","UseDPDF=Y")</f>
        <v>—</v>
      </c>
      <c r="G68" s="12" t="str">
        <f>_xll.BDH("ALB US Equity","TOTAL_WATER_DISCHARGED","FY 2017","FY 2017","Currency=USD","Period=FY","BEST_FPERIOD_OVERRIDE=FY","FILING_STATUS=MR","Sort=A","Dates=H","DateFormat=P","Fill=—","Direction=H","UseDPDF=Y")</f>
        <v>—</v>
      </c>
      <c r="H68" s="12" t="str">
        <f>_xll.BDH("ALB US Equity","TOTAL_WATER_DISCHARGED","FY 2018","FY 2018","Currency=USD","Period=FY","BEST_FPERIOD_OVERRIDE=FY","FILING_STATUS=MR","Sort=A","Dates=H","DateFormat=P","Fill=—","Direction=H","UseDPDF=Y")</f>
        <v>—</v>
      </c>
      <c r="I68" s="12" t="str">
        <f>_xll.BDH("ALB US Equity","TOTAL_WATER_DISCHARGED","FY 2019","FY 2019","Currency=USD","Period=FY","BEST_FPERIOD_OVERRIDE=FY","FILING_STATUS=MR","Sort=A","Dates=H","DateFormat=P","Fill=—","Direction=H","UseDPDF=Y")</f>
        <v>—</v>
      </c>
      <c r="J68" s="12" t="str">
        <f>_xll.BDH("ALB US Equity","TOTAL_WATER_DISCHARGED","FY 2020","FY 2020","Currency=USD","Period=FY","BEST_FPERIOD_OVERRIDE=FY","FILING_STATUS=MR","Sort=A","Dates=H","DateFormat=P","Fill=—","Direction=H","UseDPDF=Y")</f>
        <v>—</v>
      </c>
      <c r="K68" s="12" t="str">
        <f>_xll.BDH("ALB US Equity","TOTAL_WATER_DISCHARGED","FY 2021","FY 2021","Currency=USD","Period=FY","BEST_FPERIOD_OVERRIDE=FY","FILING_STATUS=MR","Sort=A","Dates=H","DateFormat=P","Fill=—","Direction=H","UseDPDF=Y")</f>
        <v>—</v>
      </c>
      <c r="L68" s="12" t="str">
        <f>_xll.BDH("ALB US Equity","TOTAL_WATER_DISCHARGED","FY 2022","FY 2022","Currency=USD","Period=FY","BEST_FPERIOD_OVERRIDE=FY","FILING_STATUS=MR","Sort=A","Dates=H","DateFormat=P","Fill=—","Direction=H","UseDPDF=Y")</f>
        <v>—</v>
      </c>
    </row>
    <row r="69" spans="1:12">
      <c r="A69" s="10" t="s">
        <v>125</v>
      </c>
      <c r="B69" s="10" t="s">
        <v>126</v>
      </c>
      <c r="C69" s="12" t="str">
        <f>_xll.BDH("ALB US Equity","WATER_CONSMPTN","FY 2013","FY 2013","Currency=USD","Period=FY","BEST_FPERIOD_OVERRIDE=FY","FILING_STATUS=MR","Sort=A","Dates=H","DateFormat=P","Fill=—","Direction=H","UseDPDF=Y")</f>
        <v>—</v>
      </c>
      <c r="D69" s="12" t="str">
        <f>_xll.BDH("ALB US Equity","WATER_CONSMPTN","FY 2014","FY 2014","Currency=USD","Period=FY","BEST_FPERIOD_OVERRIDE=FY","FILING_STATUS=MR","Sort=A","Dates=H","DateFormat=P","Fill=—","Direction=H","UseDPDF=Y")</f>
        <v>—</v>
      </c>
      <c r="E69" s="12" t="str">
        <f>_xll.BDH("ALB US Equity","WATER_CONSMPTN","FY 2015","FY 2015","Currency=USD","Period=FY","BEST_FPERIOD_OVERRIDE=FY","FILING_STATUS=MR","Sort=A","Dates=H","DateFormat=P","Fill=—","Direction=H","UseDPDF=Y")</f>
        <v>—</v>
      </c>
      <c r="F69" s="12" t="str">
        <f>_xll.BDH("ALB US Equity","WATER_CONSMPTN","FY 2016","FY 2016","Currency=USD","Period=FY","BEST_FPERIOD_OVERRIDE=FY","FILING_STATUS=MR","Sort=A","Dates=H","DateFormat=P","Fill=—","Direction=H","UseDPDF=Y")</f>
        <v>—</v>
      </c>
      <c r="G69" s="12" t="str">
        <f>_xll.BDH("ALB US Equity","WATER_CONSMPTN","FY 2017","FY 2017","Currency=USD","Period=FY","BEST_FPERIOD_OVERRIDE=FY","FILING_STATUS=MR","Sort=A","Dates=H","DateFormat=P","Fill=—","Direction=H","UseDPDF=Y")</f>
        <v>—</v>
      </c>
      <c r="H69" s="12">
        <f>_xll.BDH("ALB US Equity","WATER_CONSMPTN","FY 2018","FY 2018","Currency=USD","Period=FY","BEST_FPERIOD_OVERRIDE=FY","FILING_STATUS=MR","Sort=A","Dates=H","DateFormat=P","Fill=—","Direction=H","UseDPDF=Y")</f>
        <v>12100</v>
      </c>
      <c r="I69" s="12">
        <f>_xll.BDH("ALB US Equity","WATER_CONSMPTN","FY 2019","FY 2019","Currency=USD","Period=FY","BEST_FPERIOD_OVERRIDE=FY","FILING_STATUS=MR","Sort=A","Dates=H","DateFormat=P","Fill=—","Direction=H","UseDPDF=Y")</f>
        <v>12900</v>
      </c>
      <c r="J69" s="12">
        <f>_xll.BDH("ALB US Equity","WATER_CONSMPTN","FY 2020","FY 2020","Currency=USD","Period=FY","BEST_FPERIOD_OVERRIDE=FY","FILING_STATUS=MR","Sort=A","Dates=H","DateFormat=P","Fill=—","Direction=H","UseDPDF=Y")</f>
        <v>12700</v>
      </c>
      <c r="K69" s="12">
        <f>_xll.BDH("ALB US Equity","WATER_CONSMPTN","FY 2021","FY 2021","Currency=USD","Period=FY","BEST_FPERIOD_OVERRIDE=FY","FILING_STATUS=MR","Sort=A","Dates=H","DateFormat=P","Fill=—","Direction=H","UseDPDF=Y")</f>
        <v>11500</v>
      </c>
      <c r="L69" s="12">
        <f>_xll.BDH("ALB US Equity","WATER_CONSMPTN","FY 2022","FY 2022","Currency=USD","Period=FY","BEST_FPERIOD_OVERRIDE=FY","FILING_STATUS=MR","Sort=A","Dates=H","DateFormat=P","Fill=—","Direction=H","UseDPDF=Y")</f>
        <v>11400</v>
      </c>
    </row>
    <row r="70" spans="1:12">
      <c r="A70" s="10" t="s">
        <v>127</v>
      </c>
      <c r="B70" s="10" t="s">
        <v>128</v>
      </c>
      <c r="C70" s="13" t="str">
        <f>_xll.BDH("ALB US Equity","WATER_PER_UNIT_OF_PROD","FY 2013","FY 2013","Currency=USD","Period=FY","BEST_FPERIOD_OVERRIDE=FY","FILING_STATUS=MR","Sort=A","Dates=H","DateFormat=P","Fill=—","Direction=H","UseDPDF=Y")</f>
        <v>—</v>
      </c>
      <c r="D70" s="13" t="str">
        <f>_xll.BDH("ALB US Equity","WATER_PER_UNIT_OF_PROD","FY 2014","FY 2014","Currency=USD","Period=FY","BEST_FPERIOD_OVERRIDE=FY","FILING_STATUS=MR","Sort=A","Dates=H","DateFormat=P","Fill=—","Direction=H","UseDPDF=Y")</f>
        <v>—</v>
      </c>
      <c r="E70" s="13" t="str">
        <f>_xll.BDH("ALB US Equity","WATER_PER_UNIT_OF_PROD","FY 2015","FY 2015","Currency=USD","Period=FY","BEST_FPERIOD_OVERRIDE=FY","FILING_STATUS=MR","Sort=A","Dates=H","DateFormat=P","Fill=—","Direction=H","UseDPDF=Y")</f>
        <v>—</v>
      </c>
      <c r="F70" s="13" t="str">
        <f>_xll.BDH("ALB US Equity","WATER_PER_UNIT_OF_PROD","FY 2016","FY 2016","Currency=USD","Period=FY","BEST_FPERIOD_OVERRIDE=FY","FILING_STATUS=MR","Sort=A","Dates=H","DateFormat=P","Fill=—","Direction=H","UseDPDF=Y")</f>
        <v>—</v>
      </c>
      <c r="G70" s="13" t="str">
        <f>_xll.BDH("ALB US Equity","WATER_PER_UNIT_OF_PROD","FY 2017","FY 2017","Currency=USD","Period=FY","BEST_FPERIOD_OVERRIDE=FY","FILING_STATUS=MR","Sort=A","Dates=H","DateFormat=P","Fill=—","Direction=H","UseDPDF=Y")</f>
        <v>—</v>
      </c>
      <c r="H70" s="13" t="str">
        <f>_xll.BDH("ALB US Equity","WATER_PER_UNIT_OF_PROD","FY 2018","FY 2018","Currency=USD","Period=FY","BEST_FPERIOD_OVERRIDE=FY","FILING_STATUS=MR","Sort=A","Dates=H","DateFormat=P","Fill=—","Direction=H","UseDPDF=Y")</f>
        <v>—</v>
      </c>
      <c r="I70" s="13" t="str">
        <f>_xll.BDH("ALB US Equity","WATER_PER_UNIT_OF_PROD","FY 2019","FY 2019","Currency=USD","Period=FY","BEST_FPERIOD_OVERRIDE=FY","FILING_STATUS=MR","Sort=A","Dates=H","DateFormat=P","Fill=—","Direction=H","UseDPDF=Y")</f>
        <v>—</v>
      </c>
      <c r="J70" s="13">
        <f>_xll.BDH("ALB US Equity","WATER_PER_UNIT_OF_PROD","FY 2020","FY 2020","Currency=USD","Period=FY","BEST_FPERIOD_OVERRIDE=FY","FILING_STATUS=MR","Sort=A","Dates=H","DateFormat=P","Fill=—","Direction=H","UseDPDF=Y")</f>
        <v>18000</v>
      </c>
      <c r="K70" s="13" t="str">
        <f>_xll.BDH("ALB US Equity","WATER_PER_UNIT_OF_PROD","FY 2021","FY 2021","Currency=USD","Period=FY","BEST_FPERIOD_OVERRIDE=FY","FILING_STATUS=MR","Sort=A","Dates=H","DateFormat=P","Fill=—","Direction=H","UseDPDF=Y")</f>
        <v>—</v>
      </c>
      <c r="L70" s="13" t="str">
        <f>_xll.BDH("ALB US Equity","WATER_PER_UNIT_OF_PROD","FY 2022","FY 2022","Currency=USD","Period=FY","BEST_FPERIOD_OVERRIDE=FY","FILING_STATUS=MR","Sort=A","Dates=H","DateFormat=P","Fill=—","Direction=H","UseDPDF=Y")</f>
        <v>—</v>
      </c>
    </row>
    <row r="71" spans="1:12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>
      <c r="A72" s="10" t="s">
        <v>129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>
      <c r="A73" s="10" t="s">
        <v>130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>
      <c r="A74" s="10" t="s">
        <v>131</v>
      </c>
      <c r="B74" s="10" t="s">
        <v>132</v>
      </c>
      <c r="C74" s="11" t="s">
        <v>52</v>
      </c>
      <c r="D74" s="11" t="s">
        <v>52</v>
      </c>
      <c r="E74" s="11" t="s">
        <v>52</v>
      </c>
      <c r="F74" s="11" t="s">
        <v>52</v>
      </c>
      <c r="G74" s="11" t="s">
        <v>52</v>
      </c>
      <c r="H74" s="11" t="s">
        <v>52</v>
      </c>
      <c r="I74" s="11" t="s">
        <v>52</v>
      </c>
      <c r="J74" s="11" t="s">
        <v>52</v>
      </c>
      <c r="K74" s="11" t="s">
        <v>52</v>
      </c>
      <c r="L74" s="11" t="s">
        <v>52</v>
      </c>
    </row>
    <row r="75" spans="1:12">
      <c r="A75" s="10" t="s">
        <v>133</v>
      </c>
      <c r="B75" s="10" t="s">
        <v>134</v>
      </c>
      <c r="C75" s="11" t="s">
        <v>52</v>
      </c>
      <c r="D75" s="11" t="s">
        <v>52</v>
      </c>
      <c r="E75" s="11" t="s">
        <v>52</v>
      </c>
      <c r="F75" s="11" t="s">
        <v>52</v>
      </c>
      <c r="G75" s="11" t="s">
        <v>52</v>
      </c>
      <c r="H75" s="11" t="s">
        <v>52</v>
      </c>
      <c r="I75" s="11" t="s">
        <v>52</v>
      </c>
      <c r="J75" s="11" t="s">
        <v>52</v>
      </c>
      <c r="K75" s="11" t="s">
        <v>52</v>
      </c>
      <c r="L75" s="11" t="s">
        <v>52</v>
      </c>
    </row>
    <row r="76" spans="1:12">
      <c r="A76" s="10" t="s">
        <v>135</v>
      </c>
      <c r="B76" s="10" t="s">
        <v>136</v>
      </c>
      <c r="C76" s="11" t="s">
        <v>137</v>
      </c>
      <c r="D76" s="11" t="s">
        <v>137</v>
      </c>
      <c r="E76" s="11" t="s">
        <v>52</v>
      </c>
      <c r="F76" s="11" t="s">
        <v>52</v>
      </c>
      <c r="G76" s="11" t="s">
        <v>52</v>
      </c>
      <c r="H76" s="11" t="s">
        <v>52</v>
      </c>
      <c r="I76" s="11" t="s">
        <v>52</v>
      </c>
      <c r="J76" s="11" t="s">
        <v>52</v>
      </c>
      <c r="K76" s="11" t="s">
        <v>52</v>
      </c>
      <c r="L76" s="11" t="s">
        <v>52</v>
      </c>
    </row>
    <row r="77" spans="1:12">
      <c r="A77" s="10" t="s">
        <v>138</v>
      </c>
      <c r="B77" s="10" t="s">
        <v>139</v>
      </c>
      <c r="C77" s="11" t="s">
        <v>137</v>
      </c>
      <c r="D77" s="11" t="s">
        <v>137</v>
      </c>
      <c r="E77" s="11" t="s">
        <v>52</v>
      </c>
      <c r="F77" s="11" t="s">
        <v>52</v>
      </c>
      <c r="G77" s="11" t="s">
        <v>52</v>
      </c>
      <c r="H77" s="11" t="s">
        <v>52</v>
      </c>
      <c r="I77" s="11" t="s">
        <v>52</v>
      </c>
      <c r="J77" s="11" t="s">
        <v>52</v>
      </c>
      <c r="K77" s="11" t="s">
        <v>52</v>
      </c>
      <c r="L77" s="11" t="s">
        <v>52</v>
      </c>
    </row>
    <row r="78" spans="1:12">
      <c r="A78" s="10" t="s">
        <v>140</v>
      </c>
      <c r="B78" s="10" t="s">
        <v>141</v>
      </c>
      <c r="C78" s="12" t="str">
        <f>_xll.BDH("ALB US Equity","COMMUNITY_SPENDING","FY 2013","FY 2013","Currency=USD","Period=FY","BEST_FPERIOD_OVERRIDE=FY","FILING_STATUS=MR","SCALING_FORMAT=MLN","Sort=A","Dates=H","DateFormat=P","Fill=—","Direction=H","UseDPDF=Y")</f>
        <v>—</v>
      </c>
      <c r="D78" s="12" t="str">
        <f>_xll.BDH("ALB US Equity","COMMUNITY_SPENDING","FY 2014","FY 2014","Currency=USD","Period=FY","BEST_FPERIOD_OVERRIDE=FY","FILING_STATUS=MR","SCALING_FORMAT=MLN","Sort=A","Dates=H","DateFormat=P","Fill=—","Direction=H","UseDPDF=Y")</f>
        <v>—</v>
      </c>
      <c r="E78" s="12" t="str">
        <f>_xll.BDH("ALB US Equity","COMMUNITY_SPENDING","FY 2015","FY 2015","Currency=USD","Period=FY","BEST_FPERIOD_OVERRIDE=FY","FILING_STATUS=MR","SCALING_FORMAT=MLN","Sort=A","Dates=H","DateFormat=P","Fill=—","Direction=H","UseDPDF=Y")</f>
        <v>—</v>
      </c>
      <c r="F78" s="12" t="str">
        <f>_xll.BDH("ALB US Equity","COMMUNITY_SPENDING","FY 2016","FY 2016","Currency=USD","Period=FY","BEST_FPERIOD_OVERRIDE=FY","FILING_STATUS=MR","SCALING_FORMAT=MLN","Sort=A","Dates=H","DateFormat=P","Fill=—","Direction=H","UseDPDF=Y")</f>
        <v>—</v>
      </c>
      <c r="G78" s="12" t="str">
        <f>_xll.BDH("ALB US Equity","COMMUNITY_SPENDING","FY 2017","FY 2017","Currency=USD","Period=FY","BEST_FPERIOD_OVERRIDE=FY","FILING_STATUS=MR","SCALING_FORMAT=MLN","Sort=A","Dates=H","DateFormat=P","Fill=—","Direction=H","UseDPDF=Y")</f>
        <v>—</v>
      </c>
      <c r="H78" s="12" t="str">
        <f>_xll.BDH("ALB US Equity","COMMUNITY_SPENDING","FY 2018","FY 2018","Currency=USD","Period=FY","BEST_FPERIOD_OVERRIDE=FY","FILING_STATUS=MR","SCALING_FORMAT=MLN","Sort=A","Dates=H","DateFormat=P","Fill=—","Direction=H","UseDPDF=Y")</f>
        <v>—</v>
      </c>
      <c r="I78" s="12" t="str">
        <f>_xll.BDH("ALB US Equity","COMMUNITY_SPENDING","FY 2019","FY 2019","Currency=USD","Period=FY","BEST_FPERIOD_OVERRIDE=FY","FILING_STATUS=MR","SCALING_FORMAT=MLN","Sort=A","Dates=H","DateFormat=P","Fill=—","Direction=H","UseDPDF=Y")</f>
        <v>—</v>
      </c>
      <c r="J78" s="12">
        <f>_xll.BDH("ALB US Equity","COMMUNITY_SPENDING","FY 2020","FY 2020","Currency=USD","Period=FY","BEST_FPERIOD_OVERRIDE=FY","FILING_STATUS=MR","SCALING_FORMAT=MLN","Sort=A","Dates=H","DateFormat=P","Fill=—","Direction=H","UseDPDF=Y")</f>
        <v>6</v>
      </c>
      <c r="K78" s="12">
        <f>_xll.BDH("ALB US Equity","COMMUNITY_SPENDING","FY 2021","FY 2021","Currency=USD","Period=FY","BEST_FPERIOD_OVERRIDE=FY","FILING_STATUS=MR","SCALING_FORMAT=MLN","Sort=A","Dates=H","DateFormat=P","Fill=—","Direction=H","UseDPDF=Y")</f>
        <v>6</v>
      </c>
      <c r="L78" s="12">
        <f>_xll.BDH("ALB US Equity","COMMUNITY_SPENDING","FY 2022","FY 2022","Currency=USD","Period=FY","BEST_FPERIOD_OVERRIDE=FY","FILING_STATUS=MR","SCALING_FORMAT=MLN","Sort=A","Dates=H","DateFormat=P","Fill=—","Direction=H","UseDPDF=Y")</f>
        <v>5.7</v>
      </c>
    </row>
    <row r="79" spans="1:12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>
      <c r="A80" s="10" t="s">
        <v>142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>
      <c r="A81" s="10" t="s">
        <v>143</v>
      </c>
      <c r="B81" s="10" t="s">
        <v>144</v>
      </c>
      <c r="C81" s="11" t="s">
        <v>52</v>
      </c>
      <c r="D81" s="11" t="s">
        <v>52</v>
      </c>
      <c r="E81" s="11" t="s">
        <v>52</v>
      </c>
      <c r="F81" s="11" t="s">
        <v>52</v>
      </c>
      <c r="G81" s="11" t="s">
        <v>52</v>
      </c>
      <c r="H81" s="11" t="s">
        <v>52</v>
      </c>
      <c r="I81" s="11" t="s">
        <v>52</v>
      </c>
      <c r="J81" s="11" t="s">
        <v>52</v>
      </c>
      <c r="K81" s="11" t="s">
        <v>52</v>
      </c>
      <c r="L81" s="11" t="s">
        <v>52</v>
      </c>
    </row>
    <row r="82" spans="1:12">
      <c r="A82" s="10" t="s">
        <v>145</v>
      </c>
      <c r="B82" s="10" t="s">
        <v>146</v>
      </c>
      <c r="C82" s="11" t="s">
        <v>137</v>
      </c>
      <c r="D82" s="11" t="s">
        <v>52</v>
      </c>
      <c r="E82" s="11" t="s">
        <v>52</v>
      </c>
      <c r="F82" s="11" t="s">
        <v>52</v>
      </c>
      <c r="G82" s="11" t="s">
        <v>52</v>
      </c>
      <c r="H82" s="11" t="s">
        <v>52</v>
      </c>
      <c r="I82" s="11" t="s">
        <v>52</v>
      </c>
      <c r="J82" s="11" t="s">
        <v>52</v>
      </c>
      <c r="K82" s="11" t="s">
        <v>52</v>
      </c>
      <c r="L82" s="11" t="s">
        <v>52</v>
      </c>
    </row>
    <row r="83" spans="1:12">
      <c r="A83" s="10" t="s">
        <v>147</v>
      </c>
      <c r="B83" s="10" t="s">
        <v>148</v>
      </c>
      <c r="C83" s="13" t="str">
        <f>_xll.BDH("ALB US Equity","PCT_WOMEN_MGT","FY 2013","FY 2013","Currency=USD","Period=FY","BEST_FPERIOD_OVERRIDE=FY","FILING_STATUS=MR","Sort=A","Dates=H","DateFormat=P","Fill=—","Direction=H","UseDPDF=Y")</f>
        <v>—</v>
      </c>
      <c r="D83" s="13" t="str">
        <f>_xll.BDH("ALB US Equity","PCT_WOMEN_MGT","FY 2014","FY 2014","Currency=USD","Period=FY","BEST_FPERIOD_OVERRIDE=FY","FILING_STATUS=MR","Sort=A","Dates=H","DateFormat=P","Fill=—","Direction=H","UseDPDF=Y")</f>
        <v>—</v>
      </c>
      <c r="E83" s="13" t="str">
        <f>_xll.BDH("ALB US Equity","PCT_WOMEN_MGT","FY 2015","FY 2015","Currency=USD","Period=FY","BEST_FPERIOD_OVERRIDE=FY","FILING_STATUS=MR","Sort=A","Dates=H","DateFormat=P","Fill=—","Direction=H","UseDPDF=Y")</f>
        <v>—</v>
      </c>
      <c r="F83" s="13" t="str">
        <f>_xll.BDH("ALB US Equity","PCT_WOMEN_MGT","FY 2016","FY 2016","Currency=USD","Period=FY","BEST_FPERIOD_OVERRIDE=FY","FILING_STATUS=MR","Sort=A","Dates=H","DateFormat=P","Fill=—","Direction=H","UseDPDF=Y")</f>
        <v>—</v>
      </c>
      <c r="G83" s="13" t="str">
        <f>_xll.BDH("ALB US Equity","PCT_WOMEN_MGT","FY 2017","FY 2017","Currency=USD","Period=FY","BEST_FPERIOD_OVERRIDE=FY","FILING_STATUS=MR","Sort=A","Dates=H","DateFormat=P","Fill=—","Direction=H","UseDPDF=Y")</f>
        <v>—</v>
      </c>
      <c r="H83" s="13">
        <f>_xll.BDH("ALB US Equity","PCT_WOMEN_MGT","FY 2018","FY 2018","Currency=USD","Period=FY","BEST_FPERIOD_OVERRIDE=FY","FILING_STATUS=MR","Sort=A","Dates=H","DateFormat=P","Fill=—","Direction=H","UseDPDF=Y")</f>
        <v>17</v>
      </c>
      <c r="I83" s="13">
        <f>_xll.BDH("ALB US Equity","PCT_WOMEN_MGT","FY 2019","FY 2019","Currency=USD","Period=FY","BEST_FPERIOD_OVERRIDE=FY","FILING_STATUS=MR","Sort=A","Dates=H","DateFormat=P","Fill=—","Direction=H","UseDPDF=Y")</f>
        <v>26.32</v>
      </c>
      <c r="J83" s="13">
        <f>_xll.BDH("ALB US Equity","PCT_WOMEN_MGT","FY 2020","FY 2020","Currency=USD","Period=FY","BEST_FPERIOD_OVERRIDE=FY","FILING_STATUS=MR","Sort=A","Dates=H","DateFormat=P","Fill=—","Direction=H","UseDPDF=Y")</f>
        <v>17</v>
      </c>
      <c r="K83" s="13">
        <f>_xll.BDH("ALB US Equity","PCT_WOMEN_MGT","FY 2021","FY 2021","Currency=USD","Period=FY","BEST_FPERIOD_OVERRIDE=FY","FILING_STATUS=MR","Sort=A","Dates=H","DateFormat=P","Fill=—","Direction=H","UseDPDF=Y")</f>
        <v>18</v>
      </c>
      <c r="L83" s="13">
        <f>_xll.BDH("ALB US Equity","PCT_WOMEN_MGT","FY 2022","FY 2022","Currency=USD","Period=FY","BEST_FPERIOD_OVERRIDE=FY","FILING_STATUS=MR","Sort=A","Dates=H","DateFormat=P","Fill=—","Direction=H","UseDPDF=Y")</f>
        <v>21</v>
      </c>
    </row>
    <row r="84" spans="1:12">
      <c r="A84" s="10" t="s">
        <v>149</v>
      </c>
      <c r="B84" s="10" t="s">
        <v>150</v>
      </c>
      <c r="C84" s="13" t="str">
        <f>_xll.BDH("ALB US Equity","PCT_WOMEN_IN_MID_AND_OTHER_MGMT","FY 2013","FY 2013","Currency=USD","Period=FY","BEST_FPERIOD_OVERRIDE=FY","FILING_STATUS=MR","Sort=A","Dates=H","DateFormat=P","Fill=—","Direction=H","UseDPDF=Y")</f>
        <v>—</v>
      </c>
      <c r="D84" s="13" t="str">
        <f>_xll.BDH("ALB US Equity","PCT_WOMEN_IN_MID_AND_OTHER_MGMT","FY 2014","FY 2014","Currency=USD","Period=FY","BEST_FPERIOD_OVERRIDE=FY","FILING_STATUS=MR","Sort=A","Dates=H","DateFormat=P","Fill=—","Direction=H","UseDPDF=Y")</f>
        <v>—</v>
      </c>
      <c r="E84" s="13" t="str">
        <f>_xll.BDH("ALB US Equity","PCT_WOMEN_IN_MID_AND_OTHER_MGMT","FY 2015","FY 2015","Currency=USD","Period=FY","BEST_FPERIOD_OVERRIDE=FY","FILING_STATUS=MR","Sort=A","Dates=H","DateFormat=P","Fill=—","Direction=H","UseDPDF=Y")</f>
        <v>—</v>
      </c>
      <c r="F84" s="13" t="str">
        <f>_xll.BDH("ALB US Equity","PCT_WOMEN_IN_MID_AND_OTHER_MGMT","FY 2016","FY 2016","Currency=USD","Period=FY","BEST_FPERIOD_OVERRIDE=FY","FILING_STATUS=MR","Sort=A","Dates=H","DateFormat=P","Fill=—","Direction=H","UseDPDF=Y")</f>
        <v>—</v>
      </c>
      <c r="G84" s="13" t="str">
        <f>_xll.BDH("ALB US Equity","PCT_WOMEN_IN_MID_AND_OTHER_MGMT","FY 2017","FY 2017","Currency=USD","Period=FY","BEST_FPERIOD_OVERRIDE=FY","FILING_STATUS=MR","Sort=A","Dates=H","DateFormat=P","Fill=—","Direction=H","UseDPDF=Y")</f>
        <v>—</v>
      </c>
      <c r="H84" s="13">
        <f>_xll.BDH("ALB US Equity","PCT_WOMEN_IN_MID_AND_OTHER_MGMT","FY 2018","FY 2018","Currency=USD","Period=FY","BEST_FPERIOD_OVERRIDE=FY","FILING_STATUS=MR","Sort=A","Dates=H","DateFormat=P","Fill=—","Direction=H","UseDPDF=Y")</f>
        <v>19</v>
      </c>
      <c r="I84" s="13">
        <f>_xll.BDH("ALB US Equity","PCT_WOMEN_IN_MID_AND_OTHER_MGMT","FY 2019","FY 2019","Currency=USD","Period=FY","BEST_FPERIOD_OVERRIDE=FY","FILING_STATUS=MR","Sort=A","Dates=H","DateFormat=P","Fill=—","Direction=H","UseDPDF=Y")</f>
        <v>19</v>
      </c>
      <c r="J84" s="13">
        <f>_xll.BDH("ALB US Equity","PCT_WOMEN_IN_MID_AND_OTHER_MGMT","FY 2020","FY 2020","Currency=USD","Period=FY","BEST_FPERIOD_OVERRIDE=FY","FILING_STATUS=MR","Sort=A","Dates=H","DateFormat=P","Fill=—","Direction=H","UseDPDF=Y")</f>
        <v>23</v>
      </c>
      <c r="K84" s="13">
        <f>_xll.BDH("ALB US Equity","PCT_WOMEN_IN_MID_AND_OTHER_MGMT","FY 2021","FY 2021","Currency=USD","Period=FY","BEST_FPERIOD_OVERRIDE=FY","FILING_STATUS=MR","Sort=A","Dates=H","DateFormat=P","Fill=—","Direction=H","UseDPDF=Y")</f>
        <v>23</v>
      </c>
      <c r="L84" s="13">
        <f>_xll.BDH("ALB US Equity","PCT_WOMEN_IN_MID_AND_OTHER_MGMT","FY 2022","FY 2022","Currency=USD","Period=FY","BEST_FPERIOD_OVERRIDE=FY","FILING_STATUS=MR","Sort=A","Dates=H","DateFormat=P","Fill=—","Direction=H","UseDPDF=Y")</f>
        <v>25</v>
      </c>
    </row>
    <row r="85" spans="1:12">
      <c r="A85" s="10" t="s">
        <v>151</v>
      </c>
      <c r="B85" s="10" t="s">
        <v>152</v>
      </c>
      <c r="C85" s="13" t="str">
        <f>_xll.BDH("ALB US Equity","PCT_WOMEN_EMPLOYEES","FY 2013","FY 2013","Currency=USD","Period=FY","BEST_FPERIOD_OVERRIDE=FY","FILING_STATUS=MR","Sort=A","Dates=H","DateFormat=P","Fill=—","Direction=H","UseDPDF=Y")</f>
        <v>—</v>
      </c>
      <c r="D85" s="13" t="str">
        <f>_xll.BDH("ALB US Equity","PCT_WOMEN_EMPLOYEES","FY 2014","FY 2014","Currency=USD","Period=FY","BEST_FPERIOD_OVERRIDE=FY","FILING_STATUS=MR","Sort=A","Dates=H","DateFormat=P","Fill=—","Direction=H","UseDPDF=Y")</f>
        <v>—</v>
      </c>
      <c r="E85" s="13" t="str">
        <f>_xll.BDH("ALB US Equity","PCT_WOMEN_EMPLOYEES","FY 2015","FY 2015","Currency=USD","Period=FY","BEST_FPERIOD_OVERRIDE=FY","FILING_STATUS=MR","Sort=A","Dates=H","DateFormat=P","Fill=—","Direction=H","UseDPDF=Y")</f>
        <v>—</v>
      </c>
      <c r="F85" s="13" t="str">
        <f>_xll.BDH("ALB US Equity","PCT_WOMEN_EMPLOYEES","FY 2016","FY 2016","Currency=USD","Period=FY","BEST_FPERIOD_OVERRIDE=FY","FILING_STATUS=MR","Sort=A","Dates=H","DateFormat=P","Fill=—","Direction=H","UseDPDF=Y")</f>
        <v>—</v>
      </c>
      <c r="G85" s="13" t="str">
        <f>_xll.BDH("ALB US Equity","PCT_WOMEN_EMPLOYEES","FY 2017","FY 2017","Currency=USD","Period=FY","BEST_FPERIOD_OVERRIDE=FY","FILING_STATUS=MR","Sort=A","Dates=H","DateFormat=P","Fill=—","Direction=H","UseDPDF=Y")</f>
        <v>—</v>
      </c>
      <c r="H85" s="13">
        <f>_xll.BDH("ALB US Equity","PCT_WOMEN_EMPLOYEES","FY 2018","FY 2018","Currency=USD","Period=FY","BEST_FPERIOD_OVERRIDE=FY","FILING_STATUS=MR","Sort=A","Dates=H","DateFormat=P","Fill=—","Direction=H","UseDPDF=Y")</f>
        <v>20</v>
      </c>
      <c r="I85" s="13">
        <f>_xll.BDH("ALB US Equity","PCT_WOMEN_EMPLOYEES","FY 2019","FY 2019","Currency=USD","Period=FY","BEST_FPERIOD_OVERRIDE=FY","FILING_STATUS=MR","Sort=A","Dates=H","DateFormat=P","Fill=—","Direction=H","UseDPDF=Y")</f>
        <v>21</v>
      </c>
      <c r="J85" s="13">
        <f>_xll.BDH("ALB US Equity","PCT_WOMEN_EMPLOYEES","FY 2020","FY 2020","Currency=USD","Period=FY","BEST_FPERIOD_OVERRIDE=FY","FILING_STATUS=MR","Sort=A","Dates=H","DateFormat=P","Fill=—","Direction=H","UseDPDF=Y")</f>
        <v>21</v>
      </c>
      <c r="K85" s="13">
        <f>_xll.BDH("ALB US Equity","PCT_WOMEN_EMPLOYEES","FY 2021","FY 2021","Currency=USD","Period=FY","BEST_FPERIOD_OVERRIDE=FY","FILING_STATUS=MR","Sort=A","Dates=H","DateFormat=P","Fill=—","Direction=H","UseDPDF=Y")</f>
        <v>22</v>
      </c>
      <c r="L85" s="13">
        <f>_xll.BDH("ALB US Equity","PCT_WOMEN_EMPLOYEES","FY 2022","FY 2022","Currency=USD","Period=FY","BEST_FPERIOD_OVERRIDE=FY","FILING_STATUS=MR","Sort=A","Dates=H","DateFormat=P","Fill=—","Direction=H","UseDPDF=Y")</f>
        <v>24</v>
      </c>
    </row>
    <row r="86" spans="1:12">
      <c r="A86" s="10" t="s">
        <v>153</v>
      </c>
      <c r="B86" s="10" t="s">
        <v>154</v>
      </c>
      <c r="C86" s="13" t="str">
        <f>_xll.BDH("ALB US Equity","GENDER_PAY_GAP_WATERFALL","FY 2013","FY 2013","Currency=USD","Period=FY","BEST_FPERIOD_OVERRIDE=FY","FILING_STATUS=MR","Sort=A","Dates=H","DateFormat=P","Fill=—","Direction=H","UseDPDF=Y")</f>
        <v>—</v>
      </c>
      <c r="D86" s="13" t="str">
        <f>_xll.BDH("ALB US Equity","GENDER_PAY_GAP_WATERFALL","FY 2014","FY 2014","Currency=USD","Period=FY","BEST_FPERIOD_OVERRIDE=FY","FILING_STATUS=MR","Sort=A","Dates=H","DateFormat=P","Fill=—","Direction=H","UseDPDF=Y")</f>
        <v>—</v>
      </c>
      <c r="E86" s="13" t="str">
        <f>_xll.BDH("ALB US Equity","GENDER_PAY_GAP_WATERFALL","FY 2015","FY 2015","Currency=USD","Period=FY","BEST_FPERIOD_OVERRIDE=FY","FILING_STATUS=MR","Sort=A","Dates=H","DateFormat=P","Fill=—","Direction=H","UseDPDF=Y")</f>
        <v>—</v>
      </c>
      <c r="F86" s="13" t="str">
        <f>_xll.BDH("ALB US Equity","GENDER_PAY_GAP_WATERFALL","FY 2016","FY 2016","Currency=USD","Period=FY","BEST_FPERIOD_OVERRIDE=FY","FILING_STATUS=MR","Sort=A","Dates=H","DateFormat=P","Fill=—","Direction=H","UseDPDF=Y")</f>
        <v>—</v>
      </c>
      <c r="G86" s="13" t="str">
        <f>_xll.BDH("ALB US Equity","GENDER_PAY_GAP_WATERFALL","FY 2017","FY 2017","Currency=USD","Period=FY","BEST_FPERIOD_OVERRIDE=FY","FILING_STATUS=MR","Sort=A","Dates=H","DateFormat=P","Fill=—","Direction=H","UseDPDF=Y")</f>
        <v>—</v>
      </c>
      <c r="H86" s="13">
        <f>_xll.BDH("ALB US Equity","GENDER_PAY_GAP_WATERFALL","FY 2018","FY 2018","Currency=USD","Period=FY","BEST_FPERIOD_OVERRIDE=FY","FILING_STATUS=MR","Sort=A","Dates=H","DateFormat=P","Fill=—","Direction=H","UseDPDF=Y")</f>
        <v>13.7</v>
      </c>
      <c r="I86" s="13">
        <f>_xll.BDH("ALB US Equity","GENDER_PAY_GAP_WATERFALL","FY 2019","FY 2019","Currency=USD","Period=FY","BEST_FPERIOD_OVERRIDE=FY","FILING_STATUS=MR","Sort=A","Dates=H","DateFormat=P","Fill=—","Direction=H","UseDPDF=Y")</f>
        <v>11.42</v>
      </c>
      <c r="J86" s="13">
        <f>_xll.BDH("ALB US Equity","GENDER_PAY_GAP_WATERFALL","FY 2020","FY 2020","Currency=USD","Period=FY","BEST_FPERIOD_OVERRIDE=FY","FILING_STATUS=MR","Sort=A","Dates=H","DateFormat=P","Fill=—","Direction=H","UseDPDF=Y")</f>
        <v>10.82</v>
      </c>
      <c r="K86" s="13">
        <f>_xll.BDH("ALB US Equity","GENDER_PAY_GAP_WATERFALL","FY 2021","FY 2021","Currency=USD","Period=FY","BEST_FPERIOD_OVERRIDE=FY","FILING_STATUS=MR","Sort=A","Dates=H","DateFormat=P","Fill=—","Direction=H","UseDPDF=Y")</f>
        <v>8.5399999999999991</v>
      </c>
      <c r="L86" s="13" t="str">
        <f>_xll.BDH("ALB US Equity","GENDER_PAY_GAP_WATERFALL","FY 2022","FY 2022","Currency=USD","Period=FY","BEST_FPERIOD_OVERRIDE=FY","FILING_STATUS=MR","Sort=A","Dates=H","DateFormat=P","Fill=—","Direction=H","UseDPDF=Y")</f>
        <v>—</v>
      </c>
    </row>
    <row r="87" spans="1:12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>
      <c r="A88" s="10" t="s">
        <v>155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>
      <c r="A89" s="10" t="s">
        <v>156</v>
      </c>
      <c r="B89" s="10" t="s">
        <v>157</v>
      </c>
      <c r="C89" s="11" t="s">
        <v>52</v>
      </c>
      <c r="D89" s="11" t="s">
        <v>52</v>
      </c>
      <c r="E89" s="11" t="s">
        <v>52</v>
      </c>
      <c r="F89" s="11" t="s">
        <v>52</v>
      </c>
      <c r="G89" s="11" t="s">
        <v>52</v>
      </c>
      <c r="H89" s="11" t="s">
        <v>52</v>
      </c>
      <c r="I89" s="11" t="s">
        <v>52</v>
      </c>
      <c r="J89" s="11" t="s">
        <v>52</v>
      </c>
      <c r="K89" s="11" t="s">
        <v>52</v>
      </c>
      <c r="L89" s="11" t="s">
        <v>52</v>
      </c>
    </row>
    <row r="90" spans="1:12">
      <c r="A90" s="10" t="s">
        <v>158</v>
      </c>
      <c r="B90" s="10" t="s">
        <v>159</v>
      </c>
      <c r="C90" s="11" t="s">
        <v>52</v>
      </c>
      <c r="D90" s="11" t="s">
        <v>52</v>
      </c>
      <c r="E90" s="11" t="s">
        <v>52</v>
      </c>
      <c r="F90" s="11" t="s">
        <v>52</v>
      </c>
      <c r="G90" s="11" t="s">
        <v>52</v>
      </c>
      <c r="H90" s="11" t="s">
        <v>52</v>
      </c>
      <c r="I90" s="11" t="s">
        <v>52</v>
      </c>
      <c r="J90" s="11" t="s">
        <v>52</v>
      </c>
      <c r="K90" s="11" t="s">
        <v>52</v>
      </c>
      <c r="L90" s="11" t="s">
        <v>52</v>
      </c>
    </row>
    <row r="91" spans="1:12">
      <c r="A91" s="10" t="s">
        <v>160</v>
      </c>
      <c r="B91" s="10" t="s">
        <v>161</v>
      </c>
      <c r="C91" s="12" t="str">
        <f>_xll.BDH("ALB US Equity","POLITICAL_DONATIONS","FY 2013","FY 2013","Currency=USD","Period=FY","BEST_FPERIOD_OVERRIDE=FY","FILING_STATUS=MR","SCALING_FORMAT=MLN","Sort=A","Dates=H","DateFormat=P","Fill=—","Direction=H","UseDPDF=Y")</f>
        <v>—</v>
      </c>
      <c r="D91" s="12" t="str">
        <f>_xll.BDH("ALB US Equity","POLITICAL_DONATIONS","FY 2014","FY 2014","Currency=USD","Period=FY","BEST_FPERIOD_OVERRIDE=FY","FILING_STATUS=MR","SCALING_FORMAT=MLN","Sort=A","Dates=H","DateFormat=P","Fill=—","Direction=H","UseDPDF=Y")</f>
        <v>—</v>
      </c>
      <c r="E91" s="12">
        <f>_xll.BDH("ALB US Equity","POLITICAL_DONATIONS","FY 2015","FY 2015","Currency=USD","Period=FY","BEST_FPERIOD_OVERRIDE=FY","FILING_STATUS=MR","SCALING_FORMAT=MLN","Sort=A","Dates=H","DateFormat=P","Fill=—","Direction=H","UseDPDF=Y")</f>
        <v>3.1E-2</v>
      </c>
      <c r="F91" s="12">
        <f>_xll.BDH("ALB US Equity","POLITICAL_DONATIONS","FY 2016","FY 2016","Currency=USD","Period=FY","BEST_FPERIOD_OVERRIDE=FY","FILING_STATUS=MR","SCALING_FORMAT=MLN","Sort=A","Dates=H","DateFormat=P","Fill=—","Direction=H","UseDPDF=Y")</f>
        <v>3.2000000000000001E-2</v>
      </c>
      <c r="G91" s="12">
        <f>_xll.BDH("ALB US Equity","POLITICAL_DONATIONS","FY 2017","FY 2017","Currency=USD","Period=FY","BEST_FPERIOD_OVERRIDE=FY","FILING_STATUS=MR","SCALING_FORMAT=MLN","Sort=A","Dates=H","DateFormat=P","Fill=—","Direction=H","UseDPDF=Y")</f>
        <v>2.5000000000000001E-2</v>
      </c>
      <c r="H91" s="12">
        <f>_xll.BDH("ALB US Equity","POLITICAL_DONATIONS","FY 2018","FY 2018","Currency=USD","Period=FY","BEST_FPERIOD_OVERRIDE=FY","FILING_STATUS=MR","SCALING_FORMAT=MLN","Sort=A","Dates=H","DateFormat=P","Fill=—","Direction=H","UseDPDF=Y")</f>
        <v>2E-3</v>
      </c>
      <c r="I91" s="12">
        <f>_xll.BDH("ALB US Equity","POLITICAL_DONATIONS","FY 2019","FY 2019","Currency=USD","Period=FY","BEST_FPERIOD_OVERRIDE=FY","FILING_STATUS=MR","SCALING_FORMAT=MLN","Sort=A","Dates=H","DateFormat=P","Fill=—","Direction=H","UseDPDF=Y")</f>
        <v>0</v>
      </c>
      <c r="J91" s="12">
        <f>_xll.BDH("ALB US Equity","POLITICAL_DONATIONS","FY 2020","FY 2020","Currency=USD","Period=FY","BEST_FPERIOD_OVERRIDE=FY","FILING_STATUS=MR","SCALING_FORMAT=MLN","Sort=A","Dates=H","DateFormat=P","Fill=—","Direction=H","UseDPDF=Y")</f>
        <v>3.2000000000000001E-2</v>
      </c>
      <c r="K91" s="12">
        <f>_xll.BDH("ALB US Equity","POLITICAL_DONATIONS","FY 2021","FY 2021","Currency=USD","Period=FY","BEST_FPERIOD_OVERRIDE=FY","FILING_STATUS=MR","SCALING_FORMAT=MLN","Sort=A","Dates=H","DateFormat=P","Fill=—","Direction=H","UseDPDF=Y")</f>
        <v>0</v>
      </c>
      <c r="L91" s="12">
        <f>_xll.BDH("ALB US Equity","POLITICAL_DONATIONS","FY 2022","FY 2022","Currency=USD","Period=FY","BEST_FPERIOD_OVERRIDE=FY","FILING_STATUS=MR","SCALING_FORMAT=MLN","Sort=A","Dates=H","DateFormat=P","Fill=—","Direction=H","UseDPDF=Y")</f>
        <v>0</v>
      </c>
    </row>
    <row r="92" spans="1:1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>
      <c r="A93" s="10" t="s">
        <v>162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>
      <c r="A94" s="10" t="s">
        <v>163</v>
      </c>
      <c r="B94" s="10" t="s">
        <v>164</v>
      </c>
      <c r="C94" s="11" t="s">
        <v>52</v>
      </c>
      <c r="D94" s="11" t="s">
        <v>52</v>
      </c>
      <c r="E94" s="11" t="s">
        <v>52</v>
      </c>
      <c r="F94" s="11" t="s">
        <v>52</v>
      </c>
      <c r="G94" s="11" t="s">
        <v>52</v>
      </c>
      <c r="H94" s="11" t="s">
        <v>52</v>
      </c>
      <c r="I94" s="11" t="s">
        <v>52</v>
      </c>
      <c r="J94" s="11" t="s">
        <v>52</v>
      </c>
      <c r="K94" s="11" t="s">
        <v>52</v>
      </c>
      <c r="L94" s="11" t="s">
        <v>52</v>
      </c>
    </row>
    <row r="95" spans="1:12">
      <c r="A95" s="10" t="s">
        <v>165</v>
      </c>
      <c r="B95" s="10" t="s">
        <v>166</v>
      </c>
      <c r="C95" s="13">
        <f>_xll.BDH("ALB US Equity","FATALITIES_EMPLOYEES","FY 2013","FY 2013","Currency=USD","Period=FY","BEST_FPERIOD_OVERRIDE=FY","FILING_STATUS=MR","Sort=A","Dates=H","DateFormat=P","Fill=—","Direction=H","UseDPDF=Y")</f>
        <v>0</v>
      </c>
      <c r="D95" s="13">
        <f>_xll.BDH("ALB US Equity","FATALITIES_EMPLOYEES","FY 2014","FY 2014","Currency=USD","Period=FY","BEST_FPERIOD_OVERRIDE=FY","FILING_STATUS=MR","Sort=A","Dates=H","DateFormat=P","Fill=—","Direction=H","UseDPDF=Y")</f>
        <v>0</v>
      </c>
      <c r="E95" s="13">
        <f>_xll.BDH("ALB US Equity","FATALITIES_EMPLOYEES","FY 2015","FY 2015","Currency=USD","Period=FY","BEST_FPERIOD_OVERRIDE=FY","FILING_STATUS=MR","Sort=A","Dates=H","DateFormat=P","Fill=—","Direction=H","UseDPDF=Y")</f>
        <v>0</v>
      </c>
      <c r="F95" s="13">
        <f>_xll.BDH("ALB US Equity","FATALITIES_EMPLOYEES","FY 2016","FY 2016","Currency=USD","Period=FY","BEST_FPERIOD_OVERRIDE=FY","FILING_STATUS=MR","Sort=A","Dates=H","DateFormat=P","Fill=—","Direction=H","UseDPDF=Y")</f>
        <v>0</v>
      </c>
      <c r="G95" s="13">
        <f>_xll.BDH("ALB US Equity","FATALITIES_EMPLOYEES","FY 2017","FY 2017","Currency=USD","Period=FY","BEST_FPERIOD_OVERRIDE=FY","FILING_STATUS=MR","Sort=A","Dates=H","DateFormat=P","Fill=—","Direction=H","UseDPDF=Y")</f>
        <v>0</v>
      </c>
      <c r="H95" s="13">
        <f>_xll.BDH("ALB US Equity","FATALITIES_EMPLOYEES","FY 2018","FY 2018","Currency=USD","Period=FY","BEST_FPERIOD_OVERRIDE=FY","FILING_STATUS=MR","Sort=A","Dates=H","DateFormat=P","Fill=—","Direction=H","UseDPDF=Y")</f>
        <v>0</v>
      </c>
      <c r="I95" s="13">
        <f>_xll.BDH("ALB US Equity","FATALITIES_EMPLOYEES","FY 2019","FY 2019","Currency=USD","Period=FY","BEST_FPERIOD_OVERRIDE=FY","FILING_STATUS=MR","Sort=A","Dates=H","DateFormat=P","Fill=—","Direction=H","UseDPDF=Y")</f>
        <v>0</v>
      </c>
      <c r="J95" s="13">
        <f>_xll.BDH("ALB US Equity","FATALITIES_EMPLOYEES","FY 2020","FY 2020","Currency=USD","Period=FY","BEST_FPERIOD_OVERRIDE=FY","FILING_STATUS=MR","Sort=A","Dates=H","DateFormat=P","Fill=—","Direction=H","UseDPDF=Y")</f>
        <v>0</v>
      </c>
      <c r="K95" s="13">
        <f>_xll.BDH("ALB US Equity","FATALITIES_EMPLOYEES","FY 2021","FY 2021","Currency=USD","Period=FY","BEST_FPERIOD_OVERRIDE=FY","FILING_STATUS=MR","Sort=A","Dates=H","DateFormat=P","Fill=—","Direction=H","UseDPDF=Y")</f>
        <v>0</v>
      </c>
      <c r="L95" s="13">
        <f>_xll.BDH("ALB US Equity","FATALITIES_EMPLOYEES","FY 2022","FY 2022","Currency=USD","Period=FY","BEST_FPERIOD_OVERRIDE=FY","FILING_STATUS=MR","Sort=A","Dates=H","DateFormat=P","Fill=—","Direction=H","UseDPDF=Y")</f>
        <v>0</v>
      </c>
    </row>
    <row r="96" spans="1:12">
      <c r="A96" s="10" t="s">
        <v>167</v>
      </c>
      <c r="B96" s="10" t="s">
        <v>168</v>
      </c>
      <c r="C96" s="13">
        <f>_xll.BDH("ALB US Equity","FATALITIES_CONTRACTORS","FY 2013","FY 2013","Currency=USD","Period=FY","BEST_FPERIOD_OVERRIDE=FY","FILING_STATUS=MR","Sort=A","Dates=H","DateFormat=P","Fill=—","Direction=H","UseDPDF=Y")</f>
        <v>0</v>
      </c>
      <c r="D96" s="13">
        <f>_xll.BDH("ALB US Equity","FATALITIES_CONTRACTORS","FY 2014","FY 2014","Currency=USD","Period=FY","BEST_FPERIOD_OVERRIDE=FY","FILING_STATUS=MR","Sort=A","Dates=H","DateFormat=P","Fill=—","Direction=H","UseDPDF=Y")</f>
        <v>0</v>
      </c>
      <c r="E96" s="13">
        <f>_xll.BDH("ALB US Equity","FATALITIES_CONTRACTORS","FY 2015","FY 2015","Currency=USD","Period=FY","BEST_FPERIOD_OVERRIDE=FY","FILING_STATUS=MR","Sort=A","Dates=H","DateFormat=P","Fill=—","Direction=H","UseDPDF=Y")</f>
        <v>0</v>
      </c>
      <c r="F96" s="13">
        <f>_xll.BDH("ALB US Equity","FATALITIES_CONTRACTORS","FY 2016","FY 2016","Currency=USD","Period=FY","BEST_FPERIOD_OVERRIDE=FY","FILING_STATUS=MR","Sort=A","Dates=H","DateFormat=P","Fill=—","Direction=H","UseDPDF=Y")</f>
        <v>0</v>
      </c>
      <c r="G96" s="13">
        <f>_xll.BDH("ALB US Equity","FATALITIES_CONTRACTORS","FY 2017","FY 2017","Currency=USD","Period=FY","BEST_FPERIOD_OVERRIDE=FY","FILING_STATUS=MR","Sort=A","Dates=H","DateFormat=P","Fill=—","Direction=H","UseDPDF=Y")</f>
        <v>0</v>
      </c>
      <c r="H96" s="13">
        <f>_xll.BDH("ALB US Equity","FATALITIES_CONTRACTORS","FY 2018","FY 2018","Currency=USD","Period=FY","BEST_FPERIOD_OVERRIDE=FY","FILING_STATUS=MR","Sort=A","Dates=H","DateFormat=P","Fill=—","Direction=H","UseDPDF=Y")</f>
        <v>0</v>
      </c>
      <c r="I96" s="13">
        <f>_xll.BDH("ALB US Equity","FATALITIES_CONTRACTORS","FY 2019","FY 2019","Currency=USD","Period=FY","BEST_FPERIOD_OVERRIDE=FY","FILING_STATUS=MR","Sort=A","Dates=H","DateFormat=P","Fill=—","Direction=H","UseDPDF=Y")</f>
        <v>0</v>
      </c>
      <c r="J96" s="13">
        <f>_xll.BDH("ALB US Equity","FATALITIES_CONTRACTORS","FY 2020","FY 2020","Currency=USD","Period=FY","BEST_FPERIOD_OVERRIDE=FY","FILING_STATUS=MR","Sort=A","Dates=H","DateFormat=P","Fill=—","Direction=H","UseDPDF=Y")</f>
        <v>0</v>
      </c>
      <c r="K96" s="13">
        <f>_xll.BDH("ALB US Equity","FATALITIES_CONTRACTORS","FY 2021","FY 2021","Currency=USD","Period=FY","BEST_FPERIOD_OVERRIDE=FY","FILING_STATUS=MR","Sort=A","Dates=H","DateFormat=P","Fill=—","Direction=H","UseDPDF=Y")</f>
        <v>0</v>
      </c>
      <c r="L96" s="13">
        <f>_xll.BDH("ALB US Equity","FATALITIES_CONTRACTORS","FY 2022","FY 2022","Currency=USD","Period=FY","BEST_FPERIOD_OVERRIDE=FY","FILING_STATUS=MR","Sort=A","Dates=H","DateFormat=P","Fill=—","Direction=H","UseDPDF=Y")</f>
        <v>0</v>
      </c>
    </row>
    <row r="97" spans="1:12">
      <c r="A97" s="10" t="s">
        <v>169</v>
      </c>
      <c r="B97" s="10" t="s">
        <v>170</v>
      </c>
      <c r="C97" s="13">
        <f>_xll.BDH("ALB US Equity","FATALITIES_TOTAL","FY 2013","FY 2013","Currency=USD","Period=FY","BEST_FPERIOD_OVERRIDE=FY","FILING_STATUS=MR","Sort=A","Dates=H","DateFormat=P","Fill=—","Direction=H","UseDPDF=Y")</f>
        <v>0</v>
      </c>
      <c r="D97" s="13">
        <f>_xll.BDH("ALB US Equity","FATALITIES_TOTAL","FY 2014","FY 2014","Currency=USD","Period=FY","BEST_FPERIOD_OVERRIDE=FY","FILING_STATUS=MR","Sort=A","Dates=H","DateFormat=P","Fill=—","Direction=H","UseDPDF=Y")</f>
        <v>0</v>
      </c>
      <c r="E97" s="13">
        <f>_xll.BDH("ALB US Equity","FATALITIES_TOTAL","FY 2015","FY 2015","Currency=USD","Period=FY","BEST_FPERIOD_OVERRIDE=FY","FILING_STATUS=MR","Sort=A","Dates=H","DateFormat=P","Fill=—","Direction=H","UseDPDF=Y")</f>
        <v>0</v>
      </c>
      <c r="F97" s="13">
        <f>_xll.BDH("ALB US Equity","FATALITIES_TOTAL","FY 2016","FY 2016","Currency=USD","Period=FY","BEST_FPERIOD_OVERRIDE=FY","FILING_STATUS=MR","Sort=A","Dates=H","DateFormat=P","Fill=—","Direction=H","UseDPDF=Y")</f>
        <v>0</v>
      </c>
      <c r="G97" s="13">
        <f>_xll.BDH("ALB US Equity","FATALITIES_TOTAL","FY 2017","FY 2017","Currency=USD","Period=FY","BEST_FPERIOD_OVERRIDE=FY","FILING_STATUS=MR","Sort=A","Dates=H","DateFormat=P","Fill=—","Direction=H","UseDPDF=Y")</f>
        <v>0</v>
      </c>
      <c r="H97" s="13">
        <f>_xll.BDH("ALB US Equity","FATALITIES_TOTAL","FY 2018","FY 2018","Currency=USD","Period=FY","BEST_FPERIOD_OVERRIDE=FY","FILING_STATUS=MR","Sort=A","Dates=H","DateFormat=P","Fill=—","Direction=H","UseDPDF=Y")</f>
        <v>0</v>
      </c>
      <c r="I97" s="13">
        <f>_xll.BDH("ALB US Equity","FATALITIES_TOTAL","FY 2019","FY 2019","Currency=USD","Period=FY","BEST_FPERIOD_OVERRIDE=FY","FILING_STATUS=MR","Sort=A","Dates=H","DateFormat=P","Fill=—","Direction=H","UseDPDF=Y")</f>
        <v>0</v>
      </c>
      <c r="J97" s="13">
        <f>_xll.BDH("ALB US Equity","FATALITIES_TOTAL","FY 2020","FY 2020","Currency=USD","Period=FY","BEST_FPERIOD_OVERRIDE=FY","FILING_STATUS=MR","Sort=A","Dates=H","DateFormat=P","Fill=—","Direction=H","UseDPDF=Y")</f>
        <v>0</v>
      </c>
      <c r="K97" s="13">
        <f>_xll.BDH("ALB US Equity","FATALITIES_TOTAL","FY 2021","FY 2021","Currency=USD","Period=FY","BEST_FPERIOD_OVERRIDE=FY","FILING_STATUS=MR","Sort=A","Dates=H","DateFormat=P","Fill=—","Direction=H","UseDPDF=Y")</f>
        <v>0</v>
      </c>
      <c r="L97" s="13">
        <f>_xll.BDH("ALB US Equity","FATALITIES_TOTAL","FY 2022","FY 2022","Currency=USD","Period=FY","BEST_FPERIOD_OVERRIDE=FY","FILING_STATUS=MR","Sort=A","Dates=H","DateFormat=P","Fill=—","Direction=H","UseDPDF=Y")</f>
        <v>0</v>
      </c>
    </row>
    <row r="98" spans="1:12">
      <c r="A98" s="10" t="s">
        <v>171</v>
      </c>
      <c r="B98" s="10" t="s">
        <v>172</v>
      </c>
      <c r="C98" s="13" t="str">
        <f>_xll.BDH("ALB US Equity","LOST_TIME_INCIDENT_RATE","FY 2013","FY 2013","Currency=USD","Period=FY","BEST_FPERIOD_OVERRIDE=FY","FILING_STATUS=MR","Sort=A","Dates=H","DateFormat=P","Fill=—","Direction=H","UseDPDF=Y")</f>
        <v>—</v>
      </c>
      <c r="D98" s="13" t="str">
        <f>_xll.BDH("ALB US Equity","LOST_TIME_INCIDENT_RATE","FY 2014","FY 2014","Currency=USD","Period=FY","BEST_FPERIOD_OVERRIDE=FY","FILING_STATUS=MR","Sort=A","Dates=H","DateFormat=P","Fill=—","Direction=H","UseDPDF=Y")</f>
        <v>—</v>
      </c>
      <c r="E98" s="13" t="str">
        <f>_xll.BDH("ALB US Equity","LOST_TIME_INCIDENT_RATE","FY 2015","FY 2015","Currency=USD","Period=FY","BEST_FPERIOD_OVERRIDE=FY","FILING_STATUS=MR","Sort=A","Dates=H","DateFormat=P","Fill=—","Direction=H","UseDPDF=Y")</f>
        <v>—</v>
      </c>
      <c r="F98" s="13" t="str">
        <f>_xll.BDH("ALB US Equity","LOST_TIME_INCIDENT_RATE","FY 2016","FY 2016","Currency=USD","Period=FY","BEST_FPERIOD_OVERRIDE=FY","FILING_STATUS=MR","Sort=A","Dates=H","DateFormat=P","Fill=—","Direction=H","UseDPDF=Y")</f>
        <v>—</v>
      </c>
      <c r="G98" s="13" t="str">
        <f>_xll.BDH("ALB US Equity","LOST_TIME_INCIDENT_RATE","FY 2017","FY 2017","Currency=USD","Period=FY","BEST_FPERIOD_OVERRIDE=FY","FILING_STATUS=MR","Sort=A","Dates=H","DateFormat=P","Fill=—","Direction=H","UseDPDF=Y")</f>
        <v>—</v>
      </c>
      <c r="H98" s="13" t="str">
        <f>_xll.BDH("ALB US Equity","LOST_TIME_INCIDENT_RATE","FY 2018","FY 2018","Currency=USD","Period=FY","BEST_FPERIOD_OVERRIDE=FY","FILING_STATUS=MR","Sort=A","Dates=H","DateFormat=P","Fill=—","Direction=H","UseDPDF=Y")</f>
        <v>—</v>
      </c>
      <c r="I98" s="13" t="str">
        <f>_xll.BDH("ALB US Equity","LOST_TIME_INCIDENT_RATE","FY 2019","FY 2019","Currency=USD","Period=FY","BEST_FPERIOD_OVERRIDE=FY","FILING_STATUS=MR","Sort=A","Dates=H","DateFormat=P","Fill=—","Direction=H","UseDPDF=Y")</f>
        <v>—</v>
      </c>
      <c r="J98" s="13">
        <f>_xll.BDH("ALB US Equity","LOST_TIME_INCIDENT_RATE","FY 2020","FY 2020","Currency=USD","Period=FY","BEST_FPERIOD_OVERRIDE=FY","FILING_STATUS=MR","Sort=A","Dates=H","DateFormat=P","Fill=—","Direction=H","UseDPDF=Y")</f>
        <v>0.08</v>
      </c>
      <c r="K98" s="13">
        <f>_xll.BDH("ALB US Equity","LOST_TIME_INCIDENT_RATE","FY 2021","FY 2021","Currency=USD","Period=FY","BEST_FPERIOD_OVERRIDE=FY","FILING_STATUS=MR","Sort=A","Dates=H","DateFormat=P","Fill=—","Direction=H","UseDPDF=Y")</f>
        <v>0.06</v>
      </c>
      <c r="L98" s="13">
        <f>_xll.BDH("ALB US Equity","LOST_TIME_INCIDENT_RATE","FY 2022","FY 2022","Currency=USD","Period=FY","BEST_FPERIOD_OVERRIDE=FY","FILING_STATUS=MR","Sort=A","Dates=H","DateFormat=P","Fill=—","Direction=H","UseDPDF=Y")</f>
        <v>0.09</v>
      </c>
    </row>
    <row r="99" spans="1:12">
      <c r="A99" s="10" t="s">
        <v>173</v>
      </c>
      <c r="B99" s="10" t="s">
        <v>174</v>
      </c>
      <c r="C99" s="13">
        <f>_xll.BDH("ALB US Equity","TOTAL_RECORDABLE_INCIDENT_RATE","FY 2013","FY 2013","Currency=USD","Period=FY","BEST_FPERIOD_OVERRIDE=FY","FILING_STATUS=MR","Sort=A","Dates=H","DateFormat=P","Fill=—","Direction=H","UseDPDF=Y")</f>
        <v>0.56000000000000005</v>
      </c>
      <c r="D99" s="13">
        <f>_xll.BDH("ALB US Equity","TOTAL_RECORDABLE_INCIDENT_RATE","FY 2014","FY 2014","Currency=USD","Period=FY","BEST_FPERIOD_OVERRIDE=FY","FILING_STATUS=MR","Sort=A","Dates=H","DateFormat=P","Fill=—","Direction=H","UseDPDF=Y")</f>
        <v>0.33</v>
      </c>
      <c r="E99" s="13">
        <f>_xll.BDH("ALB US Equity","TOTAL_RECORDABLE_INCIDENT_RATE","FY 2015","FY 2015","Currency=USD","Period=FY","BEST_FPERIOD_OVERRIDE=FY","FILING_STATUS=MR","Sort=A","Dates=H","DateFormat=P","Fill=—","Direction=H","UseDPDF=Y")</f>
        <v>0.56999999999999995</v>
      </c>
      <c r="F99" s="13">
        <f>_xll.BDH("ALB US Equity","TOTAL_RECORDABLE_INCIDENT_RATE","FY 2016","FY 2016","Currency=USD","Period=FY","BEST_FPERIOD_OVERRIDE=FY","FILING_STATUS=MR","Sort=A","Dates=H","DateFormat=P","Fill=—","Direction=H","UseDPDF=Y")</f>
        <v>0.53</v>
      </c>
      <c r="G99" s="13">
        <f>_xll.BDH("ALB US Equity","TOTAL_RECORDABLE_INCIDENT_RATE","FY 2017","FY 2017","Currency=USD","Period=FY","BEST_FPERIOD_OVERRIDE=FY","FILING_STATUS=MR","Sort=A","Dates=H","DateFormat=P","Fill=—","Direction=H","UseDPDF=Y")</f>
        <v>0.64</v>
      </c>
      <c r="H99" s="13">
        <f>_xll.BDH("ALB US Equity","TOTAL_RECORDABLE_INCIDENT_RATE","FY 2018","FY 2018","Currency=USD","Period=FY","BEST_FPERIOD_OVERRIDE=FY","FILING_STATUS=MR","Sort=A","Dates=H","DateFormat=P","Fill=—","Direction=H","UseDPDF=Y")</f>
        <v>0.55000000000000004</v>
      </c>
      <c r="I99" s="13">
        <f>_xll.BDH("ALB US Equity","TOTAL_RECORDABLE_INCIDENT_RATE","FY 2019","FY 2019","Currency=USD","Period=FY","BEST_FPERIOD_OVERRIDE=FY","FILING_STATUS=MR","Sort=A","Dates=H","DateFormat=P","Fill=—","Direction=H","UseDPDF=Y")</f>
        <v>0.36</v>
      </c>
      <c r="J99" s="13">
        <f>_xll.BDH("ALB US Equity","TOTAL_RECORDABLE_INCIDENT_RATE","FY 2020","FY 2020","Currency=USD","Period=FY","BEST_FPERIOD_OVERRIDE=FY","FILING_STATUS=MR","Sort=A","Dates=H","DateFormat=P","Fill=—","Direction=H","UseDPDF=Y")</f>
        <v>0.28999999999999998</v>
      </c>
      <c r="K99" s="13">
        <f>_xll.BDH("ALB US Equity","TOTAL_RECORDABLE_INCIDENT_RATE","FY 2021","FY 2021","Currency=USD","Period=FY","BEST_FPERIOD_OVERRIDE=FY","FILING_STATUS=MR","Sort=A","Dates=H","DateFormat=P","Fill=—","Direction=H","UseDPDF=Y")</f>
        <v>0.19</v>
      </c>
      <c r="L99" s="13">
        <f>_xll.BDH("ALB US Equity","TOTAL_RECORDABLE_INCIDENT_RATE","FY 2022","FY 2022","Currency=USD","Period=FY","BEST_FPERIOD_OVERRIDE=FY","FILING_STATUS=MR","Sort=A","Dates=H","DateFormat=P","Fill=—","Direction=H","UseDPDF=Y")</f>
        <v>0.14000000000000001</v>
      </c>
    </row>
    <row r="100" spans="1:12">
      <c r="A100" s="10" t="s">
        <v>175</v>
      </c>
      <c r="B100" s="10" t="s">
        <v>176</v>
      </c>
      <c r="C100" s="13">
        <f>_xll.BDH("ALB US Equity","TOT_RECORDABLE_INCID_RT_CNTRCTR","FY 2013","FY 2013","Currency=USD","Period=FY","BEST_FPERIOD_OVERRIDE=FY","FILING_STATUS=MR","Sort=A","Dates=H","DateFormat=P","Fill=—","Direction=H","UseDPDF=Y")</f>
        <v>0.51</v>
      </c>
      <c r="D100" s="13">
        <f>_xll.BDH("ALB US Equity","TOT_RECORDABLE_INCID_RT_CNTRCTR","FY 2014","FY 2014","Currency=USD","Period=FY","BEST_FPERIOD_OVERRIDE=FY","FILING_STATUS=MR","Sort=A","Dates=H","DateFormat=P","Fill=—","Direction=H","UseDPDF=Y")</f>
        <v>0.54</v>
      </c>
      <c r="E100" s="13">
        <f>_xll.BDH("ALB US Equity","TOT_RECORDABLE_INCID_RT_CNTRCTR","FY 2015","FY 2015","Currency=USD","Period=FY","BEST_FPERIOD_OVERRIDE=FY","FILING_STATUS=MR","Sort=A","Dates=H","DateFormat=P","Fill=—","Direction=H","UseDPDF=Y")</f>
        <v>0.72</v>
      </c>
      <c r="F100" s="13">
        <f>_xll.BDH("ALB US Equity","TOT_RECORDABLE_INCID_RT_CNTRCTR","FY 2016","FY 2016","Currency=USD","Period=FY","BEST_FPERIOD_OVERRIDE=FY","FILING_STATUS=MR","Sort=A","Dates=H","DateFormat=P","Fill=—","Direction=H","UseDPDF=Y")</f>
        <v>0</v>
      </c>
      <c r="G100" s="13">
        <f>_xll.BDH("ALB US Equity","TOT_RECORDABLE_INCID_RT_CNTRCTR","FY 2017","FY 2017","Currency=USD","Period=FY","BEST_FPERIOD_OVERRIDE=FY","FILING_STATUS=MR","Sort=A","Dates=H","DateFormat=P","Fill=—","Direction=H","UseDPDF=Y")</f>
        <v>0.59</v>
      </c>
      <c r="H100" s="13">
        <f>_xll.BDH("ALB US Equity","TOT_RECORDABLE_INCID_RT_CNTRCTR","FY 2018","FY 2018","Currency=USD","Period=FY","BEST_FPERIOD_OVERRIDE=FY","FILING_STATUS=MR","Sort=A","Dates=H","DateFormat=P","Fill=—","Direction=H","UseDPDF=Y")</f>
        <v>0.75</v>
      </c>
      <c r="I100" s="13">
        <f>_xll.BDH("ALB US Equity","TOT_RECORDABLE_INCID_RT_CNTRCTR","FY 2019","FY 2019","Currency=USD","Period=FY","BEST_FPERIOD_OVERRIDE=FY","FILING_STATUS=MR","Sort=A","Dates=H","DateFormat=P","Fill=—","Direction=H","UseDPDF=Y")</f>
        <v>0.22</v>
      </c>
      <c r="J100" s="13">
        <f>_xll.BDH("ALB US Equity","TOT_RECORDABLE_INCID_RT_CNTRCTR","FY 2020","FY 2020","Currency=USD","Period=FY","BEST_FPERIOD_OVERRIDE=FY","FILING_STATUS=MR","Sort=A","Dates=H","DateFormat=P","Fill=—","Direction=H","UseDPDF=Y")</f>
        <v>0.14000000000000001</v>
      </c>
      <c r="K100" s="13">
        <f>_xll.BDH("ALB US Equity","TOT_RECORDABLE_INCID_RT_CNTRCTR","FY 2021","FY 2021","Currency=USD","Period=FY","BEST_FPERIOD_OVERRIDE=FY","FILING_STATUS=MR","Sort=A","Dates=H","DateFormat=P","Fill=—","Direction=H","UseDPDF=Y")</f>
        <v>0.31</v>
      </c>
      <c r="L100" s="13">
        <f>_xll.BDH("ALB US Equity","TOT_RECORDABLE_INCID_RT_CNTRCTR","FY 2022","FY 2022","Currency=USD","Period=FY","BEST_FPERIOD_OVERRIDE=FY","FILING_STATUS=MR","Sort=A","Dates=H","DateFormat=P","Fill=—","Direction=H","UseDPDF=Y")</f>
        <v>0.11</v>
      </c>
    </row>
    <row r="101" spans="1:1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>
      <c r="A102" s="10" t="s">
        <v>177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>
      <c r="A103" s="10" t="s">
        <v>178</v>
      </c>
      <c r="B103" s="10" t="s">
        <v>179</v>
      </c>
      <c r="C103" s="11" t="s">
        <v>52</v>
      </c>
      <c r="D103" s="11" t="s">
        <v>52</v>
      </c>
      <c r="E103" s="11" t="s">
        <v>52</v>
      </c>
      <c r="F103" s="11" t="s">
        <v>52</v>
      </c>
      <c r="G103" s="11" t="s">
        <v>52</v>
      </c>
      <c r="H103" s="11" t="s">
        <v>52</v>
      </c>
      <c r="I103" s="11" t="s">
        <v>52</v>
      </c>
      <c r="J103" s="11" t="s">
        <v>52</v>
      </c>
      <c r="K103" s="11" t="s">
        <v>52</v>
      </c>
      <c r="L103" s="11" t="s">
        <v>52</v>
      </c>
    </row>
    <row r="104" spans="1:12">
      <c r="A104" s="10" t="s">
        <v>180</v>
      </c>
      <c r="B104" s="10" t="s">
        <v>181</v>
      </c>
      <c r="C104" s="11" t="s">
        <v>55</v>
      </c>
      <c r="D104" s="11" t="s">
        <v>55</v>
      </c>
      <c r="E104" s="11" t="s">
        <v>55</v>
      </c>
      <c r="F104" s="11" t="s">
        <v>55</v>
      </c>
      <c r="G104" s="11" t="s">
        <v>55</v>
      </c>
      <c r="H104" s="11" t="s">
        <v>55</v>
      </c>
      <c r="I104" s="11" t="s">
        <v>52</v>
      </c>
      <c r="J104" s="11" t="s">
        <v>52</v>
      </c>
      <c r="K104" s="11" t="s">
        <v>55</v>
      </c>
      <c r="L104" s="11" t="s">
        <v>55</v>
      </c>
    </row>
    <row r="105" spans="1:12">
      <c r="A105" s="10" t="s">
        <v>182</v>
      </c>
      <c r="B105" s="10" t="s">
        <v>183</v>
      </c>
      <c r="C105" s="13">
        <f>_xll.BDH("ALB US Equity","NUMBER_EMPLOYEES_CSR","FY 2013","FY 2013","Currency=USD","Period=FY","BEST_FPERIOD_OVERRIDE=FY","FILING_STATUS=MR","Sort=A","Dates=H","DateFormat=P","Fill=—","Direction=H","UseDPDF=Y")</f>
        <v>4471</v>
      </c>
      <c r="D105" s="13">
        <f>_xll.BDH("ALB US Equity","NUMBER_EMPLOYEES_CSR","FY 2014","FY 2014","Currency=USD","Period=FY","BEST_FPERIOD_OVERRIDE=FY","FILING_STATUS=MR","Sort=A","Dates=H","DateFormat=P","Fill=—","Direction=H","UseDPDF=Y")</f>
        <v>4146</v>
      </c>
      <c r="E105" s="13">
        <f>_xll.BDH("ALB US Equity","NUMBER_EMPLOYEES_CSR","FY 2015","FY 2015","Currency=USD","Period=FY","BEST_FPERIOD_OVERRIDE=FY","FILING_STATUS=MR","Sort=A","Dates=H","DateFormat=P","Fill=—","Direction=H","UseDPDF=Y")</f>
        <v>5950</v>
      </c>
      <c r="F105" s="13">
        <f>_xll.BDH("ALB US Equity","NUMBER_EMPLOYEES_CSR","FY 2016","FY 2016","Currency=USD","Period=FY","BEST_FPERIOD_OVERRIDE=FY","FILING_STATUS=MR","Sort=A","Dates=H","DateFormat=P","Fill=—","Direction=H","UseDPDF=Y")</f>
        <v>4580</v>
      </c>
      <c r="G105" s="13">
        <f>_xll.BDH("ALB US Equity","NUMBER_EMPLOYEES_CSR","FY 2017","FY 2017","Currency=USD","Period=FY","BEST_FPERIOD_OVERRIDE=FY","FILING_STATUS=MR","Sort=A","Dates=H","DateFormat=P","Fill=—","Direction=H","UseDPDF=Y")</f>
        <v>5167</v>
      </c>
      <c r="H105" s="13">
        <f>_xll.BDH("ALB US Equity","NUMBER_EMPLOYEES_CSR","FY 2018","FY 2018","Currency=USD","Period=FY","BEST_FPERIOD_OVERRIDE=FY","FILING_STATUS=MR","Sort=A","Dates=H","DateFormat=P","Fill=—","Direction=H","UseDPDF=Y")</f>
        <v>5570</v>
      </c>
      <c r="I105" s="13">
        <f>_xll.BDH("ALB US Equity","NUMBER_EMPLOYEES_CSR","FY 2019","FY 2019","Currency=USD","Period=FY","BEST_FPERIOD_OVERRIDE=FY","FILING_STATUS=MR","Sort=A","Dates=H","DateFormat=P","Fill=—","Direction=H","UseDPDF=Y")</f>
        <v>5465</v>
      </c>
      <c r="J105" s="13">
        <f>_xll.BDH("ALB US Equity","NUMBER_EMPLOYEES_CSR","FY 2020","FY 2020","Currency=USD","Period=FY","BEST_FPERIOD_OVERRIDE=FY","FILING_STATUS=MR","Sort=A","Dates=H","DateFormat=P","Fill=—","Direction=H","UseDPDF=Y")</f>
        <v>5900</v>
      </c>
      <c r="K105" s="13">
        <f>_xll.BDH("ALB US Equity","NUMBER_EMPLOYEES_CSR","FY 2021","FY 2021","Currency=USD","Period=FY","BEST_FPERIOD_OVERRIDE=FY","FILING_STATUS=MR","Sort=A","Dates=H","DateFormat=P","Fill=—","Direction=H","UseDPDF=Y")</f>
        <v>5618</v>
      </c>
      <c r="L105" s="13">
        <f>_xll.BDH("ALB US Equity","NUMBER_EMPLOYEES_CSR","FY 2022","FY 2022","Currency=USD","Period=FY","BEST_FPERIOD_OVERRIDE=FY","FILING_STATUS=MR","Sort=A","Dates=H","DateFormat=P","Fill=—","Direction=H","UseDPDF=Y")</f>
        <v>6941</v>
      </c>
    </row>
    <row r="106" spans="1:12">
      <c r="A106" s="10" t="s">
        <v>184</v>
      </c>
      <c r="B106" s="10" t="s">
        <v>185</v>
      </c>
      <c r="C106" s="13" t="str">
        <f>_xll.BDH("ALB US Equity","NUMBER_OF_CONTRACTORS","FY 2013","FY 2013","Currency=USD","Period=FY","BEST_FPERIOD_OVERRIDE=FY","FILING_STATUS=MR","Sort=A","Dates=H","DateFormat=P","Fill=—","Direction=H","UseDPDF=Y")</f>
        <v>—</v>
      </c>
      <c r="D106" s="13" t="str">
        <f>_xll.BDH("ALB US Equity","NUMBER_OF_CONTRACTORS","FY 2014","FY 2014","Currency=USD","Period=FY","BEST_FPERIOD_OVERRIDE=FY","FILING_STATUS=MR","Sort=A","Dates=H","DateFormat=P","Fill=—","Direction=H","UseDPDF=Y")</f>
        <v>—</v>
      </c>
      <c r="E106" s="13" t="str">
        <f>_xll.BDH("ALB US Equity","NUMBER_OF_CONTRACTORS","FY 2015","FY 2015","Currency=USD","Period=FY","BEST_FPERIOD_OVERRIDE=FY","FILING_STATUS=MR","Sort=A","Dates=H","DateFormat=P","Fill=—","Direction=H","UseDPDF=Y")</f>
        <v>—</v>
      </c>
      <c r="F106" s="13" t="str">
        <f>_xll.BDH("ALB US Equity","NUMBER_OF_CONTRACTORS","FY 2016","FY 2016","Currency=USD","Period=FY","BEST_FPERIOD_OVERRIDE=FY","FILING_STATUS=MR","Sort=A","Dates=H","DateFormat=P","Fill=—","Direction=H","UseDPDF=Y")</f>
        <v>—</v>
      </c>
      <c r="G106" s="13" t="str">
        <f>_xll.BDH("ALB US Equity","NUMBER_OF_CONTRACTORS","FY 2017","FY 2017","Currency=USD","Period=FY","BEST_FPERIOD_OVERRIDE=FY","FILING_STATUS=MR","Sort=A","Dates=H","DateFormat=P","Fill=—","Direction=H","UseDPDF=Y")</f>
        <v>—</v>
      </c>
      <c r="H106" s="13">
        <f>_xll.BDH("ALB US Equity","NUMBER_OF_CONTRACTORS","FY 2018","FY 2018","Currency=USD","Period=FY","BEST_FPERIOD_OVERRIDE=FY","FILING_STATUS=MR","Sort=A","Dates=H","DateFormat=P","Fill=—","Direction=H","UseDPDF=Y")</f>
        <v>1188</v>
      </c>
      <c r="I106" s="13">
        <f>_xll.BDH("ALB US Equity","NUMBER_OF_CONTRACTORS","FY 2019","FY 2019","Currency=USD","Period=FY","BEST_FPERIOD_OVERRIDE=FY","FILING_STATUS=MR","Sort=A","Dates=H","DateFormat=P","Fill=—","Direction=H","UseDPDF=Y")</f>
        <v>1258</v>
      </c>
      <c r="J106" s="13">
        <f>_xll.BDH("ALB US Equity","NUMBER_OF_CONTRACTORS","FY 2020","FY 2020","Currency=USD","Period=FY","BEST_FPERIOD_OVERRIDE=FY","FILING_STATUS=MR","Sort=A","Dates=H","DateFormat=P","Fill=—","Direction=H","UseDPDF=Y")</f>
        <v>1137</v>
      </c>
      <c r="K106" s="13">
        <f>_xll.BDH("ALB US Equity","NUMBER_OF_CONTRACTORS","FY 2021","FY 2021","Currency=USD","Period=FY","BEST_FPERIOD_OVERRIDE=FY","FILING_STATUS=MR","Sort=A","Dates=H","DateFormat=P","Fill=—","Direction=H","UseDPDF=Y")</f>
        <v>1289</v>
      </c>
      <c r="L106" s="13">
        <f>_xll.BDH("ALB US Equity","NUMBER_OF_CONTRACTORS","FY 2022","FY 2022","Currency=USD","Period=FY","BEST_FPERIOD_OVERRIDE=FY","FILING_STATUS=MR","Sort=A","Dates=H","DateFormat=P","Fill=—","Direction=H","UseDPDF=Y")</f>
        <v>1646</v>
      </c>
    </row>
    <row r="107" spans="1:12">
      <c r="A107" s="10" t="s">
        <v>186</v>
      </c>
      <c r="B107" s="10" t="s">
        <v>187</v>
      </c>
      <c r="C107" s="13">
        <f>_xll.BDH("ALB US Equity","EMPLOYEE_TURNOVER_PCT","FY 2013","FY 2013","Currency=USD","Period=FY","BEST_FPERIOD_OVERRIDE=FY","FILING_STATUS=MR","Sort=A","Dates=H","DateFormat=P","Fill=—","Direction=H","UseDPDF=Y")</f>
        <v>10.7</v>
      </c>
      <c r="D107" s="13">
        <f>_xll.BDH("ALB US Equity","EMPLOYEE_TURNOVER_PCT","FY 2014","FY 2014","Currency=USD","Period=FY","BEST_FPERIOD_OVERRIDE=FY","FILING_STATUS=MR","Sort=A","Dates=H","DateFormat=P","Fill=—","Direction=H","UseDPDF=Y")</f>
        <v>29.2</v>
      </c>
      <c r="E107" s="13">
        <f>_xll.BDH("ALB US Equity","EMPLOYEE_TURNOVER_PCT","FY 2015","FY 2015","Currency=USD","Period=FY","BEST_FPERIOD_OVERRIDE=FY","FILING_STATUS=MR","Sort=A","Dates=H","DateFormat=P","Fill=—","Direction=H","UseDPDF=Y")</f>
        <v>12.4</v>
      </c>
      <c r="F107" s="13">
        <f>_xll.BDH("ALB US Equity","EMPLOYEE_TURNOVER_PCT","FY 2016","FY 2016","Currency=USD","Period=FY","BEST_FPERIOD_OVERRIDE=FY","FILING_STATUS=MR","Sort=A","Dates=H","DateFormat=P","Fill=—","Direction=H","UseDPDF=Y")</f>
        <v>18.399999999999999</v>
      </c>
      <c r="G107" s="13">
        <f>_xll.BDH("ALB US Equity","EMPLOYEE_TURNOVER_PCT","FY 2017","FY 2017","Currency=USD","Period=FY","BEST_FPERIOD_OVERRIDE=FY","FILING_STATUS=MR","Sort=A","Dates=H","DateFormat=P","Fill=—","Direction=H","UseDPDF=Y")</f>
        <v>9.1</v>
      </c>
      <c r="H107" s="13">
        <f>_xll.BDH("ALB US Equity","EMPLOYEE_TURNOVER_PCT","FY 2018","FY 2018","Currency=USD","Period=FY","BEST_FPERIOD_OVERRIDE=FY","FILING_STATUS=MR","Sort=A","Dates=H","DateFormat=P","Fill=—","Direction=H","UseDPDF=Y")</f>
        <v>14</v>
      </c>
      <c r="I107" s="13">
        <f>_xll.BDH("ALB US Equity","EMPLOYEE_TURNOVER_PCT","FY 2019","FY 2019","Currency=USD","Period=FY","BEST_FPERIOD_OVERRIDE=FY","FILING_STATUS=MR","Sort=A","Dates=H","DateFormat=P","Fill=—","Direction=H","UseDPDF=Y")</f>
        <v>11</v>
      </c>
      <c r="J107" s="13">
        <f>_xll.BDH("ALB US Equity","EMPLOYEE_TURNOVER_PCT","FY 2020","FY 2020","Currency=USD","Period=FY","BEST_FPERIOD_OVERRIDE=FY","FILING_STATUS=MR","Sort=A","Dates=H","DateFormat=P","Fill=—","Direction=H","UseDPDF=Y")</f>
        <v>9.9480000000000004</v>
      </c>
      <c r="K107" s="13">
        <f>_xll.BDH("ALB US Equity","EMPLOYEE_TURNOVER_PCT","FY 2021","FY 2021","Currency=USD","Period=FY","BEST_FPERIOD_OVERRIDE=FY","FILING_STATUS=MR","Sort=A","Dates=H","DateFormat=P","Fill=—","Direction=H","UseDPDF=Y")</f>
        <v>11.36</v>
      </c>
      <c r="L107" s="13">
        <f>_xll.BDH("ALB US Equity","EMPLOYEE_TURNOVER_PCT","FY 2022","FY 2022","Currency=USD","Period=FY","BEST_FPERIOD_OVERRIDE=FY","FILING_STATUS=MR","Sort=A","Dates=H","DateFormat=P","Fill=—","Direction=H","UseDPDF=Y")</f>
        <v>10</v>
      </c>
    </row>
    <row r="108" spans="1:12">
      <c r="A108" s="10" t="s">
        <v>188</v>
      </c>
      <c r="B108" s="10" t="s">
        <v>189</v>
      </c>
      <c r="C108" s="13" t="str">
        <f>_xll.BDH("ALB US Equity","PCT_EMPLOYEES_UNIONIZED","FY 2013","FY 2013","Currency=USD","Period=FY","BEST_FPERIOD_OVERRIDE=FY","FILING_STATUS=MR","Sort=A","Dates=H","DateFormat=P","Fill=—","Direction=H","UseDPDF=Y")</f>
        <v>—</v>
      </c>
      <c r="D108" s="13" t="str">
        <f>_xll.BDH("ALB US Equity","PCT_EMPLOYEES_UNIONIZED","FY 2014","FY 2014","Currency=USD","Period=FY","BEST_FPERIOD_OVERRIDE=FY","FILING_STATUS=MR","Sort=A","Dates=H","DateFormat=P","Fill=—","Direction=H","UseDPDF=Y")</f>
        <v>—</v>
      </c>
      <c r="E108" s="13" t="str">
        <f>_xll.BDH("ALB US Equity","PCT_EMPLOYEES_UNIONIZED","FY 2015","FY 2015","Currency=USD","Period=FY","BEST_FPERIOD_OVERRIDE=FY","FILING_STATUS=MR","Sort=A","Dates=H","DateFormat=P","Fill=—","Direction=H","UseDPDF=Y")</f>
        <v>—</v>
      </c>
      <c r="F108" s="13" t="str">
        <f>_xll.BDH("ALB US Equity","PCT_EMPLOYEES_UNIONIZED","FY 2016","FY 2016","Currency=USD","Period=FY","BEST_FPERIOD_OVERRIDE=FY","FILING_STATUS=MR","Sort=A","Dates=H","DateFormat=P","Fill=—","Direction=H","UseDPDF=Y")</f>
        <v>—</v>
      </c>
      <c r="G108" s="13" t="str">
        <f>_xll.BDH("ALB US Equity","PCT_EMPLOYEES_UNIONIZED","FY 2017","FY 2017","Currency=USD","Period=FY","BEST_FPERIOD_OVERRIDE=FY","FILING_STATUS=MR","Sort=A","Dates=H","DateFormat=P","Fill=—","Direction=H","UseDPDF=Y")</f>
        <v>—</v>
      </c>
      <c r="H108" s="13">
        <f>_xll.BDH("ALB US Equity","PCT_EMPLOYEES_UNIONIZED","FY 2018","FY 2018","Currency=USD","Period=FY","BEST_FPERIOD_OVERRIDE=FY","FILING_STATUS=MR","Sort=A","Dates=H","DateFormat=P","Fill=—","Direction=H","UseDPDF=Y")</f>
        <v>34</v>
      </c>
      <c r="I108" s="13">
        <f>_xll.BDH("ALB US Equity","PCT_EMPLOYEES_UNIONIZED","FY 2019","FY 2019","Currency=USD","Period=FY","BEST_FPERIOD_OVERRIDE=FY","FILING_STATUS=MR","Sort=A","Dates=H","DateFormat=P","Fill=—","Direction=H","UseDPDF=Y")</f>
        <v>33</v>
      </c>
      <c r="J108" s="13">
        <f>_xll.BDH("ALB US Equity","PCT_EMPLOYEES_UNIONIZED","FY 2020","FY 2020","Currency=USD","Period=FY","BEST_FPERIOD_OVERRIDE=FY","FILING_STATUS=MR","Sort=A","Dates=H","DateFormat=P","Fill=—","Direction=H","UseDPDF=Y")</f>
        <v>32</v>
      </c>
      <c r="K108" s="13">
        <f>_xll.BDH("ALB US Equity","PCT_EMPLOYEES_UNIONIZED","FY 2021","FY 2021","Currency=USD","Period=FY","BEST_FPERIOD_OVERRIDE=FY","FILING_STATUS=MR","Sort=A","Dates=H","DateFormat=P","Fill=—","Direction=H","UseDPDF=Y")</f>
        <v>32</v>
      </c>
      <c r="L108" s="13">
        <f>_xll.BDH("ALB US Equity","PCT_EMPLOYEES_UNIONIZED","FY 2022","FY 2022","Currency=USD","Period=FY","BEST_FPERIOD_OVERRIDE=FY","FILING_STATUS=MR","Sort=A","Dates=H","DateFormat=P","Fill=—","Direction=H","UseDPDF=Y")</f>
        <v>30</v>
      </c>
    </row>
    <row r="109" spans="1:12">
      <c r="A109" s="10" t="s">
        <v>190</v>
      </c>
      <c r="B109" s="10" t="s">
        <v>191</v>
      </c>
      <c r="C109" s="13" t="str">
        <f>_xll.BDH("ALB US Equity","TOT_HRS_SPENT_BY_FIRM_EMP_TRAIN","FY 2013","FY 2013","Currency=USD","Period=FY","BEST_FPERIOD_OVERRIDE=FY","FILING_STATUS=MR","Sort=A","Dates=H","DateFormat=P","Fill=—","Direction=H","UseDPDF=Y")</f>
        <v>—</v>
      </c>
      <c r="D109" s="13" t="str">
        <f>_xll.BDH("ALB US Equity","TOT_HRS_SPENT_BY_FIRM_EMP_TRAIN","FY 2014","FY 2014","Currency=USD","Period=FY","BEST_FPERIOD_OVERRIDE=FY","FILING_STATUS=MR","Sort=A","Dates=H","DateFormat=P","Fill=—","Direction=H","UseDPDF=Y")</f>
        <v>—</v>
      </c>
      <c r="E109" s="13" t="str">
        <f>_xll.BDH("ALB US Equity","TOT_HRS_SPENT_BY_FIRM_EMP_TRAIN","FY 2015","FY 2015","Currency=USD","Period=FY","BEST_FPERIOD_OVERRIDE=FY","FILING_STATUS=MR","Sort=A","Dates=H","DateFormat=P","Fill=—","Direction=H","UseDPDF=Y")</f>
        <v>—</v>
      </c>
      <c r="F109" s="13" t="str">
        <f>_xll.BDH("ALB US Equity","TOT_HRS_SPENT_BY_FIRM_EMP_TRAIN","FY 2016","FY 2016","Currency=USD","Period=FY","BEST_FPERIOD_OVERRIDE=FY","FILING_STATUS=MR","Sort=A","Dates=H","DateFormat=P","Fill=—","Direction=H","UseDPDF=Y")</f>
        <v>—</v>
      </c>
      <c r="G109" s="13" t="str">
        <f>_xll.BDH("ALB US Equity","TOT_HRS_SPENT_BY_FIRM_EMP_TRAIN","FY 2017","FY 2017","Currency=USD","Period=FY","BEST_FPERIOD_OVERRIDE=FY","FILING_STATUS=MR","Sort=A","Dates=H","DateFormat=P","Fill=—","Direction=H","UseDPDF=Y")</f>
        <v>—</v>
      </c>
      <c r="H109" s="13" t="str">
        <f>_xll.BDH("ALB US Equity","TOT_HRS_SPENT_BY_FIRM_EMP_TRAIN","FY 2018","FY 2018","Currency=USD","Period=FY","BEST_FPERIOD_OVERRIDE=FY","FILING_STATUS=MR","Sort=A","Dates=H","DateFormat=P","Fill=—","Direction=H","UseDPDF=Y")</f>
        <v>—</v>
      </c>
      <c r="I109" s="13" t="str">
        <f>_xll.BDH("ALB US Equity","TOT_HRS_SPENT_BY_FIRM_EMP_TRAIN","FY 2019","FY 2019","Currency=USD","Period=FY","BEST_FPERIOD_OVERRIDE=FY","FILING_STATUS=MR","Sort=A","Dates=H","DateFormat=P","Fill=—","Direction=H","UseDPDF=Y")</f>
        <v>—</v>
      </c>
      <c r="J109" s="13">
        <f>_xll.BDH("ALB US Equity","TOT_HRS_SPENT_BY_FIRM_EMP_TRAIN","FY 2020","FY 2020","Currency=USD","Period=FY","BEST_FPERIOD_OVERRIDE=FY","FILING_STATUS=MR","Sort=A","Dates=H","DateFormat=P","Fill=—","Direction=H","UseDPDF=Y")</f>
        <v>103550</v>
      </c>
      <c r="K109" s="13">
        <f>_xll.BDH("ALB US Equity","TOT_HRS_SPENT_BY_FIRM_EMP_TRAIN","FY 2021","FY 2021","Currency=USD","Period=FY","BEST_FPERIOD_OVERRIDE=FY","FILING_STATUS=MR","Sort=A","Dates=H","DateFormat=P","Fill=—","Direction=H","UseDPDF=Y")</f>
        <v>102500</v>
      </c>
      <c r="L109" s="13">
        <f>_xll.BDH("ALB US Equity","TOT_HRS_SPENT_BY_FIRM_EMP_TRAIN","FY 2022","FY 2022","Currency=USD","Period=FY","BEST_FPERIOD_OVERRIDE=FY","FILING_STATUS=MR","Sort=A","Dates=H","DateFormat=P","Fill=—","Direction=H","UseDPDF=Y")</f>
        <v>88000</v>
      </c>
    </row>
    <row r="110" spans="1:1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>
      <c r="A111" s="10" t="s">
        <v>115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>
      <c r="A112" s="10" t="s">
        <v>192</v>
      </c>
      <c r="B112" s="10" t="s">
        <v>193</v>
      </c>
      <c r="C112" s="11" t="s">
        <v>55</v>
      </c>
      <c r="D112" s="11" t="s">
        <v>55</v>
      </c>
      <c r="E112" s="11" t="s">
        <v>52</v>
      </c>
      <c r="F112" s="11" t="s">
        <v>52</v>
      </c>
      <c r="G112" s="11" t="s">
        <v>52</v>
      </c>
      <c r="H112" s="11" t="s">
        <v>52</v>
      </c>
      <c r="I112" s="11" t="s">
        <v>52</v>
      </c>
      <c r="J112" s="11" t="s">
        <v>52</v>
      </c>
      <c r="K112" s="11" t="s">
        <v>52</v>
      </c>
      <c r="L112" s="11" t="s">
        <v>52</v>
      </c>
    </row>
    <row r="113" spans="1:1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>
      <c r="A114" s="10" t="s">
        <v>194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>
      <c r="A115" s="10" t="s">
        <v>195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>
      <c r="A116" s="10" t="s">
        <v>196</v>
      </c>
      <c r="B116" s="10" t="s">
        <v>197</v>
      </c>
      <c r="C116" s="13">
        <f>_xll.BDH("ALB US Equity","YEARS_AUDITOR_EMPLOYED","FY 2013","FY 2013","Currency=USD","Period=FY","BEST_FPERIOD_OVERRIDE=FY","FILING_STATUS=MR","Sort=A","Dates=H","DateFormat=P","Fill=—","Direction=H","UseDPDF=Y")</f>
        <v>20</v>
      </c>
      <c r="D116" s="13">
        <f>_xll.BDH("ALB US Equity","YEARS_AUDITOR_EMPLOYED","FY 2014","FY 2014","Currency=USD","Period=FY","BEST_FPERIOD_OVERRIDE=FY","FILING_STATUS=MR","Sort=A","Dates=H","DateFormat=P","Fill=—","Direction=H","UseDPDF=Y")</f>
        <v>21</v>
      </c>
      <c r="E116" s="13">
        <f>_xll.BDH("ALB US Equity","YEARS_AUDITOR_EMPLOYED","FY 2015","FY 2015","Currency=USD","Period=FY","BEST_FPERIOD_OVERRIDE=FY","FILING_STATUS=MR","Sort=A","Dates=H","DateFormat=P","Fill=—","Direction=H","UseDPDF=Y")</f>
        <v>22</v>
      </c>
      <c r="F116" s="13">
        <f>_xll.BDH("ALB US Equity","YEARS_AUDITOR_EMPLOYED","FY 2016","FY 2016","Currency=USD","Period=FY","BEST_FPERIOD_OVERRIDE=FY","FILING_STATUS=MR","Sort=A","Dates=H","DateFormat=P","Fill=—","Direction=H","UseDPDF=Y")</f>
        <v>23</v>
      </c>
      <c r="G116" s="13">
        <f>_xll.BDH("ALB US Equity","YEARS_AUDITOR_EMPLOYED","FY 2017","FY 2017","Currency=USD","Period=FY","BEST_FPERIOD_OVERRIDE=FY","FILING_STATUS=MR","Sort=A","Dates=H","DateFormat=P","Fill=—","Direction=H","UseDPDF=Y")</f>
        <v>24</v>
      </c>
      <c r="H116" s="13">
        <f>_xll.BDH("ALB US Equity","YEARS_AUDITOR_EMPLOYED","FY 2018","FY 2018","Currency=USD","Period=FY","BEST_FPERIOD_OVERRIDE=FY","FILING_STATUS=MR","Sort=A","Dates=H","DateFormat=P","Fill=—","Direction=H","UseDPDF=Y")</f>
        <v>25</v>
      </c>
      <c r="I116" s="13">
        <f>_xll.BDH("ALB US Equity","YEARS_AUDITOR_EMPLOYED","FY 2019","FY 2019","Currency=USD","Period=FY","BEST_FPERIOD_OVERRIDE=FY","FILING_STATUS=MR","Sort=A","Dates=H","DateFormat=P","Fill=—","Direction=H","UseDPDF=Y")</f>
        <v>26</v>
      </c>
      <c r="J116" s="13">
        <f>_xll.BDH("ALB US Equity","YEARS_AUDITOR_EMPLOYED","FY 2020","FY 2020","Currency=USD","Period=FY","BEST_FPERIOD_OVERRIDE=FY","FILING_STATUS=MR","Sort=A","Dates=H","DateFormat=P","Fill=—","Direction=H","UseDPDF=Y")</f>
        <v>27</v>
      </c>
      <c r="K116" s="13">
        <f>_xll.BDH("ALB US Equity","YEARS_AUDITOR_EMPLOYED","FY 2021","FY 2021","Currency=USD","Period=FY","BEST_FPERIOD_OVERRIDE=FY","FILING_STATUS=MR","Sort=A","Dates=H","DateFormat=P","Fill=—","Direction=H","UseDPDF=Y")</f>
        <v>28</v>
      </c>
      <c r="L116" s="13">
        <f>_xll.BDH("ALB US Equity","YEARS_AUDITOR_EMPLOYED","FY 2022","FY 2022","Currency=USD","Period=FY","BEST_FPERIOD_OVERRIDE=FY","FILING_STATUS=MR","Sort=A","Dates=H","DateFormat=P","Fill=—","Direction=H","UseDPDF=Y")</f>
        <v>29</v>
      </c>
    </row>
    <row r="117" spans="1:12">
      <c r="A117" s="10" t="s">
        <v>198</v>
      </c>
      <c r="B117" s="10" t="s">
        <v>199</v>
      </c>
      <c r="C117" s="13">
        <f>_xll.BDH("ALB US Equity","SIZE_OF_AUDIT_COMMITTEE","FY 2013","FY 2013","Currency=USD","Period=FY","BEST_FPERIOD_OVERRIDE=FY","FILING_STATUS=MR","Sort=A","Dates=H","DateFormat=P","Fill=—","Direction=H","UseDPDF=Y")</f>
        <v>4</v>
      </c>
      <c r="D117" s="13">
        <f>_xll.BDH("ALB US Equity","SIZE_OF_AUDIT_COMMITTEE","FY 2014","FY 2014","Currency=USD","Period=FY","BEST_FPERIOD_OVERRIDE=FY","FILING_STATUS=MR","Sort=A","Dates=H","DateFormat=P","Fill=—","Direction=H","UseDPDF=Y")</f>
        <v>2</v>
      </c>
      <c r="E117" s="13">
        <f>_xll.BDH("ALB US Equity","SIZE_OF_AUDIT_COMMITTEE","FY 2015","FY 2015","Currency=USD","Period=FY","BEST_FPERIOD_OVERRIDE=FY","FILING_STATUS=MR","Sort=A","Dates=H","DateFormat=P","Fill=—","Direction=H","UseDPDF=Y")</f>
        <v>3</v>
      </c>
      <c r="F117" s="13">
        <f>_xll.BDH("ALB US Equity","SIZE_OF_AUDIT_COMMITTEE","FY 2016","FY 2016","Currency=USD","Period=FY","BEST_FPERIOD_OVERRIDE=FY","FILING_STATUS=MR","Sort=A","Dates=H","DateFormat=P","Fill=—","Direction=H","UseDPDF=Y")</f>
        <v>3</v>
      </c>
      <c r="G117" s="13">
        <f>_xll.BDH("ALB US Equity","SIZE_OF_AUDIT_COMMITTEE","FY 2017","FY 2017","Currency=USD","Period=FY","BEST_FPERIOD_OVERRIDE=FY","FILING_STATUS=MR","Sort=A","Dates=H","DateFormat=P","Fill=—","Direction=H","UseDPDF=Y")</f>
        <v>5</v>
      </c>
      <c r="H117" s="13">
        <f>_xll.BDH("ALB US Equity","SIZE_OF_AUDIT_COMMITTEE","FY 2018","FY 2018","Currency=USD","Period=FY","BEST_FPERIOD_OVERRIDE=FY","FILING_STATUS=MR","Sort=A","Dates=H","DateFormat=P","Fill=—","Direction=H","UseDPDF=Y")</f>
        <v>5</v>
      </c>
      <c r="I117" s="13">
        <f>_xll.BDH("ALB US Equity","SIZE_OF_AUDIT_COMMITTEE","FY 2019","FY 2019","Currency=USD","Period=FY","BEST_FPERIOD_OVERRIDE=FY","FILING_STATUS=MR","Sort=A","Dates=H","DateFormat=P","Fill=—","Direction=H","UseDPDF=Y")</f>
        <v>6</v>
      </c>
      <c r="J117" s="13">
        <f>_xll.BDH("ALB US Equity","SIZE_OF_AUDIT_COMMITTEE","FY 2020","FY 2020","Currency=USD","Period=FY","BEST_FPERIOD_OVERRIDE=FY","FILING_STATUS=MR","Sort=A","Dates=H","DateFormat=P","Fill=—","Direction=H","UseDPDF=Y")</f>
        <v>4</v>
      </c>
      <c r="K117" s="13">
        <f>_xll.BDH("ALB US Equity","SIZE_OF_AUDIT_COMMITTEE","FY 2021","FY 2021","Currency=USD","Period=FY","BEST_FPERIOD_OVERRIDE=FY","FILING_STATUS=MR","Sort=A","Dates=H","DateFormat=P","Fill=—","Direction=H","UseDPDF=Y")</f>
        <v>4</v>
      </c>
      <c r="L117" s="13">
        <f>_xll.BDH("ALB US Equity","SIZE_OF_AUDIT_COMMITTEE","FY 2022","FY 2022","Currency=USD","Period=FY","BEST_FPERIOD_OVERRIDE=FY","FILING_STATUS=MR","Sort=A","Dates=H","DateFormat=P","Fill=—","Direction=H","UseDPDF=Y")</f>
        <v>5</v>
      </c>
    </row>
    <row r="118" spans="1:12">
      <c r="A118" s="10" t="s">
        <v>200</v>
      </c>
      <c r="B118" s="10" t="s">
        <v>201</v>
      </c>
      <c r="C118" s="13">
        <f>_xll.BDH("ALB US Equity","NUM_IND_DIR_ON_AUD_CMTE","FY 2013","FY 2013","Currency=USD","Period=FY","BEST_FPERIOD_OVERRIDE=FY","FILING_STATUS=MR","Sort=A","Dates=H","DateFormat=P","Fill=—","Direction=H","UseDPDF=Y")</f>
        <v>4</v>
      </c>
      <c r="D118" s="13">
        <f>_xll.BDH("ALB US Equity","NUM_IND_DIR_ON_AUD_CMTE","FY 2014","FY 2014","Currency=USD","Period=FY","BEST_FPERIOD_OVERRIDE=FY","FILING_STATUS=MR","Sort=A","Dates=H","DateFormat=P","Fill=—","Direction=H","UseDPDF=Y")</f>
        <v>2</v>
      </c>
      <c r="E118" s="13">
        <f>_xll.BDH("ALB US Equity","NUM_IND_DIR_ON_AUD_CMTE","FY 2015","FY 2015","Currency=USD","Period=FY","BEST_FPERIOD_OVERRIDE=FY","FILING_STATUS=MR","Sort=A","Dates=H","DateFormat=P","Fill=—","Direction=H","UseDPDF=Y")</f>
        <v>3</v>
      </c>
      <c r="F118" s="13">
        <f>_xll.BDH("ALB US Equity","NUM_IND_DIR_ON_AUD_CMTE","FY 2016","FY 2016","Currency=USD","Period=FY","BEST_FPERIOD_OVERRIDE=FY","FILING_STATUS=MR","Sort=A","Dates=H","DateFormat=P","Fill=—","Direction=H","UseDPDF=Y")</f>
        <v>3</v>
      </c>
      <c r="G118" s="13">
        <f>_xll.BDH("ALB US Equity","NUM_IND_DIR_ON_AUD_CMTE","FY 2017","FY 2017","Currency=USD","Period=FY","BEST_FPERIOD_OVERRIDE=FY","FILING_STATUS=MR","Sort=A","Dates=H","DateFormat=P","Fill=—","Direction=H","UseDPDF=Y")</f>
        <v>5</v>
      </c>
      <c r="H118" s="13">
        <f>_xll.BDH("ALB US Equity","NUM_IND_DIR_ON_AUD_CMTE","FY 2018","FY 2018","Currency=USD","Period=FY","BEST_FPERIOD_OVERRIDE=FY","FILING_STATUS=MR","Sort=A","Dates=H","DateFormat=P","Fill=—","Direction=H","UseDPDF=Y")</f>
        <v>5</v>
      </c>
      <c r="I118" s="13">
        <f>_xll.BDH("ALB US Equity","NUM_IND_DIR_ON_AUD_CMTE","FY 2019","FY 2019","Currency=USD","Period=FY","BEST_FPERIOD_OVERRIDE=FY","FILING_STATUS=MR","Sort=A","Dates=H","DateFormat=P","Fill=—","Direction=H","UseDPDF=Y")</f>
        <v>6</v>
      </c>
      <c r="J118" s="13">
        <f>_xll.BDH("ALB US Equity","NUM_IND_DIR_ON_AUD_CMTE","FY 2020","FY 2020","Currency=USD","Period=FY","BEST_FPERIOD_OVERRIDE=FY","FILING_STATUS=MR","Sort=A","Dates=H","DateFormat=P","Fill=—","Direction=H","UseDPDF=Y")</f>
        <v>4</v>
      </c>
      <c r="K118" s="13">
        <f>_xll.BDH("ALB US Equity","NUM_IND_DIR_ON_AUD_CMTE","FY 2021","FY 2021","Currency=USD","Period=FY","BEST_FPERIOD_OVERRIDE=FY","FILING_STATUS=MR","Sort=A","Dates=H","DateFormat=P","Fill=—","Direction=H","UseDPDF=Y")</f>
        <v>4</v>
      </c>
      <c r="L118" s="13">
        <f>_xll.BDH("ALB US Equity","NUM_IND_DIR_ON_AUD_CMTE","FY 2022","FY 2022","Currency=USD","Period=FY","BEST_FPERIOD_OVERRIDE=FY","FILING_STATUS=MR","Sort=A","Dates=H","DateFormat=P","Fill=—","Direction=H","UseDPDF=Y")</f>
        <v>5</v>
      </c>
    </row>
    <row r="119" spans="1:12">
      <c r="A119" s="10" t="s">
        <v>202</v>
      </c>
      <c r="B119" s="10" t="s">
        <v>203</v>
      </c>
      <c r="C119" s="13">
        <f>_xll.BDH("ALB US Equity","AUDIT_COMMITTEE_MEETINGS","FY 2013","FY 2013","Currency=USD","Period=FY","BEST_FPERIOD_OVERRIDE=FY","FILING_STATUS=MR","Sort=A","Dates=H","DateFormat=P","Fill=—","Direction=H","UseDPDF=Y")</f>
        <v>8</v>
      </c>
      <c r="D119" s="13">
        <f>_xll.BDH("ALB US Equity","AUDIT_COMMITTEE_MEETINGS","FY 2014","FY 2014","Currency=USD","Period=FY","BEST_FPERIOD_OVERRIDE=FY","FILING_STATUS=MR","Sort=A","Dates=H","DateFormat=P","Fill=—","Direction=H","UseDPDF=Y")</f>
        <v>8</v>
      </c>
      <c r="E119" s="13">
        <f>_xll.BDH("ALB US Equity","AUDIT_COMMITTEE_MEETINGS","FY 2015","FY 2015","Currency=USD","Period=FY","BEST_FPERIOD_OVERRIDE=FY","FILING_STATUS=MR","Sort=A","Dates=H","DateFormat=P","Fill=—","Direction=H","UseDPDF=Y")</f>
        <v>8</v>
      </c>
      <c r="F119" s="13">
        <f>_xll.BDH("ALB US Equity","AUDIT_COMMITTEE_MEETINGS","FY 2016","FY 2016","Currency=USD","Period=FY","BEST_FPERIOD_OVERRIDE=FY","FILING_STATUS=MR","Sort=A","Dates=H","DateFormat=P","Fill=—","Direction=H","UseDPDF=Y")</f>
        <v>6</v>
      </c>
      <c r="G119" s="13">
        <f>_xll.BDH("ALB US Equity","AUDIT_COMMITTEE_MEETINGS","FY 2017","FY 2017","Currency=USD","Period=FY","BEST_FPERIOD_OVERRIDE=FY","FILING_STATUS=MR","Sort=A","Dates=H","DateFormat=P","Fill=—","Direction=H","UseDPDF=Y")</f>
        <v>6</v>
      </c>
      <c r="H119" s="13">
        <f>_xll.BDH("ALB US Equity","AUDIT_COMMITTEE_MEETINGS","FY 2018","FY 2018","Currency=USD","Period=FY","BEST_FPERIOD_OVERRIDE=FY","FILING_STATUS=MR","Sort=A","Dates=H","DateFormat=P","Fill=—","Direction=H","UseDPDF=Y")</f>
        <v>6</v>
      </c>
      <c r="I119" s="13">
        <f>_xll.BDH("ALB US Equity","AUDIT_COMMITTEE_MEETINGS","FY 2019","FY 2019","Currency=USD","Period=FY","BEST_FPERIOD_OVERRIDE=FY","FILING_STATUS=MR","Sort=A","Dates=H","DateFormat=P","Fill=—","Direction=H","UseDPDF=Y")</f>
        <v>7</v>
      </c>
      <c r="J119" s="13">
        <f>_xll.BDH("ALB US Equity","AUDIT_COMMITTEE_MEETINGS","FY 2020","FY 2020","Currency=USD","Period=FY","BEST_FPERIOD_OVERRIDE=FY","FILING_STATUS=MR","Sort=A","Dates=H","DateFormat=P","Fill=—","Direction=H","UseDPDF=Y")</f>
        <v>6</v>
      </c>
      <c r="K119" s="13">
        <f>_xll.BDH("ALB US Equity","AUDIT_COMMITTEE_MEETINGS","FY 2021","FY 2021","Currency=USD","Period=FY","BEST_FPERIOD_OVERRIDE=FY","FILING_STATUS=MR","Sort=A","Dates=H","DateFormat=P","Fill=—","Direction=H","UseDPDF=Y")</f>
        <v>6</v>
      </c>
      <c r="L119" s="13">
        <f>_xll.BDH("ALB US Equity","AUDIT_COMMITTEE_MEETINGS","FY 2022","FY 2022","Currency=USD","Period=FY","BEST_FPERIOD_OVERRIDE=FY","FILING_STATUS=MR","Sort=A","Dates=H","DateFormat=P","Fill=—","Direction=H","UseDPDF=Y")</f>
        <v>7</v>
      </c>
    </row>
    <row r="120" spans="1:12">
      <c r="A120" s="10" t="s">
        <v>204</v>
      </c>
      <c r="B120" s="10" t="s">
        <v>205</v>
      </c>
      <c r="C120" s="13">
        <f>_xll.BDH("ALB US Equity","AUDIT_COMMITTEE_MTG_ATTEND_PCT","FY 2013","FY 2013","Currency=USD","Period=FY","BEST_FPERIOD_OVERRIDE=FY","FILING_STATUS=MR","Sort=A","Dates=H","DateFormat=P","Fill=—","Direction=H","UseDPDF=Y")</f>
        <v>75</v>
      </c>
      <c r="D120" s="13">
        <f>_xll.BDH("ALB US Equity","AUDIT_COMMITTEE_MTG_ATTEND_PCT","FY 2014","FY 2014","Currency=USD","Period=FY","BEST_FPERIOD_OVERRIDE=FY","FILING_STATUS=MR","Sort=A","Dates=H","DateFormat=P","Fill=—","Direction=H","UseDPDF=Y")</f>
        <v>75</v>
      </c>
      <c r="E120" s="13">
        <f>_xll.BDH("ALB US Equity","AUDIT_COMMITTEE_MTG_ATTEND_PCT","FY 2015","FY 2015","Currency=USD","Period=FY","BEST_FPERIOD_OVERRIDE=FY","FILING_STATUS=MR","Sort=A","Dates=H","DateFormat=P","Fill=—","Direction=H","UseDPDF=Y")</f>
        <v>75</v>
      </c>
      <c r="F120" s="13">
        <f>_xll.BDH("ALB US Equity","AUDIT_COMMITTEE_MTG_ATTEND_PCT","FY 2016","FY 2016","Currency=USD","Period=FY","BEST_FPERIOD_OVERRIDE=FY","FILING_STATUS=MR","Sort=A","Dates=H","DateFormat=P","Fill=—","Direction=H","UseDPDF=Y")</f>
        <v>75</v>
      </c>
      <c r="G120" s="13">
        <f>_xll.BDH("ALB US Equity","AUDIT_COMMITTEE_MTG_ATTEND_PCT","FY 2017","FY 2017","Currency=USD","Period=FY","BEST_FPERIOD_OVERRIDE=FY","FILING_STATUS=MR","Sort=A","Dates=H","DateFormat=P","Fill=—","Direction=H","UseDPDF=Y")</f>
        <v>75</v>
      </c>
      <c r="H120" s="13">
        <f>_xll.BDH("ALB US Equity","AUDIT_COMMITTEE_MTG_ATTEND_PCT","FY 2018","FY 2018","Currency=USD","Period=FY","BEST_FPERIOD_OVERRIDE=FY","FILING_STATUS=MR","Sort=A","Dates=H","DateFormat=P","Fill=—","Direction=H","UseDPDF=Y")</f>
        <v>75</v>
      </c>
      <c r="I120" s="13">
        <f>_xll.BDH("ALB US Equity","AUDIT_COMMITTEE_MTG_ATTEND_PCT","FY 2019","FY 2019","Currency=USD","Period=FY","BEST_FPERIOD_OVERRIDE=FY","FILING_STATUS=MR","Sort=A","Dates=H","DateFormat=P","Fill=—","Direction=H","UseDPDF=Y")</f>
        <v>75</v>
      </c>
      <c r="J120" s="13">
        <f>_xll.BDH("ALB US Equity","AUDIT_COMMITTEE_MTG_ATTEND_PCT","FY 2020","FY 2020","Currency=USD","Period=FY","BEST_FPERIOD_OVERRIDE=FY","FILING_STATUS=MR","Sort=A","Dates=H","DateFormat=P","Fill=—","Direction=H","UseDPDF=Y")</f>
        <v>75</v>
      </c>
      <c r="K120" s="13">
        <f>_xll.BDH("ALB US Equity","AUDIT_COMMITTEE_MTG_ATTEND_PCT","FY 2021","FY 2021","Currency=USD","Period=FY","BEST_FPERIOD_OVERRIDE=FY","FILING_STATUS=MR","Sort=A","Dates=H","DateFormat=P","Fill=—","Direction=H","UseDPDF=Y")</f>
        <v>75</v>
      </c>
      <c r="L120" s="13">
        <f>_xll.BDH("ALB US Equity","AUDIT_COMMITTEE_MTG_ATTEND_PCT","FY 2022","FY 2022","Currency=USD","Period=FY","BEST_FPERIOD_OVERRIDE=FY","FILING_STATUS=MR","Sort=A","Dates=H","DateFormat=P","Fill=—","Direction=H","UseDPDF=Y")</f>
        <v>75</v>
      </c>
    </row>
    <row r="121" spans="1:1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>
      <c r="A122" s="10" t="s">
        <v>206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>
      <c r="A123" s="10" t="s">
        <v>207</v>
      </c>
      <c r="B123" s="10" t="s">
        <v>208</v>
      </c>
      <c r="C123" s="11" t="s">
        <v>137</v>
      </c>
      <c r="D123" s="11" t="s">
        <v>137</v>
      </c>
      <c r="E123" s="11" t="s">
        <v>52</v>
      </c>
      <c r="F123" s="11" t="s">
        <v>52</v>
      </c>
      <c r="G123" s="11" t="s">
        <v>52</v>
      </c>
      <c r="H123" s="11" t="s">
        <v>52</v>
      </c>
      <c r="I123" s="11" t="s">
        <v>52</v>
      </c>
      <c r="J123" s="11" t="s">
        <v>52</v>
      </c>
      <c r="K123" s="11" t="s">
        <v>52</v>
      </c>
      <c r="L123" s="11" t="s">
        <v>52</v>
      </c>
    </row>
    <row r="124" spans="1:12">
      <c r="A124" s="10" t="s">
        <v>209</v>
      </c>
      <c r="B124" s="10" t="s">
        <v>210</v>
      </c>
      <c r="C124" s="13">
        <f>_xll.BDH("ALB US Equity","BOARD_SIZE","FY 2013","FY 2013","Currency=USD","Period=FY","BEST_FPERIOD_OVERRIDE=FY","FILING_STATUS=MR","Sort=A","Dates=H","DateFormat=P","Fill=—","Direction=H","UseDPDF=Y")</f>
        <v>10</v>
      </c>
      <c r="D124" s="13">
        <f>_xll.BDH("ALB US Equity","BOARD_SIZE","FY 2014","FY 2014","Currency=USD","Period=FY","BEST_FPERIOD_OVERRIDE=FY","FILING_STATUS=MR","Sort=A","Dates=H","DateFormat=P","Fill=—","Direction=H","UseDPDF=Y")</f>
        <v>10</v>
      </c>
      <c r="E124" s="13">
        <f>_xll.BDH("ALB US Equity","BOARD_SIZE","FY 2015","FY 2015","Currency=USD","Period=FY","BEST_FPERIOD_OVERRIDE=FY","FILING_STATUS=MR","Sort=A","Dates=H","DateFormat=P","Fill=—","Direction=H","UseDPDF=Y")</f>
        <v>11</v>
      </c>
      <c r="F124" s="13">
        <f>_xll.BDH("ALB US Equity","BOARD_SIZE","FY 2016","FY 2016","Currency=USD","Period=FY","BEST_FPERIOD_OVERRIDE=FY","FILING_STATUS=MR","Sort=A","Dates=H","DateFormat=P","Fill=—","Direction=H","UseDPDF=Y")</f>
        <v>11</v>
      </c>
      <c r="G124" s="13">
        <f>_xll.BDH("ALB US Equity","BOARD_SIZE","FY 2017","FY 2017","Currency=USD","Period=FY","BEST_FPERIOD_OVERRIDE=FY","FILING_STATUS=MR","Sort=A","Dates=H","DateFormat=P","Fill=—","Direction=H","UseDPDF=Y")</f>
        <v>11</v>
      </c>
      <c r="H124" s="13">
        <f>_xll.BDH("ALB US Equity","BOARD_SIZE","FY 2018","FY 2018","Currency=USD","Period=FY","BEST_FPERIOD_OVERRIDE=FY","FILING_STATUS=MR","Sort=A","Dates=H","DateFormat=P","Fill=—","Direction=H","UseDPDF=Y")</f>
        <v>11</v>
      </c>
      <c r="I124" s="13">
        <f>_xll.BDH("ALB US Equity","BOARD_SIZE","FY 2019","FY 2019","Currency=USD","Period=FY","BEST_FPERIOD_OVERRIDE=FY","FILING_STATUS=MR","Sort=A","Dates=H","DateFormat=P","Fill=—","Direction=H","UseDPDF=Y")</f>
        <v>13</v>
      </c>
      <c r="J124" s="13">
        <f>_xll.BDH("ALB US Equity","BOARD_SIZE","FY 2020","FY 2020","Currency=USD","Period=FY","BEST_FPERIOD_OVERRIDE=FY","FILING_STATUS=MR","Sort=A","Dates=H","DateFormat=P","Fill=—","Direction=H","UseDPDF=Y")</f>
        <v>10</v>
      </c>
      <c r="K124" s="13">
        <f>_xll.BDH("ALB US Equity","BOARD_SIZE","FY 2021","FY 2021","Currency=USD","Period=FY","BEST_FPERIOD_OVERRIDE=FY","FILING_STATUS=MR","Sort=A","Dates=H","DateFormat=P","Fill=—","Direction=H","UseDPDF=Y")</f>
        <v>9</v>
      </c>
      <c r="L124" s="13">
        <f>_xll.BDH("ALB US Equity","BOARD_SIZE","FY 2022","FY 2022","Currency=USD","Period=FY","BEST_FPERIOD_OVERRIDE=FY","FILING_STATUS=MR","Sort=A","Dates=H","DateFormat=P","Fill=—","Direction=H","UseDPDF=Y")</f>
        <v>10</v>
      </c>
    </row>
    <row r="125" spans="1:12">
      <c r="A125" s="10" t="s">
        <v>211</v>
      </c>
      <c r="B125" s="10" t="s">
        <v>212</v>
      </c>
      <c r="C125" s="13">
        <f>_xll.BDH("ALB US Equity","NUM_EXECUTIVES_COMP_MANAGERS","FY 2013","FY 2013","Currency=USD","Period=FY","BEST_FPERIOD_OVERRIDE=FY","FILING_STATUS=MR","Sort=A","Dates=H","DateFormat=P","Fill=—","Direction=H","UseDPDF=Y")</f>
        <v>8</v>
      </c>
      <c r="D125" s="13">
        <f>_xll.BDH("ALB US Equity","NUM_EXECUTIVES_COMP_MANAGERS","FY 2014","FY 2014","Currency=USD","Period=FY","BEST_FPERIOD_OVERRIDE=FY","FILING_STATUS=MR","Sort=A","Dates=H","DateFormat=P","Fill=—","Direction=H","UseDPDF=Y")</f>
        <v>8</v>
      </c>
      <c r="E125" s="13">
        <f>_xll.BDH("ALB US Equity","NUM_EXECUTIVES_COMP_MANAGERS","FY 2015","FY 2015","Currency=USD","Period=FY","BEST_FPERIOD_OVERRIDE=FY","FILING_STATUS=MR","Sort=A","Dates=H","DateFormat=P","Fill=—","Direction=H","UseDPDF=Y")</f>
        <v>6</v>
      </c>
      <c r="F125" s="13">
        <f>_xll.BDH("ALB US Equity","NUM_EXECUTIVES_COMP_MANAGERS","FY 2016","FY 2016","Currency=USD","Period=FY","BEST_FPERIOD_OVERRIDE=FY","FILING_STATUS=MR","Sort=A","Dates=H","DateFormat=P","Fill=—","Direction=H","UseDPDF=Y")</f>
        <v>5</v>
      </c>
      <c r="G125" s="13">
        <f>_xll.BDH("ALB US Equity","NUM_EXECUTIVES_COMP_MANAGERS","FY 2017","FY 2017","Currency=USD","Period=FY","BEST_FPERIOD_OVERRIDE=FY","FILING_STATUS=MR","Sort=A","Dates=H","DateFormat=P","Fill=—","Direction=H","UseDPDF=Y")</f>
        <v>5</v>
      </c>
      <c r="H125" s="13">
        <f>_xll.BDH("ALB US Equity","NUM_EXECUTIVES_COMP_MANAGERS","FY 2018","FY 2018","Currency=USD","Period=FY","BEST_FPERIOD_OVERRIDE=FY","FILING_STATUS=MR","Sort=A","Dates=H","DateFormat=P","Fill=—","Direction=H","UseDPDF=Y")</f>
        <v>4</v>
      </c>
      <c r="I125" s="13">
        <f>_xll.BDH("ALB US Equity","NUM_EXECUTIVES_COMP_MANAGERS","FY 2019","FY 2019","Currency=USD","Period=FY","BEST_FPERIOD_OVERRIDE=FY","FILING_STATUS=MR","Sort=A","Dates=H","DateFormat=P","Fill=—","Direction=H","UseDPDF=Y")</f>
        <v>9</v>
      </c>
      <c r="J125" s="13">
        <f>_xll.BDH("ALB US Equity","NUM_EXECUTIVES_COMP_MANAGERS","FY 2020","FY 2020","Currency=USD","Period=FY","BEST_FPERIOD_OVERRIDE=FY","FILING_STATUS=MR","Sort=A","Dates=H","DateFormat=P","Fill=—","Direction=H","UseDPDF=Y")</f>
        <v>7</v>
      </c>
      <c r="K125" s="13">
        <f>_xll.BDH("ALB US Equity","NUM_EXECUTIVES_COMP_MANAGERS","FY 2021","FY 2021","Currency=USD","Period=FY","BEST_FPERIOD_OVERRIDE=FY","FILING_STATUS=MR","Sort=A","Dates=H","DateFormat=P","Fill=—","Direction=H","UseDPDF=Y")</f>
        <v>5</v>
      </c>
      <c r="L125" s="13">
        <f>_xll.BDH("ALB US Equity","NUM_EXECUTIVES_COMP_MANAGERS","FY 2022","FY 2022","Currency=USD","Period=FY","BEST_FPERIOD_OVERRIDE=FY","FILING_STATUS=MR","Sort=A","Dates=H","DateFormat=P","Fill=—","Direction=H","UseDPDF=Y")</f>
        <v>9</v>
      </c>
    </row>
    <row r="126" spans="1:12">
      <c r="A126" s="10" t="s">
        <v>213</v>
      </c>
      <c r="B126" s="10" t="s">
        <v>214</v>
      </c>
      <c r="C126" s="13">
        <f>_xll.BDH("ALB US Equity","NUM_OF_NONEXEC_DIR_ON_BRD","FY 2013","FY 2013","Currency=USD","Period=FY","BEST_FPERIOD_OVERRIDE=FY","FILING_STATUS=MR","Sort=A","Dates=H","DateFormat=P","Fill=—","Direction=H","UseDPDF=Y")</f>
        <v>9</v>
      </c>
      <c r="D126" s="13">
        <f>_xll.BDH("ALB US Equity","NUM_OF_NONEXEC_DIR_ON_BRD","FY 2014","FY 2014","Currency=USD","Period=FY","BEST_FPERIOD_OVERRIDE=FY","FILING_STATUS=MR","Sort=A","Dates=H","DateFormat=P","Fill=—","Direction=H","UseDPDF=Y")</f>
        <v>9</v>
      </c>
      <c r="E126" s="13">
        <f>_xll.BDH("ALB US Equity","NUM_OF_NONEXEC_DIR_ON_BRD","FY 2015","FY 2015","Currency=USD","Period=FY","BEST_FPERIOD_OVERRIDE=FY","FILING_STATUS=MR","Sort=A","Dates=H","DateFormat=P","Fill=—","Direction=H","UseDPDF=Y")</f>
        <v>10</v>
      </c>
      <c r="F126" s="13">
        <f>_xll.BDH("ALB US Equity","NUM_OF_NONEXEC_DIR_ON_BRD","FY 2016","FY 2016","Currency=USD","Period=FY","BEST_FPERIOD_OVERRIDE=FY","FILING_STATUS=MR","Sort=A","Dates=H","DateFormat=P","Fill=—","Direction=H","UseDPDF=Y")</f>
        <v>10</v>
      </c>
      <c r="G126" s="13">
        <f>_xll.BDH("ALB US Equity","NUM_OF_NONEXEC_DIR_ON_BRD","FY 2017","FY 2017","Currency=USD","Period=FY","BEST_FPERIOD_OVERRIDE=FY","FILING_STATUS=MR","Sort=A","Dates=H","DateFormat=P","Fill=—","Direction=H","UseDPDF=Y")</f>
        <v>10</v>
      </c>
      <c r="H126" s="13">
        <f>_xll.BDH("ALB US Equity","NUM_OF_NONEXEC_DIR_ON_BRD","FY 2018","FY 2018","Currency=USD","Period=FY","BEST_FPERIOD_OVERRIDE=FY","FILING_STATUS=MR","Sort=A","Dates=H","DateFormat=P","Fill=—","Direction=H","UseDPDF=Y")</f>
        <v>10</v>
      </c>
      <c r="I126" s="13">
        <f>_xll.BDH("ALB US Equity","NUM_OF_NONEXEC_DIR_ON_BRD","FY 2019","FY 2019","Currency=USD","Period=FY","BEST_FPERIOD_OVERRIDE=FY","FILING_STATUS=MR","Sort=A","Dates=H","DateFormat=P","Fill=—","Direction=H","UseDPDF=Y")</f>
        <v>12</v>
      </c>
      <c r="J126" s="13">
        <f>_xll.BDH("ALB US Equity","NUM_OF_NONEXEC_DIR_ON_BRD","FY 2020","FY 2020","Currency=USD","Period=FY","BEST_FPERIOD_OVERRIDE=FY","FILING_STATUS=MR","Sort=A","Dates=H","DateFormat=P","Fill=—","Direction=H","UseDPDF=Y")</f>
        <v>9</v>
      </c>
      <c r="K126" s="13">
        <f>_xll.BDH("ALB US Equity","NUM_OF_NONEXEC_DIR_ON_BRD","FY 2021","FY 2021","Currency=USD","Period=FY","BEST_FPERIOD_OVERRIDE=FY","FILING_STATUS=MR","Sort=A","Dates=H","DateFormat=P","Fill=—","Direction=H","UseDPDF=Y")</f>
        <v>8</v>
      </c>
      <c r="L126" s="13">
        <f>_xll.BDH("ALB US Equity","NUM_OF_NONEXEC_DIR_ON_BRD","FY 2022","FY 2022","Currency=USD","Period=FY","BEST_FPERIOD_OVERRIDE=FY","FILING_STATUS=MR","Sort=A","Dates=H","DateFormat=P","Fill=—","Direction=H","UseDPDF=Y")</f>
        <v>9</v>
      </c>
    </row>
    <row r="127" spans="1:12">
      <c r="A127" s="10" t="s">
        <v>215</v>
      </c>
      <c r="B127" s="10" t="s">
        <v>216</v>
      </c>
      <c r="C127" s="13">
        <f>_xll.BDH("ALB US Equity","BOARD_MEETINGS_PER_YR","FY 2013","FY 2013","Currency=USD","Period=FY","BEST_FPERIOD_OVERRIDE=FY","FILING_STATUS=MR","Sort=A","Dates=H","DateFormat=P","Fill=—","Direction=H","UseDPDF=Y")</f>
        <v>7</v>
      </c>
      <c r="D127" s="13">
        <f>_xll.BDH("ALB US Equity","BOARD_MEETINGS_PER_YR","FY 2014","FY 2014","Currency=USD","Period=FY","BEST_FPERIOD_OVERRIDE=FY","FILING_STATUS=MR","Sort=A","Dates=H","DateFormat=P","Fill=—","Direction=H","UseDPDF=Y")</f>
        <v>8</v>
      </c>
      <c r="E127" s="13">
        <f>_xll.BDH("ALB US Equity","BOARD_MEETINGS_PER_YR","FY 2015","FY 2015","Currency=USD","Period=FY","BEST_FPERIOD_OVERRIDE=FY","FILING_STATUS=MR","Sort=A","Dates=H","DateFormat=P","Fill=—","Direction=H","UseDPDF=Y")</f>
        <v>5</v>
      </c>
      <c r="F127" s="13">
        <f>_xll.BDH("ALB US Equity","BOARD_MEETINGS_PER_YR","FY 2016","FY 2016","Currency=USD","Period=FY","BEST_FPERIOD_OVERRIDE=FY","FILING_STATUS=MR","Sort=A","Dates=H","DateFormat=P","Fill=—","Direction=H","UseDPDF=Y")</f>
        <v>7</v>
      </c>
      <c r="G127" s="13">
        <f>_xll.BDH("ALB US Equity","BOARD_MEETINGS_PER_YR","FY 2017","FY 2017","Currency=USD","Period=FY","BEST_FPERIOD_OVERRIDE=FY","FILING_STATUS=MR","Sort=A","Dates=H","DateFormat=P","Fill=—","Direction=H","UseDPDF=Y")</f>
        <v>6</v>
      </c>
      <c r="H127" s="13">
        <f>_xll.BDH("ALB US Equity","BOARD_MEETINGS_PER_YR","FY 2018","FY 2018","Currency=USD","Period=FY","BEST_FPERIOD_OVERRIDE=FY","FILING_STATUS=MR","Sort=A","Dates=H","DateFormat=P","Fill=—","Direction=H","UseDPDF=Y")</f>
        <v>7</v>
      </c>
      <c r="I127" s="13">
        <f>_xll.BDH("ALB US Equity","BOARD_MEETINGS_PER_YR","FY 2019","FY 2019","Currency=USD","Period=FY","BEST_FPERIOD_OVERRIDE=FY","FILING_STATUS=MR","Sort=A","Dates=H","DateFormat=P","Fill=—","Direction=H","UseDPDF=Y")</f>
        <v>6</v>
      </c>
      <c r="J127" s="13">
        <f>_xll.BDH("ALB US Equity","BOARD_MEETINGS_PER_YR","FY 2020","FY 2020","Currency=USD","Period=FY","BEST_FPERIOD_OVERRIDE=FY","FILING_STATUS=MR","Sort=A","Dates=H","DateFormat=P","Fill=—","Direction=H","UseDPDF=Y")</f>
        <v>8</v>
      </c>
      <c r="K127" s="13">
        <f>_xll.BDH("ALB US Equity","BOARD_MEETINGS_PER_YR","FY 2021","FY 2021","Currency=USD","Period=FY","BEST_FPERIOD_OVERRIDE=FY","FILING_STATUS=MR","Sort=A","Dates=H","DateFormat=P","Fill=—","Direction=H","UseDPDF=Y")</f>
        <v>12</v>
      </c>
      <c r="L127" s="13">
        <f>_xll.BDH("ALB US Equity","BOARD_MEETINGS_PER_YR","FY 2022","FY 2022","Currency=USD","Period=FY","BEST_FPERIOD_OVERRIDE=FY","FILING_STATUS=MR","Sort=A","Dates=H","DateFormat=P","Fill=—","Direction=H","UseDPDF=Y")</f>
        <v>9</v>
      </c>
    </row>
    <row r="128" spans="1:12">
      <c r="A128" s="10" t="s">
        <v>217</v>
      </c>
      <c r="B128" s="10" t="s">
        <v>218</v>
      </c>
      <c r="C128" s="13">
        <f>_xll.BDH("ALB US Equity","BOARD_MEETING_ATTENDANCE_PCT","FY 2013","FY 2013","Currency=USD","Period=FY","BEST_FPERIOD_OVERRIDE=FY","FILING_STATUS=MR","Sort=A","Dates=H","DateFormat=P","Fill=—","Direction=H","UseDPDF=Y")</f>
        <v>75</v>
      </c>
      <c r="D128" s="13">
        <f>_xll.BDH("ALB US Equity","BOARD_MEETING_ATTENDANCE_PCT","FY 2014","FY 2014","Currency=USD","Period=FY","BEST_FPERIOD_OVERRIDE=FY","FILING_STATUS=MR","Sort=A","Dates=H","DateFormat=P","Fill=—","Direction=H","UseDPDF=Y")</f>
        <v>75</v>
      </c>
      <c r="E128" s="13">
        <f>_xll.BDH("ALB US Equity","BOARD_MEETING_ATTENDANCE_PCT","FY 2015","FY 2015","Currency=USD","Period=FY","BEST_FPERIOD_OVERRIDE=FY","FILING_STATUS=MR","Sort=A","Dates=H","DateFormat=P","Fill=—","Direction=H","UseDPDF=Y")</f>
        <v>75</v>
      </c>
      <c r="F128" s="13">
        <f>_xll.BDH("ALB US Equity","BOARD_MEETING_ATTENDANCE_PCT","FY 2016","FY 2016","Currency=USD","Period=FY","BEST_FPERIOD_OVERRIDE=FY","FILING_STATUS=MR","Sort=A","Dates=H","DateFormat=P","Fill=—","Direction=H","UseDPDF=Y")</f>
        <v>75</v>
      </c>
      <c r="G128" s="13">
        <f>_xll.BDH("ALB US Equity","BOARD_MEETING_ATTENDANCE_PCT","FY 2017","FY 2017","Currency=USD","Period=FY","BEST_FPERIOD_OVERRIDE=FY","FILING_STATUS=MR","Sort=A","Dates=H","DateFormat=P","Fill=—","Direction=H","UseDPDF=Y")</f>
        <v>75</v>
      </c>
      <c r="H128" s="13">
        <f>_xll.BDH("ALB US Equity","BOARD_MEETING_ATTENDANCE_PCT","FY 2018","FY 2018","Currency=USD","Period=FY","BEST_FPERIOD_OVERRIDE=FY","FILING_STATUS=MR","Sort=A","Dates=H","DateFormat=P","Fill=—","Direction=H","UseDPDF=Y")</f>
        <v>75</v>
      </c>
      <c r="I128" s="13">
        <f>_xll.BDH("ALB US Equity","BOARD_MEETING_ATTENDANCE_PCT","FY 2019","FY 2019","Currency=USD","Period=FY","BEST_FPERIOD_OVERRIDE=FY","FILING_STATUS=MR","Sort=A","Dates=H","DateFormat=P","Fill=—","Direction=H","UseDPDF=Y")</f>
        <v>75</v>
      </c>
      <c r="J128" s="13">
        <f>_xll.BDH("ALB US Equity","BOARD_MEETING_ATTENDANCE_PCT","FY 2020","FY 2020","Currency=USD","Period=FY","BEST_FPERIOD_OVERRIDE=FY","FILING_STATUS=MR","Sort=A","Dates=H","DateFormat=P","Fill=—","Direction=H","UseDPDF=Y")</f>
        <v>75</v>
      </c>
      <c r="K128" s="13">
        <f>_xll.BDH("ALB US Equity","BOARD_MEETING_ATTENDANCE_PCT","FY 2021","FY 2021","Currency=USD","Period=FY","BEST_FPERIOD_OVERRIDE=FY","FILING_STATUS=MR","Sort=A","Dates=H","DateFormat=P","Fill=—","Direction=H","UseDPDF=Y")</f>
        <v>75</v>
      </c>
      <c r="L128" s="13">
        <f>_xll.BDH("ALB US Equity","BOARD_MEETING_ATTENDANCE_PCT","FY 2022","FY 2022","Currency=USD","Period=FY","BEST_FPERIOD_OVERRIDE=FY","FILING_STATUS=MR","Sort=A","Dates=H","DateFormat=P","Fill=—","Direction=H","UseDPDF=Y")</f>
        <v>75</v>
      </c>
    </row>
    <row r="129" spans="1:12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>
      <c r="A130" s="10" t="s">
        <v>219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>
      <c r="A131" s="10" t="s">
        <v>220</v>
      </c>
      <c r="B131" s="10" t="s">
        <v>221</v>
      </c>
      <c r="C131" s="11" t="s">
        <v>137</v>
      </c>
      <c r="D131" s="11" t="s">
        <v>137</v>
      </c>
      <c r="E131" s="11" t="s">
        <v>52</v>
      </c>
      <c r="F131" s="11" t="s">
        <v>52</v>
      </c>
      <c r="G131" s="11" t="s">
        <v>52</v>
      </c>
      <c r="H131" s="11" t="s">
        <v>52</v>
      </c>
      <c r="I131" s="11" t="s">
        <v>52</v>
      </c>
      <c r="J131" s="11" t="s">
        <v>52</v>
      </c>
      <c r="K131" s="11" t="s">
        <v>52</v>
      </c>
      <c r="L131" s="11" t="s">
        <v>52</v>
      </c>
    </row>
    <row r="132" spans="1:12">
      <c r="A132" s="10" t="s">
        <v>222</v>
      </c>
      <c r="B132" s="10" t="s">
        <v>223</v>
      </c>
      <c r="C132" s="11" t="s">
        <v>137</v>
      </c>
      <c r="D132" s="11" t="s">
        <v>137</v>
      </c>
      <c r="E132" s="11" t="s">
        <v>52</v>
      </c>
      <c r="F132" s="11" t="s">
        <v>52</v>
      </c>
      <c r="G132" s="11" t="s">
        <v>52</v>
      </c>
      <c r="H132" s="11" t="s">
        <v>52</v>
      </c>
      <c r="I132" s="11" t="s">
        <v>52</v>
      </c>
      <c r="J132" s="11" t="s">
        <v>52</v>
      </c>
      <c r="K132" s="11" t="s">
        <v>52</v>
      </c>
      <c r="L132" s="11" t="s">
        <v>52</v>
      </c>
    </row>
    <row r="133" spans="1:12">
      <c r="A133" s="10" t="s">
        <v>224</v>
      </c>
      <c r="B133" s="10" t="s">
        <v>225</v>
      </c>
      <c r="C133" s="13">
        <f>_xll.BDH("ALB US Equity","SIZE_OF_COMPENSATION_COMMITTEE","FY 2013","FY 2013","Currency=USD","Period=FY","BEST_FPERIOD_OVERRIDE=FY","FILING_STATUS=MR","Sort=A","Dates=H","DateFormat=P","Fill=—","Direction=H","UseDPDF=Y")</f>
        <v>4</v>
      </c>
      <c r="D133" s="13">
        <f>_xll.BDH("ALB US Equity","SIZE_OF_COMPENSATION_COMMITTEE","FY 2014","FY 2014","Currency=USD","Period=FY","BEST_FPERIOD_OVERRIDE=FY","FILING_STATUS=MR","Sort=A","Dates=H","DateFormat=P","Fill=—","Direction=H","UseDPDF=Y")</f>
        <v>3</v>
      </c>
      <c r="E133" s="13">
        <f>_xll.BDH("ALB US Equity","SIZE_OF_COMPENSATION_COMMITTEE","FY 2015","FY 2015","Currency=USD","Period=FY","BEST_FPERIOD_OVERRIDE=FY","FILING_STATUS=MR","Sort=A","Dates=H","DateFormat=P","Fill=—","Direction=H","UseDPDF=Y")</f>
        <v>3</v>
      </c>
      <c r="F133" s="13">
        <f>_xll.BDH("ALB US Equity","SIZE_OF_COMPENSATION_COMMITTEE","FY 2016","FY 2016","Currency=USD","Period=FY","BEST_FPERIOD_OVERRIDE=FY","FILING_STATUS=MR","Sort=A","Dates=H","DateFormat=P","Fill=—","Direction=H","UseDPDF=Y")</f>
        <v>3</v>
      </c>
      <c r="G133" s="13">
        <f>_xll.BDH("ALB US Equity","SIZE_OF_COMPENSATION_COMMITTEE","FY 2017","FY 2017","Currency=USD","Period=FY","BEST_FPERIOD_OVERRIDE=FY","FILING_STATUS=MR","Sort=A","Dates=H","DateFormat=P","Fill=—","Direction=H","UseDPDF=Y")</f>
        <v>4</v>
      </c>
      <c r="H133" s="13">
        <f>_xll.BDH("ALB US Equity","SIZE_OF_COMPENSATION_COMMITTEE","FY 2018","FY 2018","Currency=USD","Period=FY","BEST_FPERIOD_OVERRIDE=FY","FILING_STATUS=MR","Sort=A","Dates=H","DateFormat=P","Fill=—","Direction=H","UseDPDF=Y")</f>
        <v>5</v>
      </c>
      <c r="I133" s="13">
        <f>_xll.BDH("ALB US Equity","SIZE_OF_COMPENSATION_COMMITTEE","FY 2019","FY 2019","Currency=USD","Period=FY","BEST_FPERIOD_OVERRIDE=FY","FILING_STATUS=MR","Sort=A","Dates=H","DateFormat=P","Fill=—","Direction=H","UseDPDF=Y")</f>
        <v>6</v>
      </c>
      <c r="J133" s="13">
        <f>_xll.BDH("ALB US Equity","SIZE_OF_COMPENSATION_COMMITTEE","FY 2020","FY 2020","Currency=USD","Period=FY","BEST_FPERIOD_OVERRIDE=FY","FILING_STATUS=MR","Sort=A","Dates=H","DateFormat=P","Fill=—","Direction=H","UseDPDF=Y")</f>
        <v>4</v>
      </c>
      <c r="K133" s="13">
        <f>_xll.BDH("ALB US Equity","SIZE_OF_COMPENSATION_COMMITTEE","FY 2021","FY 2021","Currency=USD","Period=FY","BEST_FPERIOD_OVERRIDE=FY","FILING_STATUS=MR","Sort=A","Dates=H","DateFormat=P","Fill=—","Direction=H","UseDPDF=Y")</f>
        <v>4</v>
      </c>
      <c r="L133" s="13">
        <f>_xll.BDH("ALB US Equity","SIZE_OF_COMPENSATION_COMMITTEE","FY 2022","FY 2022","Currency=USD","Period=FY","BEST_FPERIOD_OVERRIDE=FY","FILING_STATUS=MR","Sort=A","Dates=H","DateFormat=P","Fill=—","Direction=H","UseDPDF=Y")</f>
        <v>4</v>
      </c>
    </row>
    <row r="134" spans="1:12">
      <c r="A134" s="10" t="s">
        <v>226</v>
      </c>
      <c r="B134" s="10" t="s">
        <v>227</v>
      </c>
      <c r="C134" s="13">
        <f>_xll.BDH("ALB US Equity","NUM_IND_DIR_ON_CMPNSTN_CMTE","FY 2013","FY 2013","Currency=USD","Period=FY","BEST_FPERIOD_OVERRIDE=FY","FILING_STATUS=MR","Sort=A","Dates=H","DateFormat=P","Fill=—","Direction=H","UseDPDF=Y")</f>
        <v>4</v>
      </c>
      <c r="D134" s="13">
        <f>_xll.BDH("ALB US Equity","NUM_IND_DIR_ON_CMPNSTN_CMTE","FY 2014","FY 2014","Currency=USD","Period=FY","BEST_FPERIOD_OVERRIDE=FY","FILING_STATUS=MR","Sort=A","Dates=H","DateFormat=P","Fill=—","Direction=H","UseDPDF=Y")</f>
        <v>3</v>
      </c>
      <c r="E134" s="13">
        <f>_xll.BDH("ALB US Equity","NUM_IND_DIR_ON_CMPNSTN_CMTE","FY 2015","FY 2015","Currency=USD","Period=FY","BEST_FPERIOD_OVERRIDE=FY","FILING_STATUS=MR","Sort=A","Dates=H","DateFormat=P","Fill=—","Direction=H","UseDPDF=Y")</f>
        <v>3</v>
      </c>
      <c r="F134" s="13">
        <f>_xll.BDH("ALB US Equity","NUM_IND_DIR_ON_CMPNSTN_CMTE","FY 2016","FY 2016","Currency=USD","Period=FY","BEST_FPERIOD_OVERRIDE=FY","FILING_STATUS=MR","Sort=A","Dates=H","DateFormat=P","Fill=—","Direction=H","UseDPDF=Y")</f>
        <v>3</v>
      </c>
      <c r="G134" s="13">
        <f>_xll.BDH("ALB US Equity","NUM_IND_DIR_ON_CMPNSTN_CMTE","FY 2017","FY 2017","Currency=USD","Period=FY","BEST_FPERIOD_OVERRIDE=FY","FILING_STATUS=MR","Sort=A","Dates=H","DateFormat=P","Fill=—","Direction=H","UseDPDF=Y")</f>
        <v>4</v>
      </c>
      <c r="H134" s="13">
        <f>_xll.BDH("ALB US Equity","NUM_IND_DIR_ON_CMPNSTN_CMTE","FY 2018","FY 2018","Currency=USD","Period=FY","BEST_FPERIOD_OVERRIDE=FY","FILING_STATUS=MR","Sort=A","Dates=H","DateFormat=P","Fill=—","Direction=H","UseDPDF=Y")</f>
        <v>5</v>
      </c>
      <c r="I134" s="13">
        <f>_xll.BDH("ALB US Equity","NUM_IND_DIR_ON_CMPNSTN_CMTE","FY 2019","FY 2019","Currency=USD","Period=FY","BEST_FPERIOD_OVERRIDE=FY","FILING_STATUS=MR","Sort=A","Dates=H","DateFormat=P","Fill=—","Direction=H","UseDPDF=Y")</f>
        <v>6</v>
      </c>
      <c r="J134" s="13">
        <f>_xll.BDH("ALB US Equity","NUM_IND_DIR_ON_CMPNSTN_CMTE","FY 2020","FY 2020","Currency=USD","Period=FY","BEST_FPERIOD_OVERRIDE=FY","FILING_STATUS=MR","Sort=A","Dates=H","DateFormat=P","Fill=—","Direction=H","UseDPDF=Y")</f>
        <v>4</v>
      </c>
      <c r="K134" s="13">
        <f>_xll.BDH("ALB US Equity","NUM_IND_DIR_ON_CMPNSTN_CMTE","FY 2021","FY 2021","Currency=USD","Period=FY","BEST_FPERIOD_OVERRIDE=FY","FILING_STATUS=MR","Sort=A","Dates=H","DateFormat=P","Fill=—","Direction=H","UseDPDF=Y")</f>
        <v>4</v>
      </c>
      <c r="L134" s="13">
        <f>_xll.BDH("ALB US Equity","NUM_IND_DIR_ON_CMPNSTN_CMTE","FY 2022","FY 2022","Currency=USD","Period=FY","BEST_FPERIOD_OVERRIDE=FY","FILING_STATUS=MR","Sort=A","Dates=H","DateFormat=P","Fill=—","Direction=H","UseDPDF=Y")</f>
        <v>4</v>
      </c>
    </row>
    <row r="135" spans="1:12">
      <c r="A135" s="10" t="s">
        <v>228</v>
      </c>
      <c r="B135" s="10" t="s">
        <v>229</v>
      </c>
      <c r="C135" s="13">
        <f>_xll.BDH("ALB US Equity","NUM_COMPENSATION_CMTE_MTG","FY 2013","FY 2013","Currency=USD","Period=FY","BEST_FPERIOD_OVERRIDE=FY","FILING_STATUS=MR","Sort=A","Dates=H","DateFormat=P","Fill=—","Direction=H","UseDPDF=Y")</f>
        <v>6</v>
      </c>
      <c r="D135" s="13">
        <f>_xll.BDH("ALB US Equity","NUM_COMPENSATION_CMTE_MTG","FY 2014","FY 2014","Currency=USD","Period=FY","BEST_FPERIOD_OVERRIDE=FY","FILING_STATUS=MR","Sort=A","Dates=H","DateFormat=P","Fill=—","Direction=H","UseDPDF=Y")</f>
        <v>5</v>
      </c>
      <c r="E135" s="13">
        <f>_xll.BDH("ALB US Equity","NUM_COMPENSATION_CMTE_MTG","FY 2015","FY 2015","Currency=USD","Period=FY","BEST_FPERIOD_OVERRIDE=FY","FILING_STATUS=MR","Sort=A","Dates=H","DateFormat=P","Fill=—","Direction=H","UseDPDF=Y")</f>
        <v>5</v>
      </c>
      <c r="F135" s="13">
        <f>_xll.BDH("ALB US Equity","NUM_COMPENSATION_CMTE_MTG","FY 2016","FY 2016","Currency=USD","Period=FY","BEST_FPERIOD_OVERRIDE=FY","FILING_STATUS=MR","Sort=A","Dates=H","DateFormat=P","Fill=—","Direction=H","UseDPDF=Y")</f>
        <v>4</v>
      </c>
      <c r="G135" s="13">
        <f>_xll.BDH("ALB US Equity","NUM_COMPENSATION_CMTE_MTG","FY 2017","FY 2017","Currency=USD","Period=FY","BEST_FPERIOD_OVERRIDE=FY","FILING_STATUS=MR","Sort=A","Dates=H","DateFormat=P","Fill=—","Direction=H","UseDPDF=Y")</f>
        <v>6</v>
      </c>
      <c r="H135" s="13">
        <f>_xll.BDH("ALB US Equity","NUM_COMPENSATION_CMTE_MTG","FY 2018","FY 2018","Currency=USD","Period=FY","BEST_FPERIOD_OVERRIDE=FY","FILING_STATUS=MR","Sort=A","Dates=H","DateFormat=P","Fill=—","Direction=H","UseDPDF=Y")</f>
        <v>5</v>
      </c>
      <c r="I135" s="13">
        <f>_xll.BDH("ALB US Equity","NUM_COMPENSATION_CMTE_MTG","FY 2019","FY 2019","Currency=USD","Period=FY","BEST_FPERIOD_OVERRIDE=FY","FILING_STATUS=MR","Sort=A","Dates=H","DateFormat=P","Fill=—","Direction=H","UseDPDF=Y")</f>
        <v>5</v>
      </c>
      <c r="J135" s="13">
        <f>_xll.BDH("ALB US Equity","NUM_COMPENSATION_CMTE_MTG","FY 2020","FY 2020","Currency=USD","Period=FY","BEST_FPERIOD_OVERRIDE=FY","FILING_STATUS=MR","Sort=A","Dates=H","DateFormat=P","Fill=—","Direction=H","UseDPDF=Y")</f>
        <v>7</v>
      </c>
      <c r="K135" s="13">
        <f>_xll.BDH("ALB US Equity","NUM_COMPENSATION_CMTE_MTG","FY 2021","FY 2021","Currency=USD","Period=FY","BEST_FPERIOD_OVERRIDE=FY","FILING_STATUS=MR","Sort=A","Dates=H","DateFormat=P","Fill=—","Direction=H","UseDPDF=Y")</f>
        <v>5</v>
      </c>
      <c r="L135" s="13">
        <f>_xll.BDH("ALB US Equity","NUM_COMPENSATION_CMTE_MTG","FY 2022","FY 2022","Currency=USD","Period=FY","BEST_FPERIOD_OVERRIDE=FY","FILING_STATUS=MR","Sort=A","Dates=H","DateFormat=P","Fill=—","Direction=H","UseDPDF=Y")</f>
        <v>7</v>
      </c>
    </row>
    <row r="136" spans="1:12">
      <c r="A136" s="10" t="s">
        <v>230</v>
      </c>
      <c r="B136" s="10" t="s">
        <v>231</v>
      </c>
      <c r="C136" s="13">
        <f>_xll.BDH("ALB US Equity","COMPENSATION_CMTE_MTG_ATTEND_PCT","FY 2013","FY 2013","Currency=USD","Period=FY","BEST_FPERIOD_OVERRIDE=FY","FILING_STATUS=MR","Sort=A","Dates=H","DateFormat=P","Fill=—","Direction=H","UseDPDF=Y")</f>
        <v>75</v>
      </c>
      <c r="D136" s="13">
        <f>_xll.BDH("ALB US Equity","COMPENSATION_CMTE_MTG_ATTEND_PCT","FY 2014","FY 2014","Currency=USD","Period=FY","BEST_FPERIOD_OVERRIDE=FY","FILING_STATUS=MR","Sort=A","Dates=H","DateFormat=P","Fill=—","Direction=H","UseDPDF=Y")</f>
        <v>75</v>
      </c>
      <c r="E136" s="13">
        <f>_xll.BDH("ALB US Equity","COMPENSATION_CMTE_MTG_ATTEND_PCT","FY 2015","FY 2015","Currency=USD","Period=FY","BEST_FPERIOD_OVERRIDE=FY","FILING_STATUS=MR","Sort=A","Dates=H","DateFormat=P","Fill=—","Direction=H","UseDPDF=Y")</f>
        <v>75</v>
      </c>
      <c r="F136" s="13">
        <f>_xll.BDH("ALB US Equity","COMPENSATION_CMTE_MTG_ATTEND_PCT","FY 2016","FY 2016","Currency=USD","Period=FY","BEST_FPERIOD_OVERRIDE=FY","FILING_STATUS=MR","Sort=A","Dates=H","DateFormat=P","Fill=—","Direction=H","UseDPDF=Y")</f>
        <v>75</v>
      </c>
      <c r="G136" s="13">
        <f>_xll.BDH("ALB US Equity","COMPENSATION_CMTE_MTG_ATTEND_PCT","FY 2017","FY 2017","Currency=USD","Period=FY","BEST_FPERIOD_OVERRIDE=FY","FILING_STATUS=MR","Sort=A","Dates=H","DateFormat=P","Fill=—","Direction=H","UseDPDF=Y")</f>
        <v>75</v>
      </c>
      <c r="H136" s="13">
        <f>_xll.BDH("ALB US Equity","COMPENSATION_CMTE_MTG_ATTEND_PCT","FY 2018","FY 2018","Currency=USD","Period=FY","BEST_FPERIOD_OVERRIDE=FY","FILING_STATUS=MR","Sort=A","Dates=H","DateFormat=P","Fill=—","Direction=H","UseDPDF=Y")</f>
        <v>75</v>
      </c>
      <c r="I136" s="13">
        <f>_xll.BDH("ALB US Equity","COMPENSATION_CMTE_MTG_ATTEND_PCT","FY 2019","FY 2019","Currency=USD","Period=FY","BEST_FPERIOD_OVERRIDE=FY","FILING_STATUS=MR","Sort=A","Dates=H","DateFormat=P","Fill=—","Direction=H","UseDPDF=Y")</f>
        <v>75</v>
      </c>
      <c r="J136" s="13">
        <f>_xll.BDH("ALB US Equity","COMPENSATION_CMTE_MTG_ATTEND_PCT","FY 2020","FY 2020","Currency=USD","Period=FY","BEST_FPERIOD_OVERRIDE=FY","FILING_STATUS=MR","Sort=A","Dates=H","DateFormat=P","Fill=—","Direction=H","UseDPDF=Y")</f>
        <v>75</v>
      </c>
      <c r="K136" s="13">
        <f>_xll.BDH("ALB US Equity","COMPENSATION_CMTE_MTG_ATTEND_PCT","FY 2021","FY 2021","Currency=USD","Period=FY","BEST_FPERIOD_OVERRIDE=FY","FILING_STATUS=MR","Sort=A","Dates=H","DateFormat=P","Fill=—","Direction=H","UseDPDF=Y")</f>
        <v>75</v>
      </c>
      <c r="L136" s="13">
        <f>_xll.BDH("ALB US Equity","COMPENSATION_CMTE_MTG_ATTEND_PCT","FY 2022","FY 2022","Currency=USD","Period=FY","BEST_FPERIOD_OVERRIDE=FY","FILING_STATUS=MR","Sort=A","Dates=H","DateFormat=P","Fill=—","Direction=H","UseDPDF=Y")</f>
        <v>75</v>
      </c>
    </row>
    <row r="137" spans="1:1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>
      <c r="A138" s="10" t="s">
        <v>142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>
      <c r="A139" s="10" t="s">
        <v>232</v>
      </c>
      <c r="B139" s="10" t="s">
        <v>233</v>
      </c>
      <c r="C139" s="13">
        <f>_xll.BDH("ALB US Equity","NUMBER_OF_FEMALE_EXECUTIVES","FY 2013","FY 2013","Currency=USD","Period=FY","BEST_FPERIOD_OVERRIDE=FY","FILING_STATUS=MR","Sort=A","Dates=H","DateFormat=P","Fill=—","Direction=H","UseDPDF=Y")</f>
        <v>2</v>
      </c>
      <c r="D139" s="13">
        <f>_xll.BDH("ALB US Equity","NUMBER_OF_FEMALE_EXECUTIVES","FY 2014","FY 2014","Currency=USD","Period=FY","BEST_FPERIOD_OVERRIDE=FY","FILING_STATUS=MR","Sort=A","Dates=H","DateFormat=P","Fill=—","Direction=H","UseDPDF=Y")</f>
        <v>2</v>
      </c>
      <c r="E139" s="13">
        <f>_xll.BDH("ALB US Equity","NUMBER_OF_FEMALE_EXECUTIVES","FY 2015","FY 2015","Currency=USD","Period=FY","BEST_FPERIOD_OVERRIDE=FY","FILING_STATUS=MR","Sort=A","Dates=H","DateFormat=P","Fill=—","Direction=H","UseDPDF=Y")</f>
        <v>2</v>
      </c>
      <c r="F139" s="13">
        <f>_xll.BDH("ALB US Equity","NUMBER_OF_FEMALE_EXECUTIVES","FY 2016","FY 2016","Currency=USD","Period=FY","BEST_FPERIOD_OVERRIDE=FY","FILING_STATUS=MR","Sort=A","Dates=H","DateFormat=P","Fill=—","Direction=H","UseDPDF=Y")</f>
        <v>1</v>
      </c>
      <c r="G139" s="13">
        <f>_xll.BDH("ALB US Equity","NUMBER_OF_FEMALE_EXECUTIVES","FY 2017","FY 2017","Currency=USD","Period=FY","BEST_FPERIOD_OVERRIDE=FY","FILING_STATUS=MR","Sort=A","Dates=H","DateFormat=P","Fill=—","Direction=H","UseDPDF=Y")</f>
        <v>1</v>
      </c>
      <c r="H139" s="13">
        <f>_xll.BDH("ALB US Equity","NUMBER_OF_FEMALE_EXECUTIVES","FY 2018","FY 2018","Currency=USD","Period=FY","BEST_FPERIOD_OVERRIDE=FY","FILING_STATUS=MR","Sort=A","Dates=H","DateFormat=P","Fill=—","Direction=H","UseDPDF=Y")</f>
        <v>1</v>
      </c>
      <c r="I139" s="13">
        <f>_xll.BDH("ALB US Equity","NUMBER_OF_FEMALE_EXECUTIVES","FY 2019","FY 2019","Currency=USD","Period=FY","BEST_FPERIOD_OVERRIDE=FY","FILING_STATUS=MR","Sort=A","Dates=H","DateFormat=P","Fill=—","Direction=H","UseDPDF=Y")</f>
        <v>2</v>
      </c>
      <c r="J139" s="13">
        <f>_xll.BDH("ALB US Equity","NUMBER_OF_FEMALE_EXECUTIVES","FY 2020","FY 2020","Currency=USD","Period=FY","BEST_FPERIOD_OVERRIDE=FY","FILING_STATUS=MR","Sort=A","Dates=H","DateFormat=P","Fill=—","Direction=H","UseDPDF=Y")</f>
        <v>1</v>
      </c>
      <c r="K139" s="13">
        <f>_xll.BDH("ALB US Equity","NUMBER_OF_FEMALE_EXECUTIVES","FY 2021","FY 2021","Currency=USD","Period=FY","BEST_FPERIOD_OVERRIDE=FY","FILING_STATUS=MR","Sort=A","Dates=H","DateFormat=P","Fill=—","Direction=H","UseDPDF=Y")</f>
        <v>1</v>
      </c>
      <c r="L139" s="13">
        <f>_xll.BDH("ALB US Equity","NUMBER_OF_FEMALE_EXECUTIVES","FY 2022","FY 2022","Currency=USD","Period=FY","BEST_FPERIOD_OVERRIDE=FY","FILING_STATUS=MR","Sort=A","Dates=H","DateFormat=P","Fill=—","Direction=H","UseDPDF=Y")</f>
        <v>1</v>
      </c>
    </row>
    <row r="140" spans="1:12">
      <c r="A140" s="10" t="s">
        <v>234</v>
      </c>
      <c r="B140" s="10" t="s">
        <v>235</v>
      </c>
      <c r="C140" s="13">
        <f>_xll.BDH("ALB US Equity","NUMBER_OF_WOMEN_ON_BOARD","FY 2013","FY 2013","Currency=USD","Period=FY","BEST_FPERIOD_OVERRIDE=FY","FILING_STATUS=MR","Sort=A","Dates=H","DateFormat=P","Fill=—","Direction=H","UseDPDF=Y")</f>
        <v>2</v>
      </c>
      <c r="D140" s="13">
        <f>_xll.BDH("ALB US Equity","NUMBER_OF_WOMEN_ON_BOARD","FY 2014","FY 2014","Currency=USD","Period=FY","BEST_FPERIOD_OVERRIDE=FY","FILING_STATUS=MR","Sort=A","Dates=H","DateFormat=P","Fill=—","Direction=H","UseDPDF=Y")</f>
        <v>2</v>
      </c>
      <c r="E140" s="13">
        <f>_xll.BDH("ALB US Equity","NUMBER_OF_WOMEN_ON_BOARD","FY 2015","FY 2015","Currency=USD","Period=FY","BEST_FPERIOD_OVERRIDE=FY","FILING_STATUS=MR","Sort=A","Dates=H","DateFormat=P","Fill=—","Direction=H","UseDPDF=Y")</f>
        <v>1</v>
      </c>
      <c r="F140" s="13">
        <f>_xll.BDH("ALB US Equity","NUMBER_OF_WOMEN_ON_BOARD","FY 2016","FY 2016","Currency=USD","Period=FY","BEST_FPERIOD_OVERRIDE=FY","FILING_STATUS=MR","Sort=A","Dates=H","DateFormat=P","Fill=—","Direction=H","UseDPDF=Y")</f>
        <v>1</v>
      </c>
      <c r="G140" s="13">
        <f>_xll.BDH("ALB US Equity","NUMBER_OF_WOMEN_ON_BOARD","FY 2017","FY 2017","Currency=USD","Period=FY","BEST_FPERIOD_OVERRIDE=FY","FILING_STATUS=MR","Sort=A","Dates=H","DateFormat=P","Fill=—","Direction=H","UseDPDF=Y")</f>
        <v>2</v>
      </c>
      <c r="H140" s="13">
        <f>_xll.BDH("ALB US Equity","NUMBER_OF_WOMEN_ON_BOARD","FY 2018","FY 2018","Currency=USD","Period=FY","BEST_FPERIOD_OVERRIDE=FY","FILING_STATUS=MR","Sort=A","Dates=H","DateFormat=P","Fill=—","Direction=H","UseDPDF=Y")</f>
        <v>2</v>
      </c>
      <c r="I140" s="13">
        <f>_xll.BDH("ALB US Equity","NUMBER_OF_WOMEN_ON_BOARD","FY 2019","FY 2019","Currency=USD","Period=FY","BEST_FPERIOD_OVERRIDE=FY","FILING_STATUS=MR","Sort=A","Dates=H","DateFormat=P","Fill=—","Direction=H","UseDPDF=Y")</f>
        <v>3</v>
      </c>
      <c r="J140" s="13">
        <f>_xll.BDH("ALB US Equity","NUMBER_OF_WOMEN_ON_BOARD","FY 2020","FY 2020","Currency=USD","Period=FY","BEST_FPERIOD_OVERRIDE=FY","FILING_STATUS=MR","Sort=A","Dates=H","DateFormat=P","Fill=—","Direction=H","UseDPDF=Y")</f>
        <v>3</v>
      </c>
      <c r="K140" s="13">
        <f>_xll.BDH("ALB US Equity","NUMBER_OF_WOMEN_ON_BOARD","FY 2021","FY 2021","Currency=USD","Period=FY","BEST_FPERIOD_OVERRIDE=FY","FILING_STATUS=MR","Sort=A","Dates=H","DateFormat=P","Fill=—","Direction=H","UseDPDF=Y")</f>
        <v>3</v>
      </c>
      <c r="L140" s="13">
        <f>_xll.BDH("ALB US Equity","NUMBER_OF_WOMEN_ON_BOARD","FY 2022","FY 2022","Currency=USD","Period=FY","BEST_FPERIOD_OVERRIDE=FY","FILING_STATUS=MR","Sort=A","Dates=H","DateFormat=P","Fill=—","Direction=H","UseDPDF=Y")</f>
        <v>3</v>
      </c>
    </row>
    <row r="141" spans="1:12">
      <c r="A141" s="10" t="s">
        <v>236</v>
      </c>
      <c r="B141" s="10" t="s">
        <v>237</v>
      </c>
      <c r="C141" s="13" t="str">
        <f>_xll.BDH("ALB US Equity","BOARD_AGE_LIMIT","FY 2013","FY 2013","Currency=USD","Period=FY","BEST_FPERIOD_OVERRIDE=FY","FILING_STATUS=MR","Sort=A","Dates=H","DateFormat=P","Fill=—","Direction=H","UseDPDF=Y")</f>
        <v>—</v>
      </c>
      <c r="D141" s="13" t="str">
        <f>_xll.BDH("ALB US Equity","BOARD_AGE_LIMIT","FY 2014","FY 2014","Currency=USD","Period=FY","BEST_FPERIOD_OVERRIDE=FY","FILING_STATUS=MR","Sort=A","Dates=H","DateFormat=P","Fill=—","Direction=H","UseDPDF=Y")</f>
        <v>—</v>
      </c>
      <c r="E141" s="13" t="str">
        <f>_xll.BDH("ALB US Equity","BOARD_AGE_LIMIT","FY 2015","FY 2015","Currency=USD","Period=FY","BEST_FPERIOD_OVERRIDE=FY","FILING_STATUS=MR","Sort=A","Dates=H","DateFormat=P","Fill=—","Direction=H","UseDPDF=Y")</f>
        <v>—</v>
      </c>
      <c r="F141" s="13" t="str">
        <f>_xll.BDH("ALB US Equity","BOARD_AGE_LIMIT","FY 2016","FY 2016","Currency=USD","Period=FY","BEST_FPERIOD_OVERRIDE=FY","FILING_STATUS=MR","Sort=A","Dates=H","DateFormat=P","Fill=—","Direction=H","UseDPDF=Y")</f>
        <v>—</v>
      </c>
      <c r="G141" s="13">
        <f>_xll.BDH("ALB US Equity","BOARD_AGE_LIMIT","FY 2017","FY 2017","Currency=USD","Period=FY","BEST_FPERIOD_OVERRIDE=FY","FILING_STATUS=MR","Sort=A","Dates=H","DateFormat=P","Fill=—","Direction=H","UseDPDF=Y")</f>
        <v>72</v>
      </c>
      <c r="H141" s="13">
        <f>_xll.BDH("ALB US Equity","BOARD_AGE_LIMIT","FY 2018","FY 2018","Currency=USD","Period=FY","BEST_FPERIOD_OVERRIDE=FY","FILING_STATUS=MR","Sort=A","Dates=H","DateFormat=P","Fill=—","Direction=H","UseDPDF=Y")</f>
        <v>72</v>
      </c>
      <c r="I141" s="13">
        <f>_xll.BDH("ALB US Equity","BOARD_AGE_LIMIT","FY 2019","FY 2019","Currency=USD","Period=FY","BEST_FPERIOD_OVERRIDE=FY","FILING_STATUS=MR","Sort=A","Dates=H","DateFormat=P","Fill=—","Direction=H","UseDPDF=Y")</f>
        <v>72</v>
      </c>
      <c r="J141" s="13">
        <f>_xll.BDH("ALB US Equity","BOARD_AGE_LIMIT","FY 2020","FY 2020","Currency=USD","Period=FY","BEST_FPERIOD_OVERRIDE=FY","FILING_STATUS=MR","Sort=A","Dates=H","DateFormat=P","Fill=—","Direction=H","UseDPDF=Y")</f>
        <v>72</v>
      </c>
      <c r="K141" s="13">
        <f>_xll.BDH("ALB US Equity","BOARD_AGE_LIMIT","FY 2021","FY 2021","Currency=USD","Period=FY","BEST_FPERIOD_OVERRIDE=FY","FILING_STATUS=MR","Sort=A","Dates=H","DateFormat=P","Fill=—","Direction=H","UseDPDF=Y")</f>
        <v>72</v>
      </c>
      <c r="L141" s="13">
        <f>_xll.BDH("ALB US Equity","BOARD_AGE_LIMIT","FY 2022","FY 2022","Currency=USD","Period=FY","BEST_FPERIOD_OVERRIDE=FY","FILING_STATUS=MR","Sort=A","Dates=H","DateFormat=P","Fill=—","Direction=H","UseDPDF=Y")</f>
        <v>72</v>
      </c>
    </row>
    <row r="142" spans="1:12">
      <c r="A142" s="10" t="s">
        <v>238</v>
      </c>
      <c r="B142" s="10" t="s">
        <v>239</v>
      </c>
      <c r="C142" s="13">
        <f>_xll.BDH("ALB US Equity","AGE_OF_YOUNGEST_DIRECTOR","FY 2013","FY 2013","Currency=USD","Period=FY","BEST_FPERIOD_OVERRIDE=FY","FILING_STATUS=MR","Sort=A","Dates=H","DateFormat=P","Fill=—","Direction=H","UseDPDF=Y")</f>
        <v>49</v>
      </c>
      <c r="D142" s="13">
        <f>_xll.BDH("ALB US Equity","AGE_OF_YOUNGEST_DIRECTOR","FY 2014","FY 2014","Currency=USD","Period=FY","BEST_FPERIOD_OVERRIDE=FY","FILING_STATUS=MR","Sort=A","Dates=H","DateFormat=P","Fill=—","Direction=H","UseDPDF=Y")</f>
        <v>50</v>
      </c>
      <c r="E142" s="13">
        <f>_xll.BDH("ALB US Equity","AGE_OF_YOUNGEST_DIRECTOR","FY 2015","FY 2015","Currency=USD","Period=FY","BEST_FPERIOD_OVERRIDE=FY","FILING_STATUS=MR","Sort=A","Dates=H","DateFormat=P","Fill=—","Direction=H","UseDPDF=Y")</f>
        <v>51</v>
      </c>
      <c r="F142" s="13">
        <f>_xll.BDH("ALB US Equity","AGE_OF_YOUNGEST_DIRECTOR","FY 2016","FY 2016","Currency=USD","Period=FY","BEST_FPERIOD_OVERRIDE=FY","FILING_STATUS=MR","Sort=A","Dates=H","DateFormat=P","Fill=—","Direction=H","UseDPDF=Y")</f>
        <v>52</v>
      </c>
      <c r="G142" s="13">
        <f>_xll.BDH("ALB US Equity","AGE_OF_YOUNGEST_DIRECTOR","FY 2017","FY 2017","Currency=USD","Period=FY","BEST_FPERIOD_OVERRIDE=FY","FILING_STATUS=MR","Sort=A","Dates=H","DateFormat=P","Fill=—","Direction=H","UseDPDF=Y")</f>
        <v>53</v>
      </c>
      <c r="H142" s="13">
        <f>_xll.BDH("ALB US Equity","AGE_OF_YOUNGEST_DIRECTOR","FY 2018","FY 2018","Currency=USD","Period=FY","BEST_FPERIOD_OVERRIDE=FY","FILING_STATUS=MR","Sort=A","Dates=H","DateFormat=P","Fill=—","Direction=H","UseDPDF=Y")</f>
        <v>54</v>
      </c>
      <c r="I142" s="13">
        <f>_xll.BDH("ALB US Equity","AGE_OF_YOUNGEST_DIRECTOR","FY 2019","FY 2019","Currency=USD","Period=FY","BEST_FPERIOD_OVERRIDE=FY","FILING_STATUS=MR","Sort=A","Dates=H","DateFormat=P","Fill=—","Direction=H","UseDPDF=Y")</f>
        <v>55</v>
      </c>
      <c r="J142" s="13">
        <f>_xll.BDH("ALB US Equity","AGE_OF_YOUNGEST_DIRECTOR","FY 2020","FY 2020","Currency=USD","Period=FY","BEST_FPERIOD_OVERRIDE=FY","FILING_STATUS=MR","Sort=A","Dates=H","DateFormat=P","Fill=—","Direction=H","UseDPDF=Y")</f>
        <v>56</v>
      </c>
      <c r="K142" s="13">
        <f>_xll.BDH("ALB US Equity","AGE_OF_YOUNGEST_DIRECTOR","FY 2021","FY 2021","Currency=USD","Period=FY","BEST_FPERIOD_OVERRIDE=FY","FILING_STATUS=MR","Sort=A","Dates=H","DateFormat=P","Fill=—","Direction=H","UseDPDF=Y")</f>
        <v>58</v>
      </c>
      <c r="L142" s="13">
        <f>_xll.BDH("ALB US Equity","AGE_OF_YOUNGEST_DIRECTOR","FY 2022","FY 2022","Currency=USD","Period=FY","BEST_FPERIOD_OVERRIDE=FY","FILING_STATUS=MR","Sort=A","Dates=H","DateFormat=P","Fill=—","Direction=H","UseDPDF=Y")</f>
        <v>57</v>
      </c>
    </row>
    <row r="143" spans="1:12">
      <c r="A143" s="10" t="s">
        <v>240</v>
      </c>
      <c r="B143" s="10" t="s">
        <v>241</v>
      </c>
      <c r="C143" s="13">
        <f>_xll.BDH("ALB US Equity","AGE_OF_OLDEST_DIRECTOR","FY 2013","FY 2013","Currency=USD","Period=FY","BEST_FPERIOD_OVERRIDE=FY","FILING_STATUS=MR","Sort=A","Dates=H","DateFormat=P","Fill=—","Direction=H","UseDPDF=Y")</f>
        <v>67</v>
      </c>
      <c r="D143" s="13">
        <f>_xll.BDH("ALB US Equity","AGE_OF_OLDEST_DIRECTOR","FY 2014","FY 2014","Currency=USD","Period=FY","BEST_FPERIOD_OVERRIDE=FY","FILING_STATUS=MR","Sort=A","Dates=H","DateFormat=P","Fill=—","Direction=H","UseDPDF=Y")</f>
        <v>69</v>
      </c>
      <c r="E143" s="13">
        <f>_xll.BDH("ALB US Equity","AGE_OF_OLDEST_DIRECTOR","FY 2015","FY 2015","Currency=USD","Period=FY","BEST_FPERIOD_OVERRIDE=FY","FILING_STATUS=MR","Sort=A","Dates=H","DateFormat=P","Fill=—","Direction=H","UseDPDF=Y")</f>
        <v>70</v>
      </c>
      <c r="F143" s="13">
        <f>_xll.BDH("ALB US Equity","AGE_OF_OLDEST_DIRECTOR","FY 2016","FY 2016","Currency=USD","Period=FY","BEST_FPERIOD_OVERRIDE=FY","FILING_STATUS=MR","Sort=A","Dates=H","DateFormat=P","Fill=—","Direction=H","UseDPDF=Y")</f>
        <v>71</v>
      </c>
      <c r="G143" s="13">
        <f>_xll.BDH("ALB US Equity","AGE_OF_OLDEST_DIRECTOR","FY 2017","FY 2017","Currency=USD","Period=FY","BEST_FPERIOD_OVERRIDE=FY","FILING_STATUS=MR","Sort=A","Dates=H","DateFormat=P","Fill=—","Direction=H","UseDPDF=Y")</f>
        <v>71</v>
      </c>
      <c r="H143" s="13">
        <f>_xll.BDH("ALB US Equity","AGE_OF_OLDEST_DIRECTOR","FY 2018","FY 2018","Currency=USD","Period=FY","BEST_FPERIOD_OVERRIDE=FY","FILING_STATUS=MR","Sort=A","Dates=H","DateFormat=P","Fill=—","Direction=H","UseDPDF=Y")</f>
        <v>70</v>
      </c>
      <c r="I143" s="13">
        <f>_xll.BDH("ALB US Equity","AGE_OF_OLDEST_DIRECTOR","FY 2019","FY 2019","Currency=USD","Period=FY","BEST_FPERIOD_OVERRIDE=FY","FILING_STATUS=MR","Sort=A","Dates=H","DateFormat=P","Fill=—","Direction=H","UseDPDF=Y")</f>
        <v>71</v>
      </c>
      <c r="J143" s="13">
        <f>_xll.BDH("ALB US Equity","AGE_OF_OLDEST_DIRECTOR","FY 2020","FY 2020","Currency=USD","Period=FY","BEST_FPERIOD_OVERRIDE=FY","FILING_STATUS=MR","Sort=A","Dates=H","DateFormat=P","Fill=—","Direction=H","UseDPDF=Y")</f>
        <v>66</v>
      </c>
      <c r="K143" s="13">
        <f>_xll.BDH("ALB US Equity","AGE_OF_OLDEST_DIRECTOR","FY 2021","FY 2021","Currency=USD","Period=FY","BEST_FPERIOD_OVERRIDE=FY","FILING_STATUS=MR","Sort=A","Dates=H","DateFormat=P","Fill=—","Direction=H","UseDPDF=Y")</f>
        <v>67</v>
      </c>
      <c r="L143" s="13">
        <f>_xll.BDH("ALB US Equity","AGE_OF_OLDEST_DIRECTOR","FY 2022","FY 2022","Currency=USD","Period=FY","BEST_FPERIOD_OVERRIDE=FY","FILING_STATUS=MR","Sort=A","Dates=H","DateFormat=P","Fill=—","Direction=H","UseDPDF=Y")</f>
        <v>68</v>
      </c>
    </row>
    <row r="144" spans="1:1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>
      <c r="A145" s="10" t="s">
        <v>242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>
      <c r="A146" s="10" t="s">
        <v>243</v>
      </c>
      <c r="B146" s="10" t="s">
        <v>244</v>
      </c>
      <c r="C146" s="13">
        <f>_xll.BDH("ALB US Equity","INDEPENDENT_DIRECTORS","FY 2013","FY 2013","Currency=USD","Period=FY","BEST_FPERIOD_OVERRIDE=FY","FILING_STATUS=MR","Sort=A","Dates=H","DateFormat=P","Fill=—","Direction=H","UseDPDF=Y")</f>
        <v>9</v>
      </c>
      <c r="D146" s="13">
        <f>_xll.BDH("ALB US Equity","INDEPENDENT_DIRECTORS","FY 2014","FY 2014","Currency=USD","Period=FY","BEST_FPERIOD_OVERRIDE=FY","FILING_STATUS=MR","Sort=A","Dates=H","DateFormat=P","Fill=—","Direction=H","UseDPDF=Y")</f>
        <v>9</v>
      </c>
      <c r="E146" s="13">
        <f>_xll.BDH("ALB US Equity","INDEPENDENT_DIRECTORS","FY 2015","FY 2015","Currency=USD","Period=FY","BEST_FPERIOD_OVERRIDE=FY","FILING_STATUS=MR","Sort=A","Dates=H","DateFormat=P","Fill=—","Direction=H","UseDPDF=Y")</f>
        <v>10</v>
      </c>
      <c r="F146" s="13">
        <f>_xll.BDH("ALB US Equity","INDEPENDENT_DIRECTORS","FY 2016","FY 2016","Currency=USD","Period=FY","BEST_FPERIOD_OVERRIDE=FY","FILING_STATUS=MR","Sort=A","Dates=H","DateFormat=P","Fill=—","Direction=H","UseDPDF=Y")</f>
        <v>10</v>
      </c>
      <c r="G146" s="13">
        <f>_xll.BDH("ALB US Equity","INDEPENDENT_DIRECTORS","FY 2017","FY 2017","Currency=USD","Period=FY","BEST_FPERIOD_OVERRIDE=FY","FILING_STATUS=MR","Sort=A","Dates=H","DateFormat=P","Fill=—","Direction=H","UseDPDF=Y")</f>
        <v>10</v>
      </c>
      <c r="H146" s="13">
        <f>_xll.BDH("ALB US Equity","INDEPENDENT_DIRECTORS","FY 2018","FY 2018","Currency=USD","Period=FY","BEST_FPERIOD_OVERRIDE=FY","FILING_STATUS=MR","Sort=A","Dates=H","DateFormat=P","Fill=—","Direction=H","UseDPDF=Y")</f>
        <v>10</v>
      </c>
      <c r="I146" s="13">
        <f>_xll.BDH("ALB US Equity","INDEPENDENT_DIRECTORS","FY 2019","FY 2019","Currency=USD","Period=FY","BEST_FPERIOD_OVERRIDE=FY","FILING_STATUS=MR","Sort=A","Dates=H","DateFormat=P","Fill=—","Direction=H","UseDPDF=Y")</f>
        <v>12</v>
      </c>
      <c r="J146" s="13">
        <f>_xll.BDH("ALB US Equity","INDEPENDENT_DIRECTORS","FY 2020","FY 2020","Currency=USD","Period=FY","BEST_FPERIOD_OVERRIDE=FY","FILING_STATUS=MR","Sort=A","Dates=H","DateFormat=P","Fill=—","Direction=H","UseDPDF=Y")</f>
        <v>9</v>
      </c>
      <c r="K146" s="13">
        <f>_xll.BDH("ALB US Equity","INDEPENDENT_DIRECTORS","FY 2021","FY 2021","Currency=USD","Period=FY","BEST_FPERIOD_OVERRIDE=FY","FILING_STATUS=MR","Sort=A","Dates=H","DateFormat=P","Fill=—","Direction=H","UseDPDF=Y")</f>
        <v>8</v>
      </c>
      <c r="L146" s="13">
        <f>_xll.BDH("ALB US Equity","INDEPENDENT_DIRECTORS","FY 2022","FY 2022","Currency=USD","Period=FY","BEST_FPERIOD_OVERRIDE=FY","FILING_STATUS=MR","Sort=A","Dates=H","DateFormat=P","Fill=—","Direction=H","UseDPDF=Y")</f>
        <v>9</v>
      </c>
    </row>
    <row r="147" spans="1:1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>
      <c r="A148" s="10" t="s">
        <v>245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>
      <c r="A149" s="10" t="s">
        <v>246</v>
      </c>
      <c r="B149" s="10" t="s">
        <v>247</v>
      </c>
      <c r="C149" s="13">
        <f>_xll.BDH("ALB US Equity","SIZE_OF_NOMINATION_COMMITTEE","FY 2013","FY 2013","Currency=USD","Period=FY","BEST_FPERIOD_OVERRIDE=FY","FILING_STATUS=MR","Sort=A","Dates=H","DateFormat=P","Fill=—","Direction=H","UseDPDF=Y")</f>
        <v>4</v>
      </c>
      <c r="D149" s="13">
        <f>_xll.BDH("ALB US Equity","SIZE_OF_NOMINATION_COMMITTEE","FY 2014","FY 2014","Currency=USD","Period=FY","BEST_FPERIOD_OVERRIDE=FY","FILING_STATUS=MR","Sort=A","Dates=H","DateFormat=P","Fill=—","Direction=H","UseDPDF=Y")</f>
        <v>2</v>
      </c>
      <c r="E149" s="13">
        <f>_xll.BDH("ALB US Equity","SIZE_OF_NOMINATION_COMMITTEE","FY 2015","FY 2015","Currency=USD","Period=FY","BEST_FPERIOD_OVERRIDE=FY","FILING_STATUS=MR","Sort=A","Dates=H","DateFormat=P","Fill=—","Direction=H","UseDPDF=Y")</f>
        <v>3</v>
      </c>
      <c r="F149" s="13">
        <f>_xll.BDH("ALB US Equity","SIZE_OF_NOMINATION_COMMITTEE","FY 2016","FY 2016","Currency=USD","Period=FY","BEST_FPERIOD_OVERRIDE=FY","FILING_STATUS=MR","Sort=A","Dates=H","DateFormat=P","Fill=—","Direction=H","UseDPDF=Y")</f>
        <v>3</v>
      </c>
      <c r="G149" s="13">
        <f>_xll.BDH("ALB US Equity","SIZE_OF_NOMINATION_COMMITTEE","FY 2017","FY 2017","Currency=USD","Period=FY","BEST_FPERIOD_OVERRIDE=FY","FILING_STATUS=MR","Sort=A","Dates=H","DateFormat=P","Fill=—","Direction=H","UseDPDF=Y")</f>
        <v>3</v>
      </c>
      <c r="H149" s="13">
        <f>_xll.BDH("ALB US Equity","SIZE_OF_NOMINATION_COMMITTEE","FY 2018","FY 2018","Currency=USD","Period=FY","BEST_FPERIOD_OVERRIDE=FY","FILING_STATUS=MR","Sort=A","Dates=H","DateFormat=P","Fill=—","Direction=H","UseDPDF=Y")</f>
        <v>3</v>
      </c>
      <c r="I149" s="13">
        <f>_xll.BDH("ALB US Equity","SIZE_OF_NOMINATION_COMMITTEE","FY 2019","FY 2019","Currency=USD","Period=FY","BEST_FPERIOD_OVERRIDE=FY","FILING_STATUS=MR","Sort=A","Dates=H","DateFormat=P","Fill=—","Direction=H","UseDPDF=Y")</f>
        <v>4</v>
      </c>
      <c r="J149" s="13">
        <f>_xll.BDH("ALB US Equity","SIZE_OF_NOMINATION_COMMITTEE","FY 2020","FY 2020","Currency=USD","Period=FY","BEST_FPERIOD_OVERRIDE=FY","FILING_STATUS=MR","Sort=A","Dates=H","DateFormat=P","Fill=—","Direction=H","UseDPDF=Y")</f>
        <v>3</v>
      </c>
      <c r="K149" s="13">
        <f>_xll.BDH("ALB US Equity","SIZE_OF_NOMINATION_COMMITTEE","FY 2021","FY 2021","Currency=USD","Period=FY","BEST_FPERIOD_OVERRIDE=FY","FILING_STATUS=MR","Sort=A","Dates=H","DateFormat=P","Fill=—","Direction=H","UseDPDF=Y")</f>
        <v>3</v>
      </c>
      <c r="L149" s="13">
        <f>_xll.BDH("ALB US Equity","SIZE_OF_NOMINATION_COMMITTEE","FY 2022","FY 2022","Currency=USD","Period=FY","BEST_FPERIOD_OVERRIDE=FY","FILING_STATUS=MR","Sort=A","Dates=H","DateFormat=P","Fill=—","Direction=H","UseDPDF=Y")</f>
        <v>3</v>
      </c>
    </row>
    <row r="150" spans="1:12">
      <c r="A150" s="10" t="s">
        <v>248</v>
      </c>
      <c r="B150" s="10" t="s">
        <v>249</v>
      </c>
      <c r="C150" s="13">
        <f>_xll.BDH("ALB US Equity","NUM_IND_DIR_ON_NOM_CMTE","FY 2013","FY 2013","Currency=USD","Period=FY","BEST_FPERIOD_OVERRIDE=FY","FILING_STATUS=MR","Sort=A","Dates=H","DateFormat=P","Fill=—","Direction=H","UseDPDF=Y")</f>
        <v>4</v>
      </c>
      <c r="D150" s="13">
        <f>_xll.BDH("ALB US Equity","NUM_IND_DIR_ON_NOM_CMTE","FY 2014","FY 2014","Currency=USD","Period=FY","BEST_FPERIOD_OVERRIDE=FY","FILING_STATUS=MR","Sort=A","Dates=H","DateFormat=P","Fill=—","Direction=H","UseDPDF=Y")</f>
        <v>2</v>
      </c>
      <c r="E150" s="13">
        <f>_xll.BDH("ALB US Equity","NUM_IND_DIR_ON_NOM_CMTE","FY 2015","FY 2015","Currency=USD","Period=FY","BEST_FPERIOD_OVERRIDE=FY","FILING_STATUS=MR","Sort=A","Dates=H","DateFormat=P","Fill=—","Direction=H","UseDPDF=Y")</f>
        <v>3</v>
      </c>
      <c r="F150" s="13">
        <f>_xll.BDH("ALB US Equity","NUM_IND_DIR_ON_NOM_CMTE","FY 2016","FY 2016","Currency=USD","Period=FY","BEST_FPERIOD_OVERRIDE=FY","FILING_STATUS=MR","Sort=A","Dates=H","DateFormat=P","Fill=—","Direction=H","UseDPDF=Y")</f>
        <v>3</v>
      </c>
      <c r="G150" s="13">
        <f>_xll.BDH("ALB US Equity","NUM_IND_DIR_ON_NOM_CMTE","FY 2017","FY 2017","Currency=USD","Period=FY","BEST_FPERIOD_OVERRIDE=FY","FILING_STATUS=MR","Sort=A","Dates=H","DateFormat=P","Fill=—","Direction=H","UseDPDF=Y")</f>
        <v>3</v>
      </c>
      <c r="H150" s="13">
        <f>_xll.BDH("ALB US Equity","NUM_IND_DIR_ON_NOM_CMTE","FY 2018","FY 2018","Currency=USD","Period=FY","BEST_FPERIOD_OVERRIDE=FY","FILING_STATUS=MR","Sort=A","Dates=H","DateFormat=P","Fill=—","Direction=H","UseDPDF=Y")</f>
        <v>3</v>
      </c>
      <c r="I150" s="13">
        <f>_xll.BDH("ALB US Equity","NUM_IND_DIR_ON_NOM_CMTE","FY 2019","FY 2019","Currency=USD","Period=FY","BEST_FPERIOD_OVERRIDE=FY","FILING_STATUS=MR","Sort=A","Dates=H","DateFormat=P","Fill=—","Direction=H","UseDPDF=Y")</f>
        <v>4</v>
      </c>
      <c r="J150" s="13">
        <f>_xll.BDH("ALB US Equity","NUM_IND_DIR_ON_NOM_CMTE","FY 2020","FY 2020","Currency=USD","Period=FY","BEST_FPERIOD_OVERRIDE=FY","FILING_STATUS=MR","Sort=A","Dates=H","DateFormat=P","Fill=—","Direction=H","UseDPDF=Y")</f>
        <v>3</v>
      </c>
      <c r="K150" s="13">
        <f>_xll.BDH("ALB US Equity","NUM_IND_DIR_ON_NOM_CMTE","FY 2021","FY 2021","Currency=USD","Period=FY","BEST_FPERIOD_OVERRIDE=FY","FILING_STATUS=MR","Sort=A","Dates=H","DateFormat=P","Fill=—","Direction=H","UseDPDF=Y")</f>
        <v>3</v>
      </c>
      <c r="L150" s="13">
        <f>_xll.BDH("ALB US Equity","NUM_IND_DIR_ON_NOM_CMTE","FY 2022","FY 2022","Currency=USD","Period=FY","BEST_FPERIOD_OVERRIDE=FY","FILING_STATUS=MR","Sort=A","Dates=H","DateFormat=P","Fill=—","Direction=H","UseDPDF=Y")</f>
        <v>3</v>
      </c>
    </row>
    <row r="151" spans="1:12">
      <c r="A151" s="10" t="s">
        <v>250</v>
      </c>
      <c r="B151" s="10" t="s">
        <v>251</v>
      </c>
      <c r="C151" s="13">
        <f>_xll.BDH("ALB US Equity","NUM_OF_NOMINATION_CMTE_MTG","FY 2013","FY 2013","Currency=USD","Period=FY","BEST_FPERIOD_OVERRIDE=FY","FILING_STATUS=MR","Sort=A","Dates=H","DateFormat=P","Fill=—","Direction=H","UseDPDF=Y")</f>
        <v>4</v>
      </c>
      <c r="D151" s="13">
        <f>_xll.BDH("ALB US Equity","NUM_OF_NOMINATION_CMTE_MTG","FY 2014","FY 2014","Currency=USD","Period=FY","BEST_FPERIOD_OVERRIDE=FY","FILING_STATUS=MR","Sort=A","Dates=H","DateFormat=P","Fill=—","Direction=H","UseDPDF=Y")</f>
        <v>4</v>
      </c>
      <c r="E151" s="13">
        <f>_xll.BDH("ALB US Equity","NUM_OF_NOMINATION_CMTE_MTG","FY 2015","FY 2015","Currency=USD","Period=FY","BEST_FPERIOD_OVERRIDE=FY","FILING_STATUS=MR","Sort=A","Dates=H","DateFormat=P","Fill=—","Direction=H","UseDPDF=Y")</f>
        <v>3</v>
      </c>
      <c r="F151" s="13">
        <f>_xll.BDH("ALB US Equity","NUM_OF_NOMINATION_CMTE_MTG","FY 2016","FY 2016","Currency=USD","Period=FY","BEST_FPERIOD_OVERRIDE=FY","FILING_STATUS=MR","Sort=A","Dates=H","DateFormat=P","Fill=—","Direction=H","UseDPDF=Y")</f>
        <v>4</v>
      </c>
      <c r="G151" s="13">
        <f>_xll.BDH("ALB US Equity","NUM_OF_NOMINATION_CMTE_MTG","FY 2017","FY 2017","Currency=USD","Period=FY","BEST_FPERIOD_OVERRIDE=FY","FILING_STATUS=MR","Sort=A","Dates=H","DateFormat=P","Fill=—","Direction=H","UseDPDF=Y")</f>
        <v>4</v>
      </c>
      <c r="H151" s="13">
        <f>_xll.BDH("ALB US Equity","NUM_OF_NOMINATION_CMTE_MTG","FY 2018","FY 2018","Currency=USD","Period=FY","BEST_FPERIOD_OVERRIDE=FY","FILING_STATUS=MR","Sort=A","Dates=H","DateFormat=P","Fill=—","Direction=H","UseDPDF=Y")</f>
        <v>4</v>
      </c>
      <c r="I151" s="13">
        <f>_xll.BDH("ALB US Equity","NUM_OF_NOMINATION_CMTE_MTG","FY 2019","FY 2019","Currency=USD","Period=FY","BEST_FPERIOD_OVERRIDE=FY","FILING_STATUS=MR","Sort=A","Dates=H","DateFormat=P","Fill=—","Direction=H","UseDPDF=Y")</f>
        <v>5</v>
      </c>
      <c r="J151" s="13">
        <f>_xll.BDH("ALB US Equity","NUM_OF_NOMINATION_CMTE_MTG","FY 2020","FY 2020","Currency=USD","Period=FY","BEST_FPERIOD_OVERRIDE=FY","FILING_STATUS=MR","Sort=A","Dates=H","DateFormat=P","Fill=—","Direction=H","UseDPDF=Y")</f>
        <v>5</v>
      </c>
      <c r="K151" s="13">
        <f>_xll.BDH("ALB US Equity","NUM_OF_NOMINATION_CMTE_MTG","FY 2021","FY 2021","Currency=USD","Period=FY","BEST_FPERIOD_OVERRIDE=FY","FILING_STATUS=MR","Sort=A","Dates=H","DateFormat=P","Fill=—","Direction=H","UseDPDF=Y")</f>
        <v>4</v>
      </c>
      <c r="L151" s="13">
        <f>_xll.BDH("ALB US Equity","NUM_OF_NOMINATION_CMTE_MTG","FY 2022","FY 2022","Currency=USD","Period=FY","BEST_FPERIOD_OVERRIDE=FY","FILING_STATUS=MR","Sort=A","Dates=H","DateFormat=P","Fill=—","Direction=H","UseDPDF=Y")</f>
        <v>4</v>
      </c>
    </row>
    <row r="152" spans="1:12">
      <c r="A152" s="10" t="s">
        <v>252</v>
      </c>
      <c r="B152" s="10" t="s">
        <v>253</v>
      </c>
      <c r="C152" s="13">
        <f>_xll.BDH("ALB US Equity","NOMINATION_CMTE_MTG_ATTEND_PCT","FY 2013","FY 2013","Currency=USD","Period=FY","BEST_FPERIOD_OVERRIDE=FY","FILING_STATUS=MR","Sort=A","Dates=H","DateFormat=P","Fill=—","Direction=H","UseDPDF=Y")</f>
        <v>75</v>
      </c>
      <c r="D152" s="13">
        <f>_xll.BDH("ALB US Equity","NOMINATION_CMTE_MTG_ATTEND_PCT","FY 2014","FY 2014","Currency=USD","Period=FY","BEST_FPERIOD_OVERRIDE=FY","FILING_STATUS=MR","Sort=A","Dates=H","DateFormat=P","Fill=—","Direction=H","UseDPDF=Y")</f>
        <v>75</v>
      </c>
      <c r="E152" s="13">
        <f>_xll.BDH("ALB US Equity","NOMINATION_CMTE_MTG_ATTEND_PCT","FY 2015","FY 2015","Currency=USD","Period=FY","BEST_FPERIOD_OVERRIDE=FY","FILING_STATUS=MR","Sort=A","Dates=H","DateFormat=P","Fill=—","Direction=H","UseDPDF=Y")</f>
        <v>75</v>
      </c>
      <c r="F152" s="13">
        <f>_xll.BDH("ALB US Equity","NOMINATION_CMTE_MTG_ATTEND_PCT","FY 2016","FY 2016","Currency=USD","Period=FY","BEST_FPERIOD_OVERRIDE=FY","FILING_STATUS=MR","Sort=A","Dates=H","DateFormat=P","Fill=—","Direction=H","UseDPDF=Y")</f>
        <v>75</v>
      </c>
      <c r="G152" s="13">
        <f>_xll.BDH("ALB US Equity","NOMINATION_CMTE_MTG_ATTEND_PCT","FY 2017","FY 2017","Currency=USD","Period=FY","BEST_FPERIOD_OVERRIDE=FY","FILING_STATUS=MR","Sort=A","Dates=H","DateFormat=P","Fill=—","Direction=H","UseDPDF=Y")</f>
        <v>75</v>
      </c>
      <c r="H152" s="13">
        <f>_xll.BDH("ALB US Equity","NOMINATION_CMTE_MTG_ATTEND_PCT","FY 2018","FY 2018","Currency=USD","Period=FY","BEST_FPERIOD_OVERRIDE=FY","FILING_STATUS=MR","Sort=A","Dates=H","DateFormat=P","Fill=—","Direction=H","UseDPDF=Y")</f>
        <v>75</v>
      </c>
      <c r="I152" s="13">
        <f>_xll.BDH("ALB US Equity","NOMINATION_CMTE_MTG_ATTEND_PCT","FY 2019","FY 2019","Currency=USD","Period=FY","BEST_FPERIOD_OVERRIDE=FY","FILING_STATUS=MR","Sort=A","Dates=H","DateFormat=P","Fill=—","Direction=H","UseDPDF=Y")</f>
        <v>75</v>
      </c>
      <c r="J152" s="13">
        <f>_xll.BDH("ALB US Equity","NOMINATION_CMTE_MTG_ATTEND_PCT","FY 2020","FY 2020","Currency=USD","Period=FY","BEST_FPERIOD_OVERRIDE=FY","FILING_STATUS=MR","Sort=A","Dates=H","DateFormat=P","Fill=—","Direction=H","UseDPDF=Y")</f>
        <v>75</v>
      </c>
      <c r="K152" s="13">
        <f>_xll.BDH("ALB US Equity","NOMINATION_CMTE_MTG_ATTEND_PCT","FY 2021","FY 2021","Currency=USD","Period=FY","BEST_FPERIOD_OVERRIDE=FY","FILING_STATUS=MR","Sort=A","Dates=H","DateFormat=P","Fill=—","Direction=H","UseDPDF=Y")</f>
        <v>75</v>
      </c>
      <c r="L152" s="13">
        <f>_xll.BDH("ALB US Equity","NOMINATION_CMTE_MTG_ATTEND_PCT","FY 2022","FY 2022","Currency=USD","Period=FY","BEST_FPERIOD_OVERRIDE=FY","FILING_STATUS=MR","Sort=A","Dates=H","DateFormat=P","Fill=—","Direction=H","UseDPDF=Y")</f>
        <v>75</v>
      </c>
    </row>
    <row r="153" spans="1:1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>
      <c r="A154" s="10" t="s">
        <v>254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>
      <c r="A155" s="10" t="s">
        <v>255</v>
      </c>
      <c r="B155" s="10" t="s">
        <v>256</v>
      </c>
      <c r="C155" s="11" t="s">
        <v>55</v>
      </c>
      <c r="D155" s="11" t="s">
        <v>55</v>
      </c>
      <c r="E155" s="11" t="s">
        <v>55</v>
      </c>
      <c r="F155" s="11" t="s">
        <v>55</v>
      </c>
      <c r="G155" s="11" t="s">
        <v>55</v>
      </c>
      <c r="H155" s="11" t="s">
        <v>55</v>
      </c>
      <c r="I155" s="11" t="s">
        <v>55</v>
      </c>
      <c r="J155" s="11" t="s">
        <v>55</v>
      </c>
      <c r="K155" s="11" t="s">
        <v>52</v>
      </c>
      <c r="L155" s="11" t="s">
        <v>52</v>
      </c>
    </row>
    <row r="156" spans="1:12">
      <c r="A156" s="10" t="s">
        <v>257</v>
      </c>
      <c r="B156" s="10" t="s">
        <v>258</v>
      </c>
      <c r="C156" s="11" t="s">
        <v>55</v>
      </c>
      <c r="D156" s="11" t="s">
        <v>55</v>
      </c>
      <c r="E156" s="11" t="s">
        <v>55</v>
      </c>
      <c r="F156" s="11" t="s">
        <v>55</v>
      </c>
      <c r="G156" s="11" t="s">
        <v>55</v>
      </c>
      <c r="H156" s="11" t="s">
        <v>55</v>
      </c>
      <c r="I156" s="11" t="s">
        <v>55</v>
      </c>
      <c r="J156" s="11" t="s">
        <v>55</v>
      </c>
      <c r="K156" s="11" t="s">
        <v>55</v>
      </c>
      <c r="L156" s="11" t="s">
        <v>55</v>
      </c>
    </row>
    <row r="157" spans="1:1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>
      <c r="A158" s="10" t="s">
        <v>259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>
      <c r="A159" s="10" t="s">
        <v>260</v>
      </c>
      <c r="B159" s="10" t="s">
        <v>261</v>
      </c>
      <c r="C159" s="13">
        <f>_xll.BDH("ALB US Equity","BOARD_DURATION","FY 2013","FY 2013","Currency=USD","Period=FY","BEST_FPERIOD_OVERRIDE=FY","FILING_STATUS=MR","Sort=A","Dates=H","DateFormat=P","Fill=—","Direction=H","UseDPDF=Y")</f>
        <v>1</v>
      </c>
      <c r="D159" s="13">
        <f>_xll.BDH("ALB US Equity","BOARD_DURATION","FY 2014","FY 2014","Currency=USD","Period=FY","BEST_FPERIOD_OVERRIDE=FY","FILING_STATUS=MR","Sort=A","Dates=H","DateFormat=P","Fill=—","Direction=H","UseDPDF=Y")</f>
        <v>1</v>
      </c>
      <c r="E159" s="13">
        <f>_xll.BDH("ALB US Equity","BOARD_DURATION","FY 2015","FY 2015","Currency=USD","Period=FY","BEST_FPERIOD_OVERRIDE=FY","FILING_STATUS=MR","Sort=A","Dates=H","DateFormat=P","Fill=—","Direction=H","UseDPDF=Y")</f>
        <v>1</v>
      </c>
      <c r="F159" s="13">
        <f>_xll.BDH("ALB US Equity","BOARD_DURATION","FY 2016","FY 2016","Currency=USD","Period=FY","BEST_FPERIOD_OVERRIDE=FY","FILING_STATUS=MR","Sort=A","Dates=H","DateFormat=P","Fill=—","Direction=H","UseDPDF=Y")</f>
        <v>1</v>
      </c>
      <c r="G159" s="13">
        <f>_xll.BDH("ALB US Equity","BOARD_DURATION","FY 2017","FY 2017","Currency=USD","Period=FY","BEST_FPERIOD_OVERRIDE=FY","FILING_STATUS=MR","Sort=A","Dates=H","DateFormat=P","Fill=—","Direction=H","UseDPDF=Y")</f>
        <v>1</v>
      </c>
      <c r="H159" s="13">
        <f>_xll.BDH("ALB US Equity","BOARD_DURATION","FY 2018","FY 2018","Currency=USD","Period=FY","BEST_FPERIOD_OVERRIDE=FY","FILING_STATUS=MR","Sort=A","Dates=H","DateFormat=P","Fill=—","Direction=H","UseDPDF=Y")</f>
        <v>1</v>
      </c>
      <c r="I159" s="13">
        <f>_xll.BDH("ALB US Equity","BOARD_DURATION","FY 2019","FY 2019","Currency=USD","Period=FY","BEST_FPERIOD_OVERRIDE=FY","FILING_STATUS=MR","Sort=A","Dates=H","DateFormat=P","Fill=—","Direction=H","UseDPDF=Y")</f>
        <v>1</v>
      </c>
      <c r="J159" s="13">
        <f>_xll.BDH("ALB US Equity","BOARD_DURATION","FY 2020","FY 2020","Currency=USD","Period=FY","BEST_FPERIOD_OVERRIDE=FY","FILING_STATUS=MR","Sort=A","Dates=H","DateFormat=P","Fill=—","Direction=H","UseDPDF=Y")</f>
        <v>1</v>
      </c>
      <c r="K159" s="13">
        <f>_xll.BDH("ALB US Equity","BOARD_DURATION","FY 2021","FY 2021","Currency=USD","Period=FY","BEST_FPERIOD_OVERRIDE=FY","FILING_STATUS=MR","Sort=A","Dates=H","DateFormat=P","Fill=—","Direction=H","UseDPDF=Y")</f>
        <v>1</v>
      </c>
      <c r="L159" s="13">
        <f>_xll.BDH("ALB US Equity","BOARD_DURATION","FY 2022","FY 2022","Currency=USD","Period=FY","BEST_FPERIOD_OVERRIDE=FY","FILING_STATUS=MR","Sort=A","Dates=H","DateFormat=P","Fill=—","Direction=H","UseDPDF=Y")</f>
        <v>1</v>
      </c>
    </row>
    <row r="160" spans="1:12">
      <c r="A160" s="10" t="s">
        <v>140</v>
      </c>
      <c r="B160" s="10" t="s">
        <v>141</v>
      </c>
      <c r="C160" s="12" t="str">
        <f>_xll.BDH("ALB US Equity","COMMUNITY_SPENDING","FY 2013","FY 2013","Currency=USD","Period=FY","BEST_FPERIOD_OVERRIDE=FY","FILING_STATUS=MR","SCALING_FORMAT=MLN","Sort=A","Dates=H","DateFormat=P","Fill=—","Direction=H","UseDPDF=Y")</f>
        <v>—</v>
      </c>
      <c r="D160" s="12" t="str">
        <f>_xll.BDH("ALB US Equity","COMMUNITY_SPENDING","FY 2014","FY 2014","Currency=USD","Period=FY","BEST_FPERIOD_OVERRIDE=FY","FILING_STATUS=MR","SCALING_FORMAT=MLN","Sort=A","Dates=H","DateFormat=P","Fill=—","Direction=H","UseDPDF=Y")</f>
        <v>—</v>
      </c>
      <c r="E160" s="12" t="str">
        <f>_xll.BDH("ALB US Equity","COMMUNITY_SPENDING","FY 2015","FY 2015","Currency=USD","Period=FY","BEST_FPERIOD_OVERRIDE=FY","FILING_STATUS=MR","SCALING_FORMAT=MLN","Sort=A","Dates=H","DateFormat=P","Fill=—","Direction=H","UseDPDF=Y")</f>
        <v>—</v>
      </c>
      <c r="F160" s="12" t="str">
        <f>_xll.BDH("ALB US Equity","COMMUNITY_SPENDING","FY 2016","FY 2016","Currency=USD","Period=FY","BEST_FPERIOD_OVERRIDE=FY","FILING_STATUS=MR","SCALING_FORMAT=MLN","Sort=A","Dates=H","DateFormat=P","Fill=—","Direction=H","UseDPDF=Y")</f>
        <v>—</v>
      </c>
      <c r="G160" s="12" t="str">
        <f>_xll.BDH("ALB US Equity","COMMUNITY_SPENDING","FY 2017","FY 2017","Currency=USD","Period=FY","BEST_FPERIOD_OVERRIDE=FY","FILING_STATUS=MR","SCALING_FORMAT=MLN","Sort=A","Dates=H","DateFormat=P","Fill=—","Direction=H","UseDPDF=Y")</f>
        <v>—</v>
      </c>
      <c r="H160" s="12" t="str">
        <f>_xll.BDH("ALB US Equity","COMMUNITY_SPENDING","FY 2018","FY 2018","Currency=USD","Period=FY","BEST_FPERIOD_OVERRIDE=FY","FILING_STATUS=MR","SCALING_FORMAT=MLN","Sort=A","Dates=H","DateFormat=P","Fill=—","Direction=H","UseDPDF=Y")</f>
        <v>—</v>
      </c>
      <c r="I160" s="12" t="str">
        <f>_xll.BDH("ALB US Equity","COMMUNITY_SPENDING","FY 2019","FY 2019","Currency=USD","Period=FY","BEST_FPERIOD_OVERRIDE=FY","FILING_STATUS=MR","SCALING_FORMAT=MLN","Sort=A","Dates=H","DateFormat=P","Fill=—","Direction=H","UseDPDF=Y")</f>
        <v>—</v>
      </c>
      <c r="J160" s="12">
        <f>_xll.BDH("ALB US Equity","COMMUNITY_SPENDING","FY 2020","FY 2020","Currency=USD","Period=FY","BEST_FPERIOD_OVERRIDE=FY","FILING_STATUS=MR","SCALING_FORMAT=MLN","Sort=A","Dates=H","DateFormat=P","Fill=—","Direction=H","UseDPDF=Y")</f>
        <v>6</v>
      </c>
      <c r="K160" s="12">
        <f>_xll.BDH("ALB US Equity","COMMUNITY_SPENDING","FY 2021","FY 2021","Currency=USD","Period=FY","BEST_FPERIOD_OVERRIDE=FY","FILING_STATUS=MR","SCALING_FORMAT=MLN","Sort=A","Dates=H","DateFormat=P","Fill=—","Direction=H","UseDPDF=Y")</f>
        <v>6</v>
      </c>
      <c r="L160" s="12">
        <f>_xll.BDH("ALB US Equity","COMMUNITY_SPENDING","FY 2022","FY 2022","Currency=USD","Period=FY","BEST_FPERIOD_OVERRIDE=FY","FILING_STATUS=MR","SCALING_FORMAT=MLN","Sort=A","Dates=H","DateFormat=P","Fill=—","Direction=H","UseDPDF=Y")</f>
        <v>5.7</v>
      </c>
    </row>
    <row r="161" spans="1:12">
      <c r="A161" s="7" t="s">
        <v>262</v>
      </c>
      <c r="B161" s="7"/>
      <c r="C161" s="7" t="s">
        <v>263</v>
      </c>
      <c r="D161" s="7"/>
      <c r="E161" s="7"/>
      <c r="F161" s="7"/>
      <c r="G161" s="7"/>
      <c r="H161" s="7"/>
      <c r="I161" s="7"/>
      <c r="J161" s="7"/>
      <c r="K161" s="7"/>
      <c r="L1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2023-12-04T20:10:03Z</dcterms:modified>
  <cp:category/>
  <cp:contentStatus/>
</cp:coreProperties>
</file>