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b-my.sharepoint.com/personal/hm23424_bristol_ac_uk/Documents/"/>
    </mc:Choice>
  </mc:AlternateContent>
  <xr:revisionPtr revIDLastSave="0" documentId="8_{E99685F5-E007-4E45-8F73-AEAB39C0E1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SG - Overview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  <c r="E98" i="2"/>
  <c r="G101" i="2"/>
  <c r="C109" i="2"/>
  <c r="K99" i="2"/>
  <c r="G118" i="2"/>
  <c r="I110" i="2"/>
  <c r="I125" i="2"/>
  <c r="K116" i="2"/>
  <c r="E127" i="2"/>
  <c r="K128" i="2"/>
  <c r="E112" i="2"/>
  <c r="G132" i="2"/>
  <c r="C120" i="2"/>
  <c r="I135" i="2"/>
  <c r="E141" i="2"/>
  <c r="C134" i="2"/>
  <c r="K142" i="2"/>
  <c r="C117" i="2"/>
  <c r="I118" i="2"/>
  <c r="G144" i="2"/>
  <c r="H144" i="2"/>
  <c r="C131" i="2"/>
  <c r="K135" i="2"/>
  <c r="E120" i="2"/>
  <c r="H127" i="2"/>
  <c r="I132" i="2"/>
  <c r="K125" i="2"/>
  <c r="E134" i="2"/>
  <c r="D131" i="2"/>
  <c r="G127" i="2"/>
  <c r="C143" i="2"/>
  <c r="G141" i="2"/>
  <c r="I144" i="2"/>
  <c r="L125" i="2"/>
  <c r="K13" i="2"/>
  <c r="J132" i="2"/>
  <c r="H141" i="2"/>
  <c r="F134" i="2"/>
  <c r="L135" i="2"/>
  <c r="G32" i="2"/>
  <c r="J144" i="2"/>
  <c r="L142" i="2"/>
  <c r="F112" i="2"/>
  <c r="D143" i="2"/>
  <c r="K44" i="2"/>
  <c r="J66" i="2"/>
  <c r="J125" i="2"/>
  <c r="J57" i="2"/>
  <c r="I15" i="2"/>
  <c r="F7" i="2"/>
  <c r="I101" i="2"/>
  <c r="F20" i="2"/>
  <c r="G43" i="2"/>
  <c r="H83" i="2"/>
  <c r="I89" i="2"/>
  <c r="H23" i="2"/>
  <c r="L49" i="2"/>
  <c r="L66" i="2"/>
  <c r="D45" i="2"/>
  <c r="F34" i="2"/>
  <c r="H54" i="2"/>
  <c r="F91" i="2"/>
  <c r="E65" i="2"/>
  <c r="F48" i="2"/>
  <c r="H98" i="2"/>
  <c r="J89" i="2"/>
  <c r="L92" i="2"/>
  <c r="D117" i="2"/>
  <c r="D100" i="2"/>
  <c r="F109" i="2"/>
  <c r="J118" i="2"/>
  <c r="L110" i="2"/>
  <c r="J101" i="2"/>
  <c r="H112" i="2"/>
  <c r="G7" i="2"/>
  <c r="F120" i="2"/>
  <c r="I10" i="2"/>
  <c r="K15" i="2"/>
  <c r="C9" i="2"/>
  <c r="E14" i="2"/>
  <c r="I23" i="2"/>
  <c r="C36" i="2"/>
  <c r="E31" i="2"/>
  <c r="I54" i="2"/>
  <c r="E45" i="2"/>
  <c r="G20" i="2"/>
  <c r="C22" i="2"/>
  <c r="I83" i="2"/>
  <c r="K32" i="2"/>
  <c r="I43" i="2"/>
  <c r="C78" i="2"/>
  <c r="K57" i="2"/>
  <c r="K101" i="2"/>
  <c r="K46" i="2"/>
  <c r="G34" i="2"/>
  <c r="C50" i="2"/>
  <c r="E56" i="2"/>
  <c r="G48" i="2"/>
  <c r="G65" i="2"/>
  <c r="G91" i="2"/>
  <c r="E88" i="2"/>
  <c r="K89" i="2"/>
  <c r="E100" i="2"/>
  <c r="I98" i="2"/>
  <c r="I112" i="2"/>
  <c r="C93" i="2"/>
  <c r="G109" i="2"/>
  <c r="C111" i="2"/>
  <c r="K118" i="2"/>
  <c r="C10" i="2"/>
  <c r="G120" i="2"/>
  <c r="C126" i="2"/>
  <c r="I141" i="2"/>
  <c r="E117" i="2"/>
  <c r="I127" i="2"/>
  <c r="G134" i="2"/>
  <c r="C138" i="2"/>
  <c r="K132" i="2"/>
  <c r="E131" i="2"/>
  <c r="F56" i="2"/>
  <c r="D7" i="2"/>
  <c r="E143" i="2"/>
  <c r="H65" i="2"/>
  <c r="D34" i="2"/>
  <c r="C48" i="2"/>
  <c r="H118" i="2"/>
  <c r="K55" i="2"/>
  <c r="E83" i="2"/>
  <c r="J21" i="2"/>
  <c r="I21" i="2"/>
  <c r="D78" i="2"/>
  <c r="J83" i="2"/>
  <c r="K144" i="2"/>
  <c r="H91" i="2"/>
  <c r="D93" i="2"/>
  <c r="L57" i="2"/>
  <c r="F88" i="2"/>
  <c r="L89" i="2"/>
  <c r="J98" i="2"/>
  <c r="H109" i="2"/>
  <c r="F100" i="2"/>
  <c r="D126" i="2"/>
  <c r="L101" i="2"/>
  <c r="H120" i="2"/>
  <c r="D111" i="2"/>
  <c r="J112" i="2"/>
  <c r="F117" i="2"/>
  <c r="F131" i="2"/>
  <c r="J127" i="2"/>
  <c r="L118" i="2"/>
  <c r="H134" i="2"/>
  <c r="C7" i="2"/>
  <c r="D138" i="2"/>
  <c r="I35" i="2"/>
  <c r="G15" i="2"/>
  <c r="L132" i="2"/>
  <c r="J141" i="2"/>
  <c r="F143" i="2"/>
  <c r="K30" i="2"/>
  <c r="L144" i="2"/>
  <c r="G83" i="2"/>
  <c r="D65" i="2"/>
  <c r="E54" i="2"/>
  <c r="L116" i="2"/>
  <c r="J32" i="2"/>
  <c r="L30" i="2"/>
  <c r="E48" i="2"/>
  <c r="C90" i="2"/>
  <c r="F141" i="2"/>
  <c r="L13" i="2"/>
  <c r="J92" i="2"/>
  <c r="C64" i="2"/>
  <c r="H46" i="2"/>
  <c r="C100" i="2"/>
  <c r="G56" i="2"/>
  <c r="E78" i="2"/>
  <c r="G88" i="2"/>
  <c r="G131" i="2"/>
  <c r="K83" i="2"/>
  <c r="F10" i="2"/>
  <c r="I65" i="2"/>
  <c r="C108" i="2"/>
  <c r="E93" i="2"/>
  <c r="G100" i="2"/>
  <c r="C20" i="2"/>
  <c r="K98" i="2"/>
  <c r="E111" i="2"/>
  <c r="I109" i="2"/>
  <c r="K112" i="2"/>
  <c r="K127" i="2"/>
  <c r="I120" i="2"/>
  <c r="C119" i="2"/>
  <c r="J135" i="2"/>
  <c r="C133" i="2"/>
  <c r="I134" i="2"/>
  <c r="I91" i="2"/>
  <c r="G117" i="2"/>
  <c r="K141" i="2"/>
  <c r="E138" i="2"/>
  <c r="G10" i="2"/>
  <c r="C151" i="2"/>
  <c r="G8" i="2"/>
  <c r="C65" i="2"/>
  <c r="E126" i="2"/>
  <c r="I92" i="2"/>
  <c r="J35" i="2"/>
  <c r="F23" i="2"/>
  <c r="J46" i="2"/>
  <c r="D48" i="2"/>
  <c r="H101" i="2"/>
  <c r="G98" i="2"/>
  <c r="H57" i="2"/>
  <c r="L21" i="2"/>
  <c r="G23" i="2"/>
  <c r="D31" i="2"/>
  <c r="C45" i="2"/>
  <c r="G143" i="2"/>
  <c r="L35" i="2"/>
  <c r="C56" i="2"/>
  <c r="H10" i="2"/>
  <c r="E22" i="2"/>
  <c r="H89" i="2"/>
  <c r="I7" i="2"/>
  <c r="K10" i="2"/>
  <c r="F9" i="2"/>
  <c r="C16" i="2"/>
  <c r="G31" i="2"/>
  <c r="I48" i="2"/>
  <c r="I32" i="2"/>
  <c r="E36" i="2"/>
  <c r="G45" i="2"/>
  <c r="D16" i="2"/>
  <c r="H88" i="2"/>
  <c r="J91" i="2"/>
  <c r="J48" i="2"/>
  <c r="L141" i="2"/>
  <c r="F111" i="2"/>
  <c r="D119" i="2"/>
  <c r="L112" i="2"/>
  <c r="D108" i="2"/>
  <c r="H117" i="2"/>
  <c r="F43" i="2"/>
  <c r="J109" i="2"/>
  <c r="H131" i="2"/>
  <c r="F93" i="2"/>
  <c r="J120" i="2"/>
  <c r="F138" i="2"/>
  <c r="D151" i="2"/>
  <c r="C91" i="2"/>
  <c r="H143" i="2"/>
  <c r="D133" i="2"/>
  <c r="L127" i="2"/>
  <c r="E43" i="2"/>
  <c r="D20" i="2"/>
  <c r="L55" i="2"/>
  <c r="E7" i="2"/>
  <c r="F126" i="2"/>
  <c r="E109" i="2"/>
  <c r="J134" i="2"/>
  <c r="L128" i="2"/>
  <c r="K21" i="2"/>
  <c r="G22" i="2"/>
  <c r="K54" i="2"/>
  <c r="L10" i="2"/>
  <c r="L43" i="2"/>
  <c r="E91" i="2"/>
  <c r="L83" i="2"/>
  <c r="H31" i="2"/>
  <c r="F22" i="2"/>
  <c r="J65" i="2"/>
  <c r="C13" i="2"/>
  <c r="H100" i="2"/>
  <c r="L54" i="2"/>
  <c r="G36" i="2"/>
  <c r="K20" i="2"/>
  <c r="K34" i="2"/>
  <c r="K91" i="2"/>
  <c r="I31" i="2"/>
  <c r="K48" i="2"/>
  <c r="H43" i="2"/>
  <c r="C55" i="2"/>
  <c r="G50" i="2"/>
  <c r="E47" i="2"/>
  <c r="I56" i="2"/>
  <c r="K65" i="2"/>
  <c r="E64" i="2"/>
  <c r="C99" i="2"/>
  <c r="I88" i="2"/>
  <c r="G78" i="2"/>
  <c r="I45" i="2"/>
  <c r="C87" i="2"/>
  <c r="E90" i="2"/>
  <c r="G93" i="2"/>
  <c r="I100" i="2"/>
  <c r="E108" i="2"/>
  <c r="K120" i="2"/>
  <c r="I117" i="2"/>
  <c r="K109" i="2"/>
  <c r="C116" i="2"/>
  <c r="I131" i="2"/>
  <c r="E119" i="2"/>
  <c r="E133" i="2"/>
  <c r="G111" i="2"/>
  <c r="G126" i="2"/>
  <c r="C128" i="2"/>
  <c r="K8" i="2"/>
  <c r="F127" i="2"/>
  <c r="E151" i="2"/>
  <c r="C142" i="2"/>
  <c r="I143" i="2"/>
  <c r="G138" i="2"/>
  <c r="C31" i="2"/>
  <c r="D109" i="2"/>
  <c r="K134" i="2"/>
  <c r="K35" i="2"/>
  <c r="I57" i="2"/>
  <c r="I46" i="2"/>
  <c r="C88" i="2"/>
  <c r="G54" i="2"/>
  <c r="D36" i="2"/>
  <c r="J15" i="2"/>
  <c r="L8" i="2"/>
  <c r="K110" i="2"/>
  <c r="D88" i="2"/>
  <c r="F65" i="2"/>
  <c r="D56" i="2"/>
  <c r="L15" i="2"/>
  <c r="F45" i="2"/>
  <c r="J10" i="2"/>
  <c r="H48" i="2"/>
  <c r="J7" i="2"/>
  <c r="K23" i="2"/>
  <c r="I34" i="2"/>
  <c r="D50" i="2"/>
  <c r="K92" i="2"/>
  <c r="D22" i="2"/>
  <c r="I20" i="2"/>
  <c r="J20" i="2"/>
  <c r="D33" i="2"/>
  <c r="D9" i="2"/>
  <c r="H22" i="2"/>
  <c r="E50" i="2"/>
  <c r="K43" i="2"/>
  <c r="H45" i="2"/>
  <c r="J31" i="2"/>
  <c r="L34" i="2"/>
  <c r="D44" i="2"/>
  <c r="J14" i="2"/>
  <c r="H36" i="2"/>
  <c r="F47" i="2"/>
  <c r="J45" i="2"/>
  <c r="F33" i="2"/>
  <c r="L48" i="2"/>
  <c r="J88" i="2"/>
  <c r="H50" i="2"/>
  <c r="F64" i="2"/>
  <c r="D55" i="2"/>
  <c r="J56" i="2"/>
  <c r="L65" i="2"/>
  <c r="H78" i="2"/>
  <c r="D87" i="2"/>
  <c r="L91" i="2"/>
  <c r="F90" i="2"/>
  <c r="D99" i="2"/>
  <c r="H93" i="2"/>
  <c r="L109" i="2"/>
  <c r="F108" i="2"/>
  <c r="F14" i="2"/>
  <c r="J100" i="2"/>
  <c r="H111" i="2"/>
  <c r="D116" i="2"/>
  <c r="J131" i="2"/>
  <c r="D128" i="2"/>
  <c r="L120" i="2"/>
  <c r="J117" i="2"/>
  <c r="H126" i="2"/>
  <c r="F119" i="2"/>
  <c r="L134" i="2"/>
  <c r="D142" i="2"/>
  <c r="F133" i="2"/>
  <c r="H138" i="2"/>
  <c r="J143" i="2"/>
  <c r="I8" i="2"/>
  <c r="C34" i="2"/>
  <c r="I66" i="2"/>
  <c r="F151" i="2"/>
  <c r="F83" i="2"/>
  <c r="G89" i="2"/>
  <c r="I49" i="2"/>
  <c r="F54" i="2"/>
  <c r="D91" i="2"/>
  <c r="D120" i="2"/>
  <c r="C14" i="2"/>
  <c r="L99" i="2"/>
  <c r="L44" i="2"/>
  <c r="K49" i="2"/>
  <c r="E34" i="2"/>
  <c r="H132" i="2"/>
  <c r="K66" i="2"/>
  <c r="D14" i="2"/>
  <c r="H56" i="2"/>
  <c r="H7" i="2"/>
  <c r="G112" i="2"/>
  <c r="H20" i="2"/>
  <c r="E9" i="2"/>
  <c r="J23" i="2"/>
  <c r="J54" i="2"/>
  <c r="G14" i="2"/>
  <c r="I14" i="2"/>
  <c r="L46" i="2"/>
  <c r="C47" i="2"/>
  <c r="C33" i="2"/>
  <c r="J34" i="2"/>
  <c r="L23" i="2"/>
  <c r="D47" i="2"/>
  <c r="L32" i="2"/>
  <c r="F36" i="2"/>
  <c r="J43" i="2"/>
  <c r="H14" i="2"/>
  <c r="G9" i="2"/>
  <c r="F50" i="2"/>
  <c r="D64" i="2"/>
  <c r="F31" i="2"/>
  <c r="D90" i="2"/>
  <c r="K7" i="2"/>
  <c r="F78" i="2"/>
  <c r="K31" i="2"/>
  <c r="H34" i="2"/>
  <c r="L98" i="2"/>
  <c r="E16" i="2"/>
  <c r="C30" i="2"/>
  <c r="E33" i="2"/>
  <c r="D13" i="2"/>
  <c r="H9" i="2"/>
  <c r="C44" i="2"/>
  <c r="E30" i="2"/>
  <c r="L20" i="2"/>
  <c r="D30" i="2"/>
  <c r="F16" i="2"/>
  <c r="C8" i="2"/>
  <c r="G16" i="2"/>
  <c r="I9" i="2"/>
  <c r="E13" i="2"/>
  <c r="K14" i="2"/>
  <c r="I22" i="2"/>
  <c r="L7" i="2"/>
  <c r="C21" i="2"/>
  <c r="E44" i="2"/>
  <c r="I36" i="2"/>
  <c r="E87" i="2"/>
  <c r="G47" i="2"/>
  <c r="C35" i="2"/>
  <c r="K56" i="2"/>
  <c r="I50" i="2"/>
  <c r="K45" i="2"/>
  <c r="I78" i="2"/>
  <c r="C66" i="2"/>
  <c r="C49" i="2"/>
  <c r="G64" i="2"/>
  <c r="E55" i="2"/>
  <c r="C92" i="2"/>
  <c r="K88" i="2"/>
  <c r="G33" i="2"/>
  <c r="I93" i="2"/>
  <c r="G90" i="2"/>
  <c r="K100" i="2"/>
  <c r="E99" i="2"/>
  <c r="J8" i="2"/>
  <c r="K117" i="2"/>
  <c r="C110" i="2"/>
  <c r="E116" i="2"/>
  <c r="I126" i="2"/>
  <c r="G108" i="2"/>
  <c r="C125" i="2"/>
  <c r="E142" i="2"/>
  <c r="K131" i="2"/>
  <c r="I111" i="2"/>
  <c r="G119" i="2"/>
  <c r="H15" i="2"/>
  <c r="K143" i="2"/>
  <c r="C135" i="2"/>
  <c r="I138" i="2"/>
  <c r="G57" i="2"/>
  <c r="E128" i="2"/>
  <c r="G133" i="2"/>
  <c r="H151" i="2"/>
  <c r="H32" i="2"/>
  <c r="G46" i="2"/>
  <c r="G151" i="2"/>
  <c r="K87" i="2"/>
  <c r="J49" i="2"/>
  <c r="D8" i="2"/>
  <c r="L87" i="2"/>
  <c r="F98" i="2"/>
  <c r="D134" i="2"/>
  <c r="L14" i="2"/>
  <c r="J110" i="2"/>
  <c r="J9" i="2"/>
  <c r="F13" i="2"/>
  <c r="E20" i="2"/>
  <c r="H16" i="2"/>
  <c r="J36" i="2"/>
  <c r="L31" i="2"/>
  <c r="D21" i="2"/>
  <c r="F30" i="2"/>
  <c r="D35" i="2"/>
  <c r="H33" i="2"/>
  <c r="F55" i="2"/>
  <c r="F44" i="2"/>
  <c r="J50" i="2"/>
  <c r="J78" i="2"/>
  <c r="L88" i="2"/>
  <c r="H64" i="2"/>
  <c r="H47" i="2"/>
  <c r="L45" i="2"/>
  <c r="D49" i="2"/>
  <c r="F87" i="2"/>
  <c r="L56" i="2"/>
  <c r="D66" i="2"/>
  <c r="L100" i="2"/>
  <c r="H90" i="2"/>
  <c r="D92" i="2"/>
  <c r="H108" i="2"/>
  <c r="J93" i="2"/>
  <c r="F99" i="2"/>
  <c r="D110" i="2"/>
  <c r="J111" i="2"/>
  <c r="E8" i="2"/>
  <c r="H119" i="2"/>
  <c r="C15" i="2"/>
  <c r="F116" i="2"/>
  <c r="L117" i="2"/>
  <c r="H133" i="2"/>
  <c r="E21" i="2"/>
  <c r="D125" i="2"/>
  <c r="J126" i="2"/>
  <c r="I16" i="2"/>
  <c r="C46" i="2"/>
  <c r="D135" i="2"/>
  <c r="K36" i="2"/>
  <c r="G13" i="2"/>
  <c r="G30" i="2"/>
  <c r="J138" i="2"/>
  <c r="L131" i="2"/>
  <c r="L143" i="2"/>
  <c r="K9" i="2"/>
  <c r="F128" i="2"/>
  <c r="F142" i="2"/>
  <c r="C32" i="2"/>
  <c r="K22" i="2"/>
  <c r="C57" i="2"/>
  <c r="E35" i="2"/>
  <c r="I47" i="2"/>
  <c r="I33" i="2"/>
  <c r="K50" i="2"/>
  <c r="E49" i="2"/>
  <c r="G44" i="2"/>
  <c r="G55" i="2"/>
  <c r="I64" i="2"/>
  <c r="E66" i="2"/>
  <c r="K78" i="2"/>
  <c r="I90" i="2"/>
  <c r="G87" i="2"/>
  <c r="E125" i="2"/>
  <c r="D15" i="2"/>
  <c r="I119" i="2"/>
  <c r="C89" i="2"/>
  <c r="G128" i="2"/>
  <c r="K93" i="2"/>
  <c r="C101" i="2"/>
  <c r="L36" i="2"/>
  <c r="E92" i="2"/>
  <c r="F8" i="2"/>
  <c r="K111" i="2"/>
  <c r="I133" i="2"/>
  <c r="I108" i="2"/>
  <c r="C118" i="2"/>
  <c r="G116" i="2"/>
  <c r="G99" i="2"/>
  <c r="E10" i="2"/>
  <c r="E135" i="2"/>
  <c r="E110" i="2"/>
  <c r="I151" i="2"/>
  <c r="D32" i="2"/>
  <c r="H13" i="2"/>
  <c r="G142" i="2"/>
  <c r="K138" i="2"/>
  <c r="K126" i="2"/>
  <c r="J16" i="2"/>
  <c r="L9" i="2"/>
  <c r="C132" i="2"/>
  <c r="L22" i="2"/>
  <c r="J47" i="2"/>
  <c r="F21" i="2"/>
  <c r="D46" i="2"/>
  <c r="J33" i="2"/>
  <c r="C144" i="2"/>
  <c r="H30" i="2"/>
  <c r="H87" i="2"/>
  <c r="J22" i="2"/>
  <c r="L111" i="2"/>
  <c r="L78" i="2"/>
  <c r="F92" i="2"/>
  <c r="F35" i="2"/>
  <c r="F49" i="2"/>
  <c r="H44" i="2"/>
  <c r="J64" i="2"/>
  <c r="L50" i="2"/>
  <c r="F66" i="2"/>
  <c r="H99" i="2"/>
  <c r="H142" i="2"/>
  <c r="D89" i="2"/>
  <c r="H55" i="2"/>
  <c r="F125" i="2"/>
  <c r="J90" i="2"/>
  <c r="L93" i="2"/>
  <c r="D57" i="2"/>
  <c r="D118" i="2"/>
  <c r="K64" i="2"/>
  <c r="J119" i="2"/>
  <c r="H116" i="2"/>
  <c r="F110" i="2"/>
  <c r="L126" i="2"/>
  <c r="K151" i="2"/>
  <c r="K47" i="2"/>
  <c r="J133" i="2"/>
  <c r="D144" i="2"/>
  <c r="C54" i="2"/>
  <c r="L138" i="2"/>
  <c r="J151" i="2"/>
  <c r="K90" i="2"/>
  <c r="J108" i="2"/>
  <c r="D101" i="2"/>
  <c r="G66" i="2"/>
  <c r="C83" i="2"/>
  <c r="D132" i="2"/>
  <c r="I87" i="2"/>
  <c r="E46" i="2"/>
  <c r="C98" i="2"/>
  <c r="C43" i="2"/>
  <c r="G49" i="2"/>
  <c r="I55" i="2"/>
  <c r="I116" i="2"/>
  <c r="H128" i="2"/>
  <c r="F135" i="2"/>
  <c r="K119" i="2"/>
  <c r="C127" i="2"/>
  <c r="I44" i="2"/>
  <c r="G110" i="2"/>
  <c r="E101" i="2"/>
  <c r="I99" i="2"/>
  <c r="K108" i="2"/>
  <c r="E132" i="2"/>
  <c r="E57" i="2"/>
  <c r="E118" i="2"/>
  <c r="E15" i="2"/>
  <c r="G125" i="2"/>
  <c r="E89" i="2"/>
  <c r="I142" i="2"/>
  <c r="G92" i="2"/>
  <c r="C112" i="2"/>
  <c r="D10" i="2"/>
  <c r="L33" i="2"/>
  <c r="K16" i="2"/>
  <c r="K133" i="2"/>
  <c r="G21" i="2"/>
  <c r="I128" i="2"/>
  <c r="I30" i="2"/>
  <c r="I13" i="2"/>
  <c r="J13" i="2"/>
  <c r="H92" i="2"/>
  <c r="E32" i="2"/>
  <c r="F15" i="2"/>
  <c r="E144" i="2"/>
  <c r="G135" i="2"/>
  <c r="L16" i="2"/>
  <c r="C141" i="2"/>
  <c r="H8" i="2"/>
  <c r="C23" i="2"/>
  <c r="F46" i="2"/>
  <c r="H21" i="2"/>
  <c r="G35" i="2"/>
  <c r="D43" i="2"/>
  <c r="K33" i="2"/>
  <c r="D23" i="2"/>
  <c r="J30" i="2"/>
  <c r="F32" i="2"/>
  <c r="D54" i="2"/>
  <c r="H49" i="2"/>
  <c r="H110" i="2"/>
  <c r="J87" i="2"/>
  <c r="F89" i="2"/>
  <c r="J44" i="2"/>
  <c r="J116" i="2"/>
  <c r="L47" i="2"/>
  <c r="D83" i="2"/>
  <c r="L119" i="2"/>
  <c r="L133" i="2"/>
  <c r="J99" i="2"/>
  <c r="F118" i="2"/>
  <c r="D98" i="2"/>
  <c r="H125" i="2"/>
  <c r="F57" i="2"/>
  <c r="F144" i="2"/>
  <c r="D112" i="2"/>
  <c r="J55" i="2"/>
  <c r="L151" i="2"/>
  <c r="F101" i="2"/>
  <c r="D127" i="2"/>
  <c r="L108" i="2"/>
  <c r="H135" i="2"/>
  <c r="L64" i="2"/>
  <c r="H66" i="2"/>
  <c r="J128" i="2"/>
  <c r="H35" i="2"/>
  <c r="F132" i="2"/>
  <c r="J142" i="2"/>
  <c r="L90" i="2"/>
  <c r="D141" i="2"/>
</calcChain>
</file>

<file path=xl/sharedStrings.xml><?xml version="1.0" encoding="utf-8"?>
<sst xmlns="http://schemas.openxmlformats.org/spreadsheetml/2006/main" count="507" uniqueCount="248">
  <si>
    <t>Avient Corp (AVNT US) - Overview</t>
  </si>
  <si>
    <t>In Millions of USD except Per Share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</si>
  <si>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</si>
  <si>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</si>
  <si>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</si>
  <si>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</si>
  <si>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</si>
  <si>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</si>
  <si>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</si>
  <si>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</si>
  <si>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</si>
  <si>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</si>
  <si>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12 Months Ending</t>
  </si>
  <si>
    <t>12/31/2013</t>
  </si>
  <si>
    <t>12/31/2014</t>
  </si>
  <si>
    <t>12/31/2015</t>
  </si>
  <si>
    <t>12/31/2016</t>
  </si>
  <si>
    <t>12/31/2017</t>
  </si>
  <si>
    <t>12/31/2018</t>
  </si>
  <si>
    <t>12/31/2019</t>
  </si>
  <si>
    <t>12/31/2020</t>
  </si>
  <si>
    <t>12/31/2021</t>
  </si>
  <si>
    <t>12/31/2022</t>
  </si>
  <si>
    <t>ESG Financial Materiality Scores</t>
  </si>
  <si>
    <t>BESG ESG Score</t>
  </si>
  <si>
    <t>ESG_SCORE</t>
  </si>
  <si>
    <t>BESG Environmental Pillar Score</t>
  </si>
  <si>
    <t>ENVIRONMENTAL_SCORE</t>
  </si>
  <si>
    <t>BESG Social Pillar Score</t>
  </si>
  <si>
    <t>SOCIAL_SCORE</t>
  </si>
  <si>
    <t>BESG Governance Pillar Score</t>
  </si>
  <si>
    <t>GOVERNANCE_SCORE</t>
  </si>
  <si>
    <t>ESG Disclosure Scores</t>
  </si>
  <si>
    <t>ESG Disclosure Score</t>
  </si>
  <si>
    <t>ESG_DISCLOSURE_SCORE</t>
  </si>
  <si>
    <t>Environmental Disclosure Score</t>
  </si>
  <si>
    <t>ENVIRON_DISCLOSURE_SCORE</t>
  </si>
  <si>
    <t>Social Disclosure Score</t>
  </si>
  <si>
    <t>SOCIAL_DISCLOSURE_SCORE</t>
  </si>
  <si>
    <t>Governance Disclosure Score</t>
  </si>
  <si>
    <t>GOVNCE_DISCLOSURE_SCORE</t>
  </si>
  <si>
    <t>Environmental</t>
  </si>
  <si>
    <t>Air Quality</t>
  </si>
  <si>
    <t>Nitrogen Oxide Emissions</t>
  </si>
  <si>
    <t>NOX_EMISSIONS</t>
  </si>
  <si>
    <t>VOC Emissions</t>
  </si>
  <si>
    <t>VOC_EMISSIONS</t>
  </si>
  <si>
    <t>Particulate Emissions</t>
  </si>
  <si>
    <t>PARTICULATE_EMISSIONS</t>
  </si>
  <si>
    <t>Sulphur Dioxide / Sulphur Oxide Emissions</t>
  </si>
  <si>
    <t>SULPHUR_DIOXIDE_SULPHUR_OXIDE_EM</t>
  </si>
  <si>
    <t>Climate Change</t>
  </si>
  <si>
    <t>Emissions Reduction Initiatives</t>
  </si>
  <si>
    <t>EMISSION_REDUCTION</t>
  </si>
  <si>
    <t>No</t>
  </si>
  <si>
    <t>Yes</t>
  </si>
  <si>
    <t>Climate Change Policy</t>
  </si>
  <si>
    <t>CLIMATE_CHG_POLICY</t>
  </si>
  <si>
    <t>Climate Change Opportunities Discussed</t>
  </si>
  <si>
    <t>CLIMATE_CHG_OPPORTUNITIES</t>
  </si>
  <si>
    <t>Risks of Climate Change Discussed</t>
  </si>
  <si>
    <t>CLIMATE_RISKS</t>
  </si>
  <si>
    <t>CO2 Scope 1</t>
  </si>
  <si>
    <t>CO2_SCOPE_1</t>
  </si>
  <si>
    <t>GHG Scope 1</t>
  </si>
  <si>
    <t>GHG_SCOPE_1</t>
  </si>
  <si>
    <t>GHG Scope 2 Location-Based</t>
  </si>
  <si>
    <t>GHG_SCOPE_2_LOCATION_BASED</t>
  </si>
  <si>
    <t>GHG Scope 2 Market-Based</t>
  </si>
  <si>
    <t>GHG_SCOPE_2_MARKET_BASED</t>
  </si>
  <si>
    <t>GHG Scope 3</t>
  </si>
  <si>
    <t>GHG_SCOPE_3</t>
  </si>
  <si>
    <t>Scope of Disclosure</t>
  </si>
  <si>
    <t>SCOPE_OF_DISCLOSURE</t>
  </si>
  <si>
    <t>Carbon per Unit of Production</t>
  </si>
  <si>
    <t>CARBON_PER_UNIT_OF_PROD</t>
  </si>
  <si>
    <t>Ecological &amp; Biodiversity Impacts</t>
  </si>
  <si>
    <t>Biodiversity Policy</t>
  </si>
  <si>
    <t>BIODIVERSITY_POLICY</t>
  </si>
  <si>
    <t>Energy</t>
  </si>
  <si>
    <t>Energy Efficiency Policy</t>
  </si>
  <si>
    <t>ENERGY_EFFIC_POLICY</t>
  </si>
  <si>
    <t>Total Energy Consumption</t>
  </si>
  <si>
    <t>ENERGY_CONSUMPTION</t>
  </si>
  <si>
    <t>Renewable Energy Use</t>
  </si>
  <si>
    <t>RENEW_ENERGY_USE</t>
  </si>
  <si>
    <t>Electricity Used</t>
  </si>
  <si>
    <t>ELECTRICITY_USED</t>
  </si>
  <si>
    <t>Self Generated Renewable Electricity</t>
  </si>
  <si>
    <t>SELF_GEN_RENEWABLE_ELECTRICITY</t>
  </si>
  <si>
    <t>Fuel Used - Coal/Lignite</t>
  </si>
  <si>
    <t>COAL_USED</t>
  </si>
  <si>
    <t>Fuel Used - Natural Gas</t>
  </si>
  <si>
    <t>NAT_GAS_USED</t>
  </si>
  <si>
    <t>Fuel Used - Crude Oil/Diesel</t>
  </si>
  <si>
    <t>OIL_DIESEL_USED</t>
  </si>
  <si>
    <t>Energy Per Unit of Production</t>
  </si>
  <si>
    <t>ENERGY_PER_UNIT_PRODUCTION</t>
  </si>
  <si>
    <t>Materials &amp; Waste</t>
  </si>
  <si>
    <t>Waste Reduction Policy</t>
  </si>
  <si>
    <t>WASTE_REDUCTION</t>
  </si>
  <si>
    <t>Hazardous Waste</t>
  </si>
  <si>
    <t>HAZARDOUS_WASTE</t>
  </si>
  <si>
    <t>Total Waste</t>
  </si>
  <si>
    <t>TOTAL_WASTE</t>
  </si>
  <si>
    <t>Waste Recycled</t>
  </si>
  <si>
    <t>WASTE_RECYCLED</t>
  </si>
  <si>
    <t>Waste Sent to Landfills</t>
  </si>
  <si>
    <t>WASTE_SENT_TO_LANDFILLS</t>
  </si>
  <si>
    <t>Supply Chain</t>
  </si>
  <si>
    <t>Environmental Supply Chain Management</t>
  </si>
  <si>
    <t>ENVIRON_SUPPLY_MGT</t>
  </si>
  <si>
    <t>Water</t>
  </si>
  <si>
    <t>Water Policy</t>
  </si>
  <si>
    <t>WATER_POLICY</t>
  </si>
  <si>
    <t>Total Water Withdrawal</t>
  </si>
  <si>
    <t>TOTAL_WATER_WITHDRAWAL</t>
  </si>
  <si>
    <t>Total Water Discharged</t>
  </si>
  <si>
    <t>TOTAL_WATER_DISCHARGED</t>
  </si>
  <si>
    <t>Water per Unit of Production</t>
  </si>
  <si>
    <t>WATER_PER_UNIT_OF_PROD</t>
  </si>
  <si>
    <t>Social</t>
  </si>
  <si>
    <t>Community &amp; Customers</t>
  </si>
  <si>
    <t>Human Rights Policy</t>
  </si>
  <si>
    <t>HUMAN_RIGHTS_POLICY</t>
  </si>
  <si>
    <t>Policy Against Child Labor</t>
  </si>
  <si>
    <t>POLICY_AGAINST_CHILD_LABOR</t>
  </si>
  <si>
    <t>Quality Assurance and Recall Policy</t>
  </si>
  <si>
    <t>QUALITY_ASSURANCE_AND_RECALL_POL</t>
  </si>
  <si>
    <t>n/a</t>
  </si>
  <si>
    <t>Consumer Data Protection Policy</t>
  </si>
  <si>
    <t>CONSUMER_DATA_PROTECTION_POLICY</t>
  </si>
  <si>
    <t>Diversity</t>
  </si>
  <si>
    <t>Equal Opportunity Policy</t>
  </si>
  <si>
    <t>EQUAL_OPPORTUNITY_POLICY</t>
  </si>
  <si>
    <t>Gender Pay Gap Breakout</t>
  </si>
  <si>
    <t>GENDER_PAY_GAP_BREAKOUT</t>
  </si>
  <si>
    <t>Pct Women in Workforce</t>
  </si>
  <si>
    <t>PCT_WOMEN_EMPLOYEES</t>
  </si>
  <si>
    <t>Ethics &amp; Compliance</t>
  </si>
  <si>
    <t>Business Ethics Policy</t>
  </si>
  <si>
    <t>ETHICS_POLICY</t>
  </si>
  <si>
    <t>Anti-Bribery Ethics Policy</t>
  </si>
  <si>
    <t>ANTI_BRIBERY_ETHICS_POLICY</t>
  </si>
  <si>
    <t>Political Donations</t>
  </si>
  <si>
    <t>POLITICAL_DONATIONS</t>
  </si>
  <si>
    <t>Health &amp; Safety</t>
  </si>
  <si>
    <t>Health and Safety Policy</t>
  </si>
  <si>
    <t>HEALTH_SAFETY_POLICY</t>
  </si>
  <si>
    <t>Fatalities - Employees</t>
  </si>
  <si>
    <t>FATALITIES_EMPLOYEES</t>
  </si>
  <si>
    <t>Fatalities - Contractors</t>
  </si>
  <si>
    <t>FATALITIES_CONTRACTORS</t>
  </si>
  <si>
    <t>Fatalities - Total</t>
  </si>
  <si>
    <t>FATALITIES_TOTAL</t>
  </si>
  <si>
    <t>Lost Time Incident Rate - Employees</t>
  </si>
  <si>
    <t>LOST_TIME_INCIDENT_RATE</t>
  </si>
  <si>
    <t>Lost Time Incident Rate - Contractors</t>
  </si>
  <si>
    <t>LOST_TIME_INCIDENT_RT_CNTRCTR</t>
  </si>
  <si>
    <t>Total Recordable Incident Rate - Employees</t>
  </si>
  <si>
    <t>TOTAL_RECORDABLE_INCIDENT_RATE</t>
  </si>
  <si>
    <t>Total Recordable Incident Rate - Contractors</t>
  </si>
  <si>
    <t>TOT_RECORDABLE_INCID_RT_CNTRCTR</t>
  </si>
  <si>
    <t>Human Capital</t>
  </si>
  <si>
    <t>Training Policy</t>
  </si>
  <si>
    <t>TRAINING_POLICY</t>
  </si>
  <si>
    <t>Fair Remuneration Policy</t>
  </si>
  <si>
    <t>FAIR_REMUNERATION_POLICY</t>
  </si>
  <si>
    <t>Number of Employees - CSR</t>
  </si>
  <si>
    <t>NUMBER_EMPLOYEES_CSR</t>
  </si>
  <si>
    <t>Employee Turnover Pct</t>
  </si>
  <si>
    <t>EMPLOYEE_TURNOVER_PCT</t>
  </si>
  <si>
    <t>Pct Employees Unionized</t>
  </si>
  <si>
    <t>PCT_EMPLOYEES_UNIONIZED</t>
  </si>
  <si>
    <t>Total Hours Spent by Firm - Employee Training</t>
  </si>
  <si>
    <t>TOT_HRS_SPENT_BY_FIRM_EMP_TRAIN</t>
  </si>
  <si>
    <t>Social Supply Chain Management</t>
  </si>
  <si>
    <t>SOCIAL_SUPPLY_CHAIN_MGMT</t>
  </si>
  <si>
    <t>Governance</t>
  </si>
  <si>
    <t>Audit Risk &amp; Oversight</t>
  </si>
  <si>
    <t>Years Auditor Employed</t>
  </si>
  <si>
    <t>YEARS_AUDITOR_EMPLOYED</t>
  </si>
  <si>
    <t>Size of Audit Committee</t>
  </si>
  <si>
    <t>SIZE_OF_AUDIT_COMMITTEE</t>
  </si>
  <si>
    <t>Number of Independent Directors on Audit Committee</t>
  </si>
  <si>
    <t>NUM_IND_DIR_ON_AUD_CMTE</t>
  </si>
  <si>
    <t>Audit Committee Meetings</t>
  </si>
  <si>
    <t>AUDIT_COMMITTEE_MEETINGS</t>
  </si>
  <si>
    <t>Audit Committee Meeting Attendance Percentage</t>
  </si>
  <si>
    <t>AUDIT_COMMITTEE_MTG_ATTEND_PCT</t>
  </si>
  <si>
    <t>Board Composition</t>
  </si>
  <si>
    <t>Company Conducts Board Evaluations</t>
  </si>
  <si>
    <t>COMPANY_CONDUCTS_BRD_EVALUATIONS</t>
  </si>
  <si>
    <t>Board Size</t>
  </si>
  <si>
    <t>BOARD_SIZE</t>
  </si>
  <si>
    <t>Number of Executives / Company Managers</t>
  </si>
  <si>
    <t>NUM_EXECUTIVES_COMP_MANAGERS</t>
  </si>
  <si>
    <t>Number of Non Executive Directors on Board</t>
  </si>
  <si>
    <t>NUM_OF_NONEXEC_DIR_ON_BRD</t>
  </si>
  <si>
    <t>Number of Board Meetings for the Year</t>
  </si>
  <si>
    <t>BOARD_MEETINGS_PER_YR</t>
  </si>
  <si>
    <t>Board Meeting Attendance Pct</t>
  </si>
  <si>
    <t>BOARD_MEETING_ATTENDANCE_PCT</t>
  </si>
  <si>
    <t>Compensation</t>
  </si>
  <si>
    <t>Company Has Executive Share Ownership Guidelines</t>
  </si>
  <si>
    <t>COMP_HAS_EXEC_SH_OWNER_GUIDELNS</t>
  </si>
  <si>
    <t>Director Share Ownership Guidelines</t>
  </si>
  <si>
    <t>DIRECTOR_SH_OWNERSHIP_GUIDELINES</t>
  </si>
  <si>
    <t>Size of Compensation Committee</t>
  </si>
  <si>
    <t>SIZE_OF_COMPENSATION_COMMITTEE</t>
  </si>
  <si>
    <t>Num of Independent Directors on Compensation Cmte</t>
  </si>
  <si>
    <t>NUM_IND_DIR_ON_CMPNSTN_CMTE</t>
  </si>
  <si>
    <t>Number of Compensation Committee Meetings</t>
  </si>
  <si>
    <t>NUM_COMPENSATION_CMTE_MTG</t>
  </si>
  <si>
    <t>Compensation Committee Meeting Attendance %</t>
  </si>
  <si>
    <t>COMPENSATION_CMTE_MTG_ATTEND_PCT</t>
  </si>
  <si>
    <t>Number of Female Executives</t>
  </si>
  <si>
    <t>NUMBER_OF_FEMALE_EXECUTIVES</t>
  </si>
  <si>
    <t>Number of Women on Board</t>
  </si>
  <si>
    <t>NUMBER_OF_WOMEN_ON_BOARD</t>
  </si>
  <si>
    <t>Board Age Limit</t>
  </si>
  <si>
    <t>BOARD_AGE_LIMIT</t>
  </si>
  <si>
    <t>Age of the Youngest Director</t>
  </si>
  <si>
    <t>AGE_OF_YOUNGEST_DIRECTOR</t>
  </si>
  <si>
    <t>Age of the Oldest Director</t>
  </si>
  <si>
    <t>AGE_OF_OLDEST_DIRECTOR</t>
  </si>
  <si>
    <t>Independence</t>
  </si>
  <si>
    <t>Number of Independent Directors</t>
  </si>
  <si>
    <t>INDEPENDENT_DIRECTORS</t>
  </si>
  <si>
    <t>Nominations &amp; Governance Oversight</t>
  </si>
  <si>
    <t>Size of Nomination Committee</t>
  </si>
  <si>
    <t>SIZE_OF_NOMINATION_COMMITTEE</t>
  </si>
  <si>
    <t>Num of Independent Directors on Nomination Cmte</t>
  </si>
  <si>
    <t>NUM_IND_DIR_ON_NOM_CMTE</t>
  </si>
  <si>
    <t>Number of Nomination Committee Meetings</t>
  </si>
  <si>
    <t>NUM_OF_NOMINATION_CMTE_MTG</t>
  </si>
  <si>
    <t>Nomination Committee Meeting Attendance Percentage</t>
  </si>
  <si>
    <t>NOMINATION_CMTE_MTG_ATTEND_PCT</t>
  </si>
  <si>
    <t>Sustainability Governance</t>
  </si>
  <si>
    <t>Verification Type</t>
  </si>
  <si>
    <t>VERIFICATION_TYPE</t>
  </si>
  <si>
    <t>Employee CSR Training</t>
  </si>
  <si>
    <t>EMPLOYEE_CSR_TRAINING</t>
  </si>
  <si>
    <t>Tenure</t>
  </si>
  <si>
    <t>Board Duration (Years)</t>
  </si>
  <si>
    <t>BOARD_DURATION</t>
  </si>
  <si>
    <t>Source: Bloomberg</t>
  </si>
  <si>
    <t>Right click to show data transparency (not supported for all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</si>
</sst>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16" fillId="3" borderId="0" applyNumberFormat="0" applyBorder="0" applyAlignment="0" applyProtection="0"/>
    <xf numFmtId="0" fontId="2" fillId="33" borderId="0"/>
    <xf numFmtId="0" fontId="20" fillId="6" borderId="9" applyNumberFormat="0" applyAlignment="0" applyProtection="0"/>
    <xf numFmtId="0" fontId="22" fillId="7" borderId="12" applyNumberFormat="0" applyAlignment="0" applyProtection="0"/>
    <xf numFmtId="0" fontId="24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9" fillId="35" borderId="4" applyNumberFormat="0" applyAlignment="0" applyProtection="0"/>
    <xf numFmtId="0" fontId="7" fillId="34" borderId="5"/>
    <xf numFmtId="0" fontId="8" fillId="34" borderId="5"/>
    <xf numFmtId="0" fontId="15" fillId="2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8" fillId="5" borderId="9" applyNumberFormat="0" applyAlignment="0" applyProtection="0"/>
    <xf numFmtId="0" fontId="21" fillId="0" borderId="11" applyNumberFormat="0" applyFill="0" applyAlignment="0" applyProtection="0"/>
    <xf numFmtId="0" fontId="17" fillId="4" borderId="0" applyNumberFormat="0" applyBorder="0" applyAlignment="0" applyProtection="0"/>
    <xf numFmtId="0" fontId="10" fillId="8" borderId="13" applyNumberFormat="0" applyFont="0" applyAlignment="0" applyProtection="0"/>
    <xf numFmtId="0" fontId="19" fillId="6" borderId="10" applyNumberFormat="0" applyAlignment="0" applyProtection="0"/>
    <xf numFmtId="0" fontId="11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3" fontId="1" fillId="34" borderId="2">
      <alignment horizontal="right"/>
    </xf>
    <xf numFmtId="164" fontId="1" fillId="34" borderId="2">
      <alignment horizontal="right"/>
    </xf>
    <xf numFmtId="4" fontId="1" fillId="34" borderId="2">
      <alignment horizontal="right"/>
    </xf>
    <xf numFmtId="3" fontId="7" fillId="34" borderId="2">
      <alignment horizontal="right"/>
    </xf>
    <xf numFmtId="4" fontId="7" fillId="34" borderId="2">
      <alignment horizontal="right"/>
    </xf>
  </cellStyleXfs>
  <cellXfs count="16">
    <xf numFmtId="0" fontId="0" fillId="0" borderId="0" xfId="0"/>
    <xf numFmtId="0" fontId="2" fillId="33" borderId="0" xfId="26"/>
    <xf numFmtId="0" fontId="5" fillId="34" borderId="0" xfId="31">
      <alignment horizontal="center"/>
    </xf>
    <xf numFmtId="0" fontId="6" fillId="33" borderId="3" xfId="33">
      <alignment horizontal="left"/>
    </xf>
    <xf numFmtId="0" fontId="6" fillId="33" borderId="3" xfId="32">
      <alignment horizontal="right"/>
    </xf>
    <xf numFmtId="0" fontId="6" fillId="33" borderId="1" xfId="30">
      <alignment horizontal="right"/>
    </xf>
    <xf numFmtId="0" fontId="7" fillId="34" borderId="5" xfId="35"/>
    <xf numFmtId="0" fontId="9" fillId="35" borderId="4" xfId="34"/>
    <xf numFmtId="0" fontId="4" fillId="33" borderId="15" xfId="50">
      <alignment horizontal="left" vertical="center" readingOrder="1"/>
    </xf>
    <xf numFmtId="0" fontId="6" fillId="33" borderId="1" xfId="51">
      <alignment horizontal="left"/>
    </xf>
    <xf numFmtId="0" fontId="3" fillId="34" borderId="5" xfId="36" applyFont="1"/>
    <xf numFmtId="3" fontId="1" fillId="34" borderId="2" xfId="52">
      <alignment horizontal="right"/>
    </xf>
    <xf numFmtId="164" fontId="1" fillId="34" borderId="2" xfId="53">
      <alignment horizontal="right"/>
    </xf>
    <xf numFmtId="4" fontId="1" fillId="34" borderId="2" xfId="54">
      <alignment horizontal="right"/>
    </xf>
    <xf numFmtId="3" fontId="7" fillId="34" borderId="2" xfId="55">
      <alignment horizontal="right"/>
    </xf>
    <xf numFmtId="4" fontId="7" fillId="34" borderId="2" xfId="56">
      <alignment horizontal="right"/>
    </xf>
  </cellXfs>
  <cellStyles count="5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0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left" xfId="51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left" xfId="33" xr:uid="{00000000-0005-0000-0000-000022000000}"/>
    <cellStyle name="fa_data_bold_0_grouped" xfId="55" xr:uid="{00000000-0005-0000-0000-000023000000}"/>
    <cellStyle name="fa_data_bold_2_grouped" xfId="56" xr:uid="{00000000-0005-0000-0000-000024000000}"/>
    <cellStyle name="fa_data_standard_0_grouped" xfId="52" xr:uid="{00000000-0005-0000-0000-000025000000}"/>
    <cellStyle name="fa_data_standard_1_grouped" xfId="53" xr:uid="{00000000-0005-0000-0000-000026000000}"/>
    <cellStyle name="fa_data_standard_2_grouped" xfId="54" xr:uid="{00000000-0005-0000-0000-000027000000}"/>
    <cellStyle name="fa_footer_italic" xfId="34" xr:uid="{00000000-0005-0000-0000-000028000000}"/>
    <cellStyle name="fa_row_header_bold" xfId="35" xr:uid="{00000000-0005-0000-0000-000029000000}"/>
    <cellStyle name="fa_row_header_standard" xfId="36" xr:uid="{00000000-0005-0000-0000-00002A000000}"/>
    <cellStyle name="Good" xfId="37" builtinId="26" customBuiltin="1"/>
    <cellStyle name="Heading 1" xfId="38" builtinId="16" customBuiltin="1"/>
    <cellStyle name="Heading 2" xfId="39" builtinId="17" customBuiltin="1"/>
    <cellStyle name="Heading 3" xfId="40" builtinId="18" customBuiltin="1"/>
    <cellStyle name="Heading 4" xfId="41" builtinId="19" customBuiltin="1"/>
    <cellStyle name="Input" xfId="42" builtinId="20" customBuiltin="1"/>
    <cellStyle name="Linked Cell" xfId="43" builtinId="24" customBuiltin="1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2"/>
  <sheetViews>
    <sheetView tabSelected="1" topLeftCell="A78" workbookViewId="0"/>
  </sheetViews>
  <sheetFormatPr defaultRowHeight="15"/>
  <cols>
    <col min="1" max="1" width="35.140625" customWidth="1"/>
    <col min="2" max="2" width="0" hidden="1" customWidth="1"/>
    <col min="3" max="12" width="11.855468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.25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1</v>
      </c>
      <c r="B4" s="3"/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</row>
    <row r="5" spans="1:12">
      <c r="A5" s="9" t="s">
        <v>12</v>
      </c>
      <c r="B5" s="9"/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5" t="s">
        <v>19</v>
      </c>
      <c r="J5" s="5" t="s">
        <v>20</v>
      </c>
      <c r="K5" s="5" t="s">
        <v>21</v>
      </c>
      <c r="L5" s="5" t="s">
        <v>22</v>
      </c>
    </row>
    <row r="6" spans="1:12">
      <c r="A6" s="10" t="s">
        <v>23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>
      <c r="A7" s="10" t="s">
        <v>24</v>
      </c>
      <c r="B7" s="10" t="s">
        <v>25</v>
      </c>
      <c r="C7" s="13" t="str">
        <f>_xll.BDH("AVNT US Equity","ESG_SCORE","FY 2013","FY 2013","Currency=USD","Period=FY","BEST_FPERIOD_OVERRIDE=FY","FILING_STATUS=MR","Sort=A","Dates=H","DateFormat=P","Fill=—","Direction=H","UseDPDF=Y")</f>
        <v>—</v>
      </c>
      <c r="D7" s="13" t="str">
        <f>_xll.BDH("AVNT US Equity","ESG_SCORE","FY 2014","FY 2014","Currency=USD","Period=FY","BEST_FPERIOD_OVERRIDE=FY","FILING_STATUS=MR","Sort=A","Dates=H","DateFormat=P","Fill=—","Direction=H","UseDPDF=Y")</f>
        <v>—</v>
      </c>
      <c r="E7" s="13">
        <f>_xll.BDH("AVNT US Equity","ESG_SCORE","FY 2015","FY 2015","Currency=USD","Period=FY","BEST_FPERIOD_OVERRIDE=FY","FILING_STATUS=MR","Sort=A","Dates=H","DateFormat=P","Fill=—","Direction=H","UseDPDF=Y")</f>
        <v>1.56</v>
      </c>
      <c r="F7" s="13">
        <f>_xll.BDH("AVNT US Equity","ESG_SCORE","FY 2016","FY 2016","Currency=USD","Period=FY","BEST_FPERIOD_OVERRIDE=FY","FILING_STATUS=MR","Sort=A","Dates=H","DateFormat=P","Fill=—","Direction=H","UseDPDF=Y")</f>
        <v>3.51</v>
      </c>
      <c r="G7" s="13">
        <f>_xll.BDH("AVNT US Equity","ESG_SCORE","FY 2017","FY 2017","Currency=USD","Period=FY","BEST_FPERIOD_OVERRIDE=FY","FILING_STATUS=MR","Sort=A","Dates=H","DateFormat=P","Fill=—","Direction=H","UseDPDF=Y")</f>
        <v>3.54</v>
      </c>
      <c r="H7" s="13">
        <f>_xll.BDH("AVNT US Equity","ESG_SCORE","FY 2018","FY 2018","Currency=USD","Period=FY","BEST_FPERIOD_OVERRIDE=FY","FILING_STATUS=MR","Sort=A","Dates=H","DateFormat=P","Fill=—","Direction=H","UseDPDF=Y")</f>
        <v>3.66</v>
      </c>
      <c r="I7" s="13">
        <f>_xll.BDH("AVNT US Equity","ESG_SCORE","FY 2019","FY 2019","Currency=USD","Period=FY","BEST_FPERIOD_OVERRIDE=FY","FILING_STATUS=MR","Sort=A","Dates=H","DateFormat=P","Fill=—","Direction=H","UseDPDF=Y")</f>
        <v>4.42</v>
      </c>
      <c r="J7" s="13">
        <f>_xll.BDH("AVNT US Equity","ESG_SCORE","FY 2020","FY 2020","Currency=USD","Period=FY","BEST_FPERIOD_OVERRIDE=FY","FILING_STATUS=MR","Sort=A","Dates=H","DateFormat=P","Fill=—","Direction=H","UseDPDF=Y")</f>
        <v>4.7</v>
      </c>
      <c r="K7" s="13">
        <f>_xll.BDH("AVNT US Equity","ESG_SCORE","FY 2021","FY 2021","Currency=USD","Period=FY","BEST_FPERIOD_OVERRIDE=FY","FILING_STATUS=MR","Sort=A","Dates=H","DateFormat=P","Fill=—","Direction=H","UseDPDF=Y")</f>
        <v>4.75</v>
      </c>
      <c r="L7" s="13" t="str">
        <f>_xll.BDH("AVNT US Equity","ESG_SCORE","FY 2022","FY 2022","Currency=USD","Period=FY","BEST_FPERIOD_OVERRIDE=FY","FILING_STATUS=MR","Sort=A","Dates=H","DateFormat=P","Fill=—","Direction=H","UseDPDF=Y")</f>
        <v>—</v>
      </c>
    </row>
    <row r="8" spans="1:12">
      <c r="A8" s="10" t="s">
        <v>26</v>
      </c>
      <c r="B8" s="10" t="s">
        <v>27</v>
      </c>
      <c r="C8" s="13" t="str">
        <f>_xll.BDH("AVNT US Equity","ENVIRONMENTAL_SCORE","FY 2013","FY 2013","Currency=USD","Period=FY","BEST_FPERIOD_OVERRIDE=FY","FILING_STATUS=MR","Sort=A","Dates=H","DateFormat=P","Fill=—","Direction=H","UseDPDF=Y")</f>
        <v>—</v>
      </c>
      <c r="D8" s="13" t="str">
        <f>_xll.BDH("AVNT US Equity","ENVIRONMENTAL_SCORE","FY 2014","FY 2014","Currency=USD","Period=FY","BEST_FPERIOD_OVERRIDE=FY","FILING_STATUS=MR","Sort=A","Dates=H","DateFormat=P","Fill=—","Direction=H","UseDPDF=Y")</f>
        <v>—</v>
      </c>
      <c r="E8" s="13">
        <f>_xll.BDH("AVNT US Equity","ENVIRONMENTAL_SCORE","FY 2015","FY 2015","Currency=USD","Period=FY","BEST_FPERIOD_OVERRIDE=FY","FILING_STATUS=MR","Sort=A","Dates=H","DateFormat=P","Fill=—","Direction=H","UseDPDF=Y")</f>
        <v>0</v>
      </c>
      <c r="F8" s="13">
        <f>_xll.BDH("AVNT US Equity","ENVIRONMENTAL_SCORE","FY 2016","FY 2016","Currency=USD","Period=FY","BEST_FPERIOD_OVERRIDE=FY","FILING_STATUS=MR","Sort=A","Dates=H","DateFormat=P","Fill=—","Direction=H","UseDPDF=Y")</f>
        <v>2.71</v>
      </c>
      <c r="G8" s="13">
        <f>_xll.BDH("AVNT US Equity","ENVIRONMENTAL_SCORE","FY 2017","FY 2017","Currency=USD","Period=FY","BEST_FPERIOD_OVERRIDE=FY","FILING_STATUS=MR","Sort=A","Dates=H","DateFormat=P","Fill=—","Direction=H","UseDPDF=Y")</f>
        <v>2.71</v>
      </c>
      <c r="H8" s="13">
        <f>_xll.BDH("AVNT US Equity","ENVIRONMENTAL_SCORE","FY 2018","FY 2018","Currency=USD","Period=FY","BEST_FPERIOD_OVERRIDE=FY","FILING_STATUS=MR","Sort=A","Dates=H","DateFormat=P","Fill=—","Direction=H","UseDPDF=Y")</f>
        <v>2.95</v>
      </c>
      <c r="I8" s="13">
        <f>_xll.BDH("AVNT US Equity","ENVIRONMENTAL_SCORE","FY 2019","FY 2019","Currency=USD","Period=FY","BEST_FPERIOD_OVERRIDE=FY","FILING_STATUS=MR","Sort=A","Dates=H","DateFormat=P","Fill=—","Direction=H","UseDPDF=Y")</f>
        <v>4.33</v>
      </c>
      <c r="J8" s="13">
        <f>_xll.BDH("AVNT US Equity","ENVIRONMENTAL_SCORE","FY 2020","FY 2020","Currency=USD","Period=FY","BEST_FPERIOD_OVERRIDE=FY","FILING_STATUS=MR","Sort=A","Dates=H","DateFormat=P","Fill=—","Direction=H","UseDPDF=Y")</f>
        <v>5.0199999999999996</v>
      </c>
      <c r="K8" s="13">
        <f>_xll.BDH("AVNT US Equity","ENVIRONMENTAL_SCORE","FY 2021","FY 2021","Currency=USD","Period=FY","BEST_FPERIOD_OVERRIDE=FY","FILING_STATUS=MR","Sort=A","Dates=H","DateFormat=P","Fill=—","Direction=H","UseDPDF=Y")</f>
        <v>5.1100000000000003</v>
      </c>
      <c r="L8" s="13" t="str">
        <f>_xll.BDH("AVNT US Equity","ENVIRONMENTAL_SCORE","FY 2022","FY 2022","Currency=USD","Period=FY","BEST_FPERIOD_OVERRIDE=FY","FILING_STATUS=MR","Sort=A","Dates=H","DateFormat=P","Fill=—","Direction=H","UseDPDF=Y")</f>
        <v>—</v>
      </c>
    </row>
    <row r="9" spans="1:12">
      <c r="A9" s="10" t="s">
        <v>28</v>
      </c>
      <c r="B9" s="10" t="s">
        <v>29</v>
      </c>
      <c r="C9" s="13" t="str">
        <f>_xll.BDH("AVNT US Equity","SOCIAL_SCORE","FY 2013","FY 2013","Currency=USD","Period=FY","BEST_FPERIOD_OVERRIDE=FY","FILING_STATUS=MR","Sort=A","Dates=H","DateFormat=P","Fill=—","Direction=H","UseDPDF=Y")</f>
        <v>—</v>
      </c>
      <c r="D9" s="13" t="str">
        <f>_xll.BDH("AVNT US Equity","SOCIAL_SCORE","FY 2014","FY 2014","Currency=USD","Period=FY","BEST_FPERIOD_OVERRIDE=FY","FILING_STATUS=MR","Sort=A","Dates=H","DateFormat=P","Fill=—","Direction=H","UseDPDF=Y")</f>
        <v>—</v>
      </c>
      <c r="E9" s="13">
        <f>_xll.BDH("AVNT US Equity","SOCIAL_SCORE","FY 2015","FY 2015","Currency=USD","Period=FY","BEST_FPERIOD_OVERRIDE=FY","FILING_STATUS=MR","Sort=A","Dates=H","DateFormat=P","Fill=—","Direction=H","UseDPDF=Y")</f>
        <v>1.08</v>
      </c>
      <c r="F9" s="13">
        <f>_xll.BDH("AVNT US Equity","SOCIAL_SCORE","FY 2016","FY 2016","Currency=USD","Period=FY","BEST_FPERIOD_OVERRIDE=FY","FILING_STATUS=MR","Sort=A","Dates=H","DateFormat=P","Fill=—","Direction=H","UseDPDF=Y")</f>
        <v>1.77</v>
      </c>
      <c r="G9" s="13">
        <f>_xll.BDH("AVNT US Equity","SOCIAL_SCORE","FY 2017","FY 2017","Currency=USD","Period=FY","BEST_FPERIOD_OVERRIDE=FY","FILING_STATUS=MR","Sort=A","Dates=H","DateFormat=P","Fill=—","Direction=H","UseDPDF=Y")</f>
        <v>1.81</v>
      </c>
      <c r="H9" s="13">
        <f>_xll.BDH("AVNT US Equity","SOCIAL_SCORE","FY 2018","FY 2018","Currency=USD","Period=FY","BEST_FPERIOD_OVERRIDE=FY","FILING_STATUS=MR","Sort=A","Dates=H","DateFormat=P","Fill=—","Direction=H","UseDPDF=Y")</f>
        <v>1.87</v>
      </c>
      <c r="I9" s="13">
        <f>_xll.BDH("AVNT US Equity","SOCIAL_SCORE","FY 2019","FY 2019","Currency=USD","Period=FY","BEST_FPERIOD_OVERRIDE=FY","FILING_STATUS=MR","Sort=A","Dates=H","DateFormat=P","Fill=—","Direction=H","UseDPDF=Y")</f>
        <v>2.11</v>
      </c>
      <c r="J9" s="13">
        <f>_xll.BDH("AVNT US Equity","SOCIAL_SCORE","FY 2020","FY 2020","Currency=USD","Period=FY","BEST_FPERIOD_OVERRIDE=FY","FILING_STATUS=MR","Sort=A","Dates=H","DateFormat=P","Fill=—","Direction=H","UseDPDF=Y")</f>
        <v>2.11</v>
      </c>
      <c r="K9" s="13">
        <f>_xll.BDH("AVNT US Equity","SOCIAL_SCORE","FY 2021","FY 2021","Currency=USD","Period=FY","BEST_FPERIOD_OVERRIDE=FY","FILING_STATUS=MR","Sort=A","Dates=H","DateFormat=P","Fill=—","Direction=H","UseDPDF=Y")</f>
        <v>2.13</v>
      </c>
      <c r="L9" s="13" t="str">
        <f>_xll.BDH("AVNT US Equity","SOCIAL_SCORE","FY 2022","FY 2022","Currency=USD","Period=FY","BEST_FPERIOD_OVERRIDE=FY","FILING_STATUS=MR","Sort=A","Dates=H","DateFormat=P","Fill=—","Direction=H","UseDPDF=Y")</f>
        <v>—</v>
      </c>
    </row>
    <row r="10" spans="1:12">
      <c r="A10" s="10" t="s">
        <v>30</v>
      </c>
      <c r="B10" s="10" t="s">
        <v>31</v>
      </c>
      <c r="C10" s="13" t="str">
        <f>_xll.BDH("AVNT US Equity","GOVERNANCE_SCORE","FY 2013","FY 2013","Currency=USD","Period=FY","BEST_FPERIOD_OVERRIDE=FY","FILING_STATUS=MR","Sort=A","Dates=H","DateFormat=P","Fill=—","Direction=H","UseDPDF=Y")</f>
        <v>—</v>
      </c>
      <c r="D10" s="13" t="str">
        <f>_xll.BDH("AVNT US Equity","GOVERNANCE_SCORE","FY 2014","FY 2014","Currency=USD","Period=FY","BEST_FPERIOD_OVERRIDE=FY","FILING_STATUS=MR","Sort=A","Dates=H","DateFormat=P","Fill=—","Direction=H","UseDPDF=Y")</f>
        <v>—</v>
      </c>
      <c r="E10" s="13">
        <f>_xll.BDH("AVNT US Equity","GOVERNANCE_SCORE","FY 2015","FY 2015","Currency=USD","Period=FY","BEST_FPERIOD_OVERRIDE=FY","FILING_STATUS=MR","Sort=A","Dates=H","DateFormat=P","Fill=—","Direction=H","UseDPDF=Y")</f>
        <v>6.58</v>
      </c>
      <c r="F10" s="13">
        <f>_xll.BDH("AVNT US Equity","GOVERNANCE_SCORE","FY 2016","FY 2016","Currency=USD","Period=FY","BEST_FPERIOD_OVERRIDE=FY","FILING_STATUS=MR","Sort=A","Dates=H","DateFormat=P","Fill=—","Direction=H","UseDPDF=Y")</f>
        <v>7.51</v>
      </c>
      <c r="G10" s="13">
        <f>_xll.BDH("AVNT US Equity","GOVERNANCE_SCORE","FY 2017","FY 2017","Currency=USD","Period=FY","BEST_FPERIOD_OVERRIDE=FY","FILING_STATUS=MR","Sort=A","Dates=H","DateFormat=P","Fill=—","Direction=H","UseDPDF=Y")</f>
        <v>7.57</v>
      </c>
      <c r="H10" s="13">
        <f>_xll.BDH("AVNT US Equity","GOVERNANCE_SCORE","FY 2018","FY 2018","Currency=USD","Period=FY","BEST_FPERIOD_OVERRIDE=FY","FILING_STATUS=MR","Sort=A","Dates=H","DateFormat=P","Fill=—","Direction=H","UseDPDF=Y")</f>
        <v>7.45</v>
      </c>
      <c r="I10" s="13">
        <f>_xll.BDH("AVNT US Equity","GOVERNANCE_SCORE","FY 2019","FY 2019","Currency=USD","Period=FY","BEST_FPERIOD_OVERRIDE=FY","FILING_STATUS=MR","Sort=A","Dates=H","DateFormat=P","Fill=—","Direction=H","UseDPDF=Y")</f>
        <v>7.57</v>
      </c>
      <c r="J10" s="13">
        <f>_xll.BDH("AVNT US Equity","GOVERNANCE_SCORE","FY 2020","FY 2020","Currency=USD","Period=FY","BEST_FPERIOD_OVERRIDE=FY","FILING_STATUS=MR","Sort=A","Dates=H","DateFormat=P","Fill=—","Direction=H","UseDPDF=Y")</f>
        <v>7.42</v>
      </c>
      <c r="K10" s="13">
        <f>_xll.BDH("AVNT US Equity","GOVERNANCE_SCORE","FY 2021","FY 2021","Currency=USD","Period=FY","BEST_FPERIOD_OVERRIDE=FY","FILING_STATUS=MR","Sort=A","Dates=H","DateFormat=P","Fill=—","Direction=H","UseDPDF=Y")</f>
        <v>7.44</v>
      </c>
      <c r="L10" s="13" t="str">
        <f>_xll.BDH("AVNT US Equity","GOVERNANCE_SCORE","FY 2022","FY 2022","Currency=USD","Period=FY","BEST_FPERIOD_OVERRIDE=FY","FILING_STATUS=MR","Sort=A","Dates=H","DateFormat=P","Fill=—","Direction=H","UseDPDF=Y")</f>
        <v>—</v>
      </c>
    </row>
    <row r="11" spans="1:12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>
      <c r="A12" s="10" t="s">
        <v>32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>
      <c r="A13" s="6" t="s">
        <v>33</v>
      </c>
      <c r="B13" s="6" t="s">
        <v>34</v>
      </c>
      <c r="C13" s="15">
        <f>_xll.BDH("AVNT US Equity","ESG_DISCLOSURE_SCORE","FY 2013","FY 2013","Currency=USD","Period=FY","BEST_FPERIOD_OVERRIDE=FY","FILING_STATUS=MR","Sort=A","Dates=H","DateFormat=P","Fill=—","Direction=H","UseDPDF=Y")</f>
        <v>31.6568</v>
      </c>
      <c r="D13" s="15">
        <f>_xll.BDH("AVNT US Equity","ESG_DISCLOSURE_SCORE","FY 2014","FY 2014","Currency=USD","Period=FY","BEST_FPERIOD_OVERRIDE=FY","FILING_STATUS=MR","Sort=A","Dates=H","DateFormat=P","Fill=—","Direction=H","UseDPDF=Y")</f>
        <v>33.527799999999999</v>
      </c>
      <c r="E13" s="15">
        <f>_xll.BDH("AVNT US Equity","ESG_DISCLOSURE_SCORE","FY 2015","FY 2015","Currency=USD","Period=FY","BEST_FPERIOD_OVERRIDE=FY","FILING_STATUS=MR","Sort=A","Dates=H","DateFormat=P","Fill=—","Direction=H","UseDPDF=Y")</f>
        <v>40.0563</v>
      </c>
      <c r="F13" s="15">
        <f>_xll.BDH("AVNT US Equity","ESG_DISCLOSURE_SCORE","FY 2016","FY 2016","Currency=USD","Period=FY","BEST_FPERIOD_OVERRIDE=FY","FILING_STATUS=MR","Sort=A","Dates=H","DateFormat=P","Fill=—","Direction=H","UseDPDF=Y")</f>
        <v>52.4696</v>
      </c>
      <c r="G13" s="15">
        <f>_xll.BDH("AVNT US Equity","ESG_DISCLOSURE_SCORE","FY 2017","FY 2017","Currency=USD","Period=FY","BEST_FPERIOD_OVERRIDE=FY","FILING_STATUS=MR","Sort=A","Dates=H","DateFormat=P","Fill=—","Direction=H","UseDPDF=Y")</f>
        <v>52.4696</v>
      </c>
      <c r="H13" s="15">
        <f>_xll.BDH("AVNT US Equity","ESG_DISCLOSURE_SCORE","FY 2018","FY 2018","Currency=USD","Period=FY","BEST_FPERIOD_OVERRIDE=FY","FILING_STATUS=MR","Sort=A","Dates=H","DateFormat=P","Fill=—","Direction=H","UseDPDF=Y")</f>
        <v>55.919899999999998</v>
      </c>
      <c r="I13" s="15">
        <f>_xll.BDH("AVNT US Equity","ESG_DISCLOSURE_SCORE","FY 2019","FY 2019","Currency=USD","Period=FY","BEST_FPERIOD_OVERRIDE=FY","FILING_STATUS=MR","Sort=A","Dates=H","DateFormat=P","Fill=—","Direction=H","UseDPDF=Y")</f>
        <v>64.742000000000004</v>
      </c>
      <c r="J13" s="15">
        <f>_xll.BDH("AVNT US Equity","ESG_DISCLOSURE_SCORE","FY 2020","FY 2020","Currency=USD","Period=FY","BEST_FPERIOD_OVERRIDE=FY","FILING_STATUS=MR","Sort=A","Dates=H","DateFormat=P","Fill=—","Direction=H","UseDPDF=Y")</f>
        <v>66.985200000000006</v>
      </c>
      <c r="K13" s="15">
        <f>_xll.BDH("AVNT US Equity","ESG_DISCLOSURE_SCORE","FY 2021","FY 2021","Currency=USD","Period=FY","BEST_FPERIOD_OVERRIDE=FY","FILING_STATUS=MR","Sort=A","Dates=H","DateFormat=P","Fill=—","Direction=H","UseDPDF=Y")</f>
        <v>68.423699999999997</v>
      </c>
      <c r="L13" s="15" t="str">
        <f>_xll.BDH("AVNT US Equity","ESG_DISCLOSURE_SCORE","FY 2022","FY 2022","Currency=USD","Period=FY","BEST_FPERIOD_OVERRIDE=FY","FILING_STATUS=MR","Sort=A","Dates=H","DateFormat=P","Fill=—","Direction=H","UseDPDF=Y")</f>
        <v>—</v>
      </c>
    </row>
    <row r="14" spans="1:12">
      <c r="A14" s="10" t="s">
        <v>35</v>
      </c>
      <c r="B14" s="10" t="s">
        <v>36</v>
      </c>
      <c r="C14" s="13">
        <f>_xll.BDH("AVNT US Equity","ENVIRON_DISCLOSURE_SCORE","FY 2013","FY 2013","Currency=USD","Period=FY","BEST_FPERIOD_OVERRIDE=FY","FILING_STATUS=MR","Sort=A","Dates=H","DateFormat=P","Fill=—","Direction=H","UseDPDF=Y")</f>
        <v>0.48320000000000002</v>
      </c>
      <c r="D14" s="13">
        <f>_xll.BDH("AVNT US Equity","ENVIRON_DISCLOSURE_SCORE","FY 2014","FY 2014","Currency=USD","Period=FY","BEST_FPERIOD_OVERRIDE=FY","FILING_STATUS=MR","Sort=A","Dates=H","DateFormat=P","Fill=—","Direction=H","UseDPDF=Y")</f>
        <v>0.48320000000000002</v>
      </c>
      <c r="E14" s="13">
        <f>_xll.BDH("AVNT US Equity","ENVIRON_DISCLOSURE_SCORE","FY 2015","FY 2015","Currency=USD","Period=FY","BEST_FPERIOD_OVERRIDE=FY","FILING_STATUS=MR","Sort=A","Dates=H","DateFormat=P","Fill=—","Direction=H","UseDPDF=Y")</f>
        <v>15.282400000000001</v>
      </c>
      <c r="F14" s="13">
        <f>_xll.BDH("AVNT US Equity","ENVIRON_DISCLOSURE_SCORE","FY 2016","FY 2016","Currency=USD","Period=FY","BEST_FPERIOD_OVERRIDE=FY","FILING_STATUS=MR","Sort=A","Dates=H","DateFormat=P","Fill=—","Direction=H","UseDPDF=Y")</f>
        <v>47.115699999999997</v>
      </c>
      <c r="G14" s="13">
        <f>_xll.BDH("AVNT US Equity","ENVIRON_DISCLOSURE_SCORE","FY 2017","FY 2017","Currency=USD","Period=FY","BEST_FPERIOD_OVERRIDE=FY","FILING_STATUS=MR","Sort=A","Dates=H","DateFormat=P","Fill=—","Direction=H","UseDPDF=Y")</f>
        <v>47.115699999999997</v>
      </c>
      <c r="H14" s="13">
        <f>_xll.BDH("AVNT US Equity","ENVIRON_DISCLOSURE_SCORE","FY 2018","FY 2018","Currency=USD","Period=FY","BEST_FPERIOD_OVERRIDE=FY","FILING_STATUS=MR","Sort=A","Dates=H","DateFormat=P","Fill=—","Direction=H","UseDPDF=Y")</f>
        <v>56.840800000000002</v>
      </c>
      <c r="I14" s="13">
        <f>_xll.BDH("AVNT US Equity","ENVIRON_DISCLOSURE_SCORE","FY 2019","FY 2019","Currency=USD","Period=FY","BEST_FPERIOD_OVERRIDE=FY","FILING_STATUS=MR","Sort=A","Dates=H","DateFormat=P","Fill=—","Direction=H","UseDPDF=Y")</f>
        <v>63.122900000000001</v>
      </c>
      <c r="J14" s="13">
        <f>_xll.BDH("AVNT US Equity","ENVIRON_DISCLOSURE_SCORE","FY 2020","FY 2020","Currency=USD","Period=FY","BEST_FPERIOD_OVERRIDE=FY","FILING_STATUS=MR","Sort=A","Dates=H","DateFormat=P","Fill=—","Direction=H","UseDPDF=Y")</f>
        <v>63.122900000000001</v>
      </c>
      <c r="K14" s="13">
        <f>_xll.BDH("AVNT US Equity","ENVIRON_DISCLOSURE_SCORE","FY 2021","FY 2021","Currency=USD","Period=FY","BEST_FPERIOD_OVERRIDE=FY","FILING_STATUS=MR","Sort=A","Dates=H","DateFormat=P","Fill=—","Direction=H","UseDPDF=Y")</f>
        <v>67.441900000000004</v>
      </c>
      <c r="L14" s="13" t="str">
        <f>_xll.BDH("AVNT US Equity","ENVIRON_DISCLOSURE_SCORE","FY 2022","FY 2022","Currency=USD","Period=FY","BEST_FPERIOD_OVERRIDE=FY","FILING_STATUS=MR","Sort=A","Dates=H","DateFormat=P","Fill=—","Direction=H","UseDPDF=Y")</f>
        <v>—</v>
      </c>
    </row>
    <row r="15" spans="1:12">
      <c r="A15" s="10" t="s">
        <v>37</v>
      </c>
      <c r="B15" s="10" t="s">
        <v>38</v>
      </c>
      <c r="C15" s="13">
        <f>_xll.BDH("AVNT US Equity","SOCIAL_DISCLOSURE_SCORE","FY 2013","FY 2013","Currency=USD","Period=FY","BEST_FPERIOD_OVERRIDE=FY","FILING_STATUS=MR","Sort=A","Dates=H","DateFormat=P","Fill=—","Direction=H","UseDPDF=Y")</f>
        <v>8.7666000000000004</v>
      </c>
      <c r="D15" s="13">
        <f>_xll.BDH("AVNT US Equity","SOCIAL_DISCLOSURE_SCORE","FY 2014","FY 2014","Currency=USD","Period=FY","BEST_FPERIOD_OVERRIDE=FY","FILING_STATUS=MR","Sort=A","Dates=H","DateFormat=P","Fill=—","Direction=H","UseDPDF=Y")</f>
        <v>14.3894</v>
      </c>
      <c r="E15" s="13">
        <f>_xll.BDH("AVNT US Equity","SOCIAL_DISCLOSURE_SCORE","FY 2015","FY 2015","Currency=USD","Period=FY","BEST_FPERIOD_OVERRIDE=FY","FILING_STATUS=MR","Sort=A","Dates=H","DateFormat=P","Fill=—","Direction=H","UseDPDF=Y")</f>
        <v>17.231000000000002</v>
      </c>
      <c r="F15" s="13">
        <f>_xll.BDH("AVNT US Equity","SOCIAL_DISCLOSURE_SCORE","FY 2016","FY 2016","Currency=USD","Period=FY","BEST_FPERIOD_OVERRIDE=FY","FILING_STATUS=MR","Sort=A","Dates=H","DateFormat=P","Fill=—","Direction=H","UseDPDF=Y")</f>
        <v>22.6723</v>
      </c>
      <c r="G15" s="13">
        <f>_xll.BDH("AVNT US Equity","SOCIAL_DISCLOSURE_SCORE","FY 2017","FY 2017","Currency=USD","Period=FY","BEST_FPERIOD_OVERRIDE=FY","FILING_STATUS=MR","Sort=A","Dates=H","DateFormat=P","Fill=—","Direction=H","UseDPDF=Y")</f>
        <v>22.6723</v>
      </c>
      <c r="H15" s="13">
        <f>_xll.BDH("AVNT US Equity","SOCIAL_DISCLOSURE_SCORE","FY 2018","FY 2018","Currency=USD","Period=FY","BEST_FPERIOD_OVERRIDE=FY","FILING_STATUS=MR","Sort=A","Dates=H","DateFormat=P","Fill=—","Direction=H","UseDPDF=Y")</f>
        <v>23.307099999999998</v>
      </c>
      <c r="I15" s="13">
        <f>_xll.BDH("AVNT US Equity","SOCIAL_DISCLOSURE_SCORE","FY 2019","FY 2019","Currency=USD","Period=FY","BEST_FPERIOD_OVERRIDE=FY","FILING_STATUS=MR","Sort=A","Dates=H","DateFormat=P","Fill=—","Direction=H","UseDPDF=Y")</f>
        <v>43.530799999999999</v>
      </c>
      <c r="J15" s="13">
        <f>_xll.BDH("AVNT US Equity","SOCIAL_DISCLOSURE_SCORE","FY 2020","FY 2020","Currency=USD","Period=FY","BEST_FPERIOD_OVERRIDE=FY","FILING_STATUS=MR","Sort=A","Dates=H","DateFormat=P","Fill=—","Direction=H","UseDPDF=Y")</f>
        <v>50.272100000000002</v>
      </c>
      <c r="K15" s="13">
        <f>_xll.BDH("AVNT US Equity","SOCIAL_DISCLOSURE_SCORE","FY 2021","FY 2021","Currency=USD","Period=FY","BEST_FPERIOD_OVERRIDE=FY","FILING_STATUS=MR","Sort=A","Dates=H","DateFormat=P","Fill=—","Direction=H","UseDPDF=Y")</f>
        <v>50.272100000000002</v>
      </c>
      <c r="L15" s="13" t="str">
        <f>_xll.BDH("AVNT US Equity","SOCIAL_DISCLOSURE_SCORE","FY 2022","FY 2022","Currency=USD","Period=FY","BEST_FPERIOD_OVERRIDE=FY","FILING_STATUS=MR","Sort=A","Dates=H","DateFormat=P","Fill=—","Direction=H","UseDPDF=Y")</f>
        <v>—</v>
      </c>
    </row>
    <row r="16" spans="1:12">
      <c r="A16" s="10" t="s">
        <v>39</v>
      </c>
      <c r="B16" s="10" t="s">
        <v>40</v>
      </c>
      <c r="C16" s="13">
        <f>_xll.BDH("AVNT US Equity","GOVNCE_DISCLOSURE_SCORE","FY 2013","FY 2013","Currency=USD","Period=FY","BEST_FPERIOD_OVERRIDE=FY","FILING_STATUS=MR","Sort=A","Dates=H","DateFormat=P","Fill=—","Direction=H","UseDPDF=Y")</f>
        <v>85.520799999999994</v>
      </c>
      <c r="D16" s="13">
        <f>_xll.BDH("AVNT US Equity","GOVNCE_DISCLOSURE_SCORE","FY 2014","FY 2014","Currency=USD","Period=FY","BEST_FPERIOD_OVERRIDE=FY","FILING_STATUS=MR","Sort=A","Dates=H","DateFormat=P","Fill=—","Direction=H","UseDPDF=Y")</f>
        <v>85.520799999999994</v>
      </c>
      <c r="E16" s="13">
        <f>_xll.BDH("AVNT US Equity","GOVNCE_DISCLOSURE_SCORE","FY 2015","FY 2015","Currency=USD","Period=FY","BEST_FPERIOD_OVERRIDE=FY","FILING_STATUS=MR","Sort=A","Dates=H","DateFormat=P","Fill=—","Direction=H","UseDPDF=Y")</f>
        <v>87.477400000000003</v>
      </c>
      <c r="F16" s="13">
        <f>_xll.BDH("AVNT US Equity","GOVNCE_DISCLOSURE_SCORE","FY 2016","FY 2016","Currency=USD","Period=FY","BEST_FPERIOD_OVERRIDE=FY","FILING_STATUS=MR","Sort=A","Dates=H","DateFormat=P","Fill=—","Direction=H","UseDPDF=Y")</f>
        <v>87.477400000000003</v>
      </c>
      <c r="G16" s="13">
        <f>_xll.BDH("AVNT US Equity","GOVNCE_DISCLOSURE_SCORE","FY 2017","FY 2017","Currency=USD","Period=FY","BEST_FPERIOD_OVERRIDE=FY","FILING_STATUS=MR","Sort=A","Dates=H","DateFormat=P","Fill=—","Direction=H","UseDPDF=Y")</f>
        <v>87.477400000000003</v>
      </c>
      <c r="H16" s="13">
        <f>_xll.BDH("AVNT US Equity","GOVNCE_DISCLOSURE_SCORE","FY 2018","FY 2018","Currency=USD","Period=FY","BEST_FPERIOD_OVERRIDE=FY","FILING_STATUS=MR","Sort=A","Dates=H","DateFormat=P","Fill=—","Direction=H","UseDPDF=Y")</f>
        <v>87.477400000000003</v>
      </c>
      <c r="I16" s="13">
        <f>_xll.BDH("AVNT US Equity","GOVNCE_DISCLOSURE_SCORE","FY 2019","FY 2019","Currency=USD","Period=FY","BEST_FPERIOD_OVERRIDE=FY","FILING_STATUS=MR","Sort=A","Dates=H","DateFormat=P","Fill=—","Direction=H","UseDPDF=Y")</f>
        <v>87.477400000000003</v>
      </c>
      <c r="J16" s="13">
        <f>_xll.BDH("AVNT US Equity","GOVNCE_DISCLOSURE_SCORE","FY 2020","FY 2020","Currency=USD","Period=FY","BEST_FPERIOD_OVERRIDE=FY","FILING_STATUS=MR","Sort=A","Dates=H","DateFormat=P","Fill=—","Direction=H","UseDPDF=Y")</f>
        <v>87.477400000000003</v>
      </c>
      <c r="K16" s="13">
        <f>_xll.BDH("AVNT US Equity","GOVNCE_DISCLOSURE_SCORE","FY 2021","FY 2021","Currency=USD","Period=FY","BEST_FPERIOD_OVERRIDE=FY","FILING_STATUS=MR","Sort=A","Dates=H","DateFormat=P","Fill=—","Direction=H","UseDPDF=Y")</f>
        <v>87.477400000000003</v>
      </c>
      <c r="L16" s="13" t="str">
        <f>_xll.BDH("AVNT US Equity","GOVNCE_DISCLOSURE_SCORE","FY 2022","FY 2022","Currency=USD","Period=FY","BEST_FPERIOD_OVERRIDE=FY","FILING_STATUS=MR","Sort=A","Dates=H","DateFormat=P","Fill=—","Direction=H","UseDPDF=Y")</f>
        <v>—</v>
      </c>
    </row>
    <row r="17" spans="1:12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6" t="s">
        <v>41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0" t="s">
        <v>42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12">
      <c r="A20" s="10" t="s">
        <v>43</v>
      </c>
      <c r="B20" s="10" t="s">
        <v>44</v>
      </c>
      <c r="C20" s="12" t="str">
        <f>_xll.BDH("AVNT US Equity","NOX_EMISSIONS","FY 2013","FY 2013","Currency=USD","Period=FY","BEST_FPERIOD_OVERRIDE=FY","FILING_STATUS=MR","Sort=A","Dates=H","DateFormat=P","Fill=—","Direction=H","UseDPDF=Y")</f>
        <v>—</v>
      </c>
      <c r="D20" s="12" t="str">
        <f>_xll.BDH("AVNT US Equity","NOX_EMISSIONS","FY 2014","FY 2014","Currency=USD","Period=FY","BEST_FPERIOD_OVERRIDE=FY","FILING_STATUS=MR","Sort=A","Dates=H","DateFormat=P","Fill=—","Direction=H","UseDPDF=Y")</f>
        <v>—</v>
      </c>
      <c r="E20" s="12" t="str">
        <f>_xll.BDH("AVNT US Equity","NOX_EMISSIONS","FY 2015","FY 2015","Currency=USD","Period=FY","BEST_FPERIOD_OVERRIDE=FY","FILING_STATUS=MR","Sort=A","Dates=H","DateFormat=P","Fill=—","Direction=H","UseDPDF=Y")</f>
        <v>—</v>
      </c>
      <c r="F20" s="12">
        <f>_xll.BDH("AVNT US Equity","NOX_EMISSIONS","FY 2016","FY 2016","Currency=USD","Period=FY","BEST_FPERIOD_OVERRIDE=FY","FILING_STATUS=MR","Sort=A","Dates=H","DateFormat=P","Fill=—","Direction=H","UseDPDF=Y")</f>
        <v>0</v>
      </c>
      <c r="G20" s="12">
        <f>_xll.BDH("AVNT US Equity","NOX_EMISSIONS","FY 2017","FY 2017","Currency=USD","Period=FY","BEST_FPERIOD_OVERRIDE=FY","FILING_STATUS=MR","Sort=A","Dates=H","DateFormat=P","Fill=—","Direction=H","UseDPDF=Y")</f>
        <v>0</v>
      </c>
      <c r="H20" s="12">
        <f>_xll.BDH("AVNT US Equity","NOX_EMISSIONS","FY 2018","FY 2018","Currency=USD","Period=FY","BEST_FPERIOD_OVERRIDE=FY","FILING_STATUS=MR","Sort=A","Dates=H","DateFormat=P","Fill=—","Direction=H","UseDPDF=Y")</f>
        <v>0</v>
      </c>
      <c r="I20" s="12">
        <f>_xll.BDH("AVNT US Equity","NOX_EMISSIONS","FY 2019","FY 2019","Currency=USD","Period=FY","BEST_FPERIOD_OVERRIDE=FY","FILING_STATUS=MR","Sort=A","Dates=H","DateFormat=P","Fill=—","Direction=H","UseDPDF=Y")</f>
        <v>0</v>
      </c>
      <c r="J20" s="12">
        <f>_xll.BDH("AVNT US Equity","NOX_EMISSIONS","FY 2020","FY 2020","Currency=USD","Period=FY","BEST_FPERIOD_OVERRIDE=FY","FILING_STATUS=MR","Sort=A","Dates=H","DateFormat=P","Fill=—","Direction=H","UseDPDF=Y")</f>
        <v>0</v>
      </c>
      <c r="K20" s="12">
        <f>_xll.BDH("AVNT US Equity","NOX_EMISSIONS","FY 2021","FY 2021","Currency=USD","Period=FY","BEST_FPERIOD_OVERRIDE=FY","FILING_STATUS=MR","Sort=A","Dates=H","DateFormat=P","Fill=—","Direction=H","UseDPDF=Y")</f>
        <v>0</v>
      </c>
      <c r="L20" s="12">
        <f>_xll.BDH("AVNT US Equity","NOX_EMISSIONS","FY 2022","FY 2022","Currency=USD","Period=FY","BEST_FPERIOD_OVERRIDE=FY","FILING_STATUS=MR","Sort=A","Dates=H","DateFormat=P","Fill=—","Direction=H","UseDPDF=Y")</f>
        <v>1.2999999999999999E-2</v>
      </c>
    </row>
    <row r="21" spans="1:12">
      <c r="A21" s="10" t="s">
        <v>45</v>
      </c>
      <c r="B21" s="10" t="s">
        <v>46</v>
      </c>
      <c r="C21" s="12" t="str">
        <f>_xll.BDH("AVNT US Equity","VOC_EMISSIONS","FY 2013","FY 2013","Currency=USD","Period=FY","BEST_FPERIOD_OVERRIDE=FY","FILING_STATUS=MR","Sort=A","Dates=H","DateFormat=P","Fill=—","Direction=H","UseDPDF=Y")</f>
        <v>—</v>
      </c>
      <c r="D21" s="12" t="str">
        <f>_xll.BDH("AVNT US Equity","VOC_EMISSIONS","FY 2014","FY 2014","Currency=USD","Period=FY","BEST_FPERIOD_OVERRIDE=FY","FILING_STATUS=MR","Sort=A","Dates=H","DateFormat=P","Fill=—","Direction=H","UseDPDF=Y")</f>
        <v>—</v>
      </c>
      <c r="E21" s="12" t="str">
        <f>_xll.BDH("AVNT US Equity","VOC_EMISSIONS","FY 2015","FY 2015","Currency=USD","Period=FY","BEST_FPERIOD_OVERRIDE=FY","FILING_STATUS=MR","Sort=A","Dates=H","DateFormat=P","Fill=—","Direction=H","UseDPDF=Y")</f>
        <v>—</v>
      </c>
      <c r="F21" s="12">
        <f>_xll.BDH("AVNT US Equity","VOC_EMISSIONS","FY 2016","FY 2016","Currency=USD","Period=FY","BEST_FPERIOD_OVERRIDE=FY","FILING_STATUS=MR","Sort=A","Dates=H","DateFormat=P","Fill=—","Direction=H","UseDPDF=Y")</f>
        <v>0.03</v>
      </c>
      <c r="G21" s="12">
        <f>_xll.BDH("AVNT US Equity","VOC_EMISSIONS","FY 2017","FY 2017","Currency=USD","Period=FY","BEST_FPERIOD_OVERRIDE=FY","FILING_STATUS=MR","Sort=A","Dates=H","DateFormat=P","Fill=—","Direction=H","UseDPDF=Y")</f>
        <v>3.2000000000000001E-2</v>
      </c>
      <c r="H21" s="12">
        <f>_xll.BDH("AVNT US Equity","VOC_EMISSIONS","FY 2018","FY 2018","Currency=USD","Period=FY","BEST_FPERIOD_OVERRIDE=FY","FILING_STATUS=MR","Sort=A","Dates=H","DateFormat=P","Fill=—","Direction=H","UseDPDF=Y")</f>
        <v>3.1E-2</v>
      </c>
      <c r="I21" s="12">
        <f>_xll.BDH("AVNT US Equity","VOC_EMISSIONS","FY 2019","FY 2019","Currency=USD","Period=FY","BEST_FPERIOD_OVERRIDE=FY","FILING_STATUS=MR","Sort=A","Dates=H","DateFormat=P","Fill=—","Direction=H","UseDPDF=Y")</f>
        <v>4.3999999999999997E-2</v>
      </c>
      <c r="J21" s="12">
        <f>_xll.BDH("AVNT US Equity","VOC_EMISSIONS","FY 2020","FY 2020","Currency=USD","Period=FY","BEST_FPERIOD_OVERRIDE=FY","FILING_STATUS=MR","Sort=A","Dates=H","DateFormat=P","Fill=—","Direction=H","UseDPDF=Y")</f>
        <v>0.04</v>
      </c>
      <c r="K21" s="12">
        <f>_xll.BDH("AVNT US Equity","VOC_EMISSIONS","FY 2021","FY 2021","Currency=USD","Period=FY","BEST_FPERIOD_OVERRIDE=FY","FILING_STATUS=MR","Sort=A","Dates=H","DateFormat=P","Fill=—","Direction=H","UseDPDF=Y")</f>
        <v>4.2999999999999997E-2</v>
      </c>
      <c r="L21" s="12">
        <f>_xll.BDH("AVNT US Equity","VOC_EMISSIONS","FY 2022","FY 2022","Currency=USD","Period=FY","BEST_FPERIOD_OVERRIDE=FY","FILING_STATUS=MR","Sort=A","Dates=H","DateFormat=P","Fill=—","Direction=H","UseDPDF=Y")</f>
        <v>0.64800000000000002</v>
      </c>
    </row>
    <row r="22" spans="1:12">
      <c r="A22" s="10" t="s">
        <v>47</v>
      </c>
      <c r="B22" s="10" t="s">
        <v>48</v>
      </c>
      <c r="C22" s="12" t="str">
        <f>_xll.BDH("AVNT US Equity","PARTICULATE_EMISSIONS","FY 2013","FY 2013","Currency=USD","Period=FY","BEST_FPERIOD_OVERRIDE=FY","FILING_STATUS=MR","Sort=A","Dates=H","DateFormat=P","Fill=—","Direction=H","UseDPDF=Y")</f>
        <v>—</v>
      </c>
      <c r="D22" s="12" t="str">
        <f>_xll.BDH("AVNT US Equity","PARTICULATE_EMISSIONS","FY 2014","FY 2014","Currency=USD","Period=FY","BEST_FPERIOD_OVERRIDE=FY","FILING_STATUS=MR","Sort=A","Dates=H","DateFormat=P","Fill=—","Direction=H","UseDPDF=Y")</f>
        <v>—</v>
      </c>
      <c r="E22" s="12" t="str">
        <f>_xll.BDH("AVNT US Equity","PARTICULATE_EMISSIONS","FY 2015","FY 2015","Currency=USD","Period=FY","BEST_FPERIOD_OVERRIDE=FY","FILING_STATUS=MR","Sort=A","Dates=H","DateFormat=P","Fill=—","Direction=H","UseDPDF=Y")</f>
        <v>—</v>
      </c>
      <c r="F22" s="12">
        <f>_xll.BDH("AVNT US Equity","PARTICULATE_EMISSIONS","FY 2016","FY 2016","Currency=USD","Period=FY","BEST_FPERIOD_OVERRIDE=FY","FILING_STATUS=MR","Sort=A","Dates=H","DateFormat=P","Fill=—","Direction=H","UseDPDF=Y")</f>
        <v>2.3E-2</v>
      </c>
      <c r="G22" s="12">
        <f>_xll.BDH("AVNT US Equity","PARTICULATE_EMISSIONS","FY 2017","FY 2017","Currency=USD","Period=FY","BEST_FPERIOD_OVERRIDE=FY","FILING_STATUS=MR","Sort=A","Dates=H","DateFormat=P","Fill=—","Direction=H","UseDPDF=Y")</f>
        <v>2.5000000000000001E-2</v>
      </c>
      <c r="H22" s="12">
        <f>_xll.BDH("AVNT US Equity","PARTICULATE_EMISSIONS","FY 2018","FY 2018","Currency=USD","Period=FY","BEST_FPERIOD_OVERRIDE=FY","FILING_STATUS=MR","Sort=A","Dates=H","DateFormat=P","Fill=—","Direction=H","UseDPDF=Y")</f>
        <v>2.4E-2</v>
      </c>
      <c r="I22" s="12">
        <f>_xll.BDH("AVNT US Equity","PARTICULATE_EMISSIONS","FY 2019","FY 2019","Currency=USD","Period=FY","BEST_FPERIOD_OVERRIDE=FY","FILING_STATUS=MR","Sort=A","Dates=H","DateFormat=P","Fill=—","Direction=H","UseDPDF=Y")</f>
        <v>3.4000000000000002E-2</v>
      </c>
      <c r="J22" s="12">
        <f>_xll.BDH("AVNT US Equity","PARTICULATE_EMISSIONS","FY 2020","FY 2020","Currency=USD","Period=FY","BEST_FPERIOD_OVERRIDE=FY","FILING_STATUS=MR","Sort=A","Dates=H","DateFormat=P","Fill=—","Direction=H","UseDPDF=Y")</f>
        <v>3.1E-2</v>
      </c>
      <c r="K22" s="12">
        <f>_xll.BDH("AVNT US Equity","PARTICULATE_EMISSIONS","FY 2021","FY 2021","Currency=USD","Period=FY","BEST_FPERIOD_OVERRIDE=FY","FILING_STATUS=MR","Sort=A","Dates=H","DateFormat=P","Fill=—","Direction=H","UseDPDF=Y")</f>
        <v>3.3000000000000002E-2</v>
      </c>
      <c r="L22" s="12">
        <f>_xll.BDH("AVNT US Equity","PARTICULATE_EMISSIONS","FY 2022","FY 2022","Currency=USD","Period=FY","BEST_FPERIOD_OVERRIDE=FY","FILING_STATUS=MR","Sort=A","Dates=H","DateFormat=P","Fill=—","Direction=H","UseDPDF=Y")</f>
        <v>3.3000000000000002E-2</v>
      </c>
    </row>
    <row r="23" spans="1:12">
      <c r="A23" s="10" t="s">
        <v>49</v>
      </c>
      <c r="B23" s="10" t="s">
        <v>50</v>
      </c>
      <c r="C23" s="12" t="str">
        <f>_xll.BDH("AVNT US Equity","SULPHUR_DIOXIDE_SULPHUR_OXIDE_EM","FY 2013","FY 2013","Currency=USD","Period=FY","BEST_FPERIOD_OVERRIDE=FY","FILING_STATUS=MR","Sort=A","Dates=H","DateFormat=P","Fill=—","Direction=H","UseDPDF=Y")</f>
        <v>—</v>
      </c>
      <c r="D23" s="12" t="str">
        <f>_xll.BDH("AVNT US Equity","SULPHUR_DIOXIDE_SULPHUR_OXIDE_EM","FY 2014","FY 2014","Currency=USD","Period=FY","BEST_FPERIOD_OVERRIDE=FY","FILING_STATUS=MR","Sort=A","Dates=H","DateFormat=P","Fill=—","Direction=H","UseDPDF=Y")</f>
        <v>—</v>
      </c>
      <c r="E23" s="12" t="str">
        <f>_xll.BDH("AVNT US Equity","SULPHUR_DIOXIDE_SULPHUR_OXIDE_EM","FY 2015","FY 2015","Currency=USD","Period=FY","BEST_FPERIOD_OVERRIDE=FY","FILING_STATUS=MR","Sort=A","Dates=H","DateFormat=P","Fill=—","Direction=H","UseDPDF=Y")</f>
        <v>—</v>
      </c>
      <c r="F23" s="12">
        <f>_xll.BDH("AVNT US Equity","SULPHUR_DIOXIDE_SULPHUR_OXIDE_EM","FY 2016","FY 2016","Currency=USD","Period=FY","BEST_FPERIOD_OVERRIDE=FY","FILING_STATUS=MR","Sort=A","Dates=H","DateFormat=P","Fill=—","Direction=H","UseDPDF=Y")</f>
        <v>0</v>
      </c>
      <c r="G23" s="12">
        <f>_xll.BDH("AVNT US Equity","SULPHUR_DIOXIDE_SULPHUR_OXIDE_EM","FY 2017","FY 2017","Currency=USD","Period=FY","BEST_FPERIOD_OVERRIDE=FY","FILING_STATUS=MR","Sort=A","Dates=H","DateFormat=P","Fill=—","Direction=H","UseDPDF=Y")</f>
        <v>0</v>
      </c>
      <c r="H23" s="12">
        <f>_xll.BDH("AVNT US Equity","SULPHUR_DIOXIDE_SULPHUR_OXIDE_EM","FY 2018","FY 2018","Currency=USD","Period=FY","BEST_FPERIOD_OVERRIDE=FY","FILING_STATUS=MR","Sort=A","Dates=H","DateFormat=P","Fill=—","Direction=H","UseDPDF=Y")</f>
        <v>1E-4</v>
      </c>
      <c r="I23" s="12">
        <f>_xll.BDH("AVNT US Equity","SULPHUR_DIOXIDE_SULPHUR_OXIDE_EM","FY 2019","FY 2019","Currency=USD","Period=FY","BEST_FPERIOD_OVERRIDE=FY","FILING_STATUS=MR","Sort=A","Dates=H","DateFormat=P","Fill=—","Direction=H","UseDPDF=Y")</f>
        <v>1E-4</v>
      </c>
      <c r="J23" s="12">
        <f>_xll.BDH("AVNT US Equity","SULPHUR_DIOXIDE_SULPHUR_OXIDE_EM","FY 2020","FY 2020","Currency=USD","Period=FY","BEST_FPERIOD_OVERRIDE=FY","FILING_STATUS=MR","Sort=A","Dates=H","DateFormat=P","Fill=—","Direction=H","UseDPDF=Y")</f>
        <v>1E-4</v>
      </c>
      <c r="K23" s="12">
        <f>_xll.BDH("AVNT US Equity","SULPHUR_DIOXIDE_SULPHUR_OXIDE_EM","FY 2021","FY 2021","Currency=USD","Period=FY","BEST_FPERIOD_OVERRIDE=FY","FILING_STATUS=MR","Sort=A","Dates=H","DateFormat=P","Fill=—","Direction=H","UseDPDF=Y")</f>
        <v>1E-4</v>
      </c>
      <c r="L23" s="12">
        <f>_xll.BDH("AVNT US Equity","SULPHUR_DIOXIDE_SULPHUR_OXIDE_EM","FY 2022","FY 2022","Currency=USD","Period=FY","BEST_FPERIOD_OVERRIDE=FY","FILING_STATUS=MR","Sort=A","Dates=H","DateFormat=P","Fill=—","Direction=H","UseDPDF=Y")</f>
        <v>2.9999999999999997E-4</v>
      </c>
    </row>
    <row r="24" spans="1:12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>
      <c r="A25" s="10" t="s">
        <v>51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>
      <c r="A26" s="10" t="s">
        <v>52</v>
      </c>
      <c r="B26" s="10" t="s">
        <v>53</v>
      </c>
      <c r="C26" s="11" t="s">
        <v>54</v>
      </c>
      <c r="D26" s="11" t="s">
        <v>54</v>
      </c>
      <c r="E26" s="11" t="s">
        <v>54</v>
      </c>
      <c r="F26" s="11" t="s">
        <v>54</v>
      </c>
      <c r="G26" s="11" t="s">
        <v>54</v>
      </c>
      <c r="H26" s="11" t="s">
        <v>55</v>
      </c>
      <c r="I26" s="11" t="s">
        <v>55</v>
      </c>
      <c r="J26" s="11" t="s">
        <v>55</v>
      </c>
      <c r="K26" s="11" t="s">
        <v>55</v>
      </c>
      <c r="L26" s="11" t="s">
        <v>55</v>
      </c>
    </row>
    <row r="27" spans="1:12">
      <c r="A27" s="10" t="s">
        <v>56</v>
      </c>
      <c r="B27" s="10" t="s">
        <v>57</v>
      </c>
      <c r="C27" s="11" t="s">
        <v>54</v>
      </c>
      <c r="D27" s="11" t="s">
        <v>54</v>
      </c>
      <c r="E27" s="11" t="s">
        <v>54</v>
      </c>
      <c r="F27" s="11" t="s">
        <v>54</v>
      </c>
      <c r="G27" s="11" t="s">
        <v>54</v>
      </c>
      <c r="H27" s="11" t="s">
        <v>54</v>
      </c>
      <c r="I27" s="11" t="s">
        <v>55</v>
      </c>
      <c r="J27" s="11" t="s">
        <v>55</v>
      </c>
      <c r="K27" s="11" t="s">
        <v>55</v>
      </c>
      <c r="L27" s="11" t="s">
        <v>55</v>
      </c>
    </row>
    <row r="28" spans="1:12">
      <c r="A28" s="10" t="s">
        <v>58</v>
      </c>
      <c r="B28" s="10" t="s">
        <v>59</v>
      </c>
      <c r="C28" s="11" t="s">
        <v>54</v>
      </c>
      <c r="D28" s="11" t="s">
        <v>54</v>
      </c>
      <c r="E28" s="11" t="s">
        <v>54</v>
      </c>
      <c r="F28" s="11" t="s">
        <v>54</v>
      </c>
      <c r="G28" s="11" t="s">
        <v>54</v>
      </c>
      <c r="H28" s="11" t="s">
        <v>54</v>
      </c>
      <c r="I28" s="11" t="s">
        <v>54</v>
      </c>
      <c r="J28" s="11" t="s">
        <v>54</v>
      </c>
      <c r="K28" s="11" t="s">
        <v>54</v>
      </c>
      <c r="L28" s="11" t="s">
        <v>54</v>
      </c>
    </row>
    <row r="29" spans="1:12">
      <c r="A29" s="10" t="s">
        <v>60</v>
      </c>
      <c r="B29" s="10" t="s">
        <v>61</v>
      </c>
      <c r="C29" s="11" t="s">
        <v>54</v>
      </c>
      <c r="D29" s="11" t="s">
        <v>54</v>
      </c>
      <c r="E29" s="11" t="s">
        <v>54</v>
      </c>
      <c r="F29" s="11" t="s">
        <v>54</v>
      </c>
      <c r="G29" s="11" t="s">
        <v>54</v>
      </c>
      <c r="H29" s="11" t="s">
        <v>54</v>
      </c>
      <c r="I29" s="11" t="s">
        <v>54</v>
      </c>
      <c r="J29" s="11" t="s">
        <v>54</v>
      </c>
      <c r="K29" s="11" t="s">
        <v>54</v>
      </c>
      <c r="L29" s="11" t="s">
        <v>55</v>
      </c>
    </row>
    <row r="30" spans="1:12">
      <c r="A30" s="10" t="s">
        <v>62</v>
      </c>
      <c r="B30" s="10" t="s">
        <v>63</v>
      </c>
      <c r="C30" s="12" t="str">
        <f>_xll.BDH("AVNT US Equity","CO2_SCOPE_1","FY 2013","FY 2013","Currency=USD","Period=FY","BEST_FPERIOD_OVERRIDE=FY","FILING_STATUS=MR","Sort=A","Dates=H","DateFormat=P","Fill=—","Direction=H","UseDPDF=Y")</f>
        <v>—</v>
      </c>
      <c r="D30" s="12" t="str">
        <f>_xll.BDH("AVNT US Equity","CO2_SCOPE_1","FY 2014","FY 2014","Currency=USD","Period=FY","BEST_FPERIOD_OVERRIDE=FY","FILING_STATUS=MR","Sort=A","Dates=H","DateFormat=P","Fill=—","Direction=H","UseDPDF=Y")</f>
        <v>—</v>
      </c>
      <c r="E30" s="12" t="str">
        <f>_xll.BDH("AVNT US Equity","CO2_SCOPE_1","FY 2015","FY 2015","Currency=USD","Period=FY","BEST_FPERIOD_OVERRIDE=FY","FILING_STATUS=MR","Sort=A","Dates=H","DateFormat=P","Fill=—","Direction=H","UseDPDF=Y")</f>
        <v>—</v>
      </c>
      <c r="F30" s="12" t="str">
        <f>_xll.BDH("AVNT US Equity","CO2_SCOPE_1","FY 2016","FY 2016","Currency=USD","Period=FY","BEST_FPERIOD_OVERRIDE=FY","FILING_STATUS=MR","Sort=A","Dates=H","DateFormat=P","Fill=—","Direction=H","UseDPDF=Y")</f>
        <v>—</v>
      </c>
      <c r="G30" s="12" t="str">
        <f>_xll.BDH("AVNT US Equity","CO2_SCOPE_1","FY 2017","FY 2017","Currency=USD","Period=FY","BEST_FPERIOD_OVERRIDE=FY","FILING_STATUS=MR","Sort=A","Dates=H","DateFormat=P","Fill=—","Direction=H","UseDPDF=Y")</f>
        <v>—</v>
      </c>
      <c r="H30" s="12" t="str">
        <f>_xll.BDH("AVNT US Equity","CO2_SCOPE_1","FY 2018","FY 2018","Currency=USD","Period=FY","BEST_FPERIOD_OVERRIDE=FY","FILING_STATUS=MR","Sort=A","Dates=H","DateFormat=P","Fill=—","Direction=H","UseDPDF=Y")</f>
        <v>—</v>
      </c>
      <c r="I30" s="12" t="str">
        <f>_xll.BDH("AVNT US Equity","CO2_SCOPE_1","FY 2019","FY 2019","Currency=USD","Period=FY","BEST_FPERIOD_OVERRIDE=FY","FILING_STATUS=MR","Sort=A","Dates=H","DateFormat=P","Fill=—","Direction=H","UseDPDF=Y")</f>
        <v>—</v>
      </c>
      <c r="J30" s="12" t="str">
        <f>_xll.BDH("AVNT US Equity","CO2_SCOPE_1","FY 2020","FY 2020","Currency=USD","Period=FY","BEST_FPERIOD_OVERRIDE=FY","FILING_STATUS=MR","Sort=A","Dates=H","DateFormat=P","Fill=—","Direction=H","UseDPDF=Y")</f>
        <v>—</v>
      </c>
      <c r="K30" s="12">
        <f>_xll.BDH("AVNT US Equity","CO2_SCOPE_1","FY 2021","FY 2021","Currency=USD","Period=FY","BEST_FPERIOD_OVERRIDE=FY","FILING_STATUS=MR","Sort=A","Dates=H","DateFormat=P","Fill=—","Direction=H","UseDPDF=Y")</f>
        <v>18.219000000000001</v>
      </c>
      <c r="L30" s="12">
        <f>_xll.BDH("AVNT US Equity","CO2_SCOPE_1","FY 2022","FY 2022","Currency=USD","Period=FY","BEST_FPERIOD_OVERRIDE=FY","FILING_STATUS=MR","Sort=A","Dates=H","DateFormat=P","Fill=—","Direction=H","UseDPDF=Y")</f>
        <v>34.588999999999999</v>
      </c>
    </row>
    <row r="31" spans="1:12">
      <c r="A31" s="10" t="s">
        <v>64</v>
      </c>
      <c r="B31" s="10" t="s">
        <v>65</v>
      </c>
      <c r="C31" s="12" t="str">
        <f>_xll.BDH("AVNT US Equity","GHG_SCOPE_1","FY 2013","FY 2013","Currency=USD","Period=FY","BEST_FPERIOD_OVERRIDE=FY","FILING_STATUS=MR","Sort=A","Dates=H","DateFormat=P","Fill=—","Direction=H","UseDPDF=Y")</f>
        <v>—</v>
      </c>
      <c r="D31" s="12" t="str">
        <f>_xll.BDH("AVNT US Equity","GHG_SCOPE_1","FY 2014","FY 2014","Currency=USD","Period=FY","BEST_FPERIOD_OVERRIDE=FY","FILING_STATUS=MR","Sort=A","Dates=H","DateFormat=P","Fill=—","Direction=H","UseDPDF=Y")</f>
        <v>—</v>
      </c>
      <c r="E31" s="12" t="str">
        <f>_xll.BDH("AVNT US Equity","GHG_SCOPE_1","FY 2015","FY 2015","Currency=USD","Period=FY","BEST_FPERIOD_OVERRIDE=FY","FILING_STATUS=MR","Sort=A","Dates=H","DateFormat=P","Fill=—","Direction=H","UseDPDF=Y")</f>
        <v>—</v>
      </c>
      <c r="F31" s="12">
        <f>_xll.BDH("AVNT US Equity","GHG_SCOPE_1","FY 2016","FY 2016","Currency=USD","Period=FY","BEST_FPERIOD_OVERRIDE=FY","FILING_STATUS=MR","Sort=A","Dates=H","DateFormat=P","Fill=—","Direction=H","UseDPDF=Y")</f>
        <v>33.362000000000002</v>
      </c>
      <c r="G31" s="12">
        <f>_xll.BDH("AVNT US Equity","GHG_SCOPE_1","FY 2017","FY 2017","Currency=USD","Period=FY","BEST_FPERIOD_OVERRIDE=FY","FILING_STATUS=MR","Sort=A","Dates=H","DateFormat=P","Fill=—","Direction=H","UseDPDF=Y")</f>
        <v>21.527000000000001</v>
      </c>
      <c r="H31" s="12">
        <f>_xll.BDH("AVNT US Equity","GHG_SCOPE_1","FY 2018","FY 2018","Currency=USD","Period=FY","BEST_FPERIOD_OVERRIDE=FY","FILING_STATUS=MR","Sort=A","Dates=H","DateFormat=P","Fill=—","Direction=H","UseDPDF=Y")</f>
        <v>11.882</v>
      </c>
      <c r="I31" s="12">
        <f>_xll.BDH("AVNT US Equity","GHG_SCOPE_1","FY 2019","FY 2019","Currency=USD","Period=FY","BEST_FPERIOD_OVERRIDE=FY","FILING_STATUS=MR","Sort=A","Dates=H","DateFormat=P","Fill=—","Direction=H","UseDPDF=Y")</f>
        <v>18.748999999999999</v>
      </c>
      <c r="J31" s="12">
        <f>_xll.BDH("AVNT US Equity","GHG_SCOPE_1","FY 2020","FY 2020","Currency=USD","Period=FY","BEST_FPERIOD_OVERRIDE=FY","FILING_STATUS=MR","Sort=A","Dates=H","DateFormat=P","Fill=—","Direction=H","UseDPDF=Y")</f>
        <v>21.091999999999999</v>
      </c>
      <c r="K31" s="12">
        <f>_xll.BDH("AVNT US Equity","GHG_SCOPE_1","FY 2021","FY 2021","Currency=USD","Period=FY","BEST_FPERIOD_OVERRIDE=FY","FILING_STATUS=MR","Sort=A","Dates=H","DateFormat=P","Fill=—","Direction=H","UseDPDF=Y")</f>
        <v>18.242000000000001</v>
      </c>
      <c r="L31" s="12">
        <f>_xll.BDH("AVNT US Equity","GHG_SCOPE_1","FY 2022","FY 2022","Currency=USD","Period=FY","BEST_FPERIOD_OVERRIDE=FY","FILING_STATUS=MR","Sort=A","Dates=H","DateFormat=P","Fill=—","Direction=H","UseDPDF=Y")</f>
        <v>34.625999999999998</v>
      </c>
    </row>
    <row r="32" spans="1:12">
      <c r="A32" s="10" t="s">
        <v>66</v>
      </c>
      <c r="B32" s="10" t="s">
        <v>67</v>
      </c>
      <c r="C32" s="12" t="str">
        <f>_xll.BDH("AVNT US Equity","GHG_SCOPE_2_LOCATION_BASED","FY 2013","FY 2013","Currency=USD","Period=FY","BEST_FPERIOD_OVERRIDE=FY","FILING_STATUS=MR","Sort=A","Dates=H","DateFormat=P","Fill=—","Direction=H","UseDPDF=Y")</f>
        <v>—</v>
      </c>
      <c r="D32" s="12" t="str">
        <f>_xll.BDH("AVNT US Equity","GHG_SCOPE_2_LOCATION_BASED","FY 2014","FY 2014","Currency=USD","Period=FY","BEST_FPERIOD_OVERRIDE=FY","FILING_STATUS=MR","Sort=A","Dates=H","DateFormat=P","Fill=—","Direction=H","UseDPDF=Y")</f>
        <v>—</v>
      </c>
      <c r="E32" s="12" t="str">
        <f>_xll.BDH("AVNT US Equity","GHG_SCOPE_2_LOCATION_BASED","FY 2015","FY 2015","Currency=USD","Period=FY","BEST_FPERIOD_OVERRIDE=FY","FILING_STATUS=MR","Sort=A","Dates=H","DateFormat=P","Fill=—","Direction=H","UseDPDF=Y")</f>
        <v>—</v>
      </c>
      <c r="F32" s="12">
        <f>_xll.BDH("AVNT US Equity","GHG_SCOPE_2_LOCATION_BASED","FY 2016","FY 2016","Currency=USD","Period=FY","BEST_FPERIOD_OVERRIDE=FY","FILING_STATUS=MR","Sort=A","Dates=H","DateFormat=P","Fill=—","Direction=H","UseDPDF=Y")</f>
        <v>238.1</v>
      </c>
      <c r="G32" s="12">
        <f>_xll.BDH("AVNT US Equity","GHG_SCOPE_2_LOCATION_BASED","FY 2017","FY 2017","Currency=USD","Period=FY","BEST_FPERIOD_OVERRIDE=FY","FILING_STATUS=MR","Sort=A","Dates=H","DateFormat=P","Fill=—","Direction=H","UseDPDF=Y")</f>
        <v>244.92699999999999</v>
      </c>
      <c r="H32" s="12">
        <f>_xll.BDH("AVNT US Equity","GHG_SCOPE_2_LOCATION_BASED","FY 2018","FY 2018","Currency=USD","Period=FY","BEST_FPERIOD_OVERRIDE=FY","FILING_STATUS=MR","Sort=A","Dates=H","DateFormat=P","Fill=—","Direction=H","UseDPDF=Y")</f>
        <v>85.111999999999995</v>
      </c>
      <c r="I32" s="12">
        <f>_xll.BDH("AVNT US Equity","GHG_SCOPE_2_LOCATION_BASED","FY 2019","FY 2019","Currency=USD","Period=FY","BEST_FPERIOD_OVERRIDE=FY","FILING_STATUS=MR","Sort=A","Dates=H","DateFormat=P","Fill=—","Direction=H","UseDPDF=Y")</f>
        <v>155.08600000000001</v>
      </c>
      <c r="J32" s="12">
        <f>_xll.BDH("AVNT US Equity","GHG_SCOPE_2_LOCATION_BASED","FY 2020","FY 2020","Currency=USD","Period=FY","BEST_FPERIOD_OVERRIDE=FY","FILING_STATUS=MR","Sort=A","Dates=H","DateFormat=P","Fill=—","Direction=H","UseDPDF=Y")</f>
        <v>87.775999999999996</v>
      </c>
      <c r="K32" s="12">
        <f>_xll.BDH("AVNT US Equity","GHG_SCOPE_2_LOCATION_BASED","FY 2021","FY 2021","Currency=USD","Period=FY","BEST_FPERIOD_OVERRIDE=FY","FILING_STATUS=MR","Sort=A","Dates=H","DateFormat=P","Fill=—","Direction=H","UseDPDF=Y")</f>
        <v>134.244</v>
      </c>
      <c r="L32" s="12">
        <f>_xll.BDH("AVNT US Equity","GHG_SCOPE_2_LOCATION_BASED","FY 2022","FY 2022","Currency=USD","Period=FY","BEST_FPERIOD_OVERRIDE=FY","FILING_STATUS=MR","Sort=A","Dates=H","DateFormat=P","Fill=—","Direction=H","UseDPDF=Y")</f>
        <v>167.333</v>
      </c>
    </row>
    <row r="33" spans="1:12">
      <c r="A33" s="10" t="s">
        <v>68</v>
      </c>
      <c r="B33" s="10" t="s">
        <v>69</v>
      </c>
      <c r="C33" s="12" t="str">
        <f>_xll.BDH("AVNT US Equity","GHG_SCOPE_2_MARKET_BASED","FY 2013","FY 2013","Currency=USD","Period=FY","BEST_FPERIOD_OVERRIDE=FY","FILING_STATUS=MR","Sort=A","Dates=H","DateFormat=P","Fill=—","Direction=H","UseDPDF=Y")</f>
        <v>—</v>
      </c>
      <c r="D33" s="12" t="str">
        <f>_xll.BDH("AVNT US Equity","GHG_SCOPE_2_MARKET_BASED","FY 2014","FY 2014","Currency=USD","Period=FY","BEST_FPERIOD_OVERRIDE=FY","FILING_STATUS=MR","Sort=A","Dates=H","DateFormat=P","Fill=—","Direction=H","UseDPDF=Y")</f>
        <v>—</v>
      </c>
      <c r="E33" s="12" t="str">
        <f>_xll.BDH("AVNT US Equity","GHG_SCOPE_2_MARKET_BASED","FY 2015","FY 2015","Currency=USD","Period=FY","BEST_FPERIOD_OVERRIDE=FY","FILING_STATUS=MR","Sort=A","Dates=H","DateFormat=P","Fill=—","Direction=H","UseDPDF=Y")</f>
        <v>—</v>
      </c>
      <c r="F33" s="12" t="str">
        <f>_xll.BDH("AVNT US Equity","GHG_SCOPE_2_MARKET_BASED","FY 2016","FY 2016","Currency=USD","Period=FY","BEST_FPERIOD_OVERRIDE=FY","FILING_STATUS=MR","Sort=A","Dates=H","DateFormat=P","Fill=—","Direction=H","UseDPDF=Y")</f>
        <v>—</v>
      </c>
      <c r="G33" s="12" t="str">
        <f>_xll.BDH("AVNT US Equity","GHG_SCOPE_2_MARKET_BASED","FY 2017","FY 2017","Currency=USD","Period=FY","BEST_FPERIOD_OVERRIDE=FY","FILING_STATUS=MR","Sort=A","Dates=H","DateFormat=P","Fill=—","Direction=H","UseDPDF=Y")</f>
        <v>—</v>
      </c>
      <c r="H33" s="12" t="str">
        <f>_xll.BDH("AVNT US Equity","GHG_SCOPE_2_MARKET_BASED","FY 2018","FY 2018","Currency=USD","Period=FY","BEST_FPERIOD_OVERRIDE=FY","FILING_STATUS=MR","Sort=A","Dates=H","DateFormat=P","Fill=—","Direction=H","UseDPDF=Y")</f>
        <v>—</v>
      </c>
      <c r="I33" s="12" t="str">
        <f>_xll.BDH("AVNT US Equity","GHG_SCOPE_2_MARKET_BASED","FY 2019","FY 2019","Currency=USD","Period=FY","BEST_FPERIOD_OVERRIDE=FY","FILING_STATUS=MR","Sort=A","Dates=H","DateFormat=P","Fill=—","Direction=H","UseDPDF=Y")</f>
        <v>—</v>
      </c>
      <c r="J33" s="12" t="str">
        <f>_xll.BDH("AVNT US Equity","GHG_SCOPE_2_MARKET_BASED","FY 2020","FY 2020","Currency=USD","Period=FY","BEST_FPERIOD_OVERRIDE=FY","FILING_STATUS=MR","Sort=A","Dates=H","DateFormat=P","Fill=—","Direction=H","UseDPDF=Y")</f>
        <v>—</v>
      </c>
      <c r="K33" s="12">
        <f>_xll.BDH("AVNT US Equity","GHG_SCOPE_2_MARKET_BASED","FY 2021","FY 2021","Currency=USD","Period=FY","BEST_FPERIOD_OVERRIDE=FY","FILING_STATUS=MR","Sort=A","Dates=H","DateFormat=P","Fill=—","Direction=H","UseDPDF=Y")</f>
        <v>85.891999999999996</v>
      </c>
      <c r="L33" s="12">
        <f>_xll.BDH("AVNT US Equity","GHG_SCOPE_2_MARKET_BASED","FY 2022","FY 2022","Currency=USD","Period=FY","BEST_FPERIOD_OVERRIDE=FY","FILING_STATUS=MR","Sort=A","Dates=H","DateFormat=P","Fill=—","Direction=H","UseDPDF=Y")</f>
        <v>99.465000000000003</v>
      </c>
    </row>
    <row r="34" spans="1:12">
      <c r="A34" s="10" t="s">
        <v>70</v>
      </c>
      <c r="B34" s="10" t="s">
        <v>71</v>
      </c>
      <c r="C34" s="12" t="str">
        <f>_xll.BDH("AVNT US Equity","GHG_SCOPE_3","FY 2013","FY 2013","Currency=USD","Period=FY","BEST_FPERIOD_OVERRIDE=FY","FILING_STATUS=MR","Sort=A","Dates=H","DateFormat=P","Fill=—","Direction=H","UseDPDF=Y")</f>
        <v>—</v>
      </c>
      <c r="D34" s="12" t="str">
        <f>_xll.BDH("AVNT US Equity","GHG_SCOPE_3","FY 2014","FY 2014","Currency=USD","Period=FY","BEST_FPERIOD_OVERRIDE=FY","FILING_STATUS=MR","Sort=A","Dates=H","DateFormat=P","Fill=—","Direction=H","UseDPDF=Y")</f>
        <v>—</v>
      </c>
      <c r="E34" s="12" t="str">
        <f>_xll.BDH("AVNT US Equity","GHG_SCOPE_3","FY 2015","FY 2015","Currency=USD","Period=FY","BEST_FPERIOD_OVERRIDE=FY","FILING_STATUS=MR","Sort=A","Dates=H","DateFormat=P","Fill=—","Direction=H","UseDPDF=Y")</f>
        <v>—</v>
      </c>
      <c r="F34" s="12" t="str">
        <f>_xll.BDH("AVNT US Equity","GHG_SCOPE_3","FY 2016","FY 2016","Currency=USD","Period=FY","BEST_FPERIOD_OVERRIDE=FY","FILING_STATUS=MR","Sort=A","Dates=H","DateFormat=P","Fill=—","Direction=H","UseDPDF=Y")</f>
        <v>—</v>
      </c>
      <c r="G34" s="12" t="str">
        <f>_xll.BDH("AVNT US Equity","GHG_SCOPE_3","FY 2017","FY 2017","Currency=USD","Period=FY","BEST_FPERIOD_OVERRIDE=FY","FILING_STATUS=MR","Sort=A","Dates=H","DateFormat=P","Fill=—","Direction=H","UseDPDF=Y")</f>
        <v>—</v>
      </c>
      <c r="H34" s="12">
        <f>_xll.BDH("AVNT US Equity","GHG_SCOPE_3","FY 2018","FY 2018","Currency=USD","Period=FY","BEST_FPERIOD_OVERRIDE=FY","FILING_STATUS=MR","Sort=A","Dates=H","DateFormat=P","Fill=—","Direction=H","UseDPDF=Y")</f>
        <v>193.483</v>
      </c>
      <c r="I34" s="12">
        <f>_xll.BDH("AVNT US Equity","GHG_SCOPE_3","FY 2019","FY 2019","Currency=USD","Period=FY","BEST_FPERIOD_OVERRIDE=FY","FILING_STATUS=MR","Sort=A","Dates=H","DateFormat=P","Fill=—","Direction=H","UseDPDF=Y")</f>
        <v>584.62199999999996</v>
      </c>
      <c r="J34" s="12">
        <f>_xll.BDH("AVNT US Equity","GHG_SCOPE_3","FY 2020","FY 2020","Currency=USD","Period=FY","BEST_FPERIOD_OVERRIDE=FY","FILING_STATUS=MR","Sort=A","Dates=H","DateFormat=P","Fill=—","Direction=H","UseDPDF=Y")</f>
        <v>1440.58</v>
      </c>
      <c r="K34" s="12">
        <f>_xll.BDH("AVNT US Equity","GHG_SCOPE_3","FY 2021","FY 2021","Currency=USD","Period=FY","BEST_FPERIOD_OVERRIDE=FY","FILING_STATUS=MR","Sort=A","Dates=H","DateFormat=P","Fill=—","Direction=H","UseDPDF=Y")</f>
        <v>2122.34</v>
      </c>
      <c r="L34" s="12">
        <f>_xll.BDH("AVNT US Equity","GHG_SCOPE_3","FY 2022","FY 2022","Currency=USD","Period=FY","BEST_FPERIOD_OVERRIDE=FY","FILING_STATUS=MR","Sort=A","Dates=H","DateFormat=P","Fill=—","Direction=H","UseDPDF=Y")</f>
        <v>6421.13</v>
      </c>
    </row>
    <row r="35" spans="1:12">
      <c r="A35" s="10" t="s">
        <v>72</v>
      </c>
      <c r="B35" s="10" t="s">
        <v>73</v>
      </c>
      <c r="C35" s="13" t="str">
        <f>_xll.BDH("AVNT US Equity","SCOPE_OF_DISCLOSURE","FY 2013","FY 2013","Currency=USD","Period=FY","BEST_FPERIOD_OVERRIDE=FY","FILING_STATUS=MR","Sort=A","Dates=H","DateFormat=P","Fill=—","Direction=H","UseDPDF=Y")</f>
        <v>—</v>
      </c>
      <c r="D35" s="13" t="str">
        <f>_xll.BDH("AVNT US Equity","SCOPE_OF_DISCLOSURE","FY 2014","FY 2014","Currency=USD","Period=FY","BEST_FPERIOD_OVERRIDE=FY","FILING_STATUS=MR","Sort=A","Dates=H","DateFormat=P","Fill=—","Direction=H","UseDPDF=Y")</f>
        <v>—</v>
      </c>
      <c r="E35" s="13" t="str">
        <f>_xll.BDH("AVNT US Equity","SCOPE_OF_DISCLOSURE","FY 2015","FY 2015","Currency=USD","Period=FY","BEST_FPERIOD_OVERRIDE=FY","FILING_STATUS=MR","Sort=A","Dates=H","DateFormat=P","Fill=—","Direction=H","UseDPDF=Y")</f>
        <v>—</v>
      </c>
      <c r="F35" s="13" t="str">
        <f>_xll.BDH("AVNT US Equity","SCOPE_OF_DISCLOSURE","FY 2016","FY 2016","Currency=USD","Period=FY","BEST_FPERIOD_OVERRIDE=FY","FILING_STATUS=MR","Sort=A","Dates=H","DateFormat=P","Fill=—","Direction=H","UseDPDF=Y")</f>
        <v>—</v>
      </c>
      <c r="G35" s="13" t="str">
        <f>_xll.BDH("AVNT US Equity","SCOPE_OF_DISCLOSURE","FY 2017","FY 2017","Currency=USD","Period=FY","BEST_FPERIOD_OVERRIDE=FY","FILING_STATUS=MR","Sort=A","Dates=H","DateFormat=P","Fill=—","Direction=H","UseDPDF=Y")</f>
        <v>—</v>
      </c>
      <c r="H35" s="13" t="str">
        <f>_xll.BDH("AVNT US Equity","SCOPE_OF_DISCLOSURE","FY 2018","FY 2018","Currency=USD","Period=FY","BEST_FPERIOD_OVERRIDE=FY","FILING_STATUS=MR","Sort=A","Dates=H","DateFormat=P","Fill=—","Direction=H","UseDPDF=Y")</f>
        <v>—</v>
      </c>
      <c r="I35" s="13" t="str">
        <f>_xll.BDH("AVNT US Equity","SCOPE_OF_DISCLOSURE","FY 2019","FY 2019","Currency=USD","Period=FY","BEST_FPERIOD_OVERRIDE=FY","FILING_STATUS=MR","Sort=A","Dates=H","DateFormat=P","Fill=—","Direction=H","UseDPDF=Y")</f>
        <v>—</v>
      </c>
      <c r="J35" s="13" t="str">
        <f>_xll.BDH("AVNT US Equity","SCOPE_OF_DISCLOSURE","FY 2020","FY 2020","Currency=USD","Period=FY","BEST_FPERIOD_OVERRIDE=FY","FILING_STATUS=MR","Sort=A","Dates=H","DateFormat=P","Fill=—","Direction=H","UseDPDF=Y")</f>
        <v>—</v>
      </c>
      <c r="K35" s="13">
        <f>_xll.BDH("AVNT US Equity","SCOPE_OF_DISCLOSURE","FY 2021","FY 2021","Currency=USD","Period=FY","BEST_FPERIOD_OVERRIDE=FY","FILING_STATUS=MR","Sort=A","Dates=H","DateFormat=P","Fill=—","Direction=H","UseDPDF=Y")</f>
        <v>2</v>
      </c>
      <c r="L35" s="13">
        <f>_xll.BDH("AVNT US Equity","SCOPE_OF_DISCLOSURE","FY 2022","FY 2022","Currency=USD","Period=FY","BEST_FPERIOD_OVERRIDE=FY","FILING_STATUS=MR","Sort=A","Dates=H","DateFormat=P","Fill=—","Direction=H","UseDPDF=Y")</f>
        <v>2</v>
      </c>
    </row>
    <row r="36" spans="1:12">
      <c r="A36" s="10" t="s">
        <v>74</v>
      </c>
      <c r="B36" s="10" t="s">
        <v>75</v>
      </c>
      <c r="C36" s="13" t="str">
        <f>_xll.BDH("AVNT US Equity","CARBON_PER_UNIT_OF_PROD","FY 2013","FY 2013","Currency=USD","Period=FY","BEST_FPERIOD_OVERRIDE=FY","FILING_STATUS=MR","Sort=A","Dates=H","DateFormat=P","Fill=—","Direction=H","UseDPDF=Y")</f>
        <v>—</v>
      </c>
      <c r="D36" s="13" t="str">
        <f>_xll.BDH("AVNT US Equity","CARBON_PER_UNIT_OF_PROD","FY 2014","FY 2014","Currency=USD","Period=FY","BEST_FPERIOD_OVERRIDE=FY","FILING_STATUS=MR","Sort=A","Dates=H","DateFormat=P","Fill=—","Direction=H","UseDPDF=Y")</f>
        <v>—</v>
      </c>
      <c r="E36" s="13" t="str">
        <f>_xll.BDH("AVNT US Equity","CARBON_PER_UNIT_OF_PROD","FY 2015","FY 2015","Currency=USD","Period=FY","BEST_FPERIOD_OVERRIDE=FY","FILING_STATUS=MR","Sort=A","Dates=H","DateFormat=P","Fill=—","Direction=H","UseDPDF=Y")</f>
        <v>—</v>
      </c>
      <c r="F36" s="13">
        <f>_xll.BDH("AVNT US Equity","CARBON_PER_UNIT_OF_PROD","FY 2016","FY 2016","Currency=USD","Period=FY","BEST_FPERIOD_OVERRIDE=FY","FILING_STATUS=MR","Sort=A","Dates=H","DateFormat=P","Fill=—","Direction=H","UseDPDF=Y")</f>
        <v>0.43</v>
      </c>
      <c r="G36" s="13">
        <f>_xll.BDH("AVNT US Equity","CARBON_PER_UNIT_OF_PROD","FY 2017","FY 2017","Currency=USD","Period=FY","BEST_FPERIOD_OVERRIDE=FY","FILING_STATUS=MR","Sort=A","Dates=H","DateFormat=P","Fill=—","Direction=H","UseDPDF=Y")</f>
        <v>0.37</v>
      </c>
      <c r="H36" s="13">
        <f>_xll.BDH("AVNT US Equity","CARBON_PER_UNIT_OF_PROD","FY 2018","FY 2018","Currency=USD","Period=FY","BEST_FPERIOD_OVERRIDE=FY","FILING_STATUS=MR","Sort=A","Dates=H","DateFormat=P","Fill=—","Direction=H","UseDPDF=Y")</f>
        <v>0.37</v>
      </c>
      <c r="I36" s="13">
        <f>_xll.BDH("AVNT US Equity","CARBON_PER_UNIT_OF_PROD","FY 2019","FY 2019","Currency=USD","Period=FY","BEST_FPERIOD_OVERRIDE=FY","FILING_STATUS=MR","Sort=A","Dates=H","DateFormat=P","Fill=—","Direction=H","UseDPDF=Y")</f>
        <v>0.34</v>
      </c>
      <c r="J36" s="13">
        <f>_xll.BDH("AVNT US Equity","CARBON_PER_UNIT_OF_PROD","FY 2020","FY 2020","Currency=USD","Period=FY","BEST_FPERIOD_OVERRIDE=FY","FILING_STATUS=MR","Sort=A","Dates=H","DateFormat=P","Fill=—","Direction=H","UseDPDF=Y")</f>
        <v>0.25</v>
      </c>
      <c r="K36" s="13">
        <f>_xll.BDH("AVNT US Equity","CARBON_PER_UNIT_OF_PROD","FY 2021","FY 2021","Currency=USD","Period=FY","BEST_FPERIOD_OVERRIDE=FY","FILING_STATUS=MR","Sort=A","Dates=H","DateFormat=P","Fill=—","Direction=H","UseDPDF=Y")</f>
        <v>0.21</v>
      </c>
      <c r="L36" s="13">
        <f>_xll.BDH("AVNT US Equity","CARBON_PER_UNIT_OF_PROD","FY 2022","FY 2022","Currency=USD","Period=FY","BEST_FPERIOD_OVERRIDE=FY","FILING_STATUS=MR","Sort=A","Dates=H","DateFormat=P","Fill=—","Direction=H","UseDPDF=Y")</f>
        <v>0.28999999999999998</v>
      </c>
    </row>
    <row r="37" spans="1:12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</row>
    <row r="38" spans="1:12">
      <c r="A38" s="10" t="s">
        <v>76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 spans="1:12">
      <c r="A39" s="10" t="s">
        <v>77</v>
      </c>
      <c r="B39" s="10" t="s">
        <v>78</v>
      </c>
      <c r="C39" s="11" t="s">
        <v>54</v>
      </c>
      <c r="D39" s="11" t="s">
        <v>54</v>
      </c>
      <c r="E39" s="11" t="s">
        <v>54</v>
      </c>
      <c r="F39" s="11" t="s">
        <v>54</v>
      </c>
      <c r="G39" s="11" t="s">
        <v>54</v>
      </c>
      <c r="H39" s="11" t="s">
        <v>54</v>
      </c>
      <c r="I39" s="11" t="s">
        <v>55</v>
      </c>
      <c r="J39" s="11" t="s">
        <v>55</v>
      </c>
      <c r="K39" s="11" t="s">
        <v>55</v>
      </c>
      <c r="L39" s="11" t="s">
        <v>55</v>
      </c>
    </row>
    <row r="40" spans="1:12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>
      <c r="A41" s="10" t="s">
        <v>79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</row>
    <row r="42" spans="1:12">
      <c r="A42" s="10" t="s">
        <v>80</v>
      </c>
      <c r="B42" s="10" t="s">
        <v>81</v>
      </c>
      <c r="C42" s="11" t="s">
        <v>54</v>
      </c>
      <c r="D42" s="11" t="s">
        <v>54</v>
      </c>
      <c r="E42" s="11" t="s">
        <v>55</v>
      </c>
      <c r="F42" s="11" t="s">
        <v>55</v>
      </c>
      <c r="G42" s="11" t="s">
        <v>55</v>
      </c>
      <c r="H42" s="11" t="s">
        <v>55</v>
      </c>
      <c r="I42" s="11" t="s">
        <v>55</v>
      </c>
      <c r="J42" s="11" t="s">
        <v>55</v>
      </c>
      <c r="K42" s="11" t="s">
        <v>55</v>
      </c>
      <c r="L42" s="11" t="s">
        <v>55</v>
      </c>
    </row>
    <row r="43" spans="1:12">
      <c r="A43" s="10" t="s">
        <v>82</v>
      </c>
      <c r="B43" s="10" t="s">
        <v>83</v>
      </c>
      <c r="C43" s="12" t="str">
        <f>_xll.BDH("AVNT US Equity","ENERGY_CONSUMPTION","FY 2013","FY 2013","Currency=USD","Period=FY","BEST_FPERIOD_OVERRIDE=FY","FILING_STATUS=MR","Sort=A","Dates=H","DateFormat=P","Fill=—","Direction=H","UseDPDF=Y")</f>
        <v>—</v>
      </c>
      <c r="D43" s="12" t="str">
        <f>_xll.BDH("AVNT US Equity","ENERGY_CONSUMPTION","FY 2014","FY 2014","Currency=USD","Period=FY","BEST_FPERIOD_OVERRIDE=FY","FILING_STATUS=MR","Sort=A","Dates=H","DateFormat=P","Fill=—","Direction=H","UseDPDF=Y")</f>
        <v>—</v>
      </c>
      <c r="E43" s="12" t="str">
        <f>_xll.BDH("AVNT US Equity","ENERGY_CONSUMPTION","FY 2015","FY 2015","Currency=USD","Period=FY","BEST_FPERIOD_OVERRIDE=FY","FILING_STATUS=MR","Sort=A","Dates=H","DateFormat=P","Fill=—","Direction=H","UseDPDF=Y")</f>
        <v>—</v>
      </c>
      <c r="F43" s="12">
        <f>_xll.BDH("AVNT US Equity","ENERGY_CONSUMPTION","FY 2016","FY 2016","Currency=USD","Period=FY","BEST_FPERIOD_OVERRIDE=FY","FILING_STATUS=MR","Sort=A","Dates=H","DateFormat=P","Fill=—","Direction=H","UseDPDF=Y")</f>
        <v>756.83799999999997</v>
      </c>
      <c r="G43" s="12">
        <f>_xll.BDH("AVNT US Equity","ENERGY_CONSUMPTION","FY 2017","FY 2017","Currency=USD","Period=FY","BEST_FPERIOD_OVERRIDE=FY","FILING_STATUS=MR","Sort=A","Dates=H","DateFormat=P","Fill=—","Direction=H","UseDPDF=Y")</f>
        <v>817.87699999999995</v>
      </c>
      <c r="H43" s="12">
        <f>_xll.BDH("AVNT US Equity","ENERGY_CONSUMPTION","FY 2018","FY 2018","Currency=USD","Period=FY","BEST_FPERIOD_OVERRIDE=FY","FILING_STATUS=MR","Sort=A","Dates=H","DateFormat=P","Fill=—","Direction=H","UseDPDF=Y")</f>
        <v>863.61400000000003</v>
      </c>
      <c r="I43" s="12">
        <f>_xll.BDH("AVNT US Equity","ENERGY_CONSUMPTION","FY 2019","FY 2019","Currency=USD","Period=FY","BEST_FPERIOD_OVERRIDE=FY","FILING_STATUS=MR","Sort=A","Dates=H","DateFormat=P","Fill=—","Direction=H","UseDPDF=Y")</f>
        <v>249.911</v>
      </c>
      <c r="J43" s="12">
        <f>_xll.BDH("AVNT US Equity","ENERGY_CONSUMPTION","FY 2020","FY 2020","Currency=USD","Period=FY","BEST_FPERIOD_OVERRIDE=FY","FILING_STATUS=MR","Sort=A","Dates=H","DateFormat=P","Fill=—","Direction=H","UseDPDF=Y")</f>
        <v>429.90199999999999</v>
      </c>
      <c r="K43" s="12">
        <f>_xll.BDH("AVNT US Equity","ENERGY_CONSUMPTION","FY 2021","FY 2021","Currency=USD","Period=FY","BEST_FPERIOD_OVERRIDE=FY","FILING_STATUS=MR","Sort=A","Dates=H","DateFormat=P","Fill=—","Direction=H","UseDPDF=Y")</f>
        <v>440.23399999999998</v>
      </c>
      <c r="L43" s="12">
        <f>_xll.BDH("AVNT US Equity","ENERGY_CONSUMPTION","FY 2022","FY 2022","Currency=USD","Period=FY","BEST_FPERIOD_OVERRIDE=FY","FILING_STATUS=MR","Sort=A","Dates=H","DateFormat=P","Fill=—","Direction=H","UseDPDF=Y")</f>
        <v>628.38499999999999</v>
      </c>
    </row>
    <row r="44" spans="1:12">
      <c r="A44" s="10" t="s">
        <v>84</v>
      </c>
      <c r="B44" s="10" t="s">
        <v>85</v>
      </c>
      <c r="C44" s="12" t="str">
        <f>_xll.BDH("AVNT US Equity","RENEW_ENERGY_USE","FY 2013","FY 2013","Currency=USD","Period=FY","BEST_FPERIOD_OVERRIDE=FY","FILING_STATUS=MR","Sort=A","Dates=H","DateFormat=P","Fill=—","Direction=H","UseDPDF=Y")</f>
        <v>—</v>
      </c>
      <c r="D44" s="12" t="str">
        <f>_xll.BDH("AVNT US Equity","RENEW_ENERGY_USE","FY 2014","FY 2014","Currency=USD","Period=FY","BEST_FPERIOD_OVERRIDE=FY","FILING_STATUS=MR","Sort=A","Dates=H","DateFormat=P","Fill=—","Direction=H","UseDPDF=Y")</f>
        <v>—</v>
      </c>
      <c r="E44" s="12" t="str">
        <f>_xll.BDH("AVNT US Equity","RENEW_ENERGY_USE","FY 2015","FY 2015","Currency=USD","Period=FY","BEST_FPERIOD_OVERRIDE=FY","FILING_STATUS=MR","Sort=A","Dates=H","DateFormat=P","Fill=—","Direction=H","UseDPDF=Y")</f>
        <v>—</v>
      </c>
      <c r="F44" s="12" t="str">
        <f>_xll.BDH("AVNT US Equity","RENEW_ENERGY_USE","FY 2016","FY 2016","Currency=USD","Period=FY","BEST_FPERIOD_OVERRIDE=FY","FILING_STATUS=MR","Sort=A","Dates=H","DateFormat=P","Fill=—","Direction=H","UseDPDF=Y")</f>
        <v>—</v>
      </c>
      <c r="G44" s="12" t="str">
        <f>_xll.BDH("AVNT US Equity","RENEW_ENERGY_USE","FY 2017","FY 2017","Currency=USD","Period=FY","BEST_FPERIOD_OVERRIDE=FY","FILING_STATUS=MR","Sort=A","Dates=H","DateFormat=P","Fill=—","Direction=H","UseDPDF=Y")</f>
        <v>—</v>
      </c>
      <c r="H44" s="12" t="str">
        <f>_xll.BDH("AVNT US Equity","RENEW_ENERGY_USE","FY 2018","FY 2018","Currency=USD","Period=FY","BEST_FPERIOD_OVERRIDE=FY","FILING_STATUS=MR","Sort=A","Dates=H","DateFormat=P","Fill=—","Direction=H","UseDPDF=Y")</f>
        <v>—</v>
      </c>
      <c r="I44" s="12">
        <f>_xll.BDH("AVNT US Equity","RENEW_ENERGY_USE","FY 2019","FY 2019","Currency=USD","Period=FY","BEST_FPERIOD_OVERRIDE=FY","FILING_STATUS=MR","Sort=A","Dates=H","DateFormat=P","Fill=—","Direction=H","UseDPDF=Y")</f>
        <v>1.724</v>
      </c>
      <c r="J44" s="12">
        <f>_xll.BDH("AVNT US Equity","RENEW_ENERGY_USE","FY 2020","FY 2020","Currency=USD","Period=FY","BEST_FPERIOD_OVERRIDE=FY","FILING_STATUS=MR","Sort=A","Dates=H","DateFormat=P","Fill=—","Direction=H","UseDPDF=Y")</f>
        <v>100.099</v>
      </c>
      <c r="K44" s="12">
        <f>_xll.BDH("AVNT US Equity","RENEW_ENERGY_USE","FY 2021","FY 2021","Currency=USD","Period=FY","BEST_FPERIOD_OVERRIDE=FY","FILING_STATUS=MR","Sort=A","Dates=H","DateFormat=P","Fill=—","Direction=H","UseDPDF=Y")</f>
        <v>151.18299999999999</v>
      </c>
      <c r="L44" s="12">
        <f>_xll.BDH("AVNT US Equity","RENEW_ENERGY_USE","FY 2022","FY 2022","Currency=USD","Period=FY","BEST_FPERIOD_OVERRIDE=FY","FILING_STATUS=MR","Sort=A","Dates=H","DateFormat=P","Fill=—","Direction=H","UseDPDF=Y")</f>
        <v>232.488</v>
      </c>
    </row>
    <row r="45" spans="1:12">
      <c r="A45" s="10" t="s">
        <v>86</v>
      </c>
      <c r="B45" s="10" t="s">
        <v>87</v>
      </c>
      <c r="C45" s="12" t="str">
        <f>_xll.BDH("AVNT US Equity","ELECTRICITY_USED","FY 2013","FY 2013","Currency=USD","Period=FY","BEST_FPERIOD_OVERRIDE=FY","FILING_STATUS=MR","Sort=A","Dates=H","DateFormat=P","Fill=—","Direction=H","UseDPDF=Y")</f>
        <v>—</v>
      </c>
      <c r="D45" s="12" t="str">
        <f>_xll.BDH("AVNT US Equity","ELECTRICITY_USED","FY 2014","FY 2014","Currency=USD","Period=FY","BEST_FPERIOD_OVERRIDE=FY","FILING_STATUS=MR","Sort=A","Dates=H","DateFormat=P","Fill=—","Direction=H","UseDPDF=Y")</f>
        <v>—</v>
      </c>
      <c r="E45" s="12" t="str">
        <f>_xll.BDH("AVNT US Equity","ELECTRICITY_USED","FY 2015","FY 2015","Currency=USD","Period=FY","BEST_FPERIOD_OVERRIDE=FY","FILING_STATUS=MR","Sort=A","Dates=H","DateFormat=P","Fill=—","Direction=H","UseDPDF=Y")</f>
        <v>—</v>
      </c>
      <c r="F45" s="12" t="str">
        <f>_xll.BDH("AVNT US Equity","ELECTRICITY_USED","FY 2016","FY 2016","Currency=USD","Period=FY","BEST_FPERIOD_OVERRIDE=FY","FILING_STATUS=MR","Sort=A","Dates=H","DateFormat=P","Fill=—","Direction=H","UseDPDF=Y")</f>
        <v>—</v>
      </c>
      <c r="G45" s="12" t="str">
        <f>_xll.BDH("AVNT US Equity","ELECTRICITY_USED","FY 2017","FY 2017","Currency=USD","Period=FY","BEST_FPERIOD_OVERRIDE=FY","FILING_STATUS=MR","Sort=A","Dates=H","DateFormat=P","Fill=—","Direction=H","UseDPDF=Y")</f>
        <v>—</v>
      </c>
      <c r="H45" s="12">
        <f>_xll.BDH("AVNT US Equity","ELECTRICITY_USED","FY 2018","FY 2018","Currency=USD","Period=FY","BEST_FPERIOD_OVERRIDE=FY","FILING_STATUS=MR","Sort=A","Dates=H","DateFormat=P","Fill=—","Direction=H","UseDPDF=Y")</f>
        <v>356.75900000000001</v>
      </c>
      <c r="I45" s="12">
        <f>_xll.BDH("AVNT US Equity","ELECTRICITY_USED","FY 2019","FY 2019","Currency=USD","Period=FY","BEST_FPERIOD_OVERRIDE=FY","FILING_STATUS=MR","Sort=A","Dates=H","DateFormat=P","Fill=—","Direction=H","UseDPDF=Y")</f>
        <v>182.88499999999999</v>
      </c>
      <c r="J45" s="12">
        <f>_xll.BDH("AVNT US Equity","ELECTRICITY_USED","FY 2020","FY 2020","Currency=USD","Period=FY","BEST_FPERIOD_OVERRIDE=FY","FILING_STATUS=MR","Sort=A","Dates=H","DateFormat=P","Fill=—","Direction=H","UseDPDF=Y")</f>
        <v>322.899</v>
      </c>
      <c r="K45" s="12">
        <f>_xll.BDH("AVNT US Equity","ELECTRICITY_USED","FY 2021","FY 2021","Currency=USD","Period=FY","BEST_FPERIOD_OVERRIDE=FY","FILING_STATUS=MR","Sort=A","Dates=H","DateFormat=P","Fill=—","Direction=H","UseDPDF=Y")</f>
        <v>339.815</v>
      </c>
      <c r="L45" s="12">
        <f>_xll.BDH("AVNT US Equity","ELECTRICITY_USED","FY 2022","FY 2022","Currency=USD","Period=FY","BEST_FPERIOD_OVERRIDE=FY","FILING_STATUS=MR","Sort=A","Dates=H","DateFormat=P","Fill=—","Direction=H","UseDPDF=Y")</f>
        <v>439.21499999999997</v>
      </c>
    </row>
    <row r="46" spans="1:12">
      <c r="A46" s="10" t="s">
        <v>88</v>
      </c>
      <c r="B46" s="10" t="s">
        <v>89</v>
      </c>
      <c r="C46" s="12" t="str">
        <f>_xll.BDH("AVNT US Equity","SELF_GEN_RENEWABLE_ELECTRICITY","FY 2013","FY 2013","Currency=USD","Period=FY","BEST_FPERIOD_OVERRIDE=FY","FILING_STATUS=MR","Sort=A","Dates=H","DateFormat=P","Fill=—","Direction=H","UseDPDF=Y")</f>
        <v>—</v>
      </c>
      <c r="D46" s="12" t="str">
        <f>_xll.BDH("AVNT US Equity","SELF_GEN_RENEWABLE_ELECTRICITY","FY 2014","FY 2014","Currency=USD","Period=FY","BEST_FPERIOD_OVERRIDE=FY","FILING_STATUS=MR","Sort=A","Dates=H","DateFormat=P","Fill=—","Direction=H","UseDPDF=Y")</f>
        <v>—</v>
      </c>
      <c r="E46" s="12" t="str">
        <f>_xll.BDH("AVNT US Equity","SELF_GEN_RENEWABLE_ELECTRICITY","FY 2015","FY 2015","Currency=USD","Period=FY","BEST_FPERIOD_OVERRIDE=FY","FILING_STATUS=MR","Sort=A","Dates=H","DateFormat=P","Fill=—","Direction=H","UseDPDF=Y")</f>
        <v>—</v>
      </c>
      <c r="F46" s="12" t="str">
        <f>_xll.BDH("AVNT US Equity","SELF_GEN_RENEWABLE_ELECTRICITY","FY 2016","FY 2016","Currency=USD","Period=FY","BEST_FPERIOD_OVERRIDE=FY","FILING_STATUS=MR","Sort=A","Dates=H","DateFormat=P","Fill=—","Direction=H","UseDPDF=Y")</f>
        <v>—</v>
      </c>
      <c r="G46" s="12" t="str">
        <f>_xll.BDH("AVNT US Equity","SELF_GEN_RENEWABLE_ELECTRICITY","FY 2017","FY 2017","Currency=USD","Period=FY","BEST_FPERIOD_OVERRIDE=FY","FILING_STATUS=MR","Sort=A","Dates=H","DateFormat=P","Fill=—","Direction=H","UseDPDF=Y")</f>
        <v>—</v>
      </c>
      <c r="H46" s="12" t="str">
        <f>_xll.BDH("AVNT US Equity","SELF_GEN_RENEWABLE_ELECTRICITY","FY 2018","FY 2018","Currency=USD","Period=FY","BEST_FPERIOD_OVERRIDE=FY","FILING_STATUS=MR","Sort=A","Dates=H","DateFormat=P","Fill=—","Direction=H","UseDPDF=Y")</f>
        <v>—</v>
      </c>
      <c r="I46" s="12" t="str">
        <f>_xll.BDH("AVNT US Equity","SELF_GEN_RENEWABLE_ELECTRICITY","FY 2019","FY 2019","Currency=USD","Period=FY","BEST_FPERIOD_OVERRIDE=FY","FILING_STATUS=MR","Sort=A","Dates=H","DateFormat=P","Fill=—","Direction=H","UseDPDF=Y")</f>
        <v>—</v>
      </c>
      <c r="J46" s="12" t="str">
        <f>_xll.BDH("AVNT US Equity","SELF_GEN_RENEWABLE_ELECTRICITY","FY 2020","FY 2020","Currency=USD","Period=FY","BEST_FPERIOD_OVERRIDE=FY","FILING_STATUS=MR","Sort=A","Dates=H","DateFormat=P","Fill=—","Direction=H","UseDPDF=Y")</f>
        <v>—</v>
      </c>
      <c r="K46" s="12">
        <f>_xll.BDH("AVNT US Equity","SELF_GEN_RENEWABLE_ELECTRICITY","FY 2021","FY 2021","Currency=USD","Period=FY","BEST_FPERIOD_OVERRIDE=FY","FILING_STATUS=MR","Sort=A","Dates=H","DateFormat=P","Fill=—","Direction=H","UseDPDF=Y")</f>
        <v>2.6520000000000001</v>
      </c>
      <c r="L46" s="12">
        <f>_xll.BDH("AVNT US Equity","SELF_GEN_RENEWABLE_ELECTRICITY","FY 2022","FY 2022","Currency=USD","Period=FY","BEST_FPERIOD_OVERRIDE=FY","FILING_STATUS=MR","Sort=A","Dates=H","DateFormat=P","Fill=—","Direction=H","UseDPDF=Y")</f>
        <v>2.8149999999999999</v>
      </c>
    </row>
    <row r="47" spans="1:12">
      <c r="A47" s="10" t="s">
        <v>90</v>
      </c>
      <c r="B47" s="10" t="s">
        <v>91</v>
      </c>
      <c r="C47" s="12" t="str">
        <f>_xll.BDH("AVNT US Equity","COAL_USED","FY 2013","FY 2013","Currency=USD","Period=FY","BEST_FPERIOD_OVERRIDE=FY","FILING_STATUS=MR","Sort=A","Dates=H","DateFormat=P","Fill=—","Direction=H","UseDPDF=Y")</f>
        <v>—</v>
      </c>
      <c r="D47" s="12" t="str">
        <f>_xll.BDH("AVNT US Equity","COAL_USED","FY 2014","FY 2014","Currency=USD","Period=FY","BEST_FPERIOD_OVERRIDE=FY","FILING_STATUS=MR","Sort=A","Dates=H","DateFormat=P","Fill=—","Direction=H","UseDPDF=Y")</f>
        <v>—</v>
      </c>
      <c r="E47" s="12" t="str">
        <f>_xll.BDH("AVNT US Equity","COAL_USED","FY 2015","FY 2015","Currency=USD","Period=FY","BEST_FPERIOD_OVERRIDE=FY","FILING_STATUS=MR","Sort=A","Dates=H","DateFormat=P","Fill=—","Direction=H","UseDPDF=Y")</f>
        <v>—</v>
      </c>
      <c r="F47" s="12" t="str">
        <f>_xll.BDH("AVNT US Equity","COAL_USED","FY 2016","FY 2016","Currency=USD","Period=FY","BEST_FPERIOD_OVERRIDE=FY","FILING_STATUS=MR","Sort=A","Dates=H","DateFormat=P","Fill=—","Direction=H","UseDPDF=Y")</f>
        <v>—</v>
      </c>
      <c r="G47" s="12" t="str">
        <f>_xll.BDH("AVNT US Equity","COAL_USED","FY 2017","FY 2017","Currency=USD","Period=FY","BEST_FPERIOD_OVERRIDE=FY","FILING_STATUS=MR","Sort=A","Dates=H","DateFormat=P","Fill=—","Direction=H","UseDPDF=Y")</f>
        <v>—</v>
      </c>
      <c r="H47" s="12" t="str">
        <f>_xll.BDH("AVNT US Equity","COAL_USED","FY 2018","FY 2018","Currency=USD","Period=FY","BEST_FPERIOD_OVERRIDE=FY","FILING_STATUS=MR","Sort=A","Dates=H","DateFormat=P","Fill=—","Direction=H","UseDPDF=Y")</f>
        <v>—</v>
      </c>
      <c r="I47" s="12" t="str">
        <f>_xll.BDH("AVNT US Equity","COAL_USED","FY 2019","FY 2019","Currency=USD","Period=FY","BEST_FPERIOD_OVERRIDE=FY","FILING_STATUS=MR","Sort=A","Dates=H","DateFormat=P","Fill=—","Direction=H","UseDPDF=Y")</f>
        <v>—</v>
      </c>
      <c r="J47" s="12" t="str">
        <f>_xll.BDH("AVNT US Equity","COAL_USED","FY 2020","FY 2020","Currency=USD","Period=FY","BEST_FPERIOD_OVERRIDE=FY","FILING_STATUS=MR","Sort=A","Dates=H","DateFormat=P","Fill=—","Direction=H","UseDPDF=Y")</f>
        <v>—</v>
      </c>
      <c r="K47" s="12">
        <f>_xll.BDH("AVNT US Equity","COAL_USED","FY 2021","FY 2021","Currency=USD","Period=FY","BEST_FPERIOD_OVERRIDE=FY","FILING_STATUS=MR","Sort=A","Dates=H","DateFormat=P","Fill=—","Direction=H","UseDPDF=Y")</f>
        <v>0</v>
      </c>
      <c r="L47" s="12">
        <f>_xll.BDH("AVNT US Equity","COAL_USED","FY 2022","FY 2022","Currency=USD","Period=FY","BEST_FPERIOD_OVERRIDE=FY","FILING_STATUS=MR","Sort=A","Dates=H","DateFormat=P","Fill=—","Direction=H","UseDPDF=Y")</f>
        <v>0</v>
      </c>
    </row>
    <row r="48" spans="1:12">
      <c r="A48" s="10" t="s">
        <v>92</v>
      </c>
      <c r="B48" s="10" t="s">
        <v>93</v>
      </c>
      <c r="C48" s="12" t="str">
        <f>_xll.BDH("AVNT US Equity","NAT_GAS_USED","FY 2013","FY 2013","Currency=USD","Period=FY","BEST_FPERIOD_OVERRIDE=FY","FILING_STATUS=MR","Sort=A","Dates=H","DateFormat=P","Fill=—","Direction=H","UseDPDF=Y")</f>
        <v>—</v>
      </c>
      <c r="D48" s="12" t="str">
        <f>_xll.BDH("AVNT US Equity","NAT_GAS_USED","FY 2014","FY 2014","Currency=USD","Period=FY","BEST_FPERIOD_OVERRIDE=FY","FILING_STATUS=MR","Sort=A","Dates=H","DateFormat=P","Fill=—","Direction=H","UseDPDF=Y")</f>
        <v>—</v>
      </c>
      <c r="E48" s="12" t="str">
        <f>_xll.BDH("AVNT US Equity","NAT_GAS_USED","FY 2015","FY 2015","Currency=USD","Period=FY","BEST_FPERIOD_OVERRIDE=FY","FILING_STATUS=MR","Sort=A","Dates=H","DateFormat=P","Fill=—","Direction=H","UseDPDF=Y")</f>
        <v>—</v>
      </c>
      <c r="F48" s="12" t="str">
        <f>_xll.BDH("AVNT US Equity","NAT_GAS_USED","FY 2016","FY 2016","Currency=USD","Period=FY","BEST_FPERIOD_OVERRIDE=FY","FILING_STATUS=MR","Sort=A","Dates=H","DateFormat=P","Fill=—","Direction=H","UseDPDF=Y")</f>
        <v>—</v>
      </c>
      <c r="G48" s="12" t="str">
        <f>_xll.BDH("AVNT US Equity","NAT_GAS_USED","FY 2017","FY 2017","Currency=USD","Period=FY","BEST_FPERIOD_OVERRIDE=FY","FILING_STATUS=MR","Sort=A","Dates=H","DateFormat=P","Fill=—","Direction=H","UseDPDF=Y")</f>
        <v>—</v>
      </c>
      <c r="H48" s="12">
        <f>_xll.BDH("AVNT US Equity","NAT_GAS_USED","FY 2018","FY 2018","Currency=USD","Period=FY","BEST_FPERIOD_OVERRIDE=FY","FILING_STATUS=MR","Sort=A","Dates=H","DateFormat=P","Fill=—","Direction=H","UseDPDF=Y")</f>
        <v>12045.2</v>
      </c>
      <c r="I48" s="12">
        <f>_xll.BDH("AVNT US Equity","NAT_GAS_USED","FY 2019","FY 2019","Currency=USD","Period=FY","BEST_FPERIOD_OVERRIDE=FY","FILING_STATUS=MR","Sort=A","Dates=H","DateFormat=P","Fill=—","Direction=H","UseDPDF=Y")</f>
        <v>6197.76</v>
      </c>
      <c r="J48" s="12">
        <f>_xll.BDH("AVNT US Equity","NAT_GAS_USED","FY 2020","FY 2020","Currency=USD","Period=FY","BEST_FPERIOD_OVERRIDE=FY","FILING_STATUS=MR","Sort=A","Dates=H","DateFormat=P","Fill=—","Direction=H","UseDPDF=Y")</f>
        <v>8686.24</v>
      </c>
      <c r="K48" s="12">
        <f>_xll.BDH("AVNT US Equity","NAT_GAS_USED","FY 2021","FY 2021","Currency=USD","Period=FY","BEST_FPERIOD_OVERRIDE=FY","FILING_STATUS=MR","Sort=A","Dates=H","DateFormat=P","Fill=—","Direction=H","UseDPDF=Y")</f>
        <v>9075.0400000000009</v>
      </c>
      <c r="L48" s="12">
        <f>_xll.BDH("AVNT US Equity","NAT_GAS_USED","FY 2022","FY 2022","Currency=USD","Period=FY","BEST_FPERIOD_OVERRIDE=FY","FILING_STATUS=MR","Sort=A","Dates=H","DateFormat=P","Fill=—","Direction=H","UseDPDF=Y")</f>
        <v>18492.900000000001</v>
      </c>
    </row>
    <row r="49" spans="1:12">
      <c r="A49" s="10" t="s">
        <v>94</v>
      </c>
      <c r="B49" s="10" t="s">
        <v>95</v>
      </c>
      <c r="C49" s="12" t="str">
        <f>_xll.BDH("AVNT US Equity","OIL_DIESEL_USED","FY 2013","FY 2013","Currency=USD","Period=FY","BEST_FPERIOD_OVERRIDE=FY","FILING_STATUS=MR","Sort=A","Dates=H","DateFormat=P","Fill=—","Direction=H","UseDPDF=Y")</f>
        <v>—</v>
      </c>
      <c r="D49" s="12" t="str">
        <f>_xll.BDH("AVNT US Equity","OIL_DIESEL_USED","FY 2014","FY 2014","Currency=USD","Period=FY","BEST_FPERIOD_OVERRIDE=FY","FILING_STATUS=MR","Sort=A","Dates=H","DateFormat=P","Fill=—","Direction=H","UseDPDF=Y")</f>
        <v>—</v>
      </c>
      <c r="E49" s="12" t="str">
        <f>_xll.BDH("AVNT US Equity","OIL_DIESEL_USED","FY 2015","FY 2015","Currency=USD","Period=FY","BEST_FPERIOD_OVERRIDE=FY","FILING_STATUS=MR","Sort=A","Dates=H","DateFormat=P","Fill=—","Direction=H","UseDPDF=Y")</f>
        <v>—</v>
      </c>
      <c r="F49" s="12" t="str">
        <f>_xll.BDH("AVNT US Equity","OIL_DIESEL_USED","FY 2016","FY 2016","Currency=USD","Period=FY","BEST_FPERIOD_OVERRIDE=FY","FILING_STATUS=MR","Sort=A","Dates=H","DateFormat=P","Fill=—","Direction=H","UseDPDF=Y")</f>
        <v>—</v>
      </c>
      <c r="G49" s="12" t="str">
        <f>_xll.BDH("AVNT US Equity","OIL_DIESEL_USED","FY 2017","FY 2017","Currency=USD","Period=FY","BEST_FPERIOD_OVERRIDE=FY","FILING_STATUS=MR","Sort=A","Dates=H","DateFormat=P","Fill=—","Direction=H","UseDPDF=Y")</f>
        <v>—</v>
      </c>
      <c r="H49" s="12">
        <f>_xll.BDH("AVNT US Equity","OIL_DIESEL_USED","FY 2018","FY 2018","Currency=USD","Period=FY","BEST_FPERIOD_OVERRIDE=FY","FILING_STATUS=MR","Sort=A","Dates=H","DateFormat=P","Fill=—","Direction=H","UseDPDF=Y")</f>
        <v>0.23699999999999999</v>
      </c>
      <c r="I49" s="12">
        <f>_xll.BDH("AVNT US Equity","OIL_DIESEL_USED","FY 2019","FY 2019","Currency=USD","Period=FY","BEST_FPERIOD_OVERRIDE=FY","FILING_STATUS=MR","Sort=A","Dates=H","DateFormat=P","Fill=—","Direction=H","UseDPDF=Y")</f>
        <v>0.25</v>
      </c>
      <c r="J49" s="12">
        <f>_xll.BDH("AVNT US Equity","OIL_DIESEL_USED","FY 2020","FY 2020","Currency=USD","Period=FY","BEST_FPERIOD_OVERRIDE=FY","FILING_STATUS=MR","Sort=A","Dates=H","DateFormat=P","Fill=—","Direction=H","UseDPDF=Y")</f>
        <v>1.63</v>
      </c>
      <c r="K49" s="12">
        <f>_xll.BDH("AVNT US Equity","OIL_DIESEL_USED","FY 2021","FY 2021","Currency=USD","Period=FY","BEST_FPERIOD_OVERRIDE=FY","FILING_STATUS=MR","Sort=A","Dates=H","DateFormat=P","Fill=—","Direction=H","UseDPDF=Y")</f>
        <v>0.72599999999999998</v>
      </c>
      <c r="L49" s="12">
        <f>_xll.BDH("AVNT US Equity","OIL_DIESEL_USED","FY 2022","FY 2022","Currency=USD","Period=FY","BEST_FPERIOD_OVERRIDE=FY","FILING_STATUS=MR","Sort=A","Dates=H","DateFormat=P","Fill=—","Direction=H","UseDPDF=Y")</f>
        <v>0.42699999999999999</v>
      </c>
    </row>
    <row r="50" spans="1:12">
      <c r="A50" s="10" t="s">
        <v>96</v>
      </c>
      <c r="B50" s="10" t="s">
        <v>97</v>
      </c>
      <c r="C50" s="13" t="str">
        <f>_xll.BDH("AVNT US Equity","ENERGY_PER_UNIT_PRODUCTION","FY 2013","FY 2013","Currency=USD","Period=FY","BEST_FPERIOD_OVERRIDE=FY","FILING_STATUS=MR","Sort=A","Dates=H","DateFormat=P","Fill=—","Direction=H","UseDPDF=Y")</f>
        <v>—</v>
      </c>
      <c r="D50" s="13" t="str">
        <f>_xll.BDH("AVNT US Equity","ENERGY_PER_UNIT_PRODUCTION","FY 2014","FY 2014","Currency=USD","Period=FY","BEST_FPERIOD_OVERRIDE=FY","FILING_STATUS=MR","Sort=A","Dates=H","DateFormat=P","Fill=—","Direction=H","UseDPDF=Y")</f>
        <v>—</v>
      </c>
      <c r="E50" s="13" t="str">
        <f>_xll.BDH("AVNT US Equity","ENERGY_PER_UNIT_PRODUCTION","FY 2015","FY 2015","Currency=USD","Period=FY","BEST_FPERIOD_OVERRIDE=FY","FILING_STATUS=MR","Sort=A","Dates=H","DateFormat=P","Fill=—","Direction=H","UseDPDF=Y")</f>
        <v>—</v>
      </c>
      <c r="F50" s="13">
        <f>_xll.BDH("AVNT US Equity","ENERGY_PER_UNIT_PRODUCTION","FY 2016","FY 2016","Currency=USD","Period=FY","BEST_FPERIOD_OVERRIDE=FY","FILING_STATUS=MR","Sort=A","Dates=H","DateFormat=P","Fill=—","Direction=H","UseDPDF=Y")</f>
        <v>0.99</v>
      </c>
      <c r="G50" s="13">
        <f>_xll.BDH("AVNT US Equity","ENERGY_PER_UNIT_PRODUCTION","FY 2017","FY 2017","Currency=USD","Period=FY","BEST_FPERIOD_OVERRIDE=FY","FILING_STATUS=MR","Sort=A","Dates=H","DateFormat=P","Fill=—","Direction=H","UseDPDF=Y")</f>
        <v>0.86</v>
      </c>
      <c r="H50" s="13">
        <f>_xll.BDH("AVNT US Equity","ENERGY_PER_UNIT_PRODUCTION","FY 2018","FY 2018","Currency=USD","Period=FY","BEST_FPERIOD_OVERRIDE=FY","FILING_STATUS=MR","Sort=A","Dates=H","DateFormat=P","Fill=—","Direction=H","UseDPDF=Y")</f>
        <v>0.91</v>
      </c>
      <c r="I50" s="13">
        <f>_xll.BDH("AVNT US Equity","ENERGY_PER_UNIT_PRODUCTION","FY 2019","FY 2019","Currency=USD","Period=FY","BEST_FPERIOD_OVERRIDE=FY","FILING_STATUS=MR","Sort=A","Dates=H","DateFormat=P","Fill=—","Direction=H","UseDPDF=Y")</f>
        <v>0.95</v>
      </c>
      <c r="J50" s="13">
        <f>_xll.BDH("AVNT US Equity","ENERGY_PER_UNIT_PRODUCTION","FY 2020","FY 2020","Currency=USD","Period=FY","BEST_FPERIOD_OVERRIDE=FY","FILING_STATUS=MR","Sort=A","Dates=H","DateFormat=P","Fill=—","Direction=H","UseDPDF=Y")</f>
        <v>0.98</v>
      </c>
      <c r="K50" s="13">
        <f>_xll.BDH("AVNT US Equity","ENERGY_PER_UNIT_PRODUCTION","FY 2021","FY 2021","Currency=USD","Period=FY","BEST_FPERIOD_OVERRIDE=FY","FILING_STATUS=MR","Sort=A","Dates=H","DateFormat=P","Fill=—","Direction=H","UseDPDF=Y")</f>
        <v>1.82</v>
      </c>
      <c r="L50" s="13" t="str">
        <f>_xll.BDH("AVNT US Equity","ENERGY_PER_UNIT_PRODUCTION","FY 2022","FY 2022","Currency=USD","Period=FY","BEST_FPERIOD_OVERRIDE=FY","FILING_STATUS=MR","Sort=A","Dates=H","DateFormat=P","Fill=—","Direction=H","UseDPDF=Y")</f>
        <v>—</v>
      </c>
    </row>
    <row r="51" spans="1:1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</row>
    <row r="52" spans="1:12">
      <c r="A52" s="10" t="s">
        <v>98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</row>
    <row r="53" spans="1:12">
      <c r="A53" s="10" t="s">
        <v>99</v>
      </c>
      <c r="B53" s="10" t="s">
        <v>100</v>
      </c>
      <c r="C53" s="11" t="s">
        <v>55</v>
      </c>
      <c r="D53" s="11" t="s">
        <v>55</v>
      </c>
      <c r="E53" s="11" t="s">
        <v>55</v>
      </c>
      <c r="F53" s="11" t="s">
        <v>55</v>
      </c>
      <c r="G53" s="11" t="s">
        <v>55</v>
      </c>
      <c r="H53" s="11" t="s">
        <v>55</v>
      </c>
      <c r="I53" s="11" t="s">
        <v>55</v>
      </c>
      <c r="J53" s="11" t="s">
        <v>55</v>
      </c>
      <c r="K53" s="11" t="s">
        <v>55</v>
      </c>
      <c r="L53" s="11" t="s">
        <v>55</v>
      </c>
    </row>
    <row r="54" spans="1:12">
      <c r="A54" s="10" t="s">
        <v>101</v>
      </c>
      <c r="B54" s="10" t="s">
        <v>102</v>
      </c>
      <c r="C54" s="12" t="str">
        <f>_xll.BDH("AVNT US Equity","HAZARDOUS_WASTE","FY 2013","FY 2013","Currency=USD","Period=FY","BEST_FPERIOD_OVERRIDE=FY","FILING_STATUS=MR","Sort=A","Dates=H","DateFormat=P","Fill=—","Direction=H","UseDPDF=Y")</f>
        <v>—</v>
      </c>
      <c r="D54" s="12" t="str">
        <f>_xll.BDH("AVNT US Equity","HAZARDOUS_WASTE","FY 2014","FY 2014","Currency=USD","Period=FY","BEST_FPERIOD_OVERRIDE=FY","FILING_STATUS=MR","Sort=A","Dates=H","DateFormat=P","Fill=—","Direction=H","UseDPDF=Y")</f>
        <v>—</v>
      </c>
      <c r="E54" s="12" t="str">
        <f>_xll.BDH("AVNT US Equity","HAZARDOUS_WASTE","FY 2015","FY 2015","Currency=USD","Period=FY","BEST_FPERIOD_OVERRIDE=FY","FILING_STATUS=MR","Sort=A","Dates=H","DateFormat=P","Fill=—","Direction=H","UseDPDF=Y")</f>
        <v>—</v>
      </c>
      <c r="F54" s="12" t="str">
        <f>_xll.BDH("AVNT US Equity","HAZARDOUS_WASTE","FY 2016","FY 2016","Currency=USD","Period=FY","BEST_FPERIOD_OVERRIDE=FY","FILING_STATUS=MR","Sort=A","Dates=H","DateFormat=P","Fill=—","Direction=H","UseDPDF=Y")</f>
        <v>—</v>
      </c>
      <c r="G54" s="12" t="str">
        <f>_xll.BDH("AVNT US Equity","HAZARDOUS_WASTE","FY 2017","FY 2017","Currency=USD","Period=FY","BEST_FPERIOD_OVERRIDE=FY","FILING_STATUS=MR","Sort=A","Dates=H","DateFormat=P","Fill=—","Direction=H","UseDPDF=Y")</f>
        <v>—</v>
      </c>
      <c r="H54" s="12">
        <f>_xll.BDH("AVNT US Equity","HAZARDOUS_WASTE","FY 2018","FY 2018","Currency=USD","Period=FY","BEST_FPERIOD_OVERRIDE=FY","FILING_STATUS=MR","Sort=A","Dates=H","DateFormat=P","Fill=—","Direction=H","UseDPDF=Y")</f>
        <v>0.67400000000000004</v>
      </c>
      <c r="I54" s="12">
        <f>_xll.BDH("AVNT US Equity","HAZARDOUS_WASTE","FY 2019","FY 2019","Currency=USD","Period=FY","BEST_FPERIOD_OVERRIDE=FY","FILING_STATUS=MR","Sort=A","Dates=H","DateFormat=P","Fill=—","Direction=H","UseDPDF=Y")</f>
        <v>1.93</v>
      </c>
      <c r="J54" s="12">
        <f>_xll.BDH("AVNT US Equity","HAZARDOUS_WASTE","FY 2020","FY 2020","Currency=USD","Period=FY","BEST_FPERIOD_OVERRIDE=FY","FILING_STATUS=MR","Sort=A","Dates=H","DateFormat=P","Fill=—","Direction=H","UseDPDF=Y")</f>
        <v>1.8859999999999999</v>
      </c>
      <c r="K54" s="12">
        <f>_xll.BDH("AVNT US Equity","HAZARDOUS_WASTE","FY 2021","FY 2021","Currency=USD","Period=FY","BEST_FPERIOD_OVERRIDE=FY","FILING_STATUS=MR","Sort=A","Dates=H","DateFormat=P","Fill=—","Direction=H","UseDPDF=Y")</f>
        <v>2.2330000000000001</v>
      </c>
      <c r="L54" s="12">
        <f>_xll.BDH("AVNT US Equity","HAZARDOUS_WASTE","FY 2022","FY 2022","Currency=USD","Period=FY","BEST_FPERIOD_OVERRIDE=FY","FILING_STATUS=MR","Sort=A","Dates=H","DateFormat=P","Fill=—","Direction=H","UseDPDF=Y")</f>
        <v>3.7839999999999998</v>
      </c>
    </row>
    <row r="55" spans="1:12">
      <c r="A55" s="10" t="s">
        <v>103</v>
      </c>
      <c r="B55" s="10" t="s">
        <v>104</v>
      </c>
      <c r="C55" s="12" t="str">
        <f>_xll.BDH("AVNT US Equity","TOTAL_WASTE","FY 2013","FY 2013","Currency=USD","Period=FY","BEST_FPERIOD_OVERRIDE=FY","FILING_STATUS=MR","Sort=A","Dates=H","DateFormat=P","Fill=—","Direction=H","UseDPDF=Y")</f>
        <v>—</v>
      </c>
      <c r="D55" s="12" t="str">
        <f>_xll.BDH("AVNT US Equity","TOTAL_WASTE","FY 2014","FY 2014","Currency=USD","Period=FY","BEST_FPERIOD_OVERRIDE=FY","FILING_STATUS=MR","Sort=A","Dates=H","DateFormat=P","Fill=—","Direction=H","UseDPDF=Y")</f>
        <v>—</v>
      </c>
      <c r="E55" s="12" t="str">
        <f>_xll.BDH("AVNT US Equity","TOTAL_WASTE","FY 2015","FY 2015","Currency=USD","Period=FY","BEST_FPERIOD_OVERRIDE=FY","FILING_STATUS=MR","Sort=A","Dates=H","DateFormat=P","Fill=—","Direction=H","UseDPDF=Y")</f>
        <v>—</v>
      </c>
      <c r="F55" s="12">
        <f>_xll.BDH("AVNT US Equity","TOTAL_WASTE","FY 2016","FY 2016","Currency=USD","Period=FY","BEST_FPERIOD_OVERRIDE=FY","FILING_STATUS=MR","Sort=A","Dates=H","DateFormat=P","Fill=—","Direction=H","UseDPDF=Y")</f>
        <v>18.449000000000002</v>
      </c>
      <c r="G55" s="12">
        <f>_xll.BDH("AVNT US Equity","TOTAL_WASTE","FY 2017","FY 2017","Currency=USD","Period=FY","BEST_FPERIOD_OVERRIDE=FY","FILING_STATUS=MR","Sort=A","Dates=H","DateFormat=P","Fill=—","Direction=H","UseDPDF=Y")</f>
        <v>12.452999999999999</v>
      </c>
      <c r="H55" s="12">
        <f>_xll.BDH("AVNT US Equity","TOTAL_WASTE","FY 2018","FY 2018","Currency=USD","Period=FY","BEST_FPERIOD_OVERRIDE=FY","FILING_STATUS=MR","Sort=A","Dates=H","DateFormat=P","Fill=—","Direction=H","UseDPDF=Y")</f>
        <v>13.396000000000001</v>
      </c>
      <c r="I55" s="12">
        <f>_xll.BDH("AVNT US Equity","TOTAL_WASTE","FY 2019","FY 2019","Currency=USD","Period=FY","BEST_FPERIOD_OVERRIDE=FY","FILING_STATUS=MR","Sort=A","Dates=H","DateFormat=P","Fill=—","Direction=H","UseDPDF=Y")</f>
        <v>26.065000000000001</v>
      </c>
      <c r="J55" s="12">
        <f>_xll.BDH("AVNT US Equity","TOTAL_WASTE","FY 2020","FY 2020","Currency=USD","Period=FY","BEST_FPERIOD_OVERRIDE=FY","FILING_STATUS=MR","Sort=A","Dates=H","DateFormat=P","Fill=—","Direction=H","UseDPDF=Y")</f>
        <v>23.709</v>
      </c>
      <c r="K55" s="12">
        <f>_xll.BDH("AVNT US Equity","TOTAL_WASTE","FY 2021","FY 2021","Currency=USD","Period=FY","BEST_FPERIOD_OVERRIDE=FY","FILING_STATUS=MR","Sort=A","Dates=H","DateFormat=P","Fill=—","Direction=H","UseDPDF=Y")</f>
        <v>26.277000000000001</v>
      </c>
      <c r="L55" s="12">
        <f>_xll.BDH("AVNT US Equity","TOTAL_WASTE","FY 2022","FY 2022","Currency=USD","Period=FY","BEST_FPERIOD_OVERRIDE=FY","FILING_STATUS=MR","Sort=A","Dates=H","DateFormat=P","Fill=—","Direction=H","UseDPDF=Y")</f>
        <v>32.267000000000003</v>
      </c>
    </row>
    <row r="56" spans="1:12">
      <c r="A56" s="10" t="s">
        <v>105</v>
      </c>
      <c r="B56" s="10" t="s">
        <v>106</v>
      </c>
      <c r="C56" s="12" t="str">
        <f>_xll.BDH("AVNT US Equity","WASTE_RECYCLED","FY 2013","FY 2013","Currency=USD","Period=FY","BEST_FPERIOD_OVERRIDE=FY","FILING_STATUS=MR","Sort=A","Dates=H","DateFormat=P","Fill=—","Direction=H","UseDPDF=Y")</f>
        <v>—</v>
      </c>
      <c r="D56" s="12" t="str">
        <f>_xll.BDH("AVNT US Equity","WASTE_RECYCLED","FY 2014","FY 2014","Currency=USD","Period=FY","BEST_FPERIOD_OVERRIDE=FY","FILING_STATUS=MR","Sort=A","Dates=H","DateFormat=P","Fill=—","Direction=H","UseDPDF=Y")</f>
        <v>—</v>
      </c>
      <c r="E56" s="12" t="str">
        <f>_xll.BDH("AVNT US Equity","WASTE_RECYCLED","FY 2015","FY 2015","Currency=USD","Period=FY","BEST_FPERIOD_OVERRIDE=FY","FILING_STATUS=MR","Sort=A","Dates=H","DateFormat=P","Fill=—","Direction=H","UseDPDF=Y")</f>
        <v>—</v>
      </c>
      <c r="F56" s="12">
        <f>_xll.BDH("AVNT US Equity","WASTE_RECYCLED","FY 2016","FY 2016","Currency=USD","Period=FY","BEST_FPERIOD_OVERRIDE=FY","FILING_STATUS=MR","Sort=A","Dates=H","DateFormat=P","Fill=—","Direction=H","UseDPDF=Y")</f>
        <v>12.244999999999999</v>
      </c>
      <c r="G56" s="12">
        <f>_xll.BDH("AVNT US Equity","WASTE_RECYCLED","FY 2017","FY 2017","Currency=USD","Period=FY","BEST_FPERIOD_OVERRIDE=FY","FILING_STATUS=MR","Sort=A","Dates=H","DateFormat=P","Fill=—","Direction=H","UseDPDF=Y")</f>
        <v>7.1070000000000002</v>
      </c>
      <c r="H56" s="12">
        <f>_xll.BDH("AVNT US Equity","WASTE_RECYCLED","FY 2018","FY 2018","Currency=USD","Period=FY","BEST_FPERIOD_OVERRIDE=FY","FILING_STATUS=MR","Sort=A","Dates=H","DateFormat=P","Fill=—","Direction=H","UseDPDF=Y")</f>
        <v>8.3930000000000007</v>
      </c>
      <c r="I56" s="12">
        <f>_xll.BDH("AVNT US Equity","WASTE_RECYCLED","FY 2019","FY 2019","Currency=USD","Period=FY","BEST_FPERIOD_OVERRIDE=FY","FILING_STATUS=MR","Sort=A","Dates=H","DateFormat=P","Fill=—","Direction=H","UseDPDF=Y")</f>
        <v>12.714</v>
      </c>
      <c r="J56" s="12">
        <f>_xll.BDH("AVNT US Equity","WASTE_RECYCLED","FY 2020","FY 2020","Currency=USD","Period=FY","BEST_FPERIOD_OVERRIDE=FY","FILING_STATUS=MR","Sort=A","Dates=H","DateFormat=P","Fill=—","Direction=H","UseDPDF=Y")</f>
        <v>11.244999999999999</v>
      </c>
      <c r="K56" s="12">
        <f>_xll.BDH("AVNT US Equity","WASTE_RECYCLED","FY 2021","FY 2021","Currency=USD","Period=FY","BEST_FPERIOD_OVERRIDE=FY","FILING_STATUS=MR","Sort=A","Dates=H","DateFormat=P","Fill=—","Direction=H","UseDPDF=Y")</f>
        <v>12.433999999999999</v>
      </c>
      <c r="L56" s="12">
        <f>_xll.BDH("AVNT US Equity","WASTE_RECYCLED","FY 2022","FY 2022","Currency=USD","Period=FY","BEST_FPERIOD_OVERRIDE=FY","FILING_STATUS=MR","Sort=A","Dates=H","DateFormat=P","Fill=—","Direction=H","UseDPDF=Y")</f>
        <v>15.682</v>
      </c>
    </row>
    <row r="57" spans="1:12">
      <c r="A57" s="10" t="s">
        <v>107</v>
      </c>
      <c r="B57" s="10" t="s">
        <v>108</v>
      </c>
      <c r="C57" s="12" t="str">
        <f>_xll.BDH("AVNT US Equity","WASTE_SENT_TO_LANDFILLS","FY 2013","FY 2013","Currency=USD","Period=FY","BEST_FPERIOD_OVERRIDE=FY","FILING_STATUS=MR","Sort=A","Dates=H","DateFormat=P","Fill=—","Direction=H","UseDPDF=Y")</f>
        <v>—</v>
      </c>
      <c r="D57" s="12" t="str">
        <f>_xll.BDH("AVNT US Equity","WASTE_SENT_TO_LANDFILLS","FY 2014","FY 2014","Currency=USD","Period=FY","BEST_FPERIOD_OVERRIDE=FY","FILING_STATUS=MR","Sort=A","Dates=H","DateFormat=P","Fill=—","Direction=H","UseDPDF=Y")</f>
        <v>—</v>
      </c>
      <c r="E57" s="12" t="str">
        <f>_xll.BDH("AVNT US Equity","WASTE_SENT_TO_LANDFILLS","FY 2015","FY 2015","Currency=USD","Period=FY","BEST_FPERIOD_OVERRIDE=FY","FILING_STATUS=MR","Sort=A","Dates=H","DateFormat=P","Fill=—","Direction=H","UseDPDF=Y")</f>
        <v>—</v>
      </c>
      <c r="F57" s="12">
        <f>_xll.BDH("AVNT US Equity","WASTE_SENT_TO_LANDFILLS","FY 2016","FY 2016","Currency=USD","Period=FY","BEST_FPERIOD_OVERRIDE=FY","FILING_STATUS=MR","Sort=A","Dates=H","DateFormat=P","Fill=—","Direction=H","UseDPDF=Y")</f>
        <v>5.8150000000000004</v>
      </c>
      <c r="G57" s="12">
        <f>_xll.BDH("AVNT US Equity","WASTE_SENT_TO_LANDFILLS","FY 2017","FY 2017","Currency=USD","Period=FY","BEST_FPERIOD_OVERRIDE=FY","FILING_STATUS=MR","Sort=A","Dates=H","DateFormat=P","Fill=—","Direction=H","UseDPDF=Y")</f>
        <v>5.077</v>
      </c>
      <c r="H57" s="12">
        <f>_xll.BDH("AVNT US Equity","WASTE_SENT_TO_LANDFILLS","FY 2018","FY 2018","Currency=USD","Period=FY","BEST_FPERIOD_OVERRIDE=FY","FILING_STATUS=MR","Sort=A","Dates=H","DateFormat=P","Fill=—","Direction=H","UseDPDF=Y")</f>
        <v>4.7030000000000003</v>
      </c>
      <c r="I57" s="12">
        <f>_xll.BDH("AVNT US Equity","WASTE_SENT_TO_LANDFILLS","FY 2019","FY 2019","Currency=USD","Period=FY","BEST_FPERIOD_OVERRIDE=FY","FILING_STATUS=MR","Sort=A","Dates=H","DateFormat=P","Fill=—","Direction=H","UseDPDF=Y")</f>
        <v>11.943</v>
      </c>
      <c r="J57" s="12">
        <f>_xll.BDH("AVNT US Equity","WASTE_SENT_TO_LANDFILLS","FY 2020","FY 2020","Currency=USD","Period=FY","BEST_FPERIOD_OVERRIDE=FY","FILING_STATUS=MR","Sort=A","Dates=H","DateFormat=P","Fill=—","Direction=H","UseDPDF=Y")</f>
        <v>9.9149999999999991</v>
      </c>
      <c r="K57" s="12">
        <f>_xll.BDH("AVNT US Equity","WASTE_SENT_TO_LANDFILLS","FY 2021","FY 2021","Currency=USD","Period=FY","BEST_FPERIOD_OVERRIDE=FY","FILING_STATUS=MR","Sort=A","Dates=H","DateFormat=P","Fill=—","Direction=H","UseDPDF=Y")</f>
        <v>11.215</v>
      </c>
      <c r="L57" s="12">
        <f>_xll.BDH("AVNT US Equity","WASTE_SENT_TO_LANDFILLS","FY 2022","FY 2022","Currency=USD","Period=FY","BEST_FPERIOD_OVERRIDE=FY","FILING_STATUS=MR","Sort=A","Dates=H","DateFormat=P","Fill=—","Direction=H","UseDPDF=Y")</f>
        <v>14.273999999999999</v>
      </c>
    </row>
    <row r="58" spans="1:1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</row>
    <row r="59" spans="1:12">
      <c r="A59" s="10" t="s">
        <v>109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</row>
    <row r="60" spans="1:12">
      <c r="A60" s="10" t="s">
        <v>110</v>
      </c>
      <c r="B60" s="10" t="s">
        <v>111</v>
      </c>
      <c r="C60" s="11" t="s">
        <v>54</v>
      </c>
      <c r="D60" s="11" t="s">
        <v>54</v>
      </c>
      <c r="E60" s="11" t="s">
        <v>55</v>
      </c>
      <c r="F60" s="11" t="s">
        <v>55</v>
      </c>
      <c r="G60" s="11" t="s">
        <v>55</v>
      </c>
      <c r="H60" s="11" t="s">
        <v>55</v>
      </c>
      <c r="I60" s="11" t="s">
        <v>55</v>
      </c>
      <c r="J60" s="11" t="s">
        <v>55</v>
      </c>
      <c r="K60" s="11" t="s">
        <v>55</v>
      </c>
      <c r="L60" s="11" t="s">
        <v>55</v>
      </c>
    </row>
    <row r="61" spans="1:1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 spans="1:12">
      <c r="A62" s="10" t="s">
        <v>112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</row>
    <row r="63" spans="1:12">
      <c r="A63" s="10" t="s">
        <v>113</v>
      </c>
      <c r="B63" s="10" t="s">
        <v>114</v>
      </c>
      <c r="C63" s="11" t="s">
        <v>54</v>
      </c>
      <c r="D63" s="11" t="s">
        <v>54</v>
      </c>
      <c r="E63" s="11" t="s">
        <v>54</v>
      </c>
      <c r="F63" s="11" t="s">
        <v>54</v>
      </c>
      <c r="G63" s="11" t="s">
        <v>54</v>
      </c>
      <c r="H63" s="11" t="s">
        <v>55</v>
      </c>
      <c r="I63" s="11" t="s">
        <v>55</v>
      </c>
      <c r="J63" s="11" t="s">
        <v>55</v>
      </c>
      <c r="K63" s="11" t="s">
        <v>55</v>
      </c>
      <c r="L63" s="11" t="s">
        <v>55</v>
      </c>
    </row>
    <row r="64" spans="1:12">
      <c r="A64" s="10" t="s">
        <v>115</v>
      </c>
      <c r="B64" s="10" t="s">
        <v>116</v>
      </c>
      <c r="C64" s="12" t="str">
        <f>_xll.BDH("AVNT US Equity","TOTAL_WATER_WITHDRAWAL","FY 2013","FY 2013","Currency=USD","Period=FY","BEST_FPERIOD_OVERRIDE=FY","FILING_STATUS=MR","Sort=A","Dates=H","DateFormat=P","Fill=—","Direction=H","UseDPDF=Y")</f>
        <v>—</v>
      </c>
      <c r="D64" s="12" t="str">
        <f>_xll.BDH("AVNT US Equity","TOTAL_WATER_WITHDRAWAL","FY 2014","FY 2014","Currency=USD","Period=FY","BEST_FPERIOD_OVERRIDE=FY","FILING_STATUS=MR","Sort=A","Dates=H","DateFormat=P","Fill=—","Direction=H","UseDPDF=Y")</f>
        <v>—</v>
      </c>
      <c r="E64" s="12" t="str">
        <f>_xll.BDH("AVNT US Equity","TOTAL_WATER_WITHDRAWAL","FY 2015","FY 2015","Currency=USD","Period=FY","BEST_FPERIOD_OVERRIDE=FY","FILING_STATUS=MR","Sort=A","Dates=H","DateFormat=P","Fill=—","Direction=H","UseDPDF=Y")</f>
        <v>—</v>
      </c>
      <c r="F64" s="12">
        <f>_xll.BDH("AVNT US Equity","TOTAL_WATER_WITHDRAWAL","FY 2016","FY 2016","Currency=USD","Period=FY","BEST_FPERIOD_OVERRIDE=FY","FILING_STATUS=MR","Sort=A","Dates=H","DateFormat=P","Fill=—","Direction=H","UseDPDF=Y")</f>
        <v>498</v>
      </c>
      <c r="G64" s="12">
        <f>_xll.BDH("AVNT US Equity","TOTAL_WATER_WITHDRAWAL","FY 2017","FY 2017","Currency=USD","Period=FY","BEST_FPERIOD_OVERRIDE=FY","FILING_STATUS=MR","Sort=A","Dates=H","DateFormat=P","Fill=—","Direction=H","UseDPDF=Y")</f>
        <v>662</v>
      </c>
      <c r="H64" s="12">
        <f>_xll.BDH("AVNT US Equity","TOTAL_WATER_WITHDRAWAL","FY 2018","FY 2018","Currency=USD","Period=FY","BEST_FPERIOD_OVERRIDE=FY","FILING_STATUS=MR","Sort=A","Dates=H","DateFormat=P","Fill=—","Direction=H","UseDPDF=Y")</f>
        <v>666</v>
      </c>
      <c r="I64" s="12">
        <f>_xll.BDH("AVNT US Equity","TOTAL_WATER_WITHDRAWAL","FY 2019","FY 2019","Currency=USD","Period=FY","BEST_FPERIOD_OVERRIDE=FY","FILING_STATUS=MR","Sort=A","Dates=H","DateFormat=P","Fill=—","Direction=H","UseDPDF=Y")</f>
        <v>1159</v>
      </c>
      <c r="J64" s="12">
        <f>_xll.BDH("AVNT US Equity","TOTAL_WATER_WITHDRAWAL","FY 2020","FY 2020","Currency=USD","Period=FY","BEST_FPERIOD_OVERRIDE=FY","FILING_STATUS=MR","Sort=A","Dates=H","DateFormat=P","Fill=—","Direction=H","UseDPDF=Y")</f>
        <v>1309</v>
      </c>
      <c r="K64" s="12">
        <f>_xll.BDH("AVNT US Equity","TOTAL_WATER_WITHDRAWAL","FY 2021","FY 2021","Currency=USD","Period=FY","BEST_FPERIOD_OVERRIDE=FY","FILING_STATUS=MR","Sort=A","Dates=H","DateFormat=P","Fill=—","Direction=H","UseDPDF=Y")</f>
        <v>1263</v>
      </c>
      <c r="L64" s="12">
        <f>_xll.BDH("AVNT US Equity","TOTAL_WATER_WITHDRAWAL","FY 2022","FY 2022","Currency=USD","Period=FY","BEST_FPERIOD_OVERRIDE=FY","FILING_STATUS=MR","Sort=A","Dates=H","DateFormat=P","Fill=—","Direction=H","UseDPDF=Y")</f>
        <v>1738</v>
      </c>
    </row>
    <row r="65" spans="1:12">
      <c r="A65" s="10" t="s">
        <v>117</v>
      </c>
      <c r="B65" s="10" t="s">
        <v>118</v>
      </c>
      <c r="C65" s="12" t="str">
        <f>_xll.BDH("AVNT US Equity","TOTAL_WATER_DISCHARGED","FY 2013","FY 2013","Currency=USD","Period=FY","BEST_FPERIOD_OVERRIDE=FY","FILING_STATUS=MR","Sort=A","Dates=H","DateFormat=P","Fill=—","Direction=H","UseDPDF=Y")</f>
        <v>—</v>
      </c>
      <c r="D65" s="12" t="str">
        <f>_xll.BDH("AVNT US Equity","TOTAL_WATER_DISCHARGED","FY 2014","FY 2014","Currency=USD","Period=FY","BEST_FPERIOD_OVERRIDE=FY","FILING_STATUS=MR","Sort=A","Dates=H","DateFormat=P","Fill=—","Direction=H","UseDPDF=Y")</f>
        <v>—</v>
      </c>
      <c r="E65" s="12" t="str">
        <f>_xll.BDH("AVNT US Equity","TOTAL_WATER_DISCHARGED","FY 2015","FY 2015","Currency=USD","Period=FY","BEST_FPERIOD_OVERRIDE=FY","FILING_STATUS=MR","Sort=A","Dates=H","DateFormat=P","Fill=—","Direction=H","UseDPDF=Y")</f>
        <v>—</v>
      </c>
      <c r="F65" s="12" t="str">
        <f>_xll.BDH("AVNT US Equity","TOTAL_WATER_DISCHARGED","FY 2016","FY 2016","Currency=USD","Period=FY","BEST_FPERIOD_OVERRIDE=FY","FILING_STATUS=MR","Sort=A","Dates=H","DateFormat=P","Fill=—","Direction=H","UseDPDF=Y")</f>
        <v>—</v>
      </c>
      <c r="G65" s="12" t="str">
        <f>_xll.BDH("AVNT US Equity","TOTAL_WATER_DISCHARGED","FY 2017","FY 2017","Currency=USD","Period=FY","BEST_FPERIOD_OVERRIDE=FY","FILING_STATUS=MR","Sort=A","Dates=H","DateFormat=P","Fill=—","Direction=H","UseDPDF=Y")</f>
        <v>—</v>
      </c>
      <c r="H65" s="12" t="str">
        <f>_xll.BDH("AVNT US Equity","TOTAL_WATER_DISCHARGED","FY 2018","FY 2018","Currency=USD","Period=FY","BEST_FPERIOD_OVERRIDE=FY","FILING_STATUS=MR","Sort=A","Dates=H","DateFormat=P","Fill=—","Direction=H","UseDPDF=Y")</f>
        <v>—</v>
      </c>
      <c r="I65" s="12">
        <f>_xll.BDH("AVNT US Equity","TOTAL_WATER_DISCHARGED","FY 2019","FY 2019","Currency=USD","Period=FY","BEST_FPERIOD_OVERRIDE=FY","FILING_STATUS=MR","Sort=A","Dates=H","DateFormat=P","Fill=—","Direction=H","UseDPDF=Y")</f>
        <v>691</v>
      </c>
      <c r="J65" s="12">
        <f>_xll.BDH("AVNT US Equity","TOTAL_WATER_DISCHARGED","FY 2020","FY 2020","Currency=USD","Period=FY","BEST_FPERIOD_OVERRIDE=FY","FILING_STATUS=MR","Sort=A","Dates=H","DateFormat=P","Fill=—","Direction=H","UseDPDF=Y")</f>
        <v>553</v>
      </c>
      <c r="K65" s="12">
        <f>_xll.BDH("AVNT US Equity","TOTAL_WATER_DISCHARGED","FY 2021","FY 2021","Currency=USD","Period=FY","BEST_FPERIOD_OVERRIDE=FY","FILING_STATUS=MR","Sort=A","Dates=H","DateFormat=P","Fill=—","Direction=H","UseDPDF=Y")</f>
        <v>594</v>
      </c>
      <c r="L65" s="12">
        <f>_xll.BDH("AVNT US Equity","TOTAL_WATER_DISCHARGED","FY 2022","FY 2022","Currency=USD","Period=FY","BEST_FPERIOD_OVERRIDE=FY","FILING_STATUS=MR","Sort=A","Dates=H","DateFormat=P","Fill=—","Direction=H","UseDPDF=Y")</f>
        <v>1122</v>
      </c>
    </row>
    <row r="66" spans="1:12">
      <c r="A66" s="10" t="s">
        <v>119</v>
      </c>
      <c r="B66" s="10" t="s">
        <v>120</v>
      </c>
      <c r="C66" s="13" t="str">
        <f>_xll.BDH("AVNT US Equity","WATER_PER_UNIT_OF_PROD","FY 2013","FY 2013","Currency=USD","Period=FY","BEST_FPERIOD_OVERRIDE=FY","FILING_STATUS=MR","Sort=A","Dates=H","DateFormat=P","Fill=—","Direction=H","UseDPDF=Y")</f>
        <v>—</v>
      </c>
      <c r="D66" s="13" t="str">
        <f>_xll.BDH("AVNT US Equity","WATER_PER_UNIT_OF_PROD","FY 2014","FY 2014","Currency=USD","Period=FY","BEST_FPERIOD_OVERRIDE=FY","FILING_STATUS=MR","Sort=A","Dates=H","DateFormat=P","Fill=—","Direction=H","UseDPDF=Y")</f>
        <v>—</v>
      </c>
      <c r="E66" s="13" t="str">
        <f>_xll.BDH("AVNT US Equity","WATER_PER_UNIT_OF_PROD","FY 2015","FY 2015","Currency=USD","Period=FY","BEST_FPERIOD_OVERRIDE=FY","FILING_STATUS=MR","Sort=A","Dates=H","DateFormat=P","Fill=—","Direction=H","UseDPDF=Y")</f>
        <v>—</v>
      </c>
      <c r="F66" s="13">
        <f>_xll.BDH("AVNT US Equity","WATER_PER_UNIT_OF_PROD","FY 2016","FY 2016","Currency=USD","Period=FY","BEST_FPERIOD_OVERRIDE=FY","FILING_STATUS=MR","Sort=A","Dates=H","DateFormat=P","Fill=—","Direction=H","UseDPDF=Y")</f>
        <v>2580</v>
      </c>
      <c r="G66" s="13">
        <f>_xll.BDH("AVNT US Equity","WATER_PER_UNIT_OF_PROD","FY 2017","FY 2017","Currency=USD","Period=FY","BEST_FPERIOD_OVERRIDE=FY","FILING_STATUS=MR","Sort=A","Dates=H","DateFormat=P","Fill=—","Direction=H","UseDPDF=Y")</f>
        <v>2640</v>
      </c>
      <c r="H66" s="13">
        <f>_xll.BDH("AVNT US Equity","WATER_PER_UNIT_OF_PROD","FY 2018","FY 2018","Currency=USD","Period=FY","BEST_FPERIOD_OVERRIDE=FY","FILING_STATUS=MR","Sort=A","Dates=H","DateFormat=P","Fill=—","Direction=H","UseDPDF=Y")</f>
        <v>2570</v>
      </c>
      <c r="I66" s="13">
        <f>_xll.BDH("AVNT US Equity","WATER_PER_UNIT_OF_PROD","FY 2019","FY 2019","Currency=USD","Period=FY","BEST_FPERIOD_OVERRIDE=FY","FILING_STATUS=MR","Sort=A","Dates=H","DateFormat=P","Fill=—","Direction=H","UseDPDF=Y")</f>
        <v>2590</v>
      </c>
      <c r="J66" s="13">
        <f>_xll.BDH("AVNT US Equity","WATER_PER_UNIT_OF_PROD","FY 2020","FY 2020","Currency=USD","Period=FY","BEST_FPERIOD_OVERRIDE=FY","FILING_STATUS=MR","Sort=A","Dates=H","DateFormat=P","Fill=—","Direction=H","UseDPDF=Y")</f>
        <v>2990</v>
      </c>
      <c r="K66" s="13" t="str">
        <f>_xll.BDH("AVNT US Equity","WATER_PER_UNIT_OF_PROD","FY 2021","FY 2021","Currency=USD","Period=FY","BEST_FPERIOD_OVERRIDE=FY","FILING_STATUS=MR","Sort=A","Dates=H","DateFormat=P","Fill=—","Direction=H","UseDPDF=Y")</f>
        <v>—</v>
      </c>
      <c r="L66" s="13" t="str">
        <f>_xll.BDH("AVNT US Equity","WATER_PER_UNIT_OF_PROD","FY 2022","FY 2022","Currency=USD","Period=FY","BEST_FPERIOD_OVERRIDE=FY","FILING_STATUS=MR","Sort=A","Dates=H","DateFormat=P","Fill=—","Direction=H","UseDPDF=Y")</f>
        <v>—</v>
      </c>
    </row>
    <row r="67" spans="1:1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spans="1:12">
      <c r="A68" s="10" t="s">
        <v>121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 spans="1:12">
      <c r="A69" s="10" t="s">
        <v>122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 spans="1:12">
      <c r="A70" s="10" t="s">
        <v>123</v>
      </c>
      <c r="B70" s="10" t="s">
        <v>124</v>
      </c>
      <c r="C70" s="11" t="s">
        <v>54</v>
      </c>
      <c r="D70" s="11" t="s">
        <v>55</v>
      </c>
      <c r="E70" s="11" t="s">
        <v>55</v>
      </c>
      <c r="F70" s="11" t="s">
        <v>55</v>
      </c>
      <c r="G70" s="11" t="s">
        <v>55</v>
      </c>
      <c r="H70" s="11" t="s">
        <v>55</v>
      </c>
      <c r="I70" s="11" t="s">
        <v>55</v>
      </c>
      <c r="J70" s="11" t="s">
        <v>55</v>
      </c>
      <c r="K70" s="11" t="s">
        <v>55</v>
      </c>
      <c r="L70" s="11" t="s">
        <v>55</v>
      </c>
    </row>
    <row r="71" spans="1:12">
      <c r="A71" s="10" t="s">
        <v>125</v>
      </c>
      <c r="B71" s="10" t="s">
        <v>126</v>
      </c>
      <c r="C71" s="11" t="s">
        <v>54</v>
      </c>
      <c r="D71" s="11" t="s">
        <v>54</v>
      </c>
      <c r="E71" s="11" t="s">
        <v>55</v>
      </c>
      <c r="F71" s="11" t="s">
        <v>55</v>
      </c>
      <c r="G71" s="11" t="s">
        <v>55</v>
      </c>
      <c r="H71" s="11" t="s">
        <v>55</v>
      </c>
      <c r="I71" s="11" t="s">
        <v>55</v>
      </c>
      <c r="J71" s="11" t="s">
        <v>55</v>
      </c>
      <c r="K71" s="11" t="s">
        <v>55</v>
      </c>
      <c r="L71" s="11" t="s">
        <v>55</v>
      </c>
    </row>
    <row r="72" spans="1:12">
      <c r="A72" s="10" t="s">
        <v>127</v>
      </c>
      <c r="B72" s="10" t="s">
        <v>128</v>
      </c>
      <c r="C72" s="11" t="s">
        <v>129</v>
      </c>
      <c r="D72" s="11" t="s">
        <v>129</v>
      </c>
      <c r="E72" s="11" t="s">
        <v>54</v>
      </c>
      <c r="F72" s="11" t="s">
        <v>54</v>
      </c>
      <c r="G72" s="11" t="s">
        <v>54</v>
      </c>
      <c r="H72" s="11" t="s">
        <v>54</v>
      </c>
      <c r="I72" s="11" t="s">
        <v>55</v>
      </c>
      <c r="J72" s="11" t="s">
        <v>55</v>
      </c>
      <c r="K72" s="11" t="s">
        <v>55</v>
      </c>
      <c r="L72" s="11" t="s">
        <v>55</v>
      </c>
    </row>
    <row r="73" spans="1:12">
      <c r="A73" s="10" t="s">
        <v>130</v>
      </c>
      <c r="B73" s="10" t="s">
        <v>131</v>
      </c>
      <c r="C73" s="11" t="s">
        <v>129</v>
      </c>
      <c r="D73" s="11" t="s">
        <v>129</v>
      </c>
      <c r="E73" s="11" t="s">
        <v>55</v>
      </c>
      <c r="F73" s="11" t="s">
        <v>55</v>
      </c>
      <c r="G73" s="11" t="s">
        <v>55</v>
      </c>
      <c r="H73" s="11" t="s">
        <v>55</v>
      </c>
      <c r="I73" s="11" t="s">
        <v>55</v>
      </c>
      <c r="J73" s="11" t="s">
        <v>55</v>
      </c>
      <c r="K73" s="11" t="s">
        <v>55</v>
      </c>
      <c r="L73" s="11" t="s">
        <v>55</v>
      </c>
    </row>
    <row r="74" spans="1:1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spans="1:12">
      <c r="A75" s="10" t="s">
        <v>132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spans="1:12">
      <c r="A76" s="10" t="s">
        <v>133</v>
      </c>
      <c r="B76" s="10" t="s">
        <v>134</v>
      </c>
      <c r="C76" s="11" t="s">
        <v>55</v>
      </c>
      <c r="D76" s="11" t="s">
        <v>55</v>
      </c>
      <c r="E76" s="11" t="s">
        <v>55</v>
      </c>
      <c r="F76" s="11" t="s">
        <v>55</v>
      </c>
      <c r="G76" s="11" t="s">
        <v>55</v>
      </c>
      <c r="H76" s="11" t="s">
        <v>55</v>
      </c>
      <c r="I76" s="11" t="s">
        <v>55</v>
      </c>
      <c r="J76" s="11" t="s">
        <v>55</v>
      </c>
      <c r="K76" s="11" t="s">
        <v>55</v>
      </c>
      <c r="L76" s="11" t="s">
        <v>55</v>
      </c>
    </row>
    <row r="77" spans="1:12">
      <c r="A77" s="10" t="s">
        <v>135</v>
      </c>
      <c r="B77" s="10" t="s">
        <v>136</v>
      </c>
      <c r="C77" s="11" t="s">
        <v>129</v>
      </c>
      <c r="D77" s="11" t="s">
        <v>54</v>
      </c>
      <c r="E77" s="11" t="s">
        <v>54</v>
      </c>
      <c r="F77" s="11" t="s">
        <v>54</v>
      </c>
      <c r="G77" s="11" t="s">
        <v>54</v>
      </c>
      <c r="H77" s="11" t="s">
        <v>54</v>
      </c>
      <c r="I77" s="11" t="s">
        <v>54</v>
      </c>
      <c r="J77" s="11" t="s">
        <v>54</v>
      </c>
      <c r="K77" s="11" t="s">
        <v>54</v>
      </c>
      <c r="L77" s="11" t="s">
        <v>54</v>
      </c>
    </row>
    <row r="78" spans="1:12">
      <c r="A78" s="10" t="s">
        <v>137</v>
      </c>
      <c r="B78" s="10" t="s">
        <v>138</v>
      </c>
      <c r="C78" s="13" t="str">
        <f>_xll.BDH("AVNT US Equity","PCT_WOMEN_EMPLOYEES","FY 2013","FY 2013","Currency=USD","Period=FY","BEST_FPERIOD_OVERRIDE=FY","FILING_STATUS=MR","Sort=A","Dates=H","DateFormat=P","Fill=—","Direction=H","UseDPDF=Y")</f>
        <v>—</v>
      </c>
      <c r="D78" s="13" t="str">
        <f>_xll.BDH("AVNT US Equity","PCT_WOMEN_EMPLOYEES","FY 2014","FY 2014","Currency=USD","Period=FY","BEST_FPERIOD_OVERRIDE=FY","FILING_STATUS=MR","Sort=A","Dates=H","DateFormat=P","Fill=—","Direction=H","UseDPDF=Y")</f>
        <v>—</v>
      </c>
      <c r="E78" s="13" t="str">
        <f>_xll.BDH("AVNT US Equity","PCT_WOMEN_EMPLOYEES","FY 2015","FY 2015","Currency=USD","Period=FY","BEST_FPERIOD_OVERRIDE=FY","FILING_STATUS=MR","Sort=A","Dates=H","DateFormat=P","Fill=—","Direction=H","UseDPDF=Y")</f>
        <v>—</v>
      </c>
      <c r="F78" s="13" t="str">
        <f>_xll.BDH("AVNT US Equity","PCT_WOMEN_EMPLOYEES","FY 2016","FY 2016","Currency=USD","Period=FY","BEST_FPERIOD_OVERRIDE=FY","FILING_STATUS=MR","Sort=A","Dates=H","DateFormat=P","Fill=—","Direction=H","UseDPDF=Y")</f>
        <v>—</v>
      </c>
      <c r="G78" s="13" t="str">
        <f>_xll.BDH("AVNT US Equity","PCT_WOMEN_EMPLOYEES","FY 2017","FY 2017","Currency=USD","Period=FY","BEST_FPERIOD_OVERRIDE=FY","FILING_STATUS=MR","Sort=A","Dates=H","DateFormat=P","Fill=—","Direction=H","UseDPDF=Y")</f>
        <v>—</v>
      </c>
      <c r="H78" s="13" t="str">
        <f>_xll.BDH("AVNT US Equity","PCT_WOMEN_EMPLOYEES","FY 2018","FY 2018","Currency=USD","Period=FY","BEST_FPERIOD_OVERRIDE=FY","FILING_STATUS=MR","Sort=A","Dates=H","DateFormat=P","Fill=—","Direction=H","UseDPDF=Y")</f>
        <v>—</v>
      </c>
      <c r="I78" s="13" t="str">
        <f>_xll.BDH("AVNT US Equity","PCT_WOMEN_EMPLOYEES","FY 2019","FY 2019","Currency=USD","Period=FY","BEST_FPERIOD_OVERRIDE=FY","FILING_STATUS=MR","Sort=A","Dates=H","DateFormat=P","Fill=—","Direction=H","UseDPDF=Y")</f>
        <v>—</v>
      </c>
      <c r="J78" s="13" t="str">
        <f>_xll.BDH("AVNT US Equity","PCT_WOMEN_EMPLOYEES","FY 2020","FY 2020","Currency=USD","Period=FY","BEST_FPERIOD_OVERRIDE=FY","FILING_STATUS=MR","Sort=A","Dates=H","DateFormat=P","Fill=—","Direction=H","UseDPDF=Y")</f>
        <v>—</v>
      </c>
      <c r="K78" s="13" t="str">
        <f>_xll.BDH("AVNT US Equity","PCT_WOMEN_EMPLOYEES","FY 2021","FY 2021","Currency=USD","Period=FY","BEST_FPERIOD_OVERRIDE=FY","FILING_STATUS=MR","Sort=A","Dates=H","DateFormat=P","Fill=—","Direction=H","UseDPDF=Y")</f>
        <v>—</v>
      </c>
      <c r="L78" s="13">
        <f>_xll.BDH("AVNT US Equity","PCT_WOMEN_EMPLOYEES","FY 2022","FY 2022","Currency=USD","Period=FY","BEST_FPERIOD_OVERRIDE=FY","FILING_STATUS=MR","Sort=A","Dates=H","DateFormat=P","Fill=—","Direction=H","UseDPDF=Y")</f>
        <v>25</v>
      </c>
    </row>
    <row r="79" spans="1:1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spans="1:12">
      <c r="A80" s="10" t="s">
        <v>139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spans="1:12">
      <c r="A81" s="10" t="s">
        <v>140</v>
      </c>
      <c r="B81" s="10" t="s">
        <v>141</v>
      </c>
      <c r="C81" s="11" t="s">
        <v>55</v>
      </c>
      <c r="D81" s="11" t="s">
        <v>55</v>
      </c>
      <c r="E81" s="11" t="s">
        <v>55</v>
      </c>
      <c r="F81" s="11" t="s">
        <v>55</v>
      </c>
      <c r="G81" s="11" t="s">
        <v>55</v>
      </c>
      <c r="H81" s="11" t="s">
        <v>55</v>
      </c>
      <c r="I81" s="11" t="s">
        <v>55</v>
      </c>
      <c r="J81" s="11" t="s">
        <v>55</v>
      </c>
      <c r="K81" s="11" t="s">
        <v>55</v>
      </c>
      <c r="L81" s="11" t="s">
        <v>55</v>
      </c>
    </row>
    <row r="82" spans="1:12">
      <c r="A82" s="10" t="s">
        <v>142</v>
      </c>
      <c r="B82" s="10" t="s">
        <v>143</v>
      </c>
      <c r="C82" s="11" t="s">
        <v>54</v>
      </c>
      <c r="D82" s="11" t="s">
        <v>55</v>
      </c>
      <c r="E82" s="11" t="s">
        <v>55</v>
      </c>
      <c r="F82" s="11" t="s">
        <v>55</v>
      </c>
      <c r="G82" s="11" t="s">
        <v>55</v>
      </c>
      <c r="H82" s="11" t="s">
        <v>55</v>
      </c>
      <c r="I82" s="11" t="s">
        <v>55</v>
      </c>
      <c r="J82" s="11" t="s">
        <v>55</v>
      </c>
      <c r="K82" s="11" t="s">
        <v>55</v>
      </c>
      <c r="L82" s="11" t="s">
        <v>55</v>
      </c>
    </row>
    <row r="83" spans="1:12">
      <c r="A83" s="10" t="s">
        <v>144</v>
      </c>
      <c r="B83" s="10" t="s">
        <v>145</v>
      </c>
      <c r="C83" s="12" t="str">
        <f>_xll.BDH("AVNT US Equity","POLITICAL_DONATIONS","FY 2013","FY 2013","Currency=USD","Period=FY","BEST_FPERIOD_OVERRIDE=FY","FILING_STATUS=MR","SCALING_FORMAT=MLN","Sort=A","Dates=H","DateFormat=P","Fill=—","Direction=H","UseDPDF=Y")</f>
        <v>—</v>
      </c>
      <c r="D83" s="12" t="str">
        <f>_xll.BDH("AVNT US Equity","POLITICAL_DONATIONS","FY 2014","FY 2014","Currency=USD","Period=FY","BEST_FPERIOD_OVERRIDE=FY","FILING_STATUS=MR","SCALING_FORMAT=MLN","Sort=A","Dates=H","DateFormat=P","Fill=—","Direction=H","UseDPDF=Y")</f>
        <v>—</v>
      </c>
      <c r="E83" s="12" t="str">
        <f>_xll.BDH("AVNT US Equity","POLITICAL_DONATIONS","FY 2015","FY 2015","Currency=USD","Period=FY","BEST_FPERIOD_OVERRIDE=FY","FILING_STATUS=MR","SCALING_FORMAT=MLN","Sort=A","Dates=H","DateFormat=P","Fill=—","Direction=H","UseDPDF=Y")</f>
        <v>—</v>
      </c>
      <c r="F83" s="12" t="str">
        <f>_xll.BDH("AVNT US Equity","POLITICAL_DONATIONS","FY 2016","FY 2016","Currency=USD","Period=FY","BEST_FPERIOD_OVERRIDE=FY","FILING_STATUS=MR","SCALING_FORMAT=MLN","Sort=A","Dates=H","DateFormat=P","Fill=—","Direction=H","UseDPDF=Y")</f>
        <v>—</v>
      </c>
      <c r="G83" s="12" t="str">
        <f>_xll.BDH("AVNT US Equity","POLITICAL_DONATIONS","FY 2017","FY 2017","Currency=USD","Period=FY","BEST_FPERIOD_OVERRIDE=FY","FILING_STATUS=MR","SCALING_FORMAT=MLN","Sort=A","Dates=H","DateFormat=P","Fill=—","Direction=H","UseDPDF=Y")</f>
        <v>—</v>
      </c>
      <c r="H83" s="12" t="str">
        <f>_xll.BDH("AVNT US Equity","POLITICAL_DONATIONS","FY 2018","FY 2018","Currency=USD","Period=FY","BEST_FPERIOD_OVERRIDE=FY","FILING_STATUS=MR","SCALING_FORMAT=MLN","Sort=A","Dates=H","DateFormat=P","Fill=—","Direction=H","UseDPDF=Y")</f>
        <v>—</v>
      </c>
      <c r="I83" s="12">
        <f>_xll.BDH("AVNT US Equity","POLITICAL_DONATIONS","FY 2019","FY 2019","Currency=USD","Period=FY","BEST_FPERIOD_OVERRIDE=FY","FILING_STATUS=MR","SCALING_FORMAT=MLN","Sort=A","Dates=H","DateFormat=P","Fill=—","Direction=H","UseDPDF=Y")</f>
        <v>0</v>
      </c>
      <c r="J83" s="12">
        <f>_xll.BDH("AVNT US Equity","POLITICAL_DONATIONS","FY 2020","FY 2020","Currency=USD","Period=FY","BEST_FPERIOD_OVERRIDE=FY","FILING_STATUS=MR","SCALING_FORMAT=MLN","Sort=A","Dates=H","DateFormat=P","Fill=—","Direction=H","UseDPDF=Y")</f>
        <v>0</v>
      </c>
      <c r="K83" s="12">
        <f>_xll.BDH("AVNT US Equity","POLITICAL_DONATIONS","FY 2021","FY 2021","Currency=USD","Period=FY","BEST_FPERIOD_OVERRIDE=FY","FILING_STATUS=MR","SCALING_FORMAT=MLN","Sort=A","Dates=H","DateFormat=P","Fill=—","Direction=H","UseDPDF=Y")</f>
        <v>0</v>
      </c>
      <c r="L83" s="12">
        <f>_xll.BDH("AVNT US Equity","POLITICAL_DONATIONS","FY 2022","FY 2022","Currency=USD","Period=FY","BEST_FPERIOD_OVERRIDE=FY","FILING_STATUS=MR","SCALING_FORMAT=MLN","Sort=A","Dates=H","DateFormat=P","Fill=—","Direction=H","UseDPDF=Y")</f>
        <v>0</v>
      </c>
    </row>
    <row r="84" spans="1:12">
      <c r="A84" s="10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spans="1:12">
      <c r="A85" s="10" t="s">
        <v>146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spans="1:12">
      <c r="A86" s="10" t="s">
        <v>147</v>
      </c>
      <c r="B86" s="10" t="s">
        <v>148</v>
      </c>
      <c r="C86" s="11" t="s">
        <v>55</v>
      </c>
      <c r="D86" s="11" t="s">
        <v>55</v>
      </c>
      <c r="E86" s="11" t="s">
        <v>55</v>
      </c>
      <c r="F86" s="11" t="s">
        <v>55</v>
      </c>
      <c r="G86" s="11" t="s">
        <v>55</v>
      </c>
      <c r="H86" s="11" t="s">
        <v>55</v>
      </c>
      <c r="I86" s="11" t="s">
        <v>55</v>
      </c>
      <c r="J86" s="11" t="s">
        <v>55</v>
      </c>
      <c r="K86" s="11" t="s">
        <v>55</v>
      </c>
      <c r="L86" s="11" t="s">
        <v>55</v>
      </c>
    </row>
    <row r="87" spans="1:12">
      <c r="A87" s="10" t="s">
        <v>149</v>
      </c>
      <c r="B87" s="10" t="s">
        <v>150</v>
      </c>
      <c r="C87" s="13" t="str">
        <f>_xll.BDH("AVNT US Equity","FATALITIES_EMPLOYEES","FY 2013","FY 2013","Currency=USD","Period=FY","BEST_FPERIOD_OVERRIDE=FY","FILING_STATUS=MR","Sort=A","Dates=H","DateFormat=P","Fill=—","Direction=H","UseDPDF=Y")</f>
        <v>—</v>
      </c>
      <c r="D87" s="13" t="str">
        <f>_xll.BDH("AVNT US Equity","FATALITIES_EMPLOYEES","FY 2014","FY 2014","Currency=USD","Period=FY","BEST_FPERIOD_OVERRIDE=FY","FILING_STATUS=MR","Sort=A","Dates=H","DateFormat=P","Fill=—","Direction=H","UseDPDF=Y")</f>
        <v>—</v>
      </c>
      <c r="E87" s="13" t="str">
        <f>_xll.BDH("AVNT US Equity","FATALITIES_EMPLOYEES","FY 2015","FY 2015","Currency=USD","Period=FY","BEST_FPERIOD_OVERRIDE=FY","FILING_STATUS=MR","Sort=A","Dates=H","DateFormat=P","Fill=—","Direction=H","UseDPDF=Y")</f>
        <v>—</v>
      </c>
      <c r="F87" s="13" t="str">
        <f>_xll.BDH("AVNT US Equity","FATALITIES_EMPLOYEES","FY 2016","FY 2016","Currency=USD","Period=FY","BEST_FPERIOD_OVERRIDE=FY","FILING_STATUS=MR","Sort=A","Dates=H","DateFormat=P","Fill=—","Direction=H","UseDPDF=Y")</f>
        <v>—</v>
      </c>
      <c r="G87" s="13" t="str">
        <f>_xll.BDH("AVNT US Equity","FATALITIES_EMPLOYEES","FY 2017","FY 2017","Currency=USD","Period=FY","BEST_FPERIOD_OVERRIDE=FY","FILING_STATUS=MR","Sort=A","Dates=H","DateFormat=P","Fill=—","Direction=H","UseDPDF=Y")</f>
        <v>—</v>
      </c>
      <c r="H87" s="13" t="str">
        <f>_xll.BDH("AVNT US Equity","FATALITIES_EMPLOYEES","FY 2018","FY 2018","Currency=USD","Period=FY","BEST_FPERIOD_OVERRIDE=FY","FILING_STATUS=MR","Sort=A","Dates=H","DateFormat=P","Fill=—","Direction=H","UseDPDF=Y")</f>
        <v>—</v>
      </c>
      <c r="I87" s="13">
        <f>_xll.BDH("AVNT US Equity","FATALITIES_EMPLOYEES","FY 2019","FY 2019","Currency=USD","Period=FY","BEST_FPERIOD_OVERRIDE=FY","FILING_STATUS=MR","Sort=A","Dates=H","DateFormat=P","Fill=—","Direction=H","UseDPDF=Y")</f>
        <v>0</v>
      </c>
      <c r="J87" s="13">
        <f>_xll.BDH("AVNT US Equity","FATALITIES_EMPLOYEES","FY 2020","FY 2020","Currency=USD","Period=FY","BEST_FPERIOD_OVERRIDE=FY","FILING_STATUS=MR","Sort=A","Dates=H","DateFormat=P","Fill=—","Direction=H","UseDPDF=Y")</f>
        <v>0</v>
      </c>
      <c r="K87" s="13">
        <f>_xll.BDH("AVNT US Equity","FATALITIES_EMPLOYEES","FY 2021","FY 2021","Currency=USD","Period=FY","BEST_FPERIOD_OVERRIDE=FY","FILING_STATUS=MR","Sort=A","Dates=H","DateFormat=P","Fill=—","Direction=H","UseDPDF=Y")</f>
        <v>0</v>
      </c>
      <c r="L87" s="13">
        <f>_xll.BDH("AVNT US Equity","FATALITIES_EMPLOYEES","FY 2022","FY 2022","Currency=USD","Period=FY","BEST_FPERIOD_OVERRIDE=FY","FILING_STATUS=MR","Sort=A","Dates=H","DateFormat=P","Fill=—","Direction=H","UseDPDF=Y")</f>
        <v>0</v>
      </c>
    </row>
    <row r="88" spans="1:12">
      <c r="A88" s="10" t="s">
        <v>151</v>
      </c>
      <c r="B88" s="10" t="s">
        <v>152</v>
      </c>
      <c r="C88" s="13" t="str">
        <f>_xll.BDH("AVNT US Equity","FATALITIES_CONTRACTORS","FY 2013","FY 2013","Currency=USD","Period=FY","BEST_FPERIOD_OVERRIDE=FY","FILING_STATUS=MR","Sort=A","Dates=H","DateFormat=P","Fill=—","Direction=H","UseDPDF=Y")</f>
        <v>—</v>
      </c>
      <c r="D88" s="13" t="str">
        <f>_xll.BDH("AVNT US Equity","FATALITIES_CONTRACTORS","FY 2014","FY 2014","Currency=USD","Period=FY","BEST_FPERIOD_OVERRIDE=FY","FILING_STATUS=MR","Sort=A","Dates=H","DateFormat=P","Fill=—","Direction=H","UseDPDF=Y")</f>
        <v>—</v>
      </c>
      <c r="E88" s="13" t="str">
        <f>_xll.BDH("AVNT US Equity","FATALITIES_CONTRACTORS","FY 2015","FY 2015","Currency=USD","Period=FY","BEST_FPERIOD_OVERRIDE=FY","FILING_STATUS=MR","Sort=A","Dates=H","DateFormat=P","Fill=—","Direction=H","UseDPDF=Y")</f>
        <v>—</v>
      </c>
      <c r="F88" s="13" t="str">
        <f>_xll.BDH("AVNT US Equity","FATALITIES_CONTRACTORS","FY 2016","FY 2016","Currency=USD","Period=FY","BEST_FPERIOD_OVERRIDE=FY","FILING_STATUS=MR","Sort=A","Dates=H","DateFormat=P","Fill=—","Direction=H","UseDPDF=Y")</f>
        <v>—</v>
      </c>
      <c r="G88" s="13" t="str">
        <f>_xll.BDH("AVNT US Equity","FATALITIES_CONTRACTORS","FY 2017","FY 2017","Currency=USD","Period=FY","BEST_FPERIOD_OVERRIDE=FY","FILING_STATUS=MR","Sort=A","Dates=H","DateFormat=P","Fill=—","Direction=H","UseDPDF=Y")</f>
        <v>—</v>
      </c>
      <c r="H88" s="13" t="str">
        <f>_xll.BDH("AVNT US Equity","FATALITIES_CONTRACTORS","FY 2018","FY 2018","Currency=USD","Period=FY","BEST_FPERIOD_OVERRIDE=FY","FILING_STATUS=MR","Sort=A","Dates=H","DateFormat=P","Fill=—","Direction=H","UseDPDF=Y")</f>
        <v>—</v>
      </c>
      <c r="I88" s="13">
        <f>_xll.BDH("AVNT US Equity","FATALITIES_CONTRACTORS","FY 2019","FY 2019","Currency=USD","Period=FY","BEST_FPERIOD_OVERRIDE=FY","FILING_STATUS=MR","Sort=A","Dates=H","DateFormat=P","Fill=—","Direction=H","UseDPDF=Y")</f>
        <v>0</v>
      </c>
      <c r="J88" s="13">
        <f>_xll.BDH("AVNT US Equity","FATALITIES_CONTRACTORS","FY 2020","FY 2020","Currency=USD","Period=FY","BEST_FPERIOD_OVERRIDE=FY","FILING_STATUS=MR","Sort=A","Dates=H","DateFormat=P","Fill=—","Direction=H","UseDPDF=Y")</f>
        <v>0</v>
      </c>
      <c r="K88" s="13">
        <f>_xll.BDH("AVNT US Equity","FATALITIES_CONTRACTORS","FY 2021","FY 2021","Currency=USD","Period=FY","BEST_FPERIOD_OVERRIDE=FY","FILING_STATUS=MR","Sort=A","Dates=H","DateFormat=P","Fill=—","Direction=H","UseDPDF=Y")</f>
        <v>0</v>
      </c>
      <c r="L88" s="13">
        <f>_xll.BDH("AVNT US Equity","FATALITIES_CONTRACTORS","FY 2022","FY 2022","Currency=USD","Period=FY","BEST_FPERIOD_OVERRIDE=FY","FILING_STATUS=MR","Sort=A","Dates=H","DateFormat=P","Fill=—","Direction=H","UseDPDF=Y")</f>
        <v>0</v>
      </c>
    </row>
    <row r="89" spans="1:12">
      <c r="A89" s="10" t="s">
        <v>153</v>
      </c>
      <c r="B89" s="10" t="s">
        <v>154</v>
      </c>
      <c r="C89" s="13" t="str">
        <f>_xll.BDH("AVNT US Equity","FATALITIES_TOTAL","FY 2013","FY 2013","Currency=USD","Period=FY","BEST_FPERIOD_OVERRIDE=FY","FILING_STATUS=MR","Sort=A","Dates=H","DateFormat=P","Fill=—","Direction=H","UseDPDF=Y")</f>
        <v>—</v>
      </c>
      <c r="D89" s="13" t="str">
        <f>_xll.BDH("AVNT US Equity","FATALITIES_TOTAL","FY 2014","FY 2014","Currency=USD","Period=FY","BEST_FPERIOD_OVERRIDE=FY","FILING_STATUS=MR","Sort=A","Dates=H","DateFormat=P","Fill=—","Direction=H","UseDPDF=Y")</f>
        <v>—</v>
      </c>
      <c r="E89" s="13" t="str">
        <f>_xll.BDH("AVNT US Equity","FATALITIES_TOTAL","FY 2015","FY 2015","Currency=USD","Period=FY","BEST_FPERIOD_OVERRIDE=FY","FILING_STATUS=MR","Sort=A","Dates=H","DateFormat=P","Fill=—","Direction=H","UseDPDF=Y")</f>
        <v>—</v>
      </c>
      <c r="F89" s="13" t="str">
        <f>_xll.BDH("AVNT US Equity","FATALITIES_TOTAL","FY 2016","FY 2016","Currency=USD","Period=FY","BEST_FPERIOD_OVERRIDE=FY","FILING_STATUS=MR","Sort=A","Dates=H","DateFormat=P","Fill=—","Direction=H","UseDPDF=Y")</f>
        <v>—</v>
      </c>
      <c r="G89" s="13" t="str">
        <f>_xll.BDH("AVNT US Equity","FATALITIES_TOTAL","FY 2017","FY 2017","Currency=USD","Period=FY","BEST_FPERIOD_OVERRIDE=FY","FILING_STATUS=MR","Sort=A","Dates=H","DateFormat=P","Fill=—","Direction=H","UseDPDF=Y")</f>
        <v>—</v>
      </c>
      <c r="H89" s="13" t="str">
        <f>_xll.BDH("AVNT US Equity","FATALITIES_TOTAL","FY 2018","FY 2018","Currency=USD","Period=FY","BEST_FPERIOD_OVERRIDE=FY","FILING_STATUS=MR","Sort=A","Dates=H","DateFormat=P","Fill=—","Direction=H","UseDPDF=Y")</f>
        <v>—</v>
      </c>
      <c r="I89" s="13">
        <f>_xll.BDH("AVNT US Equity","FATALITIES_TOTAL","FY 2019","FY 2019","Currency=USD","Period=FY","BEST_FPERIOD_OVERRIDE=FY","FILING_STATUS=MR","Sort=A","Dates=H","DateFormat=P","Fill=—","Direction=H","UseDPDF=Y")</f>
        <v>0</v>
      </c>
      <c r="J89" s="13">
        <f>_xll.BDH("AVNT US Equity","FATALITIES_TOTAL","FY 2020","FY 2020","Currency=USD","Period=FY","BEST_FPERIOD_OVERRIDE=FY","FILING_STATUS=MR","Sort=A","Dates=H","DateFormat=P","Fill=—","Direction=H","UseDPDF=Y")</f>
        <v>0</v>
      </c>
      <c r="K89" s="13">
        <f>_xll.BDH("AVNT US Equity","FATALITIES_TOTAL","FY 2021","FY 2021","Currency=USD","Period=FY","BEST_FPERIOD_OVERRIDE=FY","FILING_STATUS=MR","Sort=A","Dates=H","DateFormat=P","Fill=—","Direction=H","UseDPDF=Y")</f>
        <v>0</v>
      </c>
      <c r="L89" s="13">
        <f>_xll.BDH("AVNT US Equity","FATALITIES_TOTAL","FY 2022","FY 2022","Currency=USD","Period=FY","BEST_FPERIOD_OVERRIDE=FY","FILING_STATUS=MR","Sort=A","Dates=H","DateFormat=P","Fill=—","Direction=H","UseDPDF=Y")</f>
        <v>0</v>
      </c>
    </row>
    <row r="90" spans="1:12">
      <c r="A90" s="10" t="s">
        <v>155</v>
      </c>
      <c r="B90" s="10" t="s">
        <v>156</v>
      </c>
      <c r="C90" s="13" t="str">
        <f>_xll.BDH("AVNT US Equity","LOST_TIME_INCIDENT_RATE","FY 2013","FY 2013","Currency=USD","Period=FY","BEST_FPERIOD_OVERRIDE=FY","FILING_STATUS=MR","Sort=A","Dates=H","DateFormat=P","Fill=—","Direction=H","UseDPDF=Y")</f>
        <v>—</v>
      </c>
      <c r="D90" s="13" t="str">
        <f>_xll.BDH("AVNT US Equity","LOST_TIME_INCIDENT_RATE","FY 2014","FY 2014","Currency=USD","Period=FY","BEST_FPERIOD_OVERRIDE=FY","FILING_STATUS=MR","Sort=A","Dates=H","DateFormat=P","Fill=—","Direction=H","UseDPDF=Y")</f>
        <v>—</v>
      </c>
      <c r="E90" s="13" t="str">
        <f>_xll.BDH("AVNT US Equity","LOST_TIME_INCIDENT_RATE","FY 2015","FY 2015","Currency=USD","Period=FY","BEST_FPERIOD_OVERRIDE=FY","FILING_STATUS=MR","Sort=A","Dates=H","DateFormat=P","Fill=—","Direction=H","UseDPDF=Y")</f>
        <v>—</v>
      </c>
      <c r="F90" s="13">
        <f>_xll.BDH("AVNT US Equity","LOST_TIME_INCIDENT_RATE","FY 2016","FY 2016","Currency=USD","Period=FY","BEST_FPERIOD_OVERRIDE=FY","FILING_STATUS=MR","Sort=A","Dates=H","DateFormat=P","Fill=—","Direction=H","UseDPDF=Y")</f>
        <v>0.28999999999999998</v>
      </c>
      <c r="G90" s="13">
        <f>_xll.BDH("AVNT US Equity","LOST_TIME_INCIDENT_RATE","FY 2017","FY 2017","Currency=USD","Period=FY","BEST_FPERIOD_OVERRIDE=FY","FILING_STATUS=MR","Sort=A","Dates=H","DateFormat=P","Fill=—","Direction=H","UseDPDF=Y")</f>
        <v>0.2</v>
      </c>
      <c r="H90" s="13">
        <f>_xll.BDH("AVNT US Equity","LOST_TIME_INCIDENT_RATE","FY 2018","FY 2018","Currency=USD","Period=FY","BEST_FPERIOD_OVERRIDE=FY","FILING_STATUS=MR","Sort=A","Dates=H","DateFormat=P","Fill=—","Direction=H","UseDPDF=Y")</f>
        <v>0.13</v>
      </c>
      <c r="I90" s="13">
        <f>_xll.BDH("AVNT US Equity","LOST_TIME_INCIDENT_RATE","FY 2019","FY 2019","Currency=USD","Period=FY","BEST_FPERIOD_OVERRIDE=FY","FILING_STATUS=MR","Sort=A","Dates=H","DateFormat=P","Fill=—","Direction=H","UseDPDF=Y")</f>
        <v>0.28999999999999998</v>
      </c>
      <c r="J90" s="13">
        <f>_xll.BDH("AVNT US Equity","LOST_TIME_INCIDENT_RATE","FY 2020","FY 2020","Currency=USD","Period=FY","BEST_FPERIOD_OVERRIDE=FY","FILING_STATUS=MR","Sort=A","Dates=H","DateFormat=P","Fill=—","Direction=H","UseDPDF=Y")</f>
        <v>0.24</v>
      </c>
      <c r="K90" s="13">
        <f>_xll.BDH("AVNT US Equity","LOST_TIME_INCIDENT_RATE","FY 2021","FY 2021","Currency=USD","Period=FY","BEST_FPERIOD_OVERRIDE=FY","FILING_STATUS=MR","Sort=A","Dates=H","DateFormat=P","Fill=—","Direction=H","UseDPDF=Y")</f>
        <v>0.14000000000000001</v>
      </c>
      <c r="L90" s="13">
        <f>_xll.BDH("AVNT US Equity","LOST_TIME_INCIDENT_RATE","FY 2022","FY 2022","Currency=USD","Period=FY","BEST_FPERIOD_OVERRIDE=FY","FILING_STATUS=MR","Sort=A","Dates=H","DateFormat=P","Fill=—","Direction=H","UseDPDF=Y")</f>
        <v>0.15</v>
      </c>
    </row>
    <row r="91" spans="1:12">
      <c r="A91" s="10" t="s">
        <v>157</v>
      </c>
      <c r="B91" s="10" t="s">
        <v>158</v>
      </c>
      <c r="C91" s="13" t="str">
        <f>_xll.BDH("AVNT US Equity","LOST_TIME_INCIDENT_RT_CNTRCTR","FY 2013","FY 2013","Currency=USD","Period=FY","BEST_FPERIOD_OVERRIDE=FY","FILING_STATUS=MR","Sort=A","Dates=H","DateFormat=P","Fill=—","Direction=H","UseDPDF=Y")</f>
        <v>—</v>
      </c>
      <c r="D91" s="13" t="str">
        <f>_xll.BDH("AVNT US Equity","LOST_TIME_INCIDENT_RT_CNTRCTR","FY 2014","FY 2014","Currency=USD","Period=FY","BEST_FPERIOD_OVERRIDE=FY","FILING_STATUS=MR","Sort=A","Dates=H","DateFormat=P","Fill=—","Direction=H","UseDPDF=Y")</f>
        <v>—</v>
      </c>
      <c r="E91" s="13" t="str">
        <f>_xll.BDH("AVNT US Equity","LOST_TIME_INCIDENT_RT_CNTRCTR","FY 2015","FY 2015","Currency=USD","Period=FY","BEST_FPERIOD_OVERRIDE=FY","FILING_STATUS=MR","Sort=A","Dates=H","DateFormat=P","Fill=—","Direction=H","UseDPDF=Y")</f>
        <v>—</v>
      </c>
      <c r="F91" s="13">
        <f>_xll.BDH("AVNT US Equity","LOST_TIME_INCIDENT_RT_CNTRCTR","FY 2016","FY 2016","Currency=USD","Period=FY","BEST_FPERIOD_OVERRIDE=FY","FILING_STATUS=MR","Sort=A","Dates=H","DateFormat=P","Fill=—","Direction=H","UseDPDF=Y")</f>
        <v>0</v>
      </c>
      <c r="G91" s="13">
        <f>_xll.BDH("AVNT US Equity","LOST_TIME_INCIDENT_RT_CNTRCTR","FY 2017","FY 2017","Currency=USD","Period=FY","BEST_FPERIOD_OVERRIDE=FY","FILING_STATUS=MR","Sort=A","Dates=H","DateFormat=P","Fill=—","Direction=H","UseDPDF=Y")</f>
        <v>0</v>
      </c>
      <c r="H91" s="13">
        <f>_xll.BDH("AVNT US Equity","LOST_TIME_INCIDENT_RT_CNTRCTR","FY 2018","FY 2018","Currency=USD","Period=FY","BEST_FPERIOD_OVERRIDE=FY","FILING_STATUS=MR","Sort=A","Dates=H","DateFormat=P","Fill=—","Direction=H","UseDPDF=Y")</f>
        <v>0</v>
      </c>
      <c r="I91" s="13">
        <f>_xll.BDH("AVNT US Equity","LOST_TIME_INCIDENT_RT_CNTRCTR","FY 2019","FY 2019","Currency=USD","Period=FY","BEST_FPERIOD_OVERRIDE=FY","FILING_STATUS=MR","Sort=A","Dates=H","DateFormat=P","Fill=—","Direction=H","UseDPDF=Y")</f>
        <v>0</v>
      </c>
      <c r="J91" s="13">
        <f>_xll.BDH("AVNT US Equity","LOST_TIME_INCIDENT_RT_CNTRCTR","FY 2020","FY 2020","Currency=USD","Period=FY","BEST_FPERIOD_OVERRIDE=FY","FILING_STATUS=MR","Sort=A","Dates=H","DateFormat=P","Fill=—","Direction=H","UseDPDF=Y")</f>
        <v>0</v>
      </c>
      <c r="K91" s="13">
        <f>_xll.BDH("AVNT US Equity","LOST_TIME_INCIDENT_RT_CNTRCTR","FY 2021","FY 2021","Currency=USD","Period=FY","BEST_FPERIOD_OVERRIDE=FY","FILING_STATUS=MR","Sort=A","Dates=H","DateFormat=P","Fill=—","Direction=H","UseDPDF=Y")</f>
        <v>0</v>
      </c>
      <c r="L91" s="13">
        <f>_xll.BDH("AVNT US Equity","LOST_TIME_INCIDENT_RT_CNTRCTR","FY 2022","FY 2022","Currency=USD","Period=FY","BEST_FPERIOD_OVERRIDE=FY","FILING_STATUS=MR","Sort=A","Dates=H","DateFormat=P","Fill=—","Direction=H","UseDPDF=Y")</f>
        <v>0</v>
      </c>
    </row>
    <row r="92" spans="1:12">
      <c r="A92" s="10" t="s">
        <v>159</v>
      </c>
      <c r="B92" s="10" t="s">
        <v>160</v>
      </c>
      <c r="C92" s="13" t="str">
        <f>_xll.BDH("AVNT US Equity","TOTAL_RECORDABLE_INCIDENT_RATE","FY 2013","FY 2013","Currency=USD","Period=FY","BEST_FPERIOD_OVERRIDE=FY","FILING_STATUS=MR","Sort=A","Dates=H","DateFormat=P","Fill=—","Direction=H","UseDPDF=Y")</f>
        <v>—</v>
      </c>
      <c r="D92" s="13">
        <f>_xll.BDH("AVNT US Equity","TOTAL_RECORDABLE_INCIDENT_RATE","FY 2014","FY 2014","Currency=USD","Period=FY","BEST_FPERIOD_OVERRIDE=FY","FILING_STATUS=MR","Sort=A","Dates=H","DateFormat=P","Fill=—","Direction=H","UseDPDF=Y")</f>
        <v>0.84</v>
      </c>
      <c r="E92" s="13">
        <f>_xll.BDH("AVNT US Equity","TOTAL_RECORDABLE_INCIDENT_RATE","FY 2015","FY 2015","Currency=USD","Period=FY","BEST_FPERIOD_OVERRIDE=FY","FILING_STATUS=MR","Sort=A","Dates=H","DateFormat=P","Fill=—","Direction=H","UseDPDF=Y")</f>
        <v>0.74</v>
      </c>
      <c r="F92" s="13">
        <f>_xll.BDH("AVNT US Equity","TOTAL_RECORDABLE_INCIDENT_RATE","FY 2016","FY 2016","Currency=USD","Period=FY","BEST_FPERIOD_OVERRIDE=FY","FILING_STATUS=MR","Sort=A","Dates=H","DateFormat=P","Fill=—","Direction=H","UseDPDF=Y")</f>
        <v>0.74</v>
      </c>
      <c r="G92" s="13">
        <f>_xll.BDH("AVNT US Equity","TOTAL_RECORDABLE_INCIDENT_RATE","FY 2017","FY 2017","Currency=USD","Period=FY","BEST_FPERIOD_OVERRIDE=FY","FILING_STATUS=MR","Sort=A","Dates=H","DateFormat=P","Fill=—","Direction=H","UseDPDF=Y")</f>
        <v>0.69</v>
      </c>
      <c r="H92" s="13">
        <f>_xll.BDH("AVNT US Equity","TOTAL_RECORDABLE_INCIDENT_RATE","FY 2018","FY 2018","Currency=USD","Period=FY","BEST_FPERIOD_OVERRIDE=FY","FILING_STATUS=MR","Sort=A","Dates=H","DateFormat=P","Fill=—","Direction=H","UseDPDF=Y")</f>
        <v>0.51</v>
      </c>
      <c r="I92" s="13">
        <f>_xll.BDH("AVNT US Equity","TOTAL_RECORDABLE_INCIDENT_RATE","FY 2019","FY 2019","Currency=USD","Period=FY","BEST_FPERIOD_OVERRIDE=FY","FILING_STATUS=MR","Sort=A","Dates=H","DateFormat=P","Fill=—","Direction=H","UseDPDF=Y")</f>
        <v>0.56000000000000005</v>
      </c>
      <c r="J92" s="13">
        <f>_xll.BDH("AVNT US Equity","TOTAL_RECORDABLE_INCIDENT_RATE","FY 2020","FY 2020","Currency=USD","Period=FY","BEST_FPERIOD_OVERRIDE=FY","FILING_STATUS=MR","Sort=A","Dates=H","DateFormat=P","Fill=—","Direction=H","UseDPDF=Y")</f>
        <v>0.5</v>
      </c>
      <c r="K92" s="13">
        <f>_xll.BDH("AVNT US Equity","TOTAL_RECORDABLE_INCIDENT_RATE","FY 2021","FY 2021","Currency=USD","Period=FY","BEST_FPERIOD_OVERRIDE=FY","FILING_STATUS=MR","Sort=A","Dates=H","DateFormat=P","Fill=—","Direction=H","UseDPDF=Y")</f>
        <v>0.55000000000000004</v>
      </c>
      <c r="L92" s="13">
        <f>_xll.BDH("AVNT US Equity","TOTAL_RECORDABLE_INCIDENT_RATE","FY 2022","FY 2022","Currency=USD","Period=FY","BEST_FPERIOD_OVERRIDE=FY","FILING_STATUS=MR","Sort=A","Dates=H","DateFormat=P","Fill=—","Direction=H","UseDPDF=Y")</f>
        <v>0.51</v>
      </c>
    </row>
    <row r="93" spans="1:12">
      <c r="A93" s="10" t="s">
        <v>161</v>
      </c>
      <c r="B93" s="10" t="s">
        <v>162</v>
      </c>
      <c r="C93" s="13" t="str">
        <f>_xll.BDH("AVNT US Equity","TOT_RECORDABLE_INCID_RT_CNTRCTR","FY 2013","FY 2013","Currency=USD","Period=FY","BEST_FPERIOD_OVERRIDE=FY","FILING_STATUS=MR","Sort=A","Dates=H","DateFormat=P","Fill=—","Direction=H","UseDPDF=Y")</f>
        <v>—</v>
      </c>
      <c r="D93" s="13" t="str">
        <f>_xll.BDH("AVNT US Equity","TOT_RECORDABLE_INCID_RT_CNTRCTR","FY 2014","FY 2014","Currency=USD","Period=FY","BEST_FPERIOD_OVERRIDE=FY","FILING_STATUS=MR","Sort=A","Dates=H","DateFormat=P","Fill=—","Direction=H","UseDPDF=Y")</f>
        <v>—</v>
      </c>
      <c r="E93" s="13" t="str">
        <f>_xll.BDH("AVNT US Equity","TOT_RECORDABLE_INCID_RT_CNTRCTR","FY 2015","FY 2015","Currency=USD","Period=FY","BEST_FPERIOD_OVERRIDE=FY","FILING_STATUS=MR","Sort=A","Dates=H","DateFormat=P","Fill=—","Direction=H","UseDPDF=Y")</f>
        <v>—</v>
      </c>
      <c r="F93" s="13">
        <f>_xll.BDH("AVNT US Equity","TOT_RECORDABLE_INCID_RT_CNTRCTR","FY 2016","FY 2016","Currency=USD","Period=FY","BEST_FPERIOD_OVERRIDE=FY","FILING_STATUS=MR","Sort=A","Dates=H","DateFormat=P","Fill=—","Direction=H","UseDPDF=Y")</f>
        <v>0</v>
      </c>
      <c r="G93" s="13">
        <f>_xll.BDH("AVNT US Equity","TOT_RECORDABLE_INCID_RT_CNTRCTR","FY 2017","FY 2017","Currency=USD","Period=FY","BEST_FPERIOD_OVERRIDE=FY","FILING_STATUS=MR","Sort=A","Dates=H","DateFormat=P","Fill=—","Direction=H","UseDPDF=Y")</f>
        <v>0</v>
      </c>
      <c r="H93" s="13">
        <f>_xll.BDH("AVNT US Equity","TOT_RECORDABLE_INCID_RT_CNTRCTR","FY 2018","FY 2018","Currency=USD","Period=FY","BEST_FPERIOD_OVERRIDE=FY","FILING_STATUS=MR","Sort=A","Dates=H","DateFormat=P","Fill=—","Direction=H","UseDPDF=Y")</f>
        <v>0</v>
      </c>
      <c r="I93" s="13">
        <f>_xll.BDH("AVNT US Equity","TOT_RECORDABLE_INCID_RT_CNTRCTR","FY 2019","FY 2019","Currency=USD","Period=FY","BEST_FPERIOD_OVERRIDE=FY","FILING_STATUS=MR","Sort=A","Dates=H","DateFormat=P","Fill=—","Direction=H","UseDPDF=Y")</f>
        <v>0</v>
      </c>
      <c r="J93" s="13">
        <f>_xll.BDH("AVNT US Equity","TOT_RECORDABLE_INCID_RT_CNTRCTR","FY 2020","FY 2020","Currency=USD","Period=FY","BEST_FPERIOD_OVERRIDE=FY","FILING_STATUS=MR","Sort=A","Dates=H","DateFormat=P","Fill=—","Direction=H","UseDPDF=Y")</f>
        <v>0</v>
      </c>
      <c r="K93" s="13">
        <f>_xll.BDH("AVNT US Equity","TOT_RECORDABLE_INCID_RT_CNTRCTR","FY 2021","FY 2021","Currency=USD","Period=FY","BEST_FPERIOD_OVERRIDE=FY","FILING_STATUS=MR","Sort=A","Dates=H","DateFormat=P","Fill=—","Direction=H","UseDPDF=Y")</f>
        <v>0</v>
      </c>
      <c r="L93" s="13">
        <f>_xll.BDH("AVNT US Equity","TOT_RECORDABLE_INCID_RT_CNTRCTR","FY 2022","FY 2022","Currency=USD","Period=FY","BEST_FPERIOD_OVERRIDE=FY","FILING_STATUS=MR","Sort=A","Dates=H","DateFormat=P","Fill=—","Direction=H","UseDPDF=Y")</f>
        <v>0</v>
      </c>
    </row>
    <row r="94" spans="1:1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spans="1:12">
      <c r="A95" s="10" t="s">
        <v>163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spans="1:12">
      <c r="A96" s="10" t="s">
        <v>164</v>
      </c>
      <c r="B96" s="10" t="s">
        <v>165</v>
      </c>
      <c r="C96" s="11" t="s">
        <v>54</v>
      </c>
      <c r="D96" s="11" t="s">
        <v>54</v>
      </c>
      <c r="E96" s="11" t="s">
        <v>54</v>
      </c>
      <c r="F96" s="11" t="s">
        <v>54</v>
      </c>
      <c r="G96" s="11" t="s">
        <v>54</v>
      </c>
      <c r="H96" s="11" t="s">
        <v>55</v>
      </c>
      <c r="I96" s="11" t="s">
        <v>55</v>
      </c>
      <c r="J96" s="11" t="s">
        <v>55</v>
      </c>
      <c r="K96" s="11" t="s">
        <v>55</v>
      </c>
      <c r="L96" s="11" t="s">
        <v>55</v>
      </c>
    </row>
    <row r="97" spans="1:12">
      <c r="A97" s="10" t="s">
        <v>166</v>
      </c>
      <c r="B97" s="10" t="s">
        <v>167</v>
      </c>
      <c r="C97" s="11" t="s">
        <v>54</v>
      </c>
      <c r="D97" s="11" t="s">
        <v>54</v>
      </c>
      <c r="E97" s="11" t="s">
        <v>54</v>
      </c>
      <c r="F97" s="11" t="s">
        <v>54</v>
      </c>
      <c r="G97" s="11" t="s">
        <v>54</v>
      </c>
      <c r="H97" s="11" t="s">
        <v>54</v>
      </c>
      <c r="I97" s="11" t="s">
        <v>54</v>
      </c>
      <c r="J97" s="11" t="s">
        <v>54</v>
      </c>
      <c r="K97" s="11" t="s">
        <v>54</v>
      </c>
      <c r="L97" s="11" t="s">
        <v>54</v>
      </c>
    </row>
    <row r="98" spans="1:12">
      <c r="A98" s="10" t="s">
        <v>168</v>
      </c>
      <c r="B98" s="10" t="s">
        <v>169</v>
      </c>
      <c r="C98" s="13">
        <f>_xll.BDH("AVNT US Equity","NUMBER_EMPLOYEES_CSR","FY 2013","FY 2013","Currency=USD","Period=FY","BEST_FPERIOD_OVERRIDE=FY","FILING_STATUS=MR","Sort=A","Dates=H","DateFormat=P","Fill=—","Direction=H","UseDPDF=Y")</f>
        <v>7000</v>
      </c>
      <c r="D98" s="13">
        <f>_xll.BDH("AVNT US Equity","NUMBER_EMPLOYEES_CSR","FY 2014","FY 2014","Currency=USD","Period=FY","BEST_FPERIOD_OVERRIDE=FY","FILING_STATUS=MR","Sort=A","Dates=H","DateFormat=P","Fill=—","Direction=H","UseDPDF=Y")</f>
        <v>6900</v>
      </c>
      <c r="E98" s="13">
        <f>_xll.BDH("AVNT US Equity","NUMBER_EMPLOYEES_CSR","FY 2015","FY 2015","Currency=USD","Period=FY","BEST_FPERIOD_OVERRIDE=FY","FILING_STATUS=MR","Sort=A","Dates=H","DateFormat=P","Fill=—","Direction=H","UseDPDF=Y")</f>
        <v>6900</v>
      </c>
      <c r="F98" s="13">
        <f>_xll.BDH("AVNT US Equity","NUMBER_EMPLOYEES_CSR","FY 2016","FY 2016","Currency=USD","Period=FY","BEST_FPERIOD_OVERRIDE=FY","FILING_STATUS=MR","Sort=A","Dates=H","DateFormat=P","Fill=—","Direction=H","UseDPDF=Y")</f>
        <v>7000</v>
      </c>
      <c r="G98" s="13">
        <f>_xll.BDH("AVNT US Equity","NUMBER_EMPLOYEES_CSR","FY 2017","FY 2017","Currency=USD","Period=FY","BEST_FPERIOD_OVERRIDE=FY","FILING_STATUS=MR","Sort=A","Dates=H","DateFormat=P","Fill=—","Direction=H","UseDPDF=Y")</f>
        <v>6300</v>
      </c>
      <c r="H98" s="13">
        <f>_xll.BDH("AVNT US Equity","NUMBER_EMPLOYEES_CSR","FY 2018","FY 2018","Currency=USD","Period=FY","BEST_FPERIOD_OVERRIDE=FY","FILING_STATUS=MR","Sort=A","Dates=H","DateFormat=P","Fill=—","Direction=H","UseDPDF=Y")</f>
        <v>6600</v>
      </c>
      <c r="I98" s="13">
        <f>_xll.BDH("AVNT US Equity","NUMBER_EMPLOYEES_CSR","FY 2019","FY 2019","Currency=USD","Period=FY","BEST_FPERIOD_OVERRIDE=FY","FILING_STATUS=MR","Sort=A","Dates=H","DateFormat=P","Fill=—","Direction=H","UseDPDF=Y")</f>
        <v>5600</v>
      </c>
      <c r="J98" s="13">
        <f>_xll.BDH("AVNT US Equity","NUMBER_EMPLOYEES_CSR","FY 2020","FY 2020","Currency=USD","Period=FY","BEST_FPERIOD_OVERRIDE=FY","FILING_STATUS=MR","Sort=A","Dates=H","DateFormat=P","Fill=—","Direction=H","UseDPDF=Y")</f>
        <v>8400</v>
      </c>
      <c r="K98" s="13">
        <f>_xll.BDH("AVNT US Equity","NUMBER_EMPLOYEES_CSR","FY 2021","FY 2021","Currency=USD","Period=FY","BEST_FPERIOD_OVERRIDE=FY","FILING_STATUS=MR","Sort=A","Dates=H","DateFormat=P","Fill=—","Direction=H","UseDPDF=Y")</f>
        <v>8700</v>
      </c>
      <c r="L98" s="13">
        <f>_xll.BDH("AVNT US Equity","NUMBER_EMPLOYEES_CSR","FY 2022","FY 2022","Currency=USD","Period=FY","BEST_FPERIOD_OVERRIDE=FY","FILING_STATUS=MR","Sort=A","Dates=H","DateFormat=P","Fill=—","Direction=H","UseDPDF=Y")</f>
        <v>9700</v>
      </c>
    </row>
    <row r="99" spans="1:12">
      <c r="A99" s="10" t="s">
        <v>170</v>
      </c>
      <c r="B99" s="10" t="s">
        <v>171</v>
      </c>
      <c r="C99" s="13" t="str">
        <f>_xll.BDH("AVNT US Equity","EMPLOYEE_TURNOVER_PCT","FY 2013","FY 2013","Currency=USD","Period=FY","BEST_FPERIOD_OVERRIDE=FY","FILING_STATUS=MR","Sort=A","Dates=H","DateFormat=P","Fill=—","Direction=H","UseDPDF=Y")</f>
        <v>—</v>
      </c>
      <c r="D99" s="13" t="str">
        <f>_xll.BDH("AVNT US Equity","EMPLOYEE_TURNOVER_PCT","FY 2014","FY 2014","Currency=USD","Period=FY","BEST_FPERIOD_OVERRIDE=FY","FILING_STATUS=MR","Sort=A","Dates=H","DateFormat=P","Fill=—","Direction=H","UseDPDF=Y")</f>
        <v>—</v>
      </c>
      <c r="E99" s="13" t="str">
        <f>_xll.BDH("AVNT US Equity","EMPLOYEE_TURNOVER_PCT","FY 2015","FY 2015","Currency=USD","Period=FY","BEST_FPERIOD_OVERRIDE=FY","FILING_STATUS=MR","Sort=A","Dates=H","DateFormat=P","Fill=—","Direction=H","UseDPDF=Y")</f>
        <v>—</v>
      </c>
      <c r="F99" s="13" t="str">
        <f>_xll.BDH("AVNT US Equity","EMPLOYEE_TURNOVER_PCT","FY 2016","FY 2016","Currency=USD","Period=FY","BEST_FPERIOD_OVERRIDE=FY","FILING_STATUS=MR","Sort=A","Dates=H","DateFormat=P","Fill=—","Direction=H","UseDPDF=Y")</f>
        <v>—</v>
      </c>
      <c r="G99" s="13" t="str">
        <f>_xll.BDH("AVNT US Equity","EMPLOYEE_TURNOVER_PCT","FY 2017","FY 2017","Currency=USD","Period=FY","BEST_FPERIOD_OVERRIDE=FY","FILING_STATUS=MR","Sort=A","Dates=H","DateFormat=P","Fill=—","Direction=H","UseDPDF=Y")</f>
        <v>—</v>
      </c>
      <c r="H99" s="13" t="str">
        <f>_xll.BDH("AVNT US Equity","EMPLOYEE_TURNOVER_PCT","FY 2018","FY 2018","Currency=USD","Period=FY","BEST_FPERIOD_OVERRIDE=FY","FILING_STATUS=MR","Sort=A","Dates=H","DateFormat=P","Fill=—","Direction=H","UseDPDF=Y")</f>
        <v>—</v>
      </c>
      <c r="I99" s="13">
        <f>_xll.BDH("AVNT US Equity","EMPLOYEE_TURNOVER_PCT","FY 2019","FY 2019","Currency=USD","Period=FY","BEST_FPERIOD_OVERRIDE=FY","FILING_STATUS=MR","Sort=A","Dates=H","DateFormat=P","Fill=—","Direction=H","UseDPDF=Y")</f>
        <v>13.9</v>
      </c>
      <c r="J99" s="13">
        <f>_xll.BDH("AVNT US Equity","EMPLOYEE_TURNOVER_PCT","FY 2020","FY 2020","Currency=USD","Period=FY","BEST_FPERIOD_OVERRIDE=FY","FILING_STATUS=MR","Sort=A","Dates=H","DateFormat=P","Fill=—","Direction=H","UseDPDF=Y")</f>
        <v>8.1</v>
      </c>
      <c r="K99" s="13">
        <f>_xll.BDH("AVNT US Equity","EMPLOYEE_TURNOVER_PCT","FY 2021","FY 2021","Currency=USD","Period=FY","BEST_FPERIOD_OVERRIDE=FY","FILING_STATUS=MR","Sort=A","Dates=H","DateFormat=P","Fill=—","Direction=H","UseDPDF=Y")</f>
        <v>7.8</v>
      </c>
      <c r="L99" s="13">
        <f>_xll.BDH("AVNT US Equity","EMPLOYEE_TURNOVER_PCT","FY 2022","FY 2022","Currency=USD","Period=FY","BEST_FPERIOD_OVERRIDE=FY","FILING_STATUS=MR","Sort=A","Dates=H","DateFormat=P","Fill=—","Direction=H","UseDPDF=Y")</f>
        <v>8.5</v>
      </c>
    </row>
    <row r="100" spans="1:12">
      <c r="A100" s="10" t="s">
        <v>172</v>
      </c>
      <c r="B100" s="10" t="s">
        <v>173</v>
      </c>
      <c r="C100" s="13">
        <f>_xll.BDH("AVNT US Equity","PCT_EMPLOYEES_UNIONIZED","FY 2013","FY 2013","Currency=USD","Period=FY","BEST_FPERIOD_OVERRIDE=FY","FILING_STATUS=MR","Sort=A","Dates=H","DateFormat=P","Fill=—","Direction=H","UseDPDF=Y")</f>
        <v>10</v>
      </c>
      <c r="D100" s="13">
        <f>_xll.BDH("AVNT US Equity","PCT_EMPLOYEES_UNIONIZED","FY 2014","FY 2014","Currency=USD","Period=FY","BEST_FPERIOD_OVERRIDE=FY","FILING_STATUS=MR","Sort=A","Dates=H","DateFormat=P","Fill=—","Direction=H","UseDPDF=Y")</f>
        <v>5</v>
      </c>
      <c r="E100" s="13">
        <f>_xll.BDH("AVNT US Equity","PCT_EMPLOYEES_UNIONIZED","FY 2015","FY 2015","Currency=USD","Period=FY","BEST_FPERIOD_OVERRIDE=FY","FILING_STATUS=MR","Sort=A","Dates=H","DateFormat=P","Fill=—","Direction=H","UseDPDF=Y")</f>
        <v>4</v>
      </c>
      <c r="F100" s="13">
        <f>_xll.BDH("AVNT US Equity","PCT_EMPLOYEES_UNIONIZED","FY 2016","FY 2016","Currency=USD","Period=FY","BEST_FPERIOD_OVERRIDE=FY","FILING_STATUS=MR","Sort=A","Dates=H","DateFormat=P","Fill=—","Direction=H","UseDPDF=Y")</f>
        <v>4</v>
      </c>
      <c r="G100" s="13">
        <f>_xll.BDH("AVNT US Equity","PCT_EMPLOYEES_UNIONIZED","FY 2017","FY 2017","Currency=USD","Period=FY","BEST_FPERIOD_OVERRIDE=FY","FILING_STATUS=MR","Sort=A","Dates=H","DateFormat=P","Fill=—","Direction=H","UseDPDF=Y")</f>
        <v>2</v>
      </c>
      <c r="H100" s="13">
        <f>_xll.BDH("AVNT US Equity","PCT_EMPLOYEES_UNIONIZED","FY 2018","FY 2018","Currency=USD","Period=FY","BEST_FPERIOD_OVERRIDE=FY","FILING_STATUS=MR","Sort=A","Dates=H","DateFormat=P","Fill=—","Direction=H","UseDPDF=Y")</f>
        <v>2</v>
      </c>
      <c r="I100" s="13">
        <f>_xll.BDH("AVNT US Equity","PCT_EMPLOYEES_UNIONIZED","FY 2019","FY 2019","Currency=USD","Period=FY","BEST_FPERIOD_OVERRIDE=FY","FILING_STATUS=MR","Sort=A","Dates=H","DateFormat=P","Fill=—","Direction=H","UseDPDF=Y")</f>
        <v>1</v>
      </c>
      <c r="J100" s="13">
        <f>_xll.BDH("AVNT US Equity","PCT_EMPLOYEES_UNIONIZED","FY 2020","FY 2020","Currency=USD","Period=FY","BEST_FPERIOD_OVERRIDE=FY","FILING_STATUS=MR","Sort=A","Dates=H","DateFormat=P","Fill=—","Direction=H","UseDPDF=Y")</f>
        <v>1</v>
      </c>
      <c r="K100" s="13">
        <f>_xll.BDH("AVNT US Equity","PCT_EMPLOYEES_UNIONIZED","FY 2021","FY 2021","Currency=USD","Period=FY","BEST_FPERIOD_OVERRIDE=FY","FILING_STATUS=MR","Sort=A","Dates=H","DateFormat=P","Fill=—","Direction=H","UseDPDF=Y")</f>
        <v>1</v>
      </c>
      <c r="L100" s="13">
        <f>_xll.BDH("AVNT US Equity","PCT_EMPLOYEES_UNIONIZED","FY 2022","FY 2022","Currency=USD","Period=FY","BEST_FPERIOD_OVERRIDE=FY","FILING_STATUS=MR","Sort=A","Dates=H","DateFormat=P","Fill=—","Direction=H","UseDPDF=Y")</f>
        <v>1</v>
      </c>
    </row>
    <row r="101" spans="1:12">
      <c r="A101" s="10" t="s">
        <v>174</v>
      </c>
      <c r="B101" s="10" t="s">
        <v>175</v>
      </c>
      <c r="C101" s="13" t="str">
        <f>_xll.BDH("AVNT US Equity","TOT_HRS_SPENT_BY_FIRM_EMP_TRAIN","FY 2013","FY 2013","Currency=USD","Period=FY","BEST_FPERIOD_OVERRIDE=FY","FILING_STATUS=MR","Sort=A","Dates=H","DateFormat=P","Fill=—","Direction=H","UseDPDF=Y")</f>
        <v>—</v>
      </c>
      <c r="D101" s="13" t="str">
        <f>_xll.BDH("AVNT US Equity","TOT_HRS_SPENT_BY_FIRM_EMP_TRAIN","FY 2014","FY 2014","Currency=USD","Period=FY","BEST_FPERIOD_OVERRIDE=FY","FILING_STATUS=MR","Sort=A","Dates=H","DateFormat=P","Fill=—","Direction=H","UseDPDF=Y")</f>
        <v>—</v>
      </c>
      <c r="E101" s="13" t="str">
        <f>_xll.BDH("AVNT US Equity","TOT_HRS_SPENT_BY_FIRM_EMP_TRAIN","FY 2015","FY 2015","Currency=USD","Period=FY","BEST_FPERIOD_OVERRIDE=FY","FILING_STATUS=MR","Sort=A","Dates=H","DateFormat=P","Fill=—","Direction=H","UseDPDF=Y")</f>
        <v>—</v>
      </c>
      <c r="F101" s="13" t="str">
        <f>_xll.BDH("AVNT US Equity","TOT_HRS_SPENT_BY_FIRM_EMP_TRAIN","FY 2016","FY 2016","Currency=USD","Period=FY","BEST_FPERIOD_OVERRIDE=FY","FILING_STATUS=MR","Sort=A","Dates=H","DateFormat=P","Fill=—","Direction=H","UseDPDF=Y")</f>
        <v>—</v>
      </c>
      <c r="G101" s="13" t="str">
        <f>_xll.BDH("AVNT US Equity","TOT_HRS_SPENT_BY_FIRM_EMP_TRAIN","FY 2017","FY 2017","Currency=USD","Period=FY","BEST_FPERIOD_OVERRIDE=FY","FILING_STATUS=MR","Sort=A","Dates=H","DateFormat=P","Fill=—","Direction=H","UseDPDF=Y")</f>
        <v>—</v>
      </c>
      <c r="H101" s="13" t="str">
        <f>_xll.BDH("AVNT US Equity","TOT_HRS_SPENT_BY_FIRM_EMP_TRAIN","FY 2018","FY 2018","Currency=USD","Period=FY","BEST_FPERIOD_OVERRIDE=FY","FILING_STATUS=MR","Sort=A","Dates=H","DateFormat=P","Fill=—","Direction=H","UseDPDF=Y")</f>
        <v>—</v>
      </c>
      <c r="I101" s="13" t="str">
        <f>_xll.BDH("AVNT US Equity","TOT_HRS_SPENT_BY_FIRM_EMP_TRAIN","FY 2019","FY 2019","Currency=USD","Period=FY","BEST_FPERIOD_OVERRIDE=FY","FILING_STATUS=MR","Sort=A","Dates=H","DateFormat=P","Fill=—","Direction=H","UseDPDF=Y")</f>
        <v>—</v>
      </c>
      <c r="J101" s="13">
        <f>_xll.BDH("AVNT US Equity","TOT_HRS_SPENT_BY_FIRM_EMP_TRAIN","FY 2020","FY 2020","Currency=USD","Period=FY","BEST_FPERIOD_OVERRIDE=FY","FILING_STATUS=MR","Sort=A","Dates=H","DateFormat=P","Fill=—","Direction=H","UseDPDF=Y")</f>
        <v>30000</v>
      </c>
      <c r="K101" s="13">
        <f>_xll.BDH("AVNT US Equity","TOT_HRS_SPENT_BY_FIRM_EMP_TRAIN","FY 2021","FY 2021","Currency=USD","Period=FY","BEST_FPERIOD_OVERRIDE=FY","FILING_STATUS=MR","Sort=A","Dates=H","DateFormat=P","Fill=—","Direction=H","UseDPDF=Y")</f>
        <v>106000</v>
      </c>
      <c r="L101" s="13">
        <f>_xll.BDH("AVNT US Equity","TOT_HRS_SPENT_BY_FIRM_EMP_TRAIN","FY 2022","FY 2022","Currency=USD","Period=FY","BEST_FPERIOD_OVERRIDE=FY","FILING_STATUS=MR","Sort=A","Dates=H","DateFormat=P","Fill=—","Direction=H","UseDPDF=Y")</f>
        <v>100000</v>
      </c>
    </row>
    <row r="102" spans="1:1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spans="1:12">
      <c r="A103" s="10" t="s">
        <v>109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spans="1:12">
      <c r="A104" s="10" t="s">
        <v>176</v>
      </c>
      <c r="B104" s="10" t="s">
        <v>177</v>
      </c>
      <c r="C104" s="11" t="s">
        <v>54</v>
      </c>
      <c r="D104" s="11" t="s">
        <v>54</v>
      </c>
      <c r="E104" s="11" t="s">
        <v>55</v>
      </c>
      <c r="F104" s="11" t="s">
        <v>55</v>
      </c>
      <c r="G104" s="11" t="s">
        <v>55</v>
      </c>
      <c r="H104" s="11" t="s">
        <v>55</v>
      </c>
      <c r="I104" s="11" t="s">
        <v>55</v>
      </c>
      <c r="J104" s="11" t="s">
        <v>55</v>
      </c>
      <c r="K104" s="11" t="s">
        <v>55</v>
      </c>
      <c r="L104" s="11" t="s">
        <v>55</v>
      </c>
    </row>
    <row r="105" spans="1:1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spans="1:12">
      <c r="A106" s="10" t="s">
        <v>178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spans="1:12">
      <c r="A107" s="10" t="s">
        <v>179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spans="1:12">
      <c r="A108" s="10" t="s">
        <v>180</v>
      </c>
      <c r="B108" s="10" t="s">
        <v>181</v>
      </c>
      <c r="C108" s="13">
        <f>_xll.BDH("AVNT US Equity","YEARS_AUDITOR_EMPLOYED","FY 2013","FY 2013","Currency=USD","Period=FY","BEST_FPERIOD_OVERRIDE=FY","FILING_STATUS=MR","Sort=A","Dates=H","DateFormat=P","Fill=—","Direction=H","UseDPDF=Y")</f>
        <v>21</v>
      </c>
      <c r="D108" s="13">
        <f>_xll.BDH("AVNT US Equity","YEARS_AUDITOR_EMPLOYED","FY 2014","FY 2014","Currency=USD","Period=FY","BEST_FPERIOD_OVERRIDE=FY","FILING_STATUS=MR","Sort=A","Dates=H","DateFormat=P","Fill=—","Direction=H","UseDPDF=Y")</f>
        <v>22</v>
      </c>
      <c r="E108" s="13">
        <f>_xll.BDH("AVNT US Equity","YEARS_AUDITOR_EMPLOYED","FY 2015","FY 2015","Currency=USD","Period=FY","BEST_FPERIOD_OVERRIDE=FY","FILING_STATUS=MR","Sort=A","Dates=H","DateFormat=P","Fill=—","Direction=H","UseDPDF=Y")</f>
        <v>23</v>
      </c>
      <c r="F108" s="13">
        <f>_xll.BDH("AVNT US Equity","YEARS_AUDITOR_EMPLOYED","FY 2016","FY 2016","Currency=USD","Period=FY","BEST_FPERIOD_OVERRIDE=FY","FILING_STATUS=MR","Sort=A","Dates=H","DateFormat=P","Fill=—","Direction=H","UseDPDF=Y")</f>
        <v>24</v>
      </c>
      <c r="G108" s="13">
        <f>_xll.BDH("AVNT US Equity","YEARS_AUDITOR_EMPLOYED","FY 2017","FY 2017","Currency=USD","Period=FY","BEST_FPERIOD_OVERRIDE=FY","FILING_STATUS=MR","Sort=A","Dates=H","DateFormat=P","Fill=—","Direction=H","UseDPDF=Y")</f>
        <v>25</v>
      </c>
      <c r="H108" s="13">
        <f>_xll.BDH("AVNT US Equity","YEARS_AUDITOR_EMPLOYED","FY 2018","FY 2018","Currency=USD","Period=FY","BEST_FPERIOD_OVERRIDE=FY","FILING_STATUS=MR","Sort=A","Dates=H","DateFormat=P","Fill=—","Direction=H","UseDPDF=Y")</f>
        <v>26</v>
      </c>
      <c r="I108" s="13">
        <f>_xll.BDH("AVNT US Equity","YEARS_AUDITOR_EMPLOYED","FY 2019","FY 2019","Currency=USD","Period=FY","BEST_FPERIOD_OVERRIDE=FY","FILING_STATUS=MR","Sort=A","Dates=H","DateFormat=P","Fill=—","Direction=H","UseDPDF=Y")</f>
        <v>27</v>
      </c>
      <c r="J108" s="13">
        <f>_xll.BDH("AVNT US Equity","YEARS_AUDITOR_EMPLOYED","FY 2020","FY 2020","Currency=USD","Period=FY","BEST_FPERIOD_OVERRIDE=FY","FILING_STATUS=MR","Sort=A","Dates=H","DateFormat=P","Fill=—","Direction=H","UseDPDF=Y")</f>
        <v>28</v>
      </c>
      <c r="K108" s="13">
        <f>_xll.BDH("AVNT US Equity","YEARS_AUDITOR_EMPLOYED","FY 2021","FY 2021","Currency=USD","Period=FY","BEST_FPERIOD_OVERRIDE=FY","FILING_STATUS=MR","Sort=A","Dates=H","DateFormat=P","Fill=—","Direction=H","UseDPDF=Y")</f>
        <v>29</v>
      </c>
      <c r="L108" s="13">
        <f>_xll.BDH("AVNT US Equity","YEARS_AUDITOR_EMPLOYED","FY 2022","FY 2022","Currency=USD","Period=FY","BEST_FPERIOD_OVERRIDE=FY","FILING_STATUS=MR","Sort=A","Dates=H","DateFormat=P","Fill=—","Direction=H","UseDPDF=Y")</f>
        <v>30</v>
      </c>
    </row>
    <row r="109" spans="1:12">
      <c r="A109" s="10" t="s">
        <v>182</v>
      </c>
      <c r="B109" s="10" t="s">
        <v>183</v>
      </c>
      <c r="C109" s="13">
        <f>_xll.BDH("AVNT US Equity","SIZE_OF_AUDIT_COMMITTEE","FY 2013","FY 2013","Currency=USD","Period=FY","BEST_FPERIOD_OVERRIDE=FY","FILING_STATUS=MR","Sort=A","Dates=H","DateFormat=P","Fill=—","Direction=H","UseDPDF=Y")</f>
        <v>5</v>
      </c>
      <c r="D109" s="13">
        <f>_xll.BDH("AVNT US Equity","SIZE_OF_AUDIT_COMMITTEE","FY 2014","FY 2014","Currency=USD","Period=FY","BEST_FPERIOD_OVERRIDE=FY","FILING_STATUS=MR","Sort=A","Dates=H","DateFormat=P","Fill=—","Direction=H","UseDPDF=Y")</f>
        <v>4</v>
      </c>
      <c r="E109" s="13">
        <f>_xll.BDH("AVNT US Equity","SIZE_OF_AUDIT_COMMITTEE","FY 2015","FY 2015","Currency=USD","Period=FY","BEST_FPERIOD_OVERRIDE=FY","FILING_STATUS=MR","Sort=A","Dates=H","DateFormat=P","Fill=—","Direction=H","UseDPDF=Y")</f>
        <v>5</v>
      </c>
      <c r="F109" s="13">
        <f>_xll.BDH("AVNT US Equity","SIZE_OF_AUDIT_COMMITTEE","FY 2016","FY 2016","Currency=USD","Period=FY","BEST_FPERIOD_OVERRIDE=FY","FILING_STATUS=MR","Sort=A","Dates=H","DateFormat=P","Fill=—","Direction=H","UseDPDF=Y")</f>
        <v>5</v>
      </c>
      <c r="G109" s="13">
        <f>_xll.BDH("AVNT US Equity","SIZE_OF_AUDIT_COMMITTEE","FY 2017","FY 2017","Currency=USD","Period=FY","BEST_FPERIOD_OVERRIDE=FY","FILING_STATUS=MR","Sort=A","Dates=H","DateFormat=P","Fill=—","Direction=H","UseDPDF=Y")</f>
        <v>4</v>
      </c>
      <c r="H109" s="13">
        <f>_xll.BDH("AVNT US Equity","SIZE_OF_AUDIT_COMMITTEE","FY 2018","FY 2018","Currency=USD","Period=FY","BEST_FPERIOD_OVERRIDE=FY","FILING_STATUS=MR","Sort=A","Dates=H","DateFormat=P","Fill=—","Direction=H","UseDPDF=Y")</f>
        <v>4</v>
      </c>
      <c r="I109" s="13">
        <f>_xll.BDH("AVNT US Equity","SIZE_OF_AUDIT_COMMITTEE","FY 2019","FY 2019","Currency=USD","Period=FY","BEST_FPERIOD_OVERRIDE=FY","FILING_STATUS=MR","Sort=A","Dates=H","DateFormat=P","Fill=—","Direction=H","UseDPDF=Y")</f>
        <v>5</v>
      </c>
      <c r="J109" s="13">
        <f>_xll.BDH("AVNT US Equity","SIZE_OF_AUDIT_COMMITTEE","FY 2020","FY 2020","Currency=USD","Period=FY","BEST_FPERIOD_OVERRIDE=FY","FILING_STATUS=MR","Sort=A","Dates=H","DateFormat=P","Fill=—","Direction=H","UseDPDF=Y")</f>
        <v>5</v>
      </c>
      <c r="K109" s="13">
        <f>_xll.BDH("AVNT US Equity","SIZE_OF_AUDIT_COMMITTEE","FY 2021","FY 2021","Currency=USD","Period=FY","BEST_FPERIOD_OVERRIDE=FY","FILING_STATUS=MR","Sort=A","Dates=H","DateFormat=P","Fill=—","Direction=H","UseDPDF=Y")</f>
        <v>6</v>
      </c>
      <c r="L109" s="13">
        <f>_xll.BDH("AVNT US Equity","SIZE_OF_AUDIT_COMMITTEE","FY 2022","FY 2022","Currency=USD","Period=FY","BEST_FPERIOD_OVERRIDE=FY","FILING_STATUS=MR","Sort=A","Dates=H","DateFormat=P","Fill=—","Direction=H","UseDPDF=Y")</f>
        <v>6</v>
      </c>
    </row>
    <row r="110" spans="1:12">
      <c r="A110" s="10" t="s">
        <v>184</v>
      </c>
      <c r="B110" s="10" t="s">
        <v>185</v>
      </c>
      <c r="C110" s="13">
        <f>_xll.BDH("AVNT US Equity","NUM_IND_DIR_ON_AUD_CMTE","FY 2013","FY 2013","Currency=USD","Period=FY","BEST_FPERIOD_OVERRIDE=FY","FILING_STATUS=MR","Sort=A","Dates=H","DateFormat=P","Fill=—","Direction=H","UseDPDF=Y")</f>
        <v>5</v>
      </c>
      <c r="D110" s="13">
        <f>_xll.BDH("AVNT US Equity","NUM_IND_DIR_ON_AUD_CMTE","FY 2014","FY 2014","Currency=USD","Period=FY","BEST_FPERIOD_OVERRIDE=FY","FILING_STATUS=MR","Sort=A","Dates=H","DateFormat=P","Fill=—","Direction=H","UseDPDF=Y")</f>
        <v>4</v>
      </c>
      <c r="E110" s="13">
        <f>_xll.BDH("AVNT US Equity","NUM_IND_DIR_ON_AUD_CMTE","FY 2015","FY 2015","Currency=USD","Period=FY","BEST_FPERIOD_OVERRIDE=FY","FILING_STATUS=MR","Sort=A","Dates=H","DateFormat=P","Fill=—","Direction=H","UseDPDF=Y")</f>
        <v>5</v>
      </c>
      <c r="F110" s="13">
        <f>_xll.BDH("AVNT US Equity","NUM_IND_DIR_ON_AUD_CMTE","FY 2016","FY 2016","Currency=USD","Period=FY","BEST_FPERIOD_OVERRIDE=FY","FILING_STATUS=MR","Sort=A","Dates=H","DateFormat=P","Fill=—","Direction=H","UseDPDF=Y")</f>
        <v>5</v>
      </c>
      <c r="G110" s="13">
        <f>_xll.BDH("AVNT US Equity","NUM_IND_DIR_ON_AUD_CMTE","FY 2017","FY 2017","Currency=USD","Period=FY","BEST_FPERIOD_OVERRIDE=FY","FILING_STATUS=MR","Sort=A","Dates=H","DateFormat=P","Fill=—","Direction=H","UseDPDF=Y")</f>
        <v>4</v>
      </c>
      <c r="H110" s="13">
        <f>_xll.BDH("AVNT US Equity","NUM_IND_DIR_ON_AUD_CMTE","FY 2018","FY 2018","Currency=USD","Period=FY","BEST_FPERIOD_OVERRIDE=FY","FILING_STATUS=MR","Sort=A","Dates=H","DateFormat=P","Fill=—","Direction=H","UseDPDF=Y")</f>
        <v>4</v>
      </c>
      <c r="I110" s="13">
        <f>_xll.BDH("AVNT US Equity","NUM_IND_DIR_ON_AUD_CMTE","FY 2019","FY 2019","Currency=USD","Period=FY","BEST_FPERIOD_OVERRIDE=FY","FILING_STATUS=MR","Sort=A","Dates=H","DateFormat=P","Fill=—","Direction=H","UseDPDF=Y")</f>
        <v>5</v>
      </c>
      <c r="J110" s="13">
        <f>_xll.BDH("AVNT US Equity","NUM_IND_DIR_ON_AUD_CMTE","FY 2020","FY 2020","Currency=USD","Period=FY","BEST_FPERIOD_OVERRIDE=FY","FILING_STATUS=MR","Sort=A","Dates=H","DateFormat=P","Fill=—","Direction=H","UseDPDF=Y")</f>
        <v>5</v>
      </c>
      <c r="K110" s="13">
        <f>_xll.BDH("AVNT US Equity","NUM_IND_DIR_ON_AUD_CMTE","FY 2021","FY 2021","Currency=USD","Period=FY","BEST_FPERIOD_OVERRIDE=FY","FILING_STATUS=MR","Sort=A","Dates=H","DateFormat=P","Fill=—","Direction=H","UseDPDF=Y")</f>
        <v>6</v>
      </c>
      <c r="L110" s="13">
        <f>_xll.BDH("AVNT US Equity","NUM_IND_DIR_ON_AUD_CMTE","FY 2022","FY 2022","Currency=USD","Period=FY","BEST_FPERIOD_OVERRIDE=FY","FILING_STATUS=MR","Sort=A","Dates=H","DateFormat=P","Fill=—","Direction=H","UseDPDF=Y")</f>
        <v>6</v>
      </c>
    </row>
    <row r="111" spans="1:12">
      <c r="A111" s="10" t="s">
        <v>186</v>
      </c>
      <c r="B111" s="10" t="s">
        <v>187</v>
      </c>
      <c r="C111" s="13">
        <f>_xll.BDH("AVNT US Equity","AUDIT_COMMITTEE_MEETINGS","FY 2013","FY 2013","Currency=USD","Period=FY","BEST_FPERIOD_OVERRIDE=FY","FILING_STATUS=MR","Sort=A","Dates=H","DateFormat=P","Fill=—","Direction=H","UseDPDF=Y")</f>
        <v>9</v>
      </c>
      <c r="D111" s="13">
        <f>_xll.BDH("AVNT US Equity","AUDIT_COMMITTEE_MEETINGS","FY 2014","FY 2014","Currency=USD","Period=FY","BEST_FPERIOD_OVERRIDE=FY","FILING_STATUS=MR","Sort=A","Dates=H","DateFormat=P","Fill=—","Direction=H","UseDPDF=Y")</f>
        <v>9</v>
      </c>
      <c r="E111" s="13">
        <f>_xll.BDH("AVNT US Equity","AUDIT_COMMITTEE_MEETINGS","FY 2015","FY 2015","Currency=USD","Period=FY","BEST_FPERIOD_OVERRIDE=FY","FILING_STATUS=MR","Sort=A","Dates=H","DateFormat=P","Fill=—","Direction=H","UseDPDF=Y")</f>
        <v>9</v>
      </c>
      <c r="F111" s="13">
        <f>_xll.BDH("AVNT US Equity","AUDIT_COMMITTEE_MEETINGS","FY 2016","FY 2016","Currency=USD","Period=FY","BEST_FPERIOD_OVERRIDE=FY","FILING_STATUS=MR","Sort=A","Dates=H","DateFormat=P","Fill=—","Direction=H","UseDPDF=Y")</f>
        <v>9</v>
      </c>
      <c r="G111" s="13">
        <f>_xll.BDH("AVNT US Equity","AUDIT_COMMITTEE_MEETINGS","FY 2017","FY 2017","Currency=USD","Period=FY","BEST_FPERIOD_OVERRIDE=FY","FILING_STATUS=MR","Sort=A","Dates=H","DateFormat=P","Fill=—","Direction=H","UseDPDF=Y")</f>
        <v>10</v>
      </c>
      <c r="H111" s="13">
        <f>_xll.BDH("AVNT US Equity","AUDIT_COMMITTEE_MEETINGS","FY 2018","FY 2018","Currency=USD","Period=FY","BEST_FPERIOD_OVERRIDE=FY","FILING_STATUS=MR","Sort=A","Dates=H","DateFormat=P","Fill=—","Direction=H","UseDPDF=Y")</f>
        <v>9</v>
      </c>
      <c r="I111" s="13">
        <f>_xll.BDH("AVNT US Equity","AUDIT_COMMITTEE_MEETINGS","FY 2019","FY 2019","Currency=USD","Period=FY","BEST_FPERIOD_OVERRIDE=FY","FILING_STATUS=MR","Sort=A","Dates=H","DateFormat=P","Fill=—","Direction=H","UseDPDF=Y")</f>
        <v>8</v>
      </c>
      <c r="J111" s="13">
        <f>_xll.BDH("AVNT US Equity","AUDIT_COMMITTEE_MEETINGS","FY 2020","FY 2020","Currency=USD","Period=FY","BEST_FPERIOD_OVERRIDE=FY","FILING_STATUS=MR","Sort=A","Dates=H","DateFormat=P","Fill=—","Direction=H","UseDPDF=Y")</f>
        <v>8</v>
      </c>
      <c r="K111" s="13">
        <f>_xll.BDH("AVNT US Equity","AUDIT_COMMITTEE_MEETINGS","FY 2021","FY 2021","Currency=USD","Period=FY","BEST_FPERIOD_OVERRIDE=FY","FILING_STATUS=MR","Sort=A","Dates=H","DateFormat=P","Fill=—","Direction=H","UseDPDF=Y")</f>
        <v>7</v>
      </c>
      <c r="L111" s="13">
        <f>_xll.BDH("AVNT US Equity","AUDIT_COMMITTEE_MEETINGS","FY 2022","FY 2022","Currency=USD","Period=FY","BEST_FPERIOD_OVERRIDE=FY","FILING_STATUS=MR","Sort=A","Dates=H","DateFormat=P","Fill=—","Direction=H","UseDPDF=Y")</f>
        <v>7</v>
      </c>
    </row>
    <row r="112" spans="1:12">
      <c r="A112" s="10" t="s">
        <v>188</v>
      </c>
      <c r="B112" s="10" t="s">
        <v>189</v>
      </c>
      <c r="C112" s="13">
        <f>_xll.BDH("AVNT US Equity","AUDIT_COMMITTEE_MTG_ATTEND_PCT","FY 2013","FY 2013","Currency=USD","Period=FY","BEST_FPERIOD_OVERRIDE=FY","FILING_STATUS=MR","Sort=A","Dates=H","DateFormat=P","Fill=—","Direction=H","UseDPDF=Y")</f>
        <v>75</v>
      </c>
      <c r="D112" s="13">
        <f>_xll.BDH("AVNT US Equity","AUDIT_COMMITTEE_MTG_ATTEND_PCT","FY 2014","FY 2014","Currency=USD","Period=FY","BEST_FPERIOD_OVERRIDE=FY","FILING_STATUS=MR","Sort=A","Dates=H","DateFormat=P","Fill=—","Direction=H","UseDPDF=Y")</f>
        <v>75</v>
      </c>
      <c r="E112" s="13">
        <f>_xll.BDH("AVNT US Equity","AUDIT_COMMITTEE_MTG_ATTEND_PCT","FY 2015","FY 2015","Currency=USD","Period=FY","BEST_FPERIOD_OVERRIDE=FY","FILING_STATUS=MR","Sort=A","Dates=H","DateFormat=P","Fill=—","Direction=H","UseDPDF=Y")</f>
        <v>75</v>
      </c>
      <c r="F112" s="13">
        <f>_xll.BDH("AVNT US Equity","AUDIT_COMMITTEE_MTG_ATTEND_PCT","FY 2016","FY 2016","Currency=USD","Period=FY","BEST_FPERIOD_OVERRIDE=FY","FILING_STATUS=MR","Sort=A","Dates=H","DateFormat=P","Fill=—","Direction=H","UseDPDF=Y")</f>
        <v>75</v>
      </c>
      <c r="G112" s="13">
        <f>_xll.BDH("AVNT US Equity","AUDIT_COMMITTEE_MTG_ATTEND_PCT","FY 2017","FY 2017","Currency=USD","Period=FY","BEST_FPERIOD_OVERRIDE=FY","FILING_STATUS=MR","Sort=A","Dates=H","DateFormat=P","Fill=—","Direction=H","UseDPDF=Y")</f>
        <v>75</v>
      </c>
      <c r="H112" s="13">
        <f>_xll.BDH("AVNT US Equity","AUDIT_COMMITTEE_MTG_ATTEND_PCT","FY 2018","FY 2018","Currency=USD","Period=FY","BEST_FPERIOD_OVERRIDE=FY","FILING_STATUS=MR","Sort=A","Dates=H","DateFormat=P","Fill=—","Direction=H","UseDPDF=Y")</f>
        <v>75</v>
      </c>
      <c r="I112" s="13">
        <f>_xll.BDH("AVNT US Equity","AUDIT_COMMITTEE_MTG_ATTEND_PCT","FY 2019","FY 2019","Currency=USD","Period=FY","BEST_FPERIOD_OVERRIDE=FY","FILING_STATUS=MR","Sort=A","Dates=H","DateFormat=P","Fill=—","Direction=H","UseDPDF=Y")</f>
        <v>75</v>
      </c>
      <c r="J112" s="13">
        <f>_xll.BDH("AVNT US Equity","AUDIT_COMMITTEE_MTG_ATTEND_PCT","FY 2020","FY 2020","Currency=USD","Period=FY","BEST_FPERIOD_OVERRIDE=FY","FILING_STATUS=MR","Sort=A","Dates=H","DateFormat=P","Fill=—","Direction=H","UseDPDF=Y")</f>
        <v>75</v>
      </c>
      <c r="K112" s="13">
        <f>_xll.BDH("AVNT US Equity","AUDIT_COMMITTEE_MTG_ATTEND_PCT","FY 2021","FY 2021","Currency=USD","Period=FY","BEST_FPERIOD_OVERRIDE=FY","FILING_STATUS=MR","Sort=A","Dates=H","DateFormat=P","Fill=—","Direction=H","UseDPDF=Y")</f>
        <v>75</v>
      </c>
      <c r="L112" s="13">
        <f>_xll.BDH("AVNT US Equity","AUDIT_COMMITTEE_MTG_ATTEND_PCT","FY 2022","FY 2022","Currency=USD","Period=FY","BEST_FPERIOD_OVERRIDE=FY","FILING_STATUS=MR","Sort=A","Dates=H","DateFormat=P","Fill=—","Direction=H","UseDPDF=Y")</f>
        <v>75</v>
      </c>
    </row>
    <row r="113" spans="1:1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spans="1:12">
      <c r="A114" s="10" t="s">
        <v>190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spans="1:12">
      <c r="A115" s="10" t="s">
        <v>191</v>
      </c>
      <c r="B115" s="10" t="s">
        <v>192</v>
      </c>
      <c r="C115" s="11" t="s">
        <v>129</v>
      </c>
      <c r="D115" s="11" t="s">
        <v>129</v>
      </c>
      <c r="E115" s="11" t="s">
        <v>55</v>
      </c>
      <c r="F115" s="11" t="s">
        <v>55</v>
      </c>
      <c r="G115" s="11" t="s">
        <v>55</v>
      </c>
      <c r="H115" s="11" t="s">
        <v>55</v>
      </c>
      <c r="I115" s="11" t="s">
        <v>55</v>
      </c>
      <c r="J115" s="11" t="s">
        <v>55</v>
      </c>
      <c r="K115" s="11" t="s">
        <v>55</v>
      </c>
      <c r="L115" s="11" t="s">
        <v>55</v>
      </c>
    </row>
    <row r="116" spans="1:12">
      <c r="A116" s="10" t="s">
        <v>193</v>
      </c>
      <c r="B116" s="10" t="s">
        <v>194</v>
      </c>
      <c r="C116" s="13">
        <f>_xll.BDH("AVNT US Equity","BOARD_SIZE","FY 2013","FY 2013","Currency=USD","Period=FY","BEST_FPERIOD_OVERRIDE=FY","FILING_STATUS=MR","Sort=A","Dates=H","DateFormat=P","Fill=—","Direction=H","UseDPDF=Y")</f>
        <v>11</v>
      </c>
      <c r="D116" s="13">
        <f>_xll.BDH("AVNT US Equity","BOARD_SIZE","FY 2014","FY 2014","Currency=USD","Period=FY","BEST_FPERIOD_OVERRIDE=FY","FILING_STATUS=MR","Sort=A","Dates=H","DateFormat=P","Fill=—","Direction=H","UseDPDF=Y")</f>
        <v>11</v>
      </c>
      <c r="E116" s="13">
        <f>_xll.BDH("AVNT US Equity","BOARD_SIZE","FY 2015","FY 2015","Currency=USD","Period=FY","BEST_FPERIOD_OVERRIDE=FY","FILING_STATUS=MR","Sort=A","Dates=H","DateFormat=P","Fill=—","Direction=H","UseDPDF=Y")</f>
        <v>11</v>
      </c>
      <c r="F116" s="13">
        <f>_xll.BDH("AVNT US Equity","BOARD_SIZE","FY 2016","FY 2016","Currency=USD","Period=FY","BEST_FPERIOD_OVERRIDE=FY","FILING_STATUS=MR","Sort=A","Dates=H","DateFormat=P","Fill=—","Direction=H","UseDPDF=Y")</f>
        <v>10</v>
      </c>
      <c r="G116" s="13">
        <f>_xll.BDH("AVNT US Equity","BOARD_SIZE","FY 2017","FY 2017","Currency=USD","Period=FY","BEST_FPERIOD_OVERRIDE=FY","FILING_STATUS=MR","Sort=A","Dates=H","DateFormat=P","Fill=—","Direction=H","UseDPDF=Y")</f>
        <v>10</v>
      </c>
      <c r="H116" s="13">
        <f>_xll.BDH("AVNT US Equity","BOARD_SIZE","FY 2018","FY 2018","Currency=USD","Period=FY","BEST_FPERIOD_OVERRIDE=FY","FILING_STATUS=MR","Sort=A","Dates=H","DateFormat=P","Fill=—","Direction=H","UseDPDF=Y")</f>
        <v>10</v>
      </c>
      <c r="I116" s="13">
        <f>_xll.BDH("AVNT US Equity","BOARD_SIZE","FY 2019","FY 2019","Currency=USD","Period=FY","BEST_FPERIOD_OVERRIDE=FY","FILING_STATUS=MR","Sort=A","Dates=H","DateFormat=P","Fill=—","Direction=H","UseDPDF=Y")</f>
        <v>10</v>
      </c>
      <c r="J116" s="13">
        <f>_xll.BDH("AVNT US Equity","BOARD_SIZE","FY 2020","FY 2020","Currency=USD","Period=FY","BEST_FPERIOD_OVERRIDE=FY","FILING_STATUS=MR","Sort=A","Dates=H","DateFormat=P","Fill=—","Direction=H","UseDPDF=Y")</f>
        <v>10</v>
      </c>
      <c r="K116" s="13">
        <f>_xll.BDH("AVNT US Equity","BOARD_SIZE","FY 2021","FY 2021","Currency=USD","Period=FY","BEST_FPERIOD_OVERRIDE=FY","FILING_STATUS=MR","Sort=A","Dates=H","DateFormat=P","Fill=—","Direction=H","UseDPDF=Y")</f>
        <v>12</v>
      </c>
      <c r="L116" s="13">
        <f>_xll.BDH("AVNT US Equity","BOARD_SIZE","FY 2022","FY 2022","Currency=USD","Period=FY","BEST_FPERIOD_OVERRIDE=FY","FILING_STATUS=MR","Sort=A","Dates=H","DateFormat=P","Fill=—","Direction=H","UseDPDF=Y")</f>
        <v>12</v>
      </c>
    </row>
    <row r="117" spans="1:12">
      <c r="A117" s="10" t="s">
        <v>195</v>
      </c>
      <c r="B117" s="10" t="s">
        <v>196</v>
      </c>
      <c r="C117" s="13">
        <f>_xll.BDH("AVNT US Equity","NUM_EXECUTIVES_COMP_MANAGERS","FY 2013","FY 2013","Currency=USD","Period=FY","BEST_FPERIOD_OVERRIDE=FY","FILING_STATUS=MR","Sort=A","Dates=H","DateFormat=P","Fill=—","Direction=H","UseDPDF=Y")</f>
        <v>11</v>
      </c>
      <c r="D117" s="13">
        <f>_xll.BDH("AVNT US Equity","NUM_EXECUTIVES_COMP_MANAGERS","FY 2014","FY 2014","Currency=USD","Period=FY","BEST_FPERIOD_OVERRIDE=FY","FILING_STATUS=MR","Sort=A","Dates=H","DateFormat=P","Fill=—","Direction=H","UseDPDF=Y")</f>
        <v>11</v>
      </c>
      <c r="E117" s="13">
        <f>_xll.BDH("AVNT US Equity","NUM_EXECUTIVES_COMP_MANAGERS","FY 2015","FY 2015","Currency=USD","Period=FY","BEST_FPERIOD_OVERRIDE=FY","FILING_STATUS=MR","Sort=A","Dates=H","DateFormat=P","Fill=—","Direction=H","UseDPDF=Y")</f>
        <v>13</v>
      </c>
      <c r="F117" s="13">
        <f>_xll.BDH("AVNT US Equity","NUM_EXECUTIVES_COMP_MANAGERS","FY 2016","FY 2016","Currency=USD","Period=FY","BEST_FPERIOD_OVERRIDE=FY","FILING_STATUS=MR","Sort=A","Dates=H","DateFormat=P","Fill=—","Direction=H","UseDPDF=Y")</f>
        <v>12</v>
      </c>
      <c r="G117" s="13">
        <f>_xll.BDH("AVNT US Equity","NUM_EXECUTIVES_COMP_MANAGERS","FY 2017","FY 2017","Currency=USD","Period=FY","BEST_FPERIOD_OVERRIDE=FY","FILING_STATUS=MR","Sort=A","Dates=H","DateFormat=P","Fill=—","Direction=H","UseDPDF=Y")</f>
        <v>11</v>
      </c>
      <c r="H117" s="13">
        <f>_xll.BDH("AVNT US Equity","NUM_EXECUTIVES_COMP_MANAGERS","FY 2018","FY 2018","Currency=USD","Period=FY","BEST_FPERIOD_OVERRIDE=FY","FILING_STATUS=MR","Sort=A","Dates=H","DateFormat=P","Fill=—","Direction=H","UseDPDF=Y")</f>
        <v>11</v>
      </c>
      <c r="I117" s="13">
        <f>_xll.BDH("AVNT US Equity","NUM_EXECUTIVES_COMP_MANAGERS","FY 2019","FY 2019","Currency=USD","Period=FY","BEST_FPERIOD_OVERRIDE=FY","FILING_STATUS=MR","Sort=A","Dates=H","DateFormat=P","Fill=—","Direction=H","UseDPDF=Y")</f>
        <v>10</v>
      </c>
      <c r="J117" s="13">
        <f>_xll.BDH("AVNT US Equity","NUM_EXECUTIVES_COMP_MANAGERS","FY 2020","FY 2020","Currency=USD","Period=FY","BEST_FPERIOD_OVERRIDE=FY","FILING_STATUS=MR","Sort=A","Dates=H","DateFormat=P","Fill=—","Direction=H","UseDPDF=Y")</f>
        <v>10</v>
      </c>
      <c r="K117" s="13">
        <f>_xll.BDH("AVNT US Equity","NUM_EXECUTIVES_COMP_MANAGERS","FY 2021","FY 2021","Currency=USD","Period=FY","BEST_FPERIOD_OVERRIDE=FY","FILING_STATUS=MR","Sort=A","Dates=H","DateFormat=P","Fill=—","Direction=H","UseDPDF=Y")</f>
        <v>11</v>
      </c>
      <c r="L117" s="13">
        <f>_xll.BDH("AVNT US Equity","NUM_EXECUTIVES_COMP_MANAGERS","FY 2022","FY 2022","Currency=USD","Period=FY","BEST_FPERIOD_OVERRIDE=FY","FILING_STATUS=MR","Sort=A","Dates=H","DateFormat=P","Fill=—","Direction=H","UseDPDF=Y")</f>
        <v>10</v>
      </c>
    </row>
    <row r="118" spans="1:12">
      <c r="A118" s="10" t="s">
        <v>197</v>
      </c>
      <c r="B118" s="10" t="s">
        <v>198</v>
      </c>
      <c r="C118" s="13">
        <f>_xll.BDH("AVNT US Equity","NUM_OF_NONEXEC_DIR_ON_BRD","FY 2013","FY 2013","Currency=USD","Period=FY","BEST_FPERIOD_OVERRIDE=FY","FILING_STATUS=MR","Sort=A","Dates=H","DateFormat=P","Fill=—","Direction=H","UseDPDF=Y")</f>
        <v>10</v>
      </c>
      <c r="D118" s="13">
        <f>_xll.BDH("AVNT US Equity","NUM_OF_NONEXEC_DIR_ON_BRD","FY 2014","FY 2014","Currency=USD","Period=FY","BEST_FPERIOD_OVERRIDE=FY","FILING_STATUS=MR","Sort=A","Dates=H","DateFormat=P","Fill=—","Direction=H","UseDPDF=Y")</f>
        <v>9</v>
      </c>
      <c r="E118" s="13">
        <f>_xll.BDH("AVNT US Equity","NUM_OF_NONEXEC_DIR_ON_BRD","FY 2015","FY 2015","Currency=USD","Period=FY","BEST_FPERIOD_OVERRIDE=FY","FILING_STATUS=MR","Sort=A","Dates=H","DateFormat=P","Fill=—","Direction=H","UseDPDF=Y")</f>
        <v>9</v>
      </c>
      <c r="F118" s="13">
        <f>_xll.BDH("AVNT US Equity","NUM_OF_NONEXEC_DIR_ON_BRD","FY 2016","FY 2016","Currency=USD","Period=FY","BEST_FPERIOD_OVERRIDE=FY","FILING_STATUS=MR","Sort=A","Dates=H","DateFormat=P","Fill=—","Direction=H","UseDPDF=Y")</f>
        <v>9</v>
      </c>
      <c r="G118" s="13">
        <f>_xll.BDH("AVNT US Equity","NUM_OF_NONEXEC_DIR_ON_BRD","FY 2017","FY 2017","Currency=USD","Period=FY","BEST_FPERIOD_OVERRIDE=FY","FILING_STATUS=MR","Sort=A","Dates=H","DateFormat=P","Fill=—","Direction=H","UseDPDF=Y")</f>
        <v>9</v>
      </c>
      <c r="H118" s="13">
        <f>_xll.BDH("AVNT US Equity","NUM_OF_NONEXEC_DIR_ON_BRD","FY 2018","FY 2018","Currency=USD","Period=FY","BEST_FPERIOD_OVERRIDE=FY","FILING_STATUS=MR","Sort=A","Dates=H","DateFormat=P","Fill=—","Direction=H","UseDPDF=Y")</f>
        <v>9</v>
      </c>
      <c r="I118" s="13">
        <f>_xll.BDH("AVNT US Equity","NUM_OF_NONEXEC_DIR_ON_BRD","FY 2019","FY 2019","Currency=USD","Period=FY","BEST_FPERIOD_OVERRIDE=FY","FILING_STATUS=MR","Sort=A","Dates=H","DateFormat=P","Fill=—","Direction=H","UseDPDF=Y")</f>
        <v>9</v>
      </c>
      <c r="J118" s="13">
        <f>_xll.BDH("AVNT US Equity","NUM_OF_NONEXEC_DIR_ON_BRD","FY 2020","FY 2020","Currency=USD","Period=FY","BEST_FPERIOD_OVERRIDE=FY","FILING_STATUS=MR","Sort=A","Dates=H","DateFormat=P","Fill=—","Direction=H","UseDPDF=Y")</f>
        <v>9</v>
      </c>
      <c r="K118" s="13">
        <f>_xll.BDH("AVNT US Equity","NUM_OF_NONEXEC_DIR_ON_BRD","FY 2021","FY 2021","Currency=USD","Period=FY","BEST_FPERIOD_OVERRIDE=FY","FILING_STATUS=MR","Sort=A","Dates=H","DateFormat=P","Fill=—","Direction=H","UseDPDF=Y")</f>
        <v>11</v>
      </c>
      <c r="L118" s="13">
        <f>_xll.BDH("AVNT US Equity","NUM_OF_NONEXEC_DIR_ON_BRD","FY 2022","FY 2022","Currency=USD","Period=FY","BEST_FPERIOD_OVERRIDE=FY","FILING_STATUS=MR","Sort=A","Dates=H","DateFormat=P","Fill=—","Direction=H","UseDPDF=Y")</f>
        <v>11</v>
      </c>
    </row>
    <row r="119" spans="1:12">
      <c r="A119" s="10" t="s">
        <v>199</v>
      </c>
      <c r="B119" s="10" t="s">
        <v>200</v>
      </c>
      <c r="C119" s="13">
        <f>_xll.BDH("AVNT US Equity","BOARD_MEETINGS_PER_YR","FY 2013","FY 2013","Currency=USD","Period=FY","BEST_FPERIOD_OVERRIDE=FY","FILING_STATUS=MR","Sort=A","Dates=H","DateFormat=P","Fill=—","Direction=H","UseDPDF=Y")</f>
        <v>6</v>
      </c>
      <c r="D119" s="13">
        <f>_xll.BDH("AVNT US Equity","BOARD_MEETINGS_PER_YR","FY 2014","FY 2014","Currency=USD","Period=FY","BEST_FPERIOD_OVERRIDE=FY","FILING_STATUS=MR","Sort=A","Dates=H","DateFormat=P","Fill=—","Direction=H","UseDPDF=Y")</f>
        <v>6</v>
      </c>
      <c r="E119" s="13">
        <f>_xll.BDH("AVNT US Equity","BOARD_MEETINGS_PER_YR","FY 2015","FY 2015","Currency=USD","Period=FY","BEST_FPERIOD_OVERRIDE=FY","FILING_STATUS=MR","Sort=A","Dates=H","DateFormat=P","Fill=—","Direction=H","UseDPDF=Y")</f>
        <v>6</v>
      </c>
      <c r="F119" s="13">
        <f>_xll.BDH("AVNT US Equity","BOARD_MEETINGS_PER_YR","FY 2016","FY 2016","Currency=USD","Period=FY","BEST_FPERIOD_OVERRIDE=FY","FILING_STATUS=MR","Sort=A","Dates=H","DateFormat=P","Fill=—","Direction=H","UseDPDF=Y")</f>
        <v>6</v>
      </c>
      <c r="G119" s="13">
        <f>_xll.BDH("AVNT US Equity","BOARD_MEETINGS_PER_YR","FY 2017","FY 2017","Currency=USD","Period=FY","BEST_FPERIOD_OVERRIDE=FY","FILING_STATUS=MR","Sort=A","Dates=H","DateFormat=P","Fill=—","Direction=H","UseDPDF=Y")</f>
        <v>6</v>
      </c>
      <c r="H119" s="13">
        <f>_xll.BDH("AVNT US Equity","BOARD_MEETINGS_PER_YR","FY 2018","FY 2018","Currency=USD","Period=FY","BEST_FPERIOD_OVERRIDE=FY","FILING_STATUS=MR","Sort=A","Dates=H","DateFormat=P","Fill=—","Direction=H","UseDPDF=Y")</f>
        <v>6</v>
      </c>
      <c r="I119" s="13">
        <f>_xll.BDH("AVNT US Equity","BOARD_MEETINGS_PER_YR","FY 2019","FY 2019","Currency=USD","Period=FY","BEST_FPERIOD_OVERRIDE=FY","FILING_STATUS=MR","Sort=A","Dates=H","DateFormat=P","Fill=—","Direction=H","UseDPDF=Y")</f>
        <v>7</v>
      </c>
      <c r="J119" s="13">
        <f>_xll.BDH("AVNT US Equity","BOARD_MEETINGS_PER_YR","FY 2020","FY 2020","Currency=USD","Period=FY","BEST_FPERIOD_OVERRIDE=FY","FILING_STATUS=MR","Sort=A","Dates=H","DateFormat=P","Fill=—","Direction=H","UseDPDF=Y")</f>
        <v>8</v>
      </c>
      <c r="K119" s="13">
        <f>_xll.BDH("AVNT US Equity","BOARD_MEETINGS_PER_YR","FY 2021","FY 2021","Currency=USD","Period=FY","BEST_FPERIOD_OVERRIDE=FY","FILING_STATUS=MR","Sort=A","Dates=H","DateFormat=P","Fill=—","Direction=H","UseDPDF=Y")</f>
        <v>6</v>
      </c>
      <c r="L119" s="13">
        <f>_xll.BDH("AVNT US Equity","BOARD_MEETINGS_PER_YR","FY 2022","FY 2022","Currency=USD","Period=FY","BEST_FPERIOD_OVERRIDE=FY","FILING_STATUS=MR","Sort=A","Dates=H","DateFormat=P","Fill=—","Direction=H","UseDPDF=Y")</f>
        <v>7</v>
      </c>
    </row>
    <row r="120" spans="1:12">
      <c r="A120" s="10" t="s">
        <v>201</v>
      </c>
      <c r="B120" s="10" t="s">
        <v>202</v>
      </c>
      <c r="C120" s="13">
        <f>_xll.BDH("AVNT US Equity","BOARD_MEETING_ATTENDANCE_PCT","FY 2013","FY 2013","Currency=USD","Period=FY","BEST_FPERIOD_OVERRIDE=FY","FILING_STATUS=MR","Sort=A","Dates=H","DateFormat=P","Fill=—","Direction=H","UseDPDF=Y")</f>
        <v>75</v>
      </c>
      <c r="D120" s="13">
        <f>_xll.BDH("AVNT US Equity","BOARD_MEETING_ATTENDANCE_PCT","FY 2014","FY 2014","Currency=USD","Period=FY","BEST_FPERIOD_OVERRIDE=FY","FILING_STATUS=MR","Sort=A","Dates=H","DateFormat=P","Fill=—","Direction=H","UseDPDF=Y")</f>
        <v>75</v>
      </c>
      <c r="E120" s="13">
        <f>_xll.BDH("AVNT US Equity","BOARD_MEETING_ATTENDANCE_PCT","FY 2015","FY 2015","Currency=USD","Period=FY","BEST_FPERIOD_OVERRIDE=FY","FILING_STATUS=MR","Sort=A","Dates=H","DateFormat=P","Fill=—","Direction=H","UseDPDF=Y")</f>
        <v>75</v>
      </c>
      <c r="F120" s="13">
        <f>_xll.BDH("AVNT US Equity","BOARD_MEETING_ATTENDANCE_PCT","FY 2016","FY 2016","Currency=USD","Period=FY","BEST_FPERIOD_OVERRIDE=FY","FILING_STATUS=MR","Sort=A","Dates=H","DateFormat=P","Fill=—","Direction=H","UseDPDF=Y")</f>
        <v>75</v>
      </c>
      <c r="G120" s="13">
        <f>_xll.BDH("AVNT US Equity","BOARD_MEETING_ATTENDANCE_PCT","FY 2017","FY 2017","Currency=USD","Period=FY","BEST_FPERIOD_OVERRIDE=FY","FILING_STATUS=MR","Sort=A","Dates=H","DateFormat=P","Fill=—","Direction=H","UseDPDF=Y")</f>
        <v>75</v>
      </c>
      <c r="H120" s="13">
        <f>_xll.BDH("AVNT US Equity","BOARD_MEETING_ATTENDANCE_PCT","FY 2018","FY 2018","Currency=USD","Period=FY","BEST_FPERIOD_OVERRIDE=FY","FILING_STATUS=MR","Sort=A","Dates=H","DateFormat=P","Fill=—","Direction=H","UseDPDF=Y")</f>
        <v>75</v>
      </c>
      <c r="I120" s="13">
        <f>_xll.BDH("AVNT US Equity","BOARD_MEETING_ATTENDANCE_PCT","FY 2019","FY 2019","Currency=USD","Period=FY","BEST_FPERIOD_OVERRIDE=FY","FILING_STATUS=MR","Sort=A","Dates=H","DateFormat=P","Fill=—","Direction=H","UseDPDF=Y")</f>
        <v>75</v>
      </c>
      <c r="J120" s="13">
        <f>_xll.BDH("AVNT US Equity","BOARD_MEETING_ATTENDANCE_PCT","FY 2020","FY 2020","Currency=USD","Period=FY","BEST_FPERIOD_OVERRIDE=FY","FILING_STATUS=MR","Sort=A","Dates=H","DateFormat=P","Fill=—","Direction=H","UseDPDF=Y")</f>
        <v>75</v>
      </c>
      <c r="K120" s="13">
        <f>_xll.BDH("AVNT US Equity","BOARD_MEETING_ATTENDANCE_PCT","FY 2021","FY 2021","Currency=USD","Period=FY","BEST_FPERIOD_OVERRIDE=FY","FILING_STATUS=MR","Sort=A","Dates=H","DateFormat=P","Fill=—","Direction=H","UseDPDF=Y")</f>
        <v>75</v>
      </c>
      <c r="L120" s="13">
        <f>_xll.BDH("AVNT US Equity","BOARD_MEETING_ATTENDANCE_PCT","FY 2022","FY 2022","Currency=USD","Period=FY","BEST_FPERIOD_OVERRIDE=FY","FILING_STATUS=MR","Sort=A","Dates=H","DateFormat=P","Fill=—","Direction=H","UseDPDF=Y")</f>
        <v>75</v>
      </c>
    </row>
    <row r="121" spans="1:1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spans="1:12">
      <c r="A122" s="10" t="s">
        <v>203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spans="1:12">
      <c r="A123" s="10" t="s">
        <v>204</v>
      </c>
      <c r="B123" s="10" t="s">
        <v>205</v>
      </c>
      <c r="C123" s="11" t="s">
        <v>129</v>
      </c>
      <c r="D123" s="11" t="s">
        <v>129</v>
      </c>
      <c r="E123" s="11" t="s">
        <v>55</v>
      </c>
      <c r="F123" s="11" t="s">
        <v>55</v>
      </c>
      <c r="G123" s="11" t="s">
        <v>55</v>
      </c>
      <c r="H123" s="11" t="s">
        <v>55</v>
      </c>
      <c r="I123" s="11" t="s">
        <v>55</v>
      </c>
      <c r="J123" s="11" t="s">
        <v>55</v>
      </c>
      <c r="K123" s="11" t="s">
        <v>55</v>
      </c>
      <c r="L123" s="11" t="s">
        <v>55</v>
      </c>
    </row>
    <row r="124" spans="1:12">
      <c r="A124" s="10" t="s">
        <v>206</v>
      </c>
      <c r="B124" s="10" t="s">
        <v>207</v>
      </c>
      <c r="C124" s="11" t="s">
        <v>129</v>
      </c>
      <c r="D124" s="11" t="s">
        <v>129</v>
      </c>
      <c r="E124" s="11" t="s">
        <v>55</v>
      </c>
      <c r="F124" s="11" t="s">
        <v>55</v>
      </c>
      <c r="G124" s="11" t="s">
        <v>55</v>
      </c>
      <c r="H124" s="11" t="s">
        <v>55</v>
      </c>
      <c r="I124" s="11" t="s">
        <v>55</v>
      </c>
      <c r="J124" s="11" t="s">
        <v>55</v>
      </c>
      <c r="K124" s="11" t="s">
        <v>55</v>
      </c>
      <c r="L124" s="11" t="s">
        <v>55</v>
      </c>
    </row>
    <row r="125" spans="1:12">
      <c r="A125" s="10" t="s">
        <v>208</v>
      </c>
      <c r="B125" s="10" t="s">
        <v>209</v>
      </c>
      <c r="C125" s="13">
        <f>_xll.BDH("AVNT US Equity","SIZE_OF_COMPENSATION_COMMITTEE","FY 2013","FY 2013","Currency=USD","Period=FY","BEST_FPERIOD_OVERRIDE=FY","FILING_STATUS=MR","Sort=A","Dates=H","DateFormat=P","Fill=—","Direction=H","UseDPDF=Y")</f>
        <v>5</v>
      </c>
      <c r="D125" s="13">
        <f>_xll.BDH("AVNT US Equity","SIZE_OF_COMPENSATION_COMMITTEE","FY 2014","FY 2014","Currency=USD","Period=FY","BEST_FPERIOD_OVERRIDE=FY","FILING_STATUS=MR","Sort=A","Dates=H","DateFormat=P","Fill=—","Direction=H","UseDPDF=Y")</f>
        <v>5</v>
      </c>
      <c r="E125" s="13">
        <f>_xll.BDH("AVNT US Equity","SIZE_OF_COMPENSATION_COMMITTEE","FY 2015","FY 2015","Currency=USD","Period=FY","BEST_FPERIOD_OVERRIDE=FY","FILING_STATUS=MR","Sort=A","Dates=H","DateFormat=P","Fill=—","Direction=H","UseDPDF=Y")</f>
        <v>4</v>
      </c>
      <c r="F125" s="13">
        <f>_xll.BDH("AVNT US Equity","SIZE_OF_COMPENSATION_COMMITTEE","FY 2016","FY 2016","Currency=USD","Period=FY","BEST_FPERIOD_OVERRIDE=FY","FILING_STATUS=MR","Sort=A","Dates=H","DateFormat=P","Fill=—","Direction=H","UseDPDF=Y")</f>
        <v>4</v>
      </c>
      <c r="G125" s="13">
        <f>_xll.BDH("AVNT US Equity","SIZE_OF_COMPENSATION_COMMITTEE","FY 2017","FY 2017","Currency=USD","Period=FY","BEST_FPERIOD_OVERRIDE=FY","FILING_STATUS=MR","Sort=A","Dates=H","DateFormat=P","Fill=—","Direction=H","UseDPDF=Y")</f>
        <v>4</v>
      </c>
      <c r="H125" s="13">
        <f>_xll.BDH("AVNT US Equity","SIZE_OF_COMPENSATION_COMMITTEE","FY 2018","FY 2018","Currency=USD","Period=FY","BEST_FPERIOD_OVERRIDE=FY","FILING_STATUS=MR","Sort=A","Dates=H","DateFormat=P","Fill=—","Direction=H","UseDPDF=Y")</f>
        <v>4</v>
      </c>
      <c r="I125" s="13">
        <f>_xll.BDH("AVNT US Equity","SIZE_OF_COMPENSATION_COMMITTEE","FY 2019","FY 2019","Currency=USD","Period=FY","BEST_FPERIOD_OVERRIDE=FY","FILING_STATUS=MR","Sort=A","Dates=H","DateFormat=P","Fill=—","Direction=H","UseDPDF=Y")</f>
        <v>4</v>
      </c>
      <c r="J125" s="13">
        <f>_xll.BDH("AVNT US Equity","SIZE_OF_COMPENSATION_COMMITTEE","FY 2020","FY 2020","Currency=USD","Period=FY","BEST_FPERIOD_OVERRIDE=FY","FILING_STATUS=MR","Sort=A","Dates=H","DateFormat=P","Fill=—","Direction=H","UseDPDF=Y")</f>
        <v>4</v>
      </c>
      <c r="K125" s="13">
        <f>_xll.BDH("AVNT US Equity","SIZE_OF_COMPENSATION_COMMITTEE","FY 2021","FY 2021","Currency=USD","Period=FY","BEST_FPERIOD_OVERRIDE=FY","FILING_STATUS=MR","Sort=A","Dates=H","DateFormat=P","Fill=—","Direction=H","UseDPDF=Y")</f>
        <v>5</v>
      </c>
      <c r="L125" s="13">
        <f>_xll.BDH("AVNT US Equity","SIZE_OF_COMPENSATION_COMMITTEE","FY 2022","FY 2022","Currency=USD","Period=FY","BEST_FPERIOD_OVERRIDE=FY","FILING_STATUS=MR","Sort=A","Dates=H","DateFormat=P","Fill=—","Direction=H","UseDPDF=Y")</f>
        <v>5</v>
      </c>
    </row>
    <row r="126" spans="1:12">
      <c r="A126" s="10" t="s">
        <v>210</v>
      </c>
      <c r="B126" s="10" t="s">
        <v>211</v>
      </c>
      <c r="C126" s="13">
        <f>_xll.BDH("AVNT US Equity","NUM_IND_DIR_ON_CMPNSTN_CMTE","FY 2013","FY 2013","Currency=USD","Period=FY","BEST_FPERIOD_OVERRIDE=FY","FILING_STATUS=MR","Sort=A","Dates=H","DateFormat=P","Fill=—","Direction=H","UseDPDF=Y")</f>
        <v>5</v>
      </c>
      <c r="D126" s="13">
        <f>_xll.BDH("AVNT US Equity","NUM_IND_DIR_ON_CMPNSTN_CMTE","FY 2014","FY 2014","Currency=USD","Period=FY","BEST_FPERIOD_OVERRIDE=FY","FILING_STATUS=MR","Sort=A","Dates=H","DateFormat=P","Fill=—","Direction=H","UseDPDF=Y")</f>
        <v>5</v>
      </c>
      <c r="E126" s="13">
        <f>_xll.BDH("AVNT US Equity","NUM_IND_DIR_ON_CMPNSTN_CMTE","FY 2015","FY 2015","Currency=USD","Period=FY","BEST_FPERIOD_OVERRIDE=FY","FILING_STATUS=MR","Sort=A","Dates=H","DateFormat=P","Fill=—","Direction=H","UseDPDF=Y")</f>
        <v>4</v>
      </c>
      <c r="F126" s="13">
        <f>_xll.BDH("AVNT US Equity","NUM_IND_DIR_ON_CMPNSTN_CMTE","FY 2016","FY 2016","Currency=USD","Period=FY","BEST_FPERIOD_OVERRIDE=FY","FILING_STATUS=MR","Sort=A","Dates=H","DateFormat=P","Fill=—","Direction=H","UseDPDF=Y")</f>
        <v>4</v>
      </c>
      <c r="G126" s="13">
        <f>_xll.BDH("AVNT US Equity","NUM_IND_DIR_ON_CMPNSTN_CMTE","FY 2017","FY 2017","Currency=USD","Period=FY","BEST_FPERIOD_OVERRIDE=FY","FILING_STATUS=MR","Sort=A","Dates=H","DateFormat=P","Fill=—","Direction=H","UseDPDF=Y")</f>
        <v>4</v>
      </c>
      <c r="H126" s="13">
        <f>_xll.BDH("AVNT US Equity","NUM_IND_DIR_ON_CMPNSTN_CMTE","FY 2018","FY 2018","Currency=USD","Period=FY","BEST_FPERIOD_OVERRIDE=FY","FILING_STATUS=MR","Sort=A","Dates=H","DateFormat=P","Fill=—","Direction=H","UseDPDF=Y")</f>
        <v>4</v>
      </c>
      <c r="I126" s="13">
        <f>_xll.BDH("AVNT US Equity","NUM_IND_DIR_ON_CMPNSTN_CMTE","FY 2019","FY 2019","Currency=USD","Period=FY","BEST_FPERIOD_OVERRIDE=FY","FILING_STATUS=MR","Sort=A","Dates=H","DateFormat=P","Fill=—","Direction=H","UseDPDF=Y")</f>
        <v>4</v>
      </c>
      <c r="J126" s="13">
        <f>_xll.BDH("AVNT US Equity","NUM_IND_DIR_ON_CMPNSTN_CMTE","FY 2020","FY 2020","Currency=USD","Period=FY","BEST_FPERIOD_OVERRIDE=FY","FILING_STATUS=MR","Sort=A","Dates=H","DateFormat=P","Fill=—","Direction=H","UseDPDF=Y")</f>
        <v>4</v>
      </c>
      <c r="K126" s="13">
        <f>_xll.BDH("AVNT US Equity","NUM_IND_DIR_ON_CMPNSTN_CMTE","FY 2021","FY 2021","Currency=USD","Period=FY","BEST_FPERIOD_OVERRIDE=FY","FILING_STATUS=MR","Sort=A","Dates=H","DateFormat=P","Fill=—","Direction=H","UseDPDF=Y")</f>
        <v>5</v>
      </c>
      <c r="L126" s="13">
        <f>_xll.BDH("AVNT US Equity","NUM_IND_DIR_ON_CMPNSTN_CMTE","FY 2022","FY 2022","Currency=USD","Period=FY","BEST_FPERIOD_OVERRIDE=FY","FILING_STATUS=MR","Sort=A","Dates=H","DateFormat=P","Fill=—","Direction=H","UseDPDF=Y")</f>
        <v>5</v>
      </c>
    </row>
    <row r="127" spans="1:12">
      <c r="A127" s="10" t="s">
        <v>212</v>
      </c>
      <c r="B127" s="10" t="s">
        <v>213</v>
      </c>
      <c r="C127" s="13">
        <f>_xll.BDH("AVNT US Equity","NUM_COMPENSATION_CMTE_MTG","FY 2013","FY 2013","Currency=USD","Period=FY","BEST_FPERIOD_OVERRIDE=FY","FILING_STATUS=MR","Sort=A","Dates=H","DateFormat=P","Fill=—","Direction=H","UseDPDF=Y")</f>
        <v>6</v>
      </c>
      <c r="D127" s="13">
        <f>_xll.BDH("AVNT US Equity","NUM_COMPENSATION_CMTE_MTG","FY 2014","FY 2014","Currency=USD","Period=FY","BEST_FPERIOD_OVERRIDE=FY","FILING_STATUS=MR","Sort=A","Dates=H","DateFormat=P","Fill=—","Direction=H","UseDPDF=Y")</f>
        <v>6</v>
      </c>
      <c r="E127" s="13">
        <f>_xll.BDH("AVNT US Equity","NUM_COMPENSATION_CMTE_MTG","FY 2015","FY 2015","Currency=USD","Period=FY","BEST_FPERIOD_OVERRIDE=FY","FILING_STATUS=MR","Sort=A","Dates=H","DateFormat=P","Fill=—","Direction=H","UseDPDF=Y")</f>
        <v>5</v>
      </c>
      <c r="F127" s="13">
        <f>_xll.BDH("AVNT US Equity","NUM_COMPENSATION_CMTE_MTG","FY 2016","FY 2016","Currency=USD","Period=FY","BEST_FPERIOD_OVERRIDE=FY","FILING_STATUS=MR","Sort=A","Dates=H","DateFormat=P","Fill=—","Direction=H","UseDPDF=Y")</f>
        <v>5</v>
      </c>
      <c r="G127" s="13">
        <f>_xll.BDH("AVNT US Equity","NUM_COMPENSATION_CMTE_MTG","FY 2017","FY 2017","Currency=USD","Period=FY","BEST_FPERIOD_OVERRIDE=FY","FILING_STATUS=MR","Sort=A","Dates=H","DateFormat=P","Fill=—","Direction=H","UseDPDF=Y")</f>
        <v>5</v>
      </c>
      <c r="H127" s="13">
        <f>_xll.BDH("AVNT US Equity","NUM_COMPENSATION_CMTE_MTG","FY 2018","FY 2018","Currency=USD","Period=FY","BEST_FPERIOD_OVERRIDE=FY","FILING_STATUS=MR","Sort=A","Dates=H","DateFormat=P","Fill=—","Direction=H","UseDPDF=Y")</f>
        <v>5</v>
      </c>
      <c r="I127" s="13">
        <f>_xll.BDH("AVNT US Equity","NUM_COMPENSATION_CMTE_MTG","FY 2019","FY 2019","Currency=USD","Period=FY","BEST_FPERIOD_OVERRIDE=FY","FILING_STATUS=MR","Sort=A","Dates=H","DateFormat=P","Fill=—","Direction=H","UseDPDF=Y")</f>
        <v>5</v>
      </c>
      <c r="J127" s="13">
        <f>_xll.BDH("AVNT US Equity","NUM_COMPENSATION_CMTE_MTG","FY 2020","FY 2020","Currency=USD","Period=FY","BEST_FPERIOD_OVERRIDE=FY","FILING_STATUS=MR","Sort=A","Dates=H","DateFormat=P","Fill=—","Direction=H","UseDPDF=Y")</f>
        <v>7</v>
      </c>
      <c r="K127" s="13">
        <f>_xll.BDH("AVNT US Equity","NUM_COMPENSATION_CMTE_MTG","FY 2021","FY 2021","Currency=USD","Period=FY","BEST_FPERIOD_OVERRIDE=FY","FILING_STATUS=MR","Sort=A","Dates=H","DateFormat=P","Fill=—","Direction=H","UseDPDF=Y")</f>
        <v>5</v>
      </c>
      <c r="L127" s="13">
        <f>_xll.BDH("AVNT US Equity","NUM_COMPENSATION_CMTE_MTG","FY 2022","FY 2022","Currency=USD","Period=FY","BEST_FPERIOD_OVERRIDE=FY","FILING_STATUS=MR","Sort=A","Dates=H","DateFormat=P","Fill=—","Direction=H","UseDPDF=Y")</f>
        <v>5</v>
      </c>
    </row>
    <row r="128" spans="1:12">
      <c r="A128" s="10" t="s">
        <v>214</v>
      </c>
      <c r="B128" s="10" t="s">
        <v>215</v>
      </c>
      <c r="C128" s="13">
        <f>_xll.BDH("AVNT US Equity","COMPENSATION_CMTE_MTG_ATTEND_PCT","FY 2013","FY 2013","Currency=USD","Period=FY","BEST_FPERIOD_OVERRIDE=FY","FILING_STATUS=MR","Sort=A","Dates=H","DateFormat=P","Fill=—","Direction=H","UseDPDF=Y")</f>
        <v>75</v>
      </c>
      <c r="D128" s="13">
        <f>_xll.BDH("AVNT US Equity","COMPENSATION_CMTE_MTG_ATTEND_PCT","FY 2014","FY 2014","Currency=USD","Period=FY","BEST_FPERIOD_OVERRIDE=FY","FILING_STATUS=MR","Sort=A","Dates=H","DateFormat=P","Fill=—","Direction=H","UseDPDF=Y")</f>
        <v>75</v>
      </c>
      <c r="E128" s="13">
        <f>_xll.BDH("AVNT US Equity","COMPENSATION_CMTE_MTG_ATTEND_PCT","FY 2015","FY 2015","Currency=USD","Period=FY","BEST_FPERIOD_OVERRIDE=FY","FILING_STATUS=MR","Sort=A","Dates=H","DateFormat=P","Fill=—","Direction=H","UseDPDF=Y")</f>
        <v>75</v>
      </c>
      <c r="F128" s="13">
        <f>_xll.BDH("AVNT US Equity","COMPENSATION_CMTE_MTG_ATTEND_PCT","FY 2016","FY 2016","Currency=USD","Period=FY","BEST_FPERIOD_OVERRIDE=FY","FILING_STATUS=MR","Sort=A","Dates=H","DateFormat=P","Fill=—","Direction=H","UseDPDF=Y")</f>
        <v>75</v>
      </c>
      <c r="G128" s="13">
        <f>_xll.BDH("AVNT US Equity","COMPENSATION_CMTE_MTG_ATTEND_PCT","FY 2017","FY 2017","Currency=USD","Period=FY","BEST_FPERIOD_OVERRIDE=FY","FILING_STATUS=MR","Sort=A","Dates=H","DateFormat=P","Fill=—","Direction=H","UseDPDF=Y")</f>
        <v>75</v>
      </c>
      <c r="H128" s="13">
        <f>_xll.BDH("AVNT US Equity","COMPENSATION_CMTE_MTG_ATTEND_PCT","FY 2018","FY 2018","Currency=USD","Period=FY","BEST_FPERIOD_OVERRIDE=FY","FILING_STATUS=MR","Sort=A","Dates=H","DateFormat=P","Fill=—","Direction=H","UseDPDF=Y")</f>
        <v>75</v>
      </c>
      <c r="I128" s="13">
        <f>_xll.BDH("AVNT US Equity","COMPENSATION_CMTE_MTG_ATTEND_PCT","FY 2019","FY 2019","Currency=USD","Period=FY","BEST_FPERIOD_OVERRIDE=FY","FILING_STATUS=MR","Sort=A","Dates=H","DateFormat=P","Fill=—","Direction=H","UseDPDF=Y")</f>
        <v>75</v>
      </c>
      <c r="J128" s="13">
        <f>_xll.BDH("AVNT US Equity","COMPENSATION_CMTE_MTG_ATTEND_PCT","FY 2020","FY 2020","Currency=USD","Period=FY","BEST_FPERIOD_OVERRIDE=FY","FILING_STATUS=MR","Sort=A","Dates=H","DateFormat=P","Fill=—","Direction=H","UseDPDF=Y")</f>
        <v>75</v>
      </c>
      <c r="K128" s="13">
        <f>_xll.BDH("AVNT US Equity","COMPENSATION_CMTE_MTG_ATTEND_PCT","FY 2021","FY 2021","Currency=USD","Period=FY","BEST_FPERIOD_OVERRIDE=FY","FILING_STATUS=MR","Sort=A","Dates=H","DateFormat=P","Fill=—","Direction=H","UseDPDF=Y")</f>
        <v>75</v>
      </c>
      <c r="L128" s="13">
        <f>_xll.BDH("AVNT US Equity","COMPENSATION_CMTE_MTG_ATTEND_PCT","FY 2022","FY 2022","Currency=USD","Period=FY","BEST_FPERIOD_OVERRIDE=FY","FILING_STATUS=MR","Sort=A","Dates=H","DateFormat=P","Fill=—","Direction=H","UseDPDF=Y")</f>
        <v>75</v>
      </c>
    </row>
    <row r="129" spans="1:12">
      <c r="A129" s="10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spans="1:12">
      <c r="A130" s="10" t="s">
        <v>132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spans="1:12">
      <c r="A131" s="10" t="s">
        <v>216</v>
      </c>
      <c r="B131" s="10" t="s">
        <v>217</v>
      </c>
      <c r="C131" s="13">
        <f>_xll.BDH("AVNT US Equity","NUMBER_OF_FEMALE_EXECUTIVES","FY 2013","FY 2013","Currency=USD","Period=FY","BEST_FPERIOD_OVERRIDE=FY","FILING_STATUS=MR","Sort=A","Dates=H","DateFormat=P","Fill=—","Direction=H","UseDPDF=Y")</f>
        <v>1</v>
      </c>
      <c r="D131" s="13">
        <f>_xll.BDH("AVNT US Equity","NUMBER_OF_FEMALE_EXECUTIVES","FY 2014","FY 2014","Currency=USD","Period=FY","BEST_FPERIOD_OVERRIDE=FY","FILING_STATUS=MR","Sort=A","Dates=H","DateFormat=P","Fill=—","Direction=H","UseDPDF=Y")</f>
        <v>2</v>
      </c>
      <c r="E131" s="13">
        <f>_xll.BDH("AVNT US Equity","NUMBER_OF_FEMALE_EXECUTIVES","FY 2015","FY 2015","Currency=USD","Period=FY","BEST_FPERIOD_OVERRIDE=FY","FILING_STATUS=MR","Sort=A","Dates=H","DateFormat=P","Fill=—","Direction=H","UseDPDF=Y")</f>
        <v>2</v>
      </c>
      <c r="F131" s="13">
        <f>_xll.BDH("AVNT US Equity","NUMBER_OF_FEMALE_EXECUTIVES","FY 2016","FY 2016","Currency=USD","Period=FY","BEST_FPERIOD_OVERRIDE=FY","FILING_STATUS=MR","Sort=A","Dates=H","DateFormat=P","Fill=—","Direction=H","UseDPDF=Y")</f>
        <v>1</v>
      </c>
      <c r="G131" s="13">
        <f>_xll.BDH("AVNT US Equity","NUMBER_OF_FEMALE_EXECUTIVES","FY 2017","FY 2017","Currency=USD","Period=FY","BEST_FPERIOD_OVERRIDE=FY","FILING_STATUS=MR","Sort=A","Dates=H","DateFormat=P","Fill=—","Direction=H","UseDPDF=Y")</f>
        <v>1</v>
      </c>
      <c r="H131" s="13">
        <f>_xll.BDH("AVNT US Equity","NUMBER_OF_FEMALE_EXECUTIVES","FY 2018","FY 2018","Currency=USD","Period=FY","BEST_FPERIOD_OVERRIDE=FY","FILING_STATUS=MR","Sort=A","Dates=H","DateFormat=P","Fill=—","Direction=H","UseDPDF=Y")</f>
        <v>1</v>
      </c>
      <c r="I131" s="13">
        <f>_xll.BDH("AVNT US Equity","NUMBER_OF_FEMALE_EXECUTIVES","FY 2019","FY 2019","Currency=USD","Period=FY","BEST_FPERIOD_OVERRIDE=FY","FILING_STATUS=MR","Sort=A","Dates=H","DateFormat=P","Fill=—","Direction=H","UseDPDF=Y")</f>
        <v>1</v>
      </c>
      <c r="J131" s="13">
        <f>_xll.BDH("AVNT US Equity","NUMBER_OF_FEMALE_EXECUTIVES","FY 2020","FY 2020","Currency=USD","Period=FY","BEST_FPERIOD_OVERRIDE=FY","FILING_STATUS=MR","Sort=A","Dates=H","DateFormat=P","Fill=—","Direction=H","UseDPDF=Y")</f>
        <v>3</v>
      </c>
      <c r="K131" s="13">
        <f>_xll.BDH("AVNT US Equity","NUMBER_OF_FEMALE_EXECUTIVES","FY 2021","FY 2021","Currency=USD","Period=FY","BEST_FPERIOD_OVERRIDE=FY","FILING_STATUS=MR","Sort=A","Dates=H","DateFormat=P","Fill=—","Direction=H","UseDPDF=Y")</f>
        <v>3</v>
      </c>
      <c r="L131" s="13">
        <f>_xll.BDH("AVNT US Equity","NUMBER_OF_FEMALE_EXECUTIVES","FY 2022","FY 2022","Currency=USD","Period=FY","BEST_FPERIOD_OVERRIDE=FY","FILING_STATUS=MR","Sort=A","Dates=H","DateFormat=P","Fill=—","Direction=H","UseDPDF=Y")</f>
        <v>3</v>
      </c>
    </row>
    <row r="132" spans="1:12">
      <c r="A132" s="10" t="s">
        <v>218</v>
      </c>
      <c r="B132" s="10" t="s">
        <v>219</v>
      </c>
      <c r="C132" s="13">
        <f>_xll.BDH("AVNT US Equity","NUMBER_OF_WOMEN_ON_BOARD","FY 2013","FY 2013","Currency=USD","Period=FY","BEST_FPERIOD_OVERRIDE=FY","FILING_STATUS=MR","Sort=A","Dates=H","DateFormat=P","Fill=—","Direction=H","UseDPDF=Y")</f>
        <v>2</v>
      </c>
      <c r="D132" s="13">
        <f>_xll.BDH("AVNT US Equity","NUMBER_OF_WOMEN_ON_BOARD","FY 2014","FY 2014","Currency=USD","Period=FY","BEST_FPERIOD_OVERRIDE=FY","FILING_STATUS=MR","Sort=A","Dates=H","DateFormat=P","Fill=—","Direction=H","UseDPDF=Y")</f>
        <v>2</v>
      </c>
      <c r="E132" s="13">
        <f>_xll.BDH("AVNT US Equity","NUMBER_OF_WOMEN_ON_BOARD","FY 2015","FY 2015","Currency=USD","Period=FY","BEST_FPERIOD_OVERRIDE=FY","FILING_STATUS=MR","Sort=A","Dates=H","DateFormat=P","Fill=—","Direction=H","UseDPDF=Y")</f>
        <v>2</v>
      </c>
      <c r="F132" s="13">
        <f>_xll.BDH("AVNT US Equity","NUMBER_OF_WOMEN_ON_BOARD","FY 2016","FY 2016","Currency=USD","Period=FY","BEST_FPERIOD_OVERRIDE=FY","FILING_STATUS=MR","Sort=A","Dates=H","DateFormat=P","Fill=—","Direction=H","UseDPDF=Y")</f>
        <v>2</v>
      </c>
      <c r="G132" s="13">
        <f>_xll.BDH("AVNT US Equity","NUMBER_OF_WOMEN_ON_BOARD","FY 2017","FY 2017","Currency=USD","Period=FY","BEST_FPERIOD_OVERRIDE=FY","FILING_STATUS=MR","Sort=A","Dates=H","DateFormat=P","Fill=—","Direction=H","UseDPDF=Y")</f>
        <v>2</v>
      </c>
      <c r="H132" s="13">
        <f>_xll.BDH("AVNT US Equity","NUMBER_OF_WOMEN_ON_BOARD","FY 2018","FY 2018","Currency=USD","Period=FY","BEST_FPERIOD_OVERRIDE=FY","FILING_STATUS=MR","Sort=A","Dates=H","DateFormat=P","Fill=—","Direction=H","UseDPDF=Y")</f>
        <v>2</v>
      </c>
      <c r="I132" s="13">
        <f>_xll.BDH("AVNT US Equity","NUMBER_OF_WOMEN_ON_BOARD","FY 2019","FY 2019","Currency=USD","Period=FY","BEST_FPERIOD_OVERRIDE=FY","FILING_STATUS=MR","Sort=A","Dates=H","DateFormat=P","Fill=—","Direction=H","UseDPDF=Y")</f>
        <v>3</v>
      </c>
      <c r="J132" s="13">
        <f>_xll.BDH("AVNT US Equity","NUMBER_OF_WOMEN_ON_BOARD","FY 2020","FY 2020","Currency=USD","Period=FY","BEST_FPERIOD_OVERRIDE=FY","FILING_STATUS=MR","Sort=A","Dates=H","DateFormat=P","Fill=—","Direction=H","UseDPDF=Y")</f>
        <v>3</v>
      </c>
      <c r="K132" s="13">
        <f>_xll.BDH("AVNT US Equity","NUMBER_OF_WOMEN_ON_BOARD","FY 2021","FY 2021","Currency=USD","Period=FY","BEST_FPERIOD_OVERRIDE=FY","FILING_STATUS=MR","Sort=A","Dates=H","DateFormat=P","Fill=—","Direction=H","UseDPDF=Y")</f>
        <v>3</v>
      </c>
      <c r="L132" s="13">
        <f>_xll.BDH("AVNT US Equity","NUMBER_OF_WOMEN_ON_BOARD","FY 2022","FY 2022","Currency=USD","Period=FY","BEST_FPERIOD_OVERRIDE=FY","FILING_STATUS=MR","Sort=A","Dates=H","DateFormat=P","Fill=—","Direction=H","UseDPDF=Y")</f>
        <v>3</v>
      </c>
    </row>
    <row r="133" spans="1:12">
      <c r="A133" s="10" t="s">
        <v>220</v>
      </c>
      <c r="B133" s="10" t="s">
        <v>221</v>
      </c>
      <c r="C133" s="13">
        <f>_xll.BDH("AVNT US Equity","BOARD_AGE_LIMIT","FY 2013","FY 2013","Currency=USD","Period=FY","BEST_FPERIOD_OVERRIDE=FY","FILING_STATUS=MR","Sort=A","Dates=H","DateFormat=P","Fill=—","Direction=H","UseDPDF=Y")</f>
        <v>72</v>
      </c>
      <c r="D133" s="13">
        <f>_xll.BDH("AVNT US Equity","BOARD_AGE_LIMIT","FY 2014","FY 2014","Currency=USD","Period=FY","BEST_FPERIOD_OVERRIDE=FY","FILING_STATUS=MR","Sort=A","Dates=H","DateFormat=P","Fill=—","Direction=H","UseDPDF=Y")</f>
        <v>72</v>
      </c>
      <c r="E133" s="13">
        <f>_xll.BDH("AVNT US Equity","BOARD_AGE_LIMIT","FY 2015","FY 2015","Currency=USD","Period=FY","BEST_FPERIOD_OVERRIDE=FY","FILING_STATUS=MR","Sort=A","Dates=H","DateFormat=P","Fill=—","Direction=H","UseDPDF=Y")</f>
        <v>72</v>
      </c>
      <c r="F133" s="13">
        <f>_xll.BDH("AVNT US Equity","BOARD_AGE_LIMIT","FY 2016","FY 2016","Currency=USD","Period=FY","BEST_FPERIOD_OVERRIDE=FY","FILING_STATUS=MR","Sort=A","Dates=H","DateFormat=P","Fill=—","Direction=H","UseDPDF=Y")</f>
        <v>72</v>
      </c>
      <c r="G133" s="13">
        <f>_xll.BDH("AVNT US Equity","BOARD_AGE_LIMIT","FY 2017","FY 2017","Currency=USD","Period=FY","BEST_FPERIOD_OVERRIDE=FY","FILING_STATUS=MR","Sort=A","Dates=H","DateFormat=P","Fill=—","Direction=H","UseDPDF=Y")</f>
        <v>72</v>
      </c>
      <c r="H133" s="13">
        <f>_xll.BDH("AVNT US Equity","BOARD_AGE_LIMIT","FY 2018","FY 2018","Currency=USD","Period=FY","BEST_FPERIOD_OVERRIDE=FY","FILING_STATUS=MR","Sort=A","Dates=H","DateFormat=P","Fill=—","Direction=H","UseDPDF=Y")</f>
        <v>72</v>
      </c>
      <c r="I133" s="13">
        <f>_xll.BDH("AVNT US Equity","BOARD_AGE_LIMIT","FY 2019","FY 2019","Currency=USD","Period=FY","BEST_FPERIOD_OVERRIDE=FY","FILING_STATUS=MR","Sort=A","Dates=H","DateFormat=P","Fill=—","Direction=H","UseDPDF=Y")</f>
        <v>72</v>
      </c>
      <c r="J133" s="13">
        <f>_xll.BDH("AVNT US Equity","BOARD_AGE_LIMIT","FY 2020","FY 2020","Currency=USD","Period=FY","BEST_FPERIOD_OVERRIDE=FY","FILING_STATUS=MR","Sort=A","Dates=H","DateFormat=P","Fill=—","Direction=H","UseDPDF=Y")</f>
        <v>72</v>
      </c>
      <c r="K133" s="13">
        <f>_xll.BDH("AVNT US Equity","BOARD_AGE_LIMIT","FY 2021","FY 2021","Currency=USD","Period=FY","BEST_FPERIOD_OVERRIDE=FY","FILING_STATUS=MR","Sort=A","Dates=H","DateFormat=P","Fill=—","Direction=H","UseDPDF=Y")</f>
        <v>72</v>
      </c>
      <c r="L133" s="13">
        <f>_xll.BDH("AVNT US Equity","BOARD_AGE_LIMIT","FY 2022","FY 2022","Currency=USD","Period=FY","BEST_FPERIOD_OVERRIDE=FY","FILING_STATUS=MR","Sort=A","Dates=H","DateFormat=P","Fill=—","Direction=H","UseDPDF=Y")</f>
        <v>72</v>
      </c>
    </row>
    <row r="134" spans="1:12">
      <c r="A134" s="10" t="s">
        <v>222</v>
      </c>
      <c r="B134" s="10" t="s">
        <v>223</v>
      </c>
      <c r="C134" s="13">
        <f>_xll.BDH("AVNT US Equity","AGE_OF_YOUNGEST_DIRECTOR","FY 2013","FY 2013","Currency=USD","Period=FY","BEST_FPERIOD_OVERRIDE=FY","FILING_STATUS=MR","Sort=A","Dates=H","DateFormat=P","Fill=—","Direction=H","UseDPDF=Y")</f>
        <v>52</v>
      </c>
      <c r="D134" s="13">
        <f>_xll.BDH("AVNT US Equity","AGE_OF_YOUNGEST_DIRECTOR","FY 2014","FY 2014","Currency=USD","Period=FY","BEST_FPERIOD_OVERRIDE=FY","FILING_STATUS=MR","Sort=A","Dates=H","DateFormat=P","Fill=—","Direction=H","UseDPDF=Y")</f>
        <v>42</v>
      </c>
      <c r="E134" s="13">
        <f>_xll.BDH("AVNT US Equity","AGE_OF_YOUNGEST_DIRECTOR","FY 2015","FY 2015","Currency=USD","Period=FY","BEST_FPERIOD_OVERRIDE=FY","FILING_STATUS=MR","Sort=A","Dates=H","DateFormat=P","Fill=—","Direction=H","UseDPDF=Y")</f>
        <v>43</v>
      </c>
      <c r="F134" s="13">
        <f>_xll.BDH("AVNT US Equity","AGE_OF_YOUNGEST_DIRECTOR","FY 2016","FY 2016","Currency=USD","Period=FY","BEST_FPERIOD_OVERRIDE=FY","FILING_STATUS=MR","Sort=A","Dates=H","DateFormat=P","Fill=—","Direction=H","UseDPDF=Y")</f>
        <v>44</v>
      </c>
      <c r="G134" s="13">
        <f>_xll.BDH("AVNT US Equity","AGE_OF_YOUNGEST_DIRECTOR","FY 2017","FY 2017","Currency=USD","Period=FY","BEST_FPERIOD_OVERRIDE=FY","FILING_STATUS=MR","Sort=A","Dates=H","DateFormat=P","Fill=—","Direction=H","UseDPDF=Y")</f>
        <v>45</v>
      </c>
      <c r="H134" s="13">
        <f>_xll.BDH("AVNT US Equity","AGE_OF_YOUNGEST_DIRECTOR","FY 2018","FY 2018","Currency=USD","Period=FY","BEST_FPERIOD_OVERRIDE=FY","FILING_STATUS=MR","Sort=A","Dates=H","DateFormat=P","Fill=—","Direction=H","UseDPDF=Y")</f>
        <v>46</v>
      </c>
      <c r="I134" s="13">
        <f>_xll.BDH("AVNT US Equity","AGE_OF_YOUNGEST_DIRECTOR","FY 2019","FY 2019","Currency=USD","Period=FY","BEST_FPERIOD_OVERRIDE=FY","FILING_STATUS=MR","Sort=A","Dates=H","DateFormat=P","Fill=—","Direction=H","UseDPDF=Y")</f>
        <v>47</v>
      </c>
      <c r="J134" s="13">
        <f>_xll.BDH("AVNT US Equity","AGE_OF_YOUNGEST_DIRECTOR","FY 2020","FY 2020","Currency=USD","Period=FY","BEST_FPERIOD_OVERRIDE=FY","FILING_STATUS=MR","Sort=A","Dates=H","DateFormat=P","Fill=—","Direction=H","UseDPDF=Y")</f>
        <v>48</v>
      </c>
      <c r="K134" s="13">
        <f>_xll.BDH("AVNT US Equity","AGE_OF_YOUNGEST_DIRECTOR","FY 2021","FY 2021","Currency=USD","Period=FY","BEST_FPERIOD_OVERRIDE=FY","FILING_STATUS=MR","Sort=A","Dates=H","DateFormat=P","Fill=—","Direction=H","UseDPDF=Y")</f>
        <v>44</v>
      </c>
      <c r="L134" s="13">
        <f>_xll.BDH("AVNT US Equity","AGE_OF_YOUNGEST_DIRECTOR","FY 2022","FY 2022","Currency=USD","Period=FY","BEST_FPERIOD_OVERRIDE=FY","FILING_STATUS=MR","Sort=A","Dates=H","DateFormat=P","Fill=—","Direction=H","UseDPDF=Y")</f>
        <v>45</v>
      </c>
    </row>
    <row r="135" spans="1:12">
      <c r="A135" s="10" t="s">
        <v>224</v>
      </c>
      <c r="B135" s="10" t="s">
        <v>225</v>
      </c>
      <c r="C135" s="13">
        <f>_xll.BDH("AVNT US Equity","AGE_OF_OLDEST_DIRECTOR","FY 2013","FY 2013","Currency=USD","Period=FY","BEST_FPERIOD_OVERRIDE=FY","FILING_STATUS=MR","Sort=A","Dates=H","DateFormat=P","Fill=—","Direction=H","UseDPDF=Y")</f>
        <v>72</v>
      </c>
      <c r="D135" s="13">
        <f>_xll.BDH("AVNT US Equity","AGE_OF_OLDEST_DIRECTOR","FY 2014","FY 2014","Currency=USD","Period=FY","BEST_FPERIOD_OVERRIDE=FY","FILING_STATUS=MR","Sort=A","Dates=H","DateFormat=P","Fill=—","Direction=H","UseDPDF=Y")</f>
        <v>72</v>
      </c>
      <c r="E135" s="13">
        <f>_xll.BDH("AVNT US Equity","AGE_OF_OLDEST_DIRECTOR","FY 2015","FY 2015","Currency=USD","Period=FY","BEST_FPERIOD_OVERRIDE=FY","FILING_STATUS=MR","Sort=A","Dates=H","DateFormat=P","Fill=—","Direction=H","UseDPDF=Y")</f>
        <v>71</v>
      </c>
      <c r="F135" s="13">
        <f>_xll.BDH("AVNT US Equity","AGE_OF_OLDEST_DIRECTOR","FY 2016","FY 2016","Currency=USD","Period=FY","BEST_FPERIOD_OVERRIDE=FY","FILING_STATUS=MR","Sort=A","Dates=H","DateFormat=P","Fill=—","Direction=H","UseDPDF=Y")</f>
        <v>72</v>
      </c>
      <c r="G135" s="13">
        <f>_xll.BDH("AVNT US Equity","AGE_OF_OLDEST_DIRECTOR","FY 2017","FY 2017","Currency=USD","Period=FY","BEST_FPERIOD_OVERRIDE=FY","FILING_STATUS=MR","Sort=A","Dates=H","DateFormat=P","Fill=—","Direction=H","UseDPDF=Y")</f>
        <v>72</v>
      </c>
      <c r="H135" s="13">
        <f>_xll.BDH("AVNT US Equity","AGE_OF_OLDEST_DIRECTOR","FY 2018","FY 2018","Currency=USD","Period=FY","BEST_FPERIOD_OVERRIDE=FY","FILING_STATUS=MR","Sort=A","Dates=H","DateFormat=P","Fill=—","Direction=H","UseDPDF=Y")</f>
        <v>73</v>
      </c>
      <c r="I135" s="13">
        <f>_xll.BDH("AVNT US Equity","AGE_OF_OLDEST_DIRECTOR","FY 2019","FY 2019","Currency=USD","Period=FY","BEST_FPERIOD_OVERRIDE=FY","FILING_STATUS=MR","Sort=A","Dates=H","DateFormat=P","Fill=—","Direction=H","UseDPDF=Y")</f>
        <v>65</v>
      </c>
      <c r="J135" s="13">
        <f>_xll.BDH("AVNT US Equity","AGE_OF_OLDEST_DIRECTOR","FY 2020","FY 2020","Currency=USD","Period=FY","BEST_FPERIOD_OVERRIDE=FY","FILING_STATUS=MR","Sort=A","Dates=H","DateFormat=P","Fill=—","Direction=H","UseDPDF=Y")</f>
        <v>66</v>
      </c>
      <c r="K135" s="13">
        <f>_xll.BDH("AVNT US Equity","AGE_OF_OLDEST_DIRECTOR","FY 2021","FY 2021","Currency=USD","Period=FY","BEST_FPERIOD_OVERRIDE=FY","FILING_STATUS=MR","Sort=A","Dates=H","DateFormat=P","Fill=—","Direction=H","UseDPDF=Y")</f>
        <v>67</v>
      </c>
      <c r="L135" s="13">
        <f>_xll.BDH("AVNT US Equity","AGE_OF_OLDEST_DIRECTOR","FY 2022","FY 2022","Currency=USD","Period=FY","BEST_FPERIOD_OVERRIDE=FY","FILING_STATUS=MR","Sort=A","Dates=H","DateFormat=P","Fill=—","Direction=H","UseDPDF=Y")</f>
        <v>68</v>
      </c>
    </row>
    <row r="136" spans="1:1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spans="1:12">
      <c r="A137" s="10" t="s">
        <v>226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spans="1:12">
      <c r="A138" s="10" t="s">
        <v>227</v>
      </c>
      <c r="B138" s="10" t="s">
        <v>228</v>
      </c>
      <c r="C138" s="13">
        <f>_xll.BDH("AVNT US Equity","INDEPENDENT_DIRECTORS","FY 2013","FY 2013","Currency=USD","Period=FY","BEST_FPERIOD_OVERRIDE=FY","FILING_STATUS=MR","Sort=A","Dates=H","DateFormat=P","Fill=—","Direction=H","UseDPDF=Y")</f>
        <v>10</v>
      </c>
      <c r="D138" s="13">
        <f>_xll.BDH("AVNT US Equity","INDEPENDENT_DIRECTORS","FY 2014","FY 2014","Currency=USD","Period=FY","BEST_FPERIOD_OVERRIDE=FY","FILING_STATUS=MR","Sort=A","Dates=H","DateFormat=P","Fill=—","Direction=H","UseDPDF=Y")</f>
        <v>9</v>
      </c>
      <c r="E138" s="13">
        <f>_xll.BDH("AVNT US Equity","INDEPENDENT_DIRECTORS","FY 2015","FY 2015","Currency=USD","Period=FY","BEST_FPERIOD_OVERRIDE=FY","FILING_STATUS=MR","Sort=A","Dates=H","DateFormat=P","Fill=—","Direction=H","UseDPDF=Y")</f>
        <v>9</v>
      </c>
      <c r="F138" s="13">
        <f>_xll.BDH("AVNT US Equity","INDEPENDENT_DIRECTORS","FY 2016","FY 2016","Currency=USD","Period=FY","BEST_FPERIOD_OVERRIDE=FY","FILING_STATUS=MR","Sort=A","Dates=H","DateFormat=P","Fill=—","Direction=H","UseDPDF=Y")</f>
        <v>9</v>
      </c>
      <c r="G138" s="13">
        <f>_xll.BDH("AVNT US Equity","INDEPENDENT_DIRECTORS","FY 2017","FY 2017","Currency=USD","Period=FY","BEST_FPERIOD_OVERRIDE=FY","FILING_STATUS=MR","Sort=A","Dates=H","DateFormat=P","Fill=—","Direction=H","UseDPDF=Y")</f>
        <v>9</v>
      </c>
      <c r="H138" s="13">
        <f>_xll.BDH("AVNT US Equity","INDEPENDENT_DIRECTORS","FY 2018","FY 2018","Currency=USD","Period=FY","BEST_FPERIOD_OVERRIDE=FY","FILING_STATUS=MR","Sort=A","Dates=H","DateFormat=P","Fill=—","Direction=H","UseDPDF=Y")</f>
        <v>9</v>
      </c>
      <c r="I138" s="13">
        <f>_xll.BDH("AVNT US Equity","INDEPENDENT_DIRECTORS","FY 2019","FY 2019","Currency=USD","Period=FY","BEST_FPERIOD_OVERRIDE=FY","FILING_STATUS=MR","Sort=A","Dates=H","DateFormat=P","Fill=—","Direction=H","UseDPDF=Y")</f>
        <v>9</v>
      </c>
      <c r="J138" s="13">
        <f>_xll.BDH("AVNT US Equity","INDEPENDENT_DIRECTORS","FY 2020","FY 2020","Currency=USD","Period=FY","BEST_FPERIOD_OVERRIDE=FY","FILING_STATUS=MR","Sort=A","Dates=H","DateFormat=P","Fill=—","Direction=H","UseDPDF=Y")</f>
        <v>9</v>
      </c>
      <c r="K138" s="13">
        <f>_xll.BDH("AVNT US Equity","INDEPENDENT_DIRECTORS","FY 2021","FY 2021","Currency=USD","Period=FY","BEST_FPERIOD_OVERRIDE=FY","FILING_STATUS=MR","Sort=A","Dates=H","DateFormat=P","Fill=—","Direction=H","UseDPDF=Y")</f>
        <v>11</v>
      </c>
      <c r="L138" s="13">
        <f>_xll.BDH("AVNT US Equity","INDEPENDENT_DIRECTORS","FY 2022","FY 2022","Currency=USD","Period=FY","BEST_FPERIOD_OVERRIDE=FY","FILING_STATUS=MR","Sort=A","Dates=H","DateFormat=P","Fill=—","Direction=H","UseDPDF=Y")</f>
        <v>11</v>
      </c>
    </row>
    <row r="139" spans="1:1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spans="1:12">
      <c r="A140" s="10" t="s">
        <v>229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spans="1:12">
      <c r="A141" s="10" t="s">
        <v>230</v>
      </c>
      <c r="B141" s="10" t="s">
        <v>231</v>
      </c>
      <c r="C141" s="13">
        <f>_xll.BDH("AVNT US Equity","SIZE_OF_NOMINATION_COMMITTEE","FY 2013","FY 2013","Currency=USD","Period=FY","BEST_FPERIOD_OVERRIDE=FY","FILING_STATUS=MR","Sort=A","Dates=H","DateFormat=P","Fill=—","Direction=H","UseDPDF=Y")</f>
        <v>6</v>
      </c>
      <c r="D141" s="13">
        <f>_xll.BDH("AVNT US Equity","SIZE_OF_NOMINATION_COMMITTEE","FY 2014","FY 2014","Currency=USD","Period=FY","BEST_FPERIOD_OVERRIDE=FY","FILING_STATUS=MR","Sort=A","Dates=H","DateFormat=P","Fill=—","Direction=H","UseDPDF=Y")</f>
        <v>5</v>
      </c>
      <c r="E141" s="13">
        <f>_xll.BDH("AVNT US Equity","SIZE_OF_NOMINATION_COMMITTEE","FY 2015","FY 2015","Currency=USD","Period=FY","BEST_FPERIOD_OVERRIDE=FY","FILING_STATUS=MR","Sort=A","Dates=H","DateFormat=P","Fill=—","Direction=H","UseDPDF=Y")</f>
        <v>4</v>
      </c>
      <c r="F141" s="13">
        <f>_xll.BDH("AVNT US Equity","SIZE_OF_NOMINATION_COMMITTEE","FY 2016","FY 2016","Currency=USD","Period=FY","BEST_FPERIOD_OVERRIDE=FY","FILING_STATUS=MR","Sort=A","Dates=H","DateFormat=P","Fill=—","Direction=H","UseDPDF=Y")</f>
        <v>4</v>
      </c>
      <c r="G141" s="13">
        <f>_xll.BDH("AVNT US Equity","SIZE_OF_NOMINATION_COMMITTEE","FY 2017","FY 2017","Currency=USD","Period=FY","BEST_FPERIOD_OVERRIDE=FY","FILING_STATUS=MR","Sort=A","Dates=H","DateFormat=P","Fill=—","Direction=H","UseDPDF=Y")</f>
        <v>4</v>
      </c>
      <c r="H141" s="13">
        <f>_xll.BDH("AVNT US Equity","SIZE_OF_NOMINATION_COMMITTEE","FY 2018","FY 2018","Currency=USD","Period=FY","BEST_FPERIOD_OVERRIDE=FY","FILING_STATUS=MR","Sort=A","Dates=H","DateFormat=P","Fill=—","Direction=H","UseDPDF=Y")</f>
        <v>4</v>
      </c>
      <c r="I141" s="13">
        <f>_xll.BDH("AVNT US Equity","SIZE_OF_NOMINATION_COMMITTEE","FY 2019","FY 2019","Currency=USD","Period=FY","BEST_FPERIOD_OVERRIDE=FY","FILING_STATUS=MR","Sort=A","Dates=H","DateFormat=P","Fill=—","Direction=H","UseDPDF=Y")</f>
        <v>5</v>
      </c>
      <c r="J141" s="13">
        <f>_xll.BDH("AVNT US Equity","SIZE_OF_NOMINATION_COMMITTEE","FY 2020","FY 2020","Currency=USD","Period=FY","BEST_FPERIOD_OVERRIDE=FY","FILING_STATUS=MR","Sort=A","Dates=H","DateFormat=P","Fill=—","Direction=H","UseDPDF=Y")</f>
        <v>5</v>
      </c>
      <c r="K141" s="13">
        <f>_xll.BDH("AVNT US Equity","SIZE_OF_NOMINATION_COMMITTEE","FY 2021","FY 2021","Currency=USD","Period=FY","BEST_FPERIOD_OVERRIDE=FY","FILING_STATUS=MR","Sort=A","Dates=H","DateFormat=P","Fill=—","Direction=H","UseDPDF=Y")</f>
        <v>6</v>
      </c>
      <c r="L141" s="13">
        <f>_xll.BDH("AVNT US Equity","SIZE_OF_NOMINATION_COMMITTEE","FY 2022","FY 2022","Currency=USD","Period=FY","BEST_FPERIOD_OVERRIDE=FY","FILING_STATUS=MR","Sort=A","Dates=H","DateFormat=P","Fill=—","Direction=H","UseDPDF=Y")</f>
        <v>6</v>
      </c>
    </row>
    <row r="142" spans="1:12">
      <c r="A142" s="10" t="s">
        <v>232</v>
      </c>
      <c r="B142" s="10" t="s">
        <v>233</v>
      </c>
      <c r="C142" s="13">
        <f>_xll.BDH("AVNT US Equity","NUM_IND_DIR_ON_NOM_CMTE","FY 2013","FY 2013","Currency=USD","Period=FY","BEST_FPERIOD_OVERRIDE=FY","FILING_STATUS=MR","Sort=A","Dates=H","DateFormat=P","Fill=—","Direction=H","UseDPDF=Y")</f>
        <v>6</v>
      </c>
      <c r="D142" s="13">
        <f>_xll.BDH("AVNT US Equity","NUM_IND_DIR_ON_NOM_CMTE","FY 2014","FY 2014","Currency=USD","Period=FY","BEST_FPERIOD_OVERRIDE=FY","FILING_STATUS=MR","Sort=A","Dates=H","DateFormat=P","Fill=—","Direction=H","UseDPDF=Y")</f>
        <v>5</v>
      </c>
      <c r="E142" s="13">
        <f>_xll.BDH("AVNT US Equity","NUM_IND_DIR_ON_NOM_CMTE","FY 2015","FY 2015","Currency=USD","Period=FY","BEST_FPERIOD_OVERRIDE=FY","FILING_STATUS=MR","Sort=A","Dates=H","DateFormat=P","Fill=—","Direction=H","UseDPDF=Y")</f>
        <v>4</v>
      </c>
      <c r="F142" s="13">
        <f>_xll.BDH("AVNT US Equity","NUM_IND_DIR_ON_NOM_CMTE","FY 2016","FY 2016","Currency=USD","Period=FY","BEST_FPERIOD_OVERRIDE=FY","FILING_STATUS=MR","Sort=A","Dates=H","DateFormat=P","Fill=—","Direction=H","UseDPDF=Y")</f>
        <v>4</v>
      </c>
      <c r="G142" s="13">
        <f>_xll.BDH("AVNT US Equity","NUM_IND_DIR_ON_NOM_CMTE","FY 2017","FY 2017","Currency=USD","Period=FY","BEST_FPERIOD_OVERRIDE=FY","FILING_STATUS=MR","Sort=A","Dates=H","DateFormat=P","Fill=—","Direction=H","UseDPDF=Y")</f>
        <v>4</v>
      </c>
      <c r="H142" s="13">
        <f>_xll.BDH("AVNT US Equity","NUM_IND_DIR_ON_NOM_CMTE","FY 2018","FY 2018","Currency=USD","Period=FY","BEST_FPERIOD_OVERRIDE=FY","FILING_STATUS=MR","Sort=A","Dates=H","DateFormat=P","Fill=—","Direction=H","UseDPDF=Y")</f>
        <v>4</v>
      </c>
      <c r="I142" s="13">
        <f>_xll.BDH("AVNT US Equity","NUM_IND_DIR_ON_NOM_CMTE","FY 2019","FY 2019","Currency=USD","Period=FY","BEST_FPERIOD_OVERRIDE=FY","FILING_STATUS=MR","Sort=A","Dates=H","DateFormat=P","Fill=—","Direction=H","UseDPDF=Y")</f>
        <v>5</v>
      </c>
      <c r="J142" s="13">
        <f>_xll.BDH("AVNT US Equity","NUM_IND_DIR_ON_NOM_CMTE","FY 2020","FY 2020","Currency=USD","Period=FY","BEST_FPERIOD_OVERRIDE=FY","FILING_STATUS=MR","Sort=A","Dates=H","DateFormat=P","Fill=—","Direction=H","UseDPDF=Y")</f>
        <v>5</v>
      </c>
      <c r="K142" s="13">
        <f>_xll.BDH("AVNT US Equity","NUM_IND_DIR_ON_NOM_CMTE","FY 2021","FY 2021","Currency=USD","Period=FY","BEST_FPERIOD_OVERRIDE=FY","FILING_STATUS=MR","Sort=A","Dates=H","DateFormat=P","Fill=—","Direction=H","UseDPDF=Y")</f>
        <v>6</v>
      </c>
      <c r="L142" s="13">
        <f>_xll.BDH("AVNT US Equity","NUM_IND_DIR_ON_NOM_CMTE","FY 2022","FY 2022","Currency=USD","Period=FY","BEST_FPERIOD_OVERRIDE=FY","FILING_STATUS=MR","Sort=A","Dates=H","DateFormat=P","Fill=—","Direction=H","UseDPDF=Y")</f>
        <v>6</v>
      </c>
    </row>
    <row r="143" spans="1:12">
      <c r="A143" s="10" t="s">
        <v>234</v>
      </c>
      <c r="B143" s="10" t="s">
        <v>235</v>
      </c>
      <c r="C143" s="13">
        <f>_xll.BDH("AVNT US Equity","NUM_OF_NOMINATION_CMTE_MTG","FY 2013","FY 2013","Currency=USD","Period=FY","BEST_FPERIOD_OVERRIDE=FY","FILING_STATUS=MR","Sort=A","Dates=H","DateFormat=P","Fill=—","Direction=H","UseDPDF=Y")</f>
        <v>3</v>
      </c>
      <c r="D143" s="13">
        <f>_xll.BDH("AVNT US Equity","NUM_OF_NOMINATION_CMTE_MTG","FY 2014","FY 2014","Currency=USD","Period=FY","BEST_FPERIOD_OVERRIDE=FY","FILING_STATUS=MR","Sort=A","Dates=H","DateFormat=P","Fill=—","Direction=H","UseDPDF=Y")</f>
        <v>3</v>
      </c>
      <c r="E143" s="13">
        <f>_xll.BDH("AVNT US Equity","NUM_OF_NOMINATION_CMTE_MTG","FY 2015","FY 2015","Currency=USD","Period=FY","BEST_FPERIOD_OVERRIDE=FY","FILING_STATUS=MR","Sort=A","Dates=H","DateFormat=P","Fill=—","Direction=H","UseDPDF=Y")</f>
        <v>2</v>
      </c>
      <c r="F143" s="13">
        <f>_xll.BDH("AVNT US Equity","NUM_OF_NOMINATION_CMTE_MTG","FY 2016","FY 2016","Currency=USD","Period=FY","BEST_FPERIOD_OVERRIDE=FY","FILING_STATUS=MR","Sort=A","Dates=H","DateFormat=P","Fill=—","Direction=H","UseDPDF=Y")</f>
        <v>2</v>
      </c>
      <c r="G143" s="13">
        <f>_xll.BDH("AVNT US Equity","NUM_OF_NOMINATION_CMTE_MTG","FY 2017","FY 2017","Currency=USD","Period=FY","BEST_FPERIOD_OVERRIDE=FY","FILING_STATUS=MR","Sort=A","Dates=H","DateFormat=P","Fill=—","Direction=H","UseDPDF=Y")</f>
        <v>3</v>
      </c>
      <c r="H143" s="13">
        <f>_xll.BDH("AVNT US Equity","NUM_OF_NOMINATION_CMTE_MTG","FY 2018","FY 2018","Currency=USD","Period=FY","BEST_FPERIOD_OVERRIDE=FY","FILING_STATUS=MR","Sort=A","Dates=H","DateFormat=P","Fill=—","Direction=H","UseDPDF=Y")</f>
        <v>4</v>
      </c>
      <c r="I143" s="13">
        <f>_xll.BDH("AVNT US Equity","NUM_OF_NOMINATION_CMTE_MTG","FY 2019","FY 2019","Currency=USD","Period=FY","BEST_FPERIOD_OVERRIDE=FY","FILING_STATUS=MR","Sort=A","Dates=H","DateFormat=P","Fill=—","Direction=H","UseDPDF=Y")</f>
        <v>2</v>
      </c>
      <c r="J143" s="13">
        <f>_xll.BDH("AVNT US Equity","NUM_OF_NOMINATION_CMTE_MTG","FY 2020","FY 2020","Currency=USD","Period=FY","BEST_FPERIOD_OVERRIDE=FY","FILING_STATUS=MR","Sort=A","Dates=H","DateFormat=P","Fill=—","Direction=H","UseDPDF=Y")</f>
        <v>3</v>
      </c>
      <c r="K143" s="13">
        <f>_xll.BDH("AVNT US Equity","NUM_OF_NOMINATION_CMTE_MTG","FY 2021","FY 2021","Currency=USD","Period=FY","BEST_FPERIOD_OVERRIDE=FY","FILING_STATUS=MR","Sort=A","Dates=H","DateFormat=P","Fill=—","Direction=H","UseDPDF=Y")</f>
        <v>3</v>
      </c>
      <c r="L143" s="13">
        <f>_xll.BDH("AVNT US Equity","NUM_OF_NOMINATION_CMTE_MTG","FY 2022","FY 2022","Currency=USD","Period=FY","BEST_FPERIOD_OVERRIDE=FY","FILING_STATUS=MR","Sort=A","Dates=H","DateFormat=P","Fill=—","Direction=H","UseDPDF=Y")</f>
        <v>3</v>
      </c>
    </row>
    <row r="144" spans="1:12">
      <c r="A144" s="10" t="s">
        <v>236</v>
      </c>
      <c r="B144" s="10" t="s">
        <v>237</v>
      </c>
      <c r="C144" s="13">
        <f>_xll.BDH("AVNT US Equity","NOMINATION_CMTE_MTG_ATTEND_PCT","FY 2013","FY 2013","Currency=USD","Period=FY","BEST_FPERIOD_OVERRIDE=FY","FILING_STATUS=MR","Sort=A","Dates=H","DateFormat=P","Fill=—","Direction=H","UseDPDF=Y")</f>
        <v>75</v>
      </c>
      <c r="D144" s="13">
        <f>_xll.BDH("AVNT US Equity","NOMINATION_CMTE_MTG_ATTEND_PCT","FY 2014","FY 2014","Currency=USD","Period=FY","BEST_FPERIOD_OVERRIDE=FY","FILING_STATUS=MR","Sort=A","Dates=H","DateFormat=P","Fill=—","Direction=H","UseDPDF=Y")</f>
        <v>75</v>
      </c>
      <c r="E144" s="13">
        <f>_xll.BDH("AVNT US Equity","NOMINATION_CMTE_MTG_ATTEND_PCT","FY 2015","FY 2015","Currency=USD","Period=FY","BEST_FPERIOD_OVERRIDE=FY","FILING_STATUS=MR","Sort=A","Dates=H","DateFormat=P","Fill=—","Direction=H","UseDPDF=Y")</f>
        <v>75</v>
      </c>
      <c r="F144" s="13">
        <f>_xll.BDH("AVNT US Equity","NOMINATION_CMTE_MTG_ATTEND_PCT","FY 2016","FY 2016","Currency=USD","Period=FY","BEST_FPERIOD_OVERRIDE=FY","FILING_STATUS=MR","Sort=A","Dates=H","DateFormat=P","Fill=—","Direction=H","UseDPDF=Y")</f>
        <v>75</v>
      </c>
      <c r="G144" s="13">
        <f>_xll.BDH("AVNT US Equity","NOMINATION_CMTE_MTG_ATTEND_PCT","FY 2017","FY 2017","Currency=USD","Period=FY","BEST_FPERIOD_OVERRIDE=FY","FILING_STATUS=MR","Sort=A","Dates=H","DateFormat=P","Fill=—","Direction=H","UseDPDF=Y")</f>
        <v>75</v>
      </c>
      <c r="H144" s="13">
        <f>_xll.BDH("AVNT US Equity","NOMINATION_CMTE_MTG_ATTEND_PCT","FY 2018","FY 2018","Currency=USD","Period=FY","BEST_FPERIOD_OVERRIDE=FY","FILING_STATUS=MR","Sort=A","Dates=H","DateFormat=P","Fill=—","Direction=H","UseDPDF=Y")</f>
        <v>75</v>
      </c>
      <c r="I144" s="13">
        <f>_xll.BDH("AVNT US Equity","NOMINATION_CMTE_MTG_ATTEND_PCT","FY 2019","FY 2019","Currency=USD","Period=FY","BEST_FPERIOD_OVERRIDE=FY","FILING_STATUS=MR","Sort=A","Dates=H","DateFormat=P","Fill=—","Direction=H","UseDPDF=Y")</f>
        <v>75</v>
      </c>
      <c r="J144" s="13">
        <f>_xll.BDH("AVNT US Equity","NOMINATION_CMTE_MTG_ATTEND_PCT","FY 2020","FY 2020","Currency=USD","Period=FY","BEST_FPERIOD_OVERRIDE=FY","FILING_STATUS=MR","Sort=A","Dates=H","DateFormat=P","Fill=—","Direction=H","UseDPDF=Y")</f>
        <v>75</v>
      </c>
      <c r="K144" s="13">
        <f>_xll.BDH("AVNT US Equity","NOMINATION_CMTE_MTG_ATTEND_PCT","FY 2021","FY 2021","Currency=USD","Period=FY","BEST_FPERIOD_OVERRIDE=FY","FILING_STATUS=MR","Sort=A","Dates=H","DateFormat=P","Fill=—","Direction=H","UseDPDF=Y")</f>
        <v>75</v>
      </c>
      <c r="L144" s="13">
        <f>_xll.BDH("AVNT US Equity","NOMINATION_CMTE_MTG_ATTEND_PCT","FY 2022","FY 2022","Currency=USD","Period=FY","BEST_FPERIOD_OVERRIDE=FY","FILING_STATUS=MR","Sort=A","Dates=H","DateFormat=P","Fill=—","Direction=H","UseDPDF=Y")</f>
        <v>75</v>
      </c>
    </row>
    <row r="145" spans="1:1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spans="1:12">
      <c r="A146" s="10" t="s">
        <v>238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spans="1:12">
      <c r="A147" s="10" t="s">
        <v>239</v>
      </c>
      <c r="B147" s="10" t="s">
        <v>240</v>
      </c>
      <c r="C147" s="11" t="s">
        <v>54</v>
      </c>
      <c r="D147" s="11" t="s">
        <v>54</v>
      </c>
      <c r="E147" s="11" t="s">
        <v>54</v>
      </c>
      <c r="F147" s="11" t="s">
        <v>54</v>
      </c>
      <c r="G147" s="11" t="s">
        <v>54</v>
      </c>
      <c r="H147" s="11" t="s">
        <v>54</v>
      </c>
      <c r="I147" s="11" t="s">
        <v>54</v>
      </c>
      <c r="J147" s="11" t="s">
        <v>54</v>
      </c>
      <c r="K147" s="11" t="s">
        <v>54</v>
      </c>
      <c r="L147" s="11" t="s">
        <v>55</v>
      </c>
    </row>
    <row r="148" spans="1:12">
      <c r="A148" s="10" t="s">
        <v>241</v>
      </c>
      <c r="B148" s="10" t="s">
        <v>242</v>
      </c>
      <c r="C148" s="11" t="s">
        <v>54</v>
      </c>
      <c r="D148" s="11" t="s">
        <v>54</v>
      </c>
      <c r="E148" s="11" t="s">
        <v>54</v>
      </c>
      <c r="F148" s="11" t="s">
        <v>54</v>
      </c>
      <c r="G148" s="11" t="s">
        <v>54</v>
      </c>
      <c r="H148" s="11" t="s">
        <v>54</v>
      </c>
      <c r="I148" s="11" t="s">
        <v>54</v>
      </c>
      <c r="J148" s="11" t="s">
        <v>54</v>
      </c>
      <c r="K148" s="11" t="s">
        <v>54</v>
      </c>
      <c r="L148" s="11" t="s">
        <v>54</v>
      </c>
    </row>
    <row r="149" spans="1:1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spans="1:12">
      <c r="A150" s="10" t="s">
        <v>243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spans="1:12">
      <c r="A151" s="10" t="s">
        <v>244</v>
      </c>
      <c r="B151" s="10" t="s">
        <v>245</v>
      </c>
      <c r="C151" s="13">
        <f>_xll.BDH("AVNT US Equity","BOARD_DURATION","FY 2013","FY 2013","Currency=USD","Period=FY","BEST_FPERIOD_OVERRIDE=FY","FILING_STATUS=MR","Sort=A","Dates=H","DateFormat=P","Fill=—","Direction=H","UseDPDF=Y")</f>
        <v>1</v>
      </c>
      <c r="D151" s="13">
        <f>_xll.BDH("AVNT US Equity","BOARD_DURATION","FY 2014","FY 2014","Currency=USD","Period=FY","BEST_FPERIOD_OVERRIDE=FY","FILING_STATUS=MR","Sort=A","Dates=H","DateFormat=P","Fill=—","Direction=H","UseDPDF=Y")</f>
        <v>1</v>
      </c>
      <c r="E151" s="13">
        <f>_xll.BDH("AVNT US Equity","BOARD_DURATION","FY 2015","FY 2015","Currency=USD","Period=FY","BEST_FPERIOD_OVERRIDE=FY","FILING_STATUS=MR","Sort=A","Dates=H","DateFormat=P","Fill=—","Direction=H","UseDPDF=Y")</f>
        <v>1</v>
      </c>
      <c r="F151" s="13">
        <f>_xll.BDH("AVNT US Equity","BOARD_DURATION","FY 2016","FY 2016","Currency=USD","Period=FY","BEST_FPERIOD_OVERRIDE=FY","FILING_STATUS=MR","Sort=A","Dates=H","DateFormat=P","Fill=—","Direction=H","UseDPDF=Y")</f>
        <v>1</v>
      </c>
      <c r="G151" s="13">
        <f>_xll.BDH("AVNT US Equity","BOARD_DURATION","FY 2017","FY 2017","Currency=USD","Period=FY","BEST_FPERIOD_OVERRIDE=FY","FILING_STATUS=MR","Sort=A","Dates=H","DateFormat=P","Fill=—","Direction=H","UseDPDF=Y")</f>
        <v>1</v>
      </c>
      <c r="H151" s="13">
        <f>_xll.BDH("AVNT US Equity","BOARD_DURATION","FY 2018","FY 2018","Currency=USD","Period=FY","BEST_FPERIOD_OVERRIDE=FY","FILING_STATUS=MR","Sort=A","Dates=H","DateFormat=P","Fill=—","Direction=H","UseDPDF=Y")</f>
        <v>1</v>
      </c>
      <c r="I151" s="13">
        <f>_xll.BDH("AVNT US Equity","BOARD_DURATION","FY 2019","FY 2019","Currency=USD","Period=FY","BEST_FPERIOD_OVERRIDE=FY","FILING_STATUS=MR","Sort=A","Dates=H","DateFormat=P","Fill=—","Direction=H","UseDPDF=Y")</f>
        <v>1</v>
      </c>
      <c r="J151" s="13">
        <f>_xll.BDH("AVNT US Equity","BOARD_DURATION","FY 2020","FY 2020","Currency=USD","Period=FY","BEST_FPERIOD_OVERRIDE=FY","FILING_STATUS=MR","Sort=A","Dates=H","DateFormat=P","Fill=—","Direction=H","UseDPDF=Y")</f>
        <v>1</v>
      </c>
      <c r="K151" s="13">
        <f>_xll.BDH("AVNT US Equity","BOARD_DURATION","FY 2021","FY 2021","Currency=USD","Period=FY","BEST_FPERIOD_OVERRIDE=FY","FILING_STATUS=MR","Sort=A","Dates=H","DateFormat=P","Fill=—","Direction=H","UseDPDF=Y")</f>
        <v>1</v>
      </c>
      <c r="L151" s="13">
        <f>_xll.BDH("AVNT US Equity","BOARD_DURATION","FY 2022","FY 2022","Currency=USD","Period=FY","BEST_FPERIOD_OVERRIDE=FY","FILING_STATUS=MR","Sort=A","Dates=H","DateFormat=P","Fill=—","Direction=H","UseDPDF=Y")</f>
        <v>1</v>
      </c>
    </row>
    <row r="152" spans="1:12">
      <c r="A152" s="7" t="s">
        <v>246</v>
      </c>
      <c r="B152" s="7"/>
      <c r="C152" s="7" t="s">
        <v>247</v>
      </c>
      <c r="D152" s="7"/>
      <c r="E152" s="7"/>
      <c r="F152" s="7"/>
      <c r="G152" s="7"/>
      <c r="H152" s="7"/>
      <c r="I152" s="7"/>
      <c r="J152" s="7"/>
      <c r="K152" s="7"/>
      <c r="L15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/>
  <cp:revision/>
  <dcterms:created xsi:type="dcterms:W3CDTF">2013-04-03T15:49:21Z</dcterms:created>
  <dcterms:modified xsi:type="dcterms:W3CDTF">2023-12-04T20:21:28Z</dcterms:modified>
  <cp:category/>
  <cp:contentStatus/>
</cp:coreProperties>
</file>