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uob-my.sharepoint.com/personal/hm23424_bristol_ac_uk/Documents/"/>
    </mc:Choice>
  </mc:AlternateContent>
  <xr:revisionPtr revIDLastSave="0" documentId="8_{F7888277-8EF3-49A5-8D7C-66F6C8170D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fitability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4" i="2" l="1"/>
  <c r="I20" i="2"/>
  <c r="C16" i="2"/>
  <c r="J17" i="2"/>
  <c r="G14" i="2"/>
  <c r="E19" i="2"/>
  <c r="I17" i="2"/>
  <c r="H14" i="2"/>
  <c r="C7" i="2"/>
  <c r="J7" i="2"/>
  <c r="K10" i="2"/>
  <c r="H24" i="2"/>
  <c r="D16" i="2"/>
  <c r="K20" i="2"/>
  <c r="L10" i="2"/>
  <c r="F9" i="2"/>
  <c r="F19" i="2"/>
  <c r="L20" i="2"/>
  <c r="L15" i="2"/>
  <c r="I24" i="2"/>
  <c r="J24" i="2"/>
  <c r="C17" i="2"/>
  <c r="I10" i="2"/>
  <c r="E16" i="2"/>
  <c r="I14" i="2"/>
  <c r="E9" i="2"/>
  <c r="G9" i="2"/>
  <c r="D9" i="2"/>
  <c r="E13" i="2"/>
  <c r="D13" i="2"/>
  <c r="D18" i="2"/>
  <c r="K15" i="2"/>
  <c r="I19" i="2"/>
  <c r="I9" i="2"/>
  <c r="I16" i="2"/>
  <c r="K24" i="2"/>
  <c r="G19" i="2"/>
  <c r="L24" i="2"/>
  <c r="F16" i="2"/>
  <c r="L7" i="2"/>
  <c r="G16" i="2"/>
  <c r="L14" i="2"/>
  <c r="K9" i="2"/>
  <c r="G13" i="2"/>
  <c r="F23" i="2"/>
  <c r="E8" i="2"/>
  <c r="E23" i="2"/>
  <c r="D23" i="2"/>
  <c r="H9" i="2"/>
  <c r="F14" i="2"/>
  <c r="I8" i="2"/>
  <c r="F13" i="2"/>
  <c r="E18" i="2"/>
  <c r="C23" i="2"/>
  <c r="K19" i="2"/>
  <c r="J14" i="2"/>
  <c r="C25" i="2"/>
  <c r="G23" i="2"/>
  <c r="G7" i="2"/>
  <c r="C15" i="2"/>
  <c r="D15" i="2"/>
  <c r="D25" i="2"/>
  <c r="C8" i="2"/>
  <c r="J16" i="2"/>
  <c r="K14" i="2"/>
  <c r="F8" i="2"/>
  <c r="C18" i="2"/>
  <c r="F18" i="2"/>
  <c r="J9" i="2"/>
  <c r="C19" i="2"/>
  <c r="H19" i="2"/>
  <c r="H16" i="2"/>
  <c r="J19" i="2"/>
  <c r="L9" i="2"/>
  <c r="J10" i="2"/>
  <c r="E10" i="2"/>
  <c r="H13" i="2"/>
  <c r="H7" i="2"/>
  <c r="H23" i="2"/>
  <c r="C13" i="2"/>
  <c r="L19" i="2"/>
  <c r="K17" i="2"/>
  <c r="K7" i="2"/>
  <c r="L17" i="2"/>
  <c r="G8" i="2"/>
  <c r="D10" i="2"/>
  <c r="C20" i="2"/>
  <c r="K16" i="2"/>
  <c r="I7" i="2"/>
  <c r="D8" i="2"/>
  <c r="E7" i="2"/>
  <c r="I23" i="2"/>
  <c r="H8" i="2"/>
  <c r="C10" i="2"/>
  <c r="E25" i="2"/>
  <c r="G15" i="2"/>
  <c r="I13" i="2"/>
  <c r="F15" i="2"/>
  <c r="L16" i="2"/>
  <c r="K8" i="2"/>
  <c r="D20" i="2"/>
  <c r="E14" i="2"/>
  <c r="E15" i="2"/>
  <c r="E20" i="2"/>
  <c r="J8" i="2"/>
  <c r="G18" i="2"/>
  <c r="C9" i="2"/>
  <c r="K23" i="2"/>
  <c r="C24" i="2"/>
  <c r="F25" i="2"/>
  <c r="H18" i="2"/>
  <c r="L23" i="2"/>
  <c r="F10" i="2"/>
  <c r="J13" i="2"/>
  <c r="J18" i="2"/>
  <c r="J23" i="2"/>
  <c r="F20" i="2"/>
  <c r="D17" i="2"/>
  <c r="G10" i="2"/>
  <c r="G25" i="2"/>
  <c r="C14" i="2"/>
  <c r="L25" i="2"/>
  <c r="K18" i="2"/>
  <c r="E17" i="2"/>
  <c r="I25" i="2"/>
  <c r="D24" i="2"/>
  <c r="H20" i="2"/>
  <c r="K13" i="2"/>
  <c r="G17" i="2"/>
  <c r="J15" i="2"/>
  <c r="F24" i="2"/>
  <c r="F17" i="2"/>
  <c r="H25" i="2"/>
  <c r="L8" i="2"/>
  <c r="D7" i="2"/>
  <c r="L13" i="2"/>
  <c r="F7" i="2"/>
  <c r="J25" i="2"/>
  <c r="H10" i="2"/>
  <c r="D19" i="2"/>
  <c r="G20" i="2"/>
  <c r="I15" i="2"/>
  <c r="I18" i="2"/>
  <c r="H15" i="2"/>
  <c r="J20" i="2"/>
  <c r="E24" i="2"/>
  <c r="D14" i="2"/>
  <c r="L18" i="2"/>
  <c r="H17" i="2"/>
  <c r="K25" i="2"/>
</calcChain>
</file>

<file path=xl/sharedStrings.xml><?xml version="1.0" encoding="utf-8"?>
<sst xmlns="http://schemas.openxmlformats.org/spreadsheetml/2006/main" count="58" uniqueCount="58">
  <si>
    <t>Avient Corp (AVNT US) - Profitability</t>
  </si>
  <si>
    <t>In Millions of USD except Per Share</t>
  </si>
  <si>
    <t>FY 2013</t>
  </si>
  <si>
    <t>FY 2014</t>
  </si>
  <si>
    <t>FY 2015</t>
  </si>
  <si>
    <t>FY 2016</t>
  </si>
  <si>
    <t>FY 2017</t>
  </si>
  <si>
    <t>FY 2018</t>
  </si>
  <si>
    <t>FY 2019</t>
  </si>
  <si>
    <t>FY 2020</t>
  </si>
  <si>
    <t>FY 2021</t>
  </si>
  <si>
    <t>FY 2022</t>
  </si>
  <si>
    <t>12 Months Ending</t>
  </si>
  <si>
    <t>12/31/2013</t>
  </si>
  <si>
    <t>12/31/2014</t>
  </si>
  <si>
    <t>12/31/2015</t>
  </si>
  <si>
    <t>12/31/2016</t>
  </si>
  <si>
    <t>12/31/2017</t>
  </si>
  <si>
    <t>12/31/2018</t>
  </si>
  <si>
    <t>12/31/2019</t>
  </si>
  <si>
    <t>12/31/2020</t>
  </si>
  <si>
    <t>12/31/2021</t>
  </si>
  <si>
    <t>12/31/2022</t>
  </si>
  <si>
    <t>Returns</t>
  </si>
  <si>
    <t>Return on Common Equity</t>
  </si>
  <si>
    <t>RETURN_COM_EQY</t>
  </si>
  <si>
    <t>Return on Assets</t>
  </si>
  <si>
    <t>RETURN_ON_ASSET</t>
  </si>
  <si>
    <t>Return on Capital</t>
  </si>
  <si>
    <t>RETURN_ON_CAP</t>
  </si>
  <si>
    <t>Return on Invested Capital</t>
  </si>
  <si>
    <t>RETURN_ON_INV_CAPITAL</t>
  </si>
  <si>
    <t>Margins</t>
  </si>
  <si>
    <t>Gross Margin</t>
  </si>
  <si>
    <t>GROSS_MARGIN</t>
  </si>
  <si>
    <t>EBITDA Margin</t>
  </si>
  <si>
    <t>EBITDA_TO_REVENUE</t>
  </si>
  <si>
    <t>Operating Margin</t>
  </si>
  <si>
    <t>OPER_MARGIN</t>
  </si>
  <si>
    <t>Incremental Operating Margin</t>
  </si>
  <si>
    <t>INCREMENTAL_OPERATING_MARGIN</t>
  </si>
  <si>
    <t>Pretax Margin</t>
  </si>
  <si>
    <t>PRETAX_INC_TO_NET_SALES</t>
  </si>
  <si>
    <t>Income before XO Margin</t>
  </si>
  <si>
    <t>INC_BEF_XO_ITEMS_TO_NET_SALES</t>
  </si>
  <si>
    <t>Net Income Margin</t>
  </si>
  <si>
    <t>PROF_MARGIN</t>
  </si>
  <si>
    <t>Net Income to Common Margin</t>
  </si>
  <si>
    <t>NET_INCOME_TO_COMMON_MARGIN</t>
  </si>
  <si>
    <t>Additional</t>
  </si>
  <si>
    <t>Effective Tax Rate</t>
  </si>
  <si>
    <t>EFF_TAX_RATE</t>
  </si>
  <si>
    <t>Dvd Payout Ratio</t>
  </si>
  <si>
    <t>DVD_PAYOUT_RATIO</t>
  </si>
  <si>
    <t>Sustainable Growth Rate</t>
  </si>
  <si>
    <t>SUSTAIN_GROWTH_RT</t>
  </si>
  <si>
    <t>Source: Bloomberg</t>
  </si>
  <si>
    <t>Right click to show data transparency (not supported for all values)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</si>
</sst>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9"/>
      <name val="Calibri"/>
      <family val="2"/>
    </font>
    <font>
      <sz val="10"/>
      <color indexed="63"/>
      <name val="Arial"/>
      <family val="2"/>
    </font>
    <font>
      <b/>
      <sz val="16"/>
      <color indexed="9"/>
      <name val="Arial"/>
      <family val="2"/>
    </font>
    <font>
      <sz val="10"/>
      <name val="Calibri"/>
      <family val="2"/>
    </font>
    <font>
      <b/>
      <sz val="10"/>
      <color indexed="9"/>
      <name val="Arial"/>
      <family val="2"/>
    </font>
    <font>
      <b/>
      <sz val="10"/>
      <color indexed="8"/>
      <name val="Arial"/>
      <family val="2"/>
    </font>
    <font>
      <sz val="10"/>
      <color indexed="63"/>
      <name val="Arial"/>
      <family val="2"/>
    </font>
    <font>
      <i/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4F81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10" fillId="10" borderId="0" applyNumberFormat="0" applyBorder="0" applyAlignment="0" applyProtection="0"/>
    <xf numFmtId="0" fontId="10" fillId="14" borderId="0" applyNumberFormat="0" applyBorder="0" applyAlignment="0" applyProtection="0"/>
    <xf numFmtId="0" fontId="10" fillId="18" borderId="0" applyNumberFormat="0" applyBorder="0" applyAlignment="0" applyProtection="0"/>
    <xf numFmtId="0" fontId="10" fillId="22" borderId="0" applyNumberFormat="0" applyBorder="0" applyAlignment="0" applyProtection="0"/>
    <xf numFmtId="0" fontId="10" fillId="26" borderId="0" applyNumberFormat="0" applyBorder="0" applyAlignment="0" applyProtection="0"/>
    <xf numFmtId="0" fontId="10" fillId="30" borderId="0" applyNumberFormat="0" applyBorder="0" applyAlignment="0" applyProtection="0"/>
    <xf numFmtId="0" fontId="10" fillId="11" borderId="0" applyNumberFormat="0" applyBorder="0" applyAlignment="0" applyProtection="0"/>
    <xf numFmtId="0" fontId="10" fillId="15" borderId="0" applyNumberFormat="0" applyBorder="0" applyAlignment="0" applyProtection="0"/>
    <xf numFmtId="0" fontId="10" fillId="19" borderId="0" applyNumberFormat="0" applyBorder="0" applyAlignment="0" applyProtection="0"/>
    <xf numFmtId="0" fontId="10" fillId="23" borderId="0" applyNumberFormat="0" applyBorder="0" applyAlignment="0" applyProtection="0"/>
    <xf numFmtId="0" fontId="10" fillId="27" borderId="0" applyNumberFormat="0" applyBorder="0" applyAlignment="0" applyProtection="0"/>
    <xf numFmtId="0" fontId="10" fillId="31" borderId="0" applyNumberFormat="0" applyBorder="0" applyAlignment="0" applyProtection="0"/>
    <xf numFmtId="0" fontId="26" fillId="12" borderId="0" applyNumberFormat="0" applyBorder="0" applyAlignment="0" applyProtection="0"/>
    <xf numFmtId="0" fontId="26" fillId="16" borderId="0" applyNumberFormat="0" applyBorder="0" applyAlignment="0" applyProtection="0"/>
    <xf numFmtId="0" fontId="26" fillId="20" borderId="0" applyNumberFormat="0" applyBorder="0" applyAlignment="0" applyProtection="0"/>
    <xf numFmtId="0" fontId="26" fillId="24" borderId="0" applyNumberFormat="0" applyBorder="0" applyAlignment="0" applyProtection="0"/>
    <xf numFmtId="0" fontId="26" fillId="28" borderId="0" applyNumberFormat="0" applyBorder="0" applyAlignment="0" applyProtection="0"/>
    <xf numFmtId="0" fontId="26" fillId="32" borderId="0" applyNumberFormat="0" applyBorder="0" applyAlignment="0" applyProtection="0"/>
    <xf numFmtId="0" fontId="26" fillId="9" borderId="0" applyNumberFormat="0" applyBorder="0" applyAlignment="0" applyProtection="0"/>
    <xf numFmtId="0" fontId="26" fillId="13" borderId="0" applyNumberFormat="0" applyBorder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16" fillId="3" borderId="0" applyNumberFormat="0" applyBorder="0" applyAlignment="0" applyProtection="0"/>
    <xf numFmtId="0" fontId="2" fillId="33" borderId="0"/>
    <xf numFmtId="0" fontId="20" fillId="6" borderId="9" applyNumberFormat="0" applyAlignment="0" applyProtection="0"/>
    <xf numFmtId="0" fontId="22" fillId="7" borderId="12" applyNumberFormat="0" applyAlignment="0" applyProtection="0"/>
    <xf numFmtId="0" fontId="24" fillId="0" borderId="0" applyNumberFormat="0" applyFill="0" applyBorder="0" applyAlignment="0" applyProtection="0"/>
    <xf numFmtId="0" fontId="6" fillId="33" borderId="1">
      <alignment horizontal="right"/>
    </xf>
    <xf numFmtId="0" fontId="5" fillId="34" borderId="0" applyNumberFormat="0" applyBorder="0" applyProtection="0">
      <alignment horizontal="center"/>
    </xf>
    <xf numFmtId="0" fontId="6" fillId="33" borderId="3">
      <alignment horizontal="right"/>
    </xf>
    <xf numFmtId="0" fontId="6" fillId="33" borderId="3">
      <alignment horizontal="left"/>
    </xf>
    <xf numFmtId="0" fontId="9" fillId="35" borderId="4" applyNumberFormat="0" applyAlignment="0" applyProtection="0"/>
    <xf numFmtId="0" fontId="7" fillId="34" borderId="5"/>
    <xf numFmtId="0" fontId="8" fillId="34" borderId="5"/>
    <xf numFmtId="0" fontId="15" fillId="2" borderId="0" applyNumberFormat="0" applyBorder="0" applyAlignment="0" applyProtection="0"/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8" fillId="5" borderId="9" applyNumberFormat="0" applyAlignment="0" applyProtection="0"/>
    <xf numFmtId="0" fontId="21" fillId="0" borderId="11" applyNumberFormat="0" applyFill="0" applyAlignment="0" applyProtection="0"/>
    <xf numFmtId="0" fontId="17" fillId="4" borderId="0" applyNumberFormat="0" applyBorder="0" applyAlignment="0" applyProtection="0"/>
    <xf numFmtId="0" fontId="10" fillId="8" borderId="13" applyNumberFormat="0" applyFont="0" applyAlignment="0" applyProtection="0"/>
    <xf numFmtId="0" fontId="19" fillId="6" borderId="10" applyNumberFormat="0" applyAlignment="0" applyProtection="0"/>
    <xf numFmtId="0" fontId="11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23" fillId="0" borderId="0" applyNumberFormat="0" applyFill="0" applyBorder="0" applyAlignment="0" applyProtection="0"/>
    <xf numFmtId="0" fontId="4" fillId="33" borderId="15" applyNumberFormat="0" applyProtection="0">
      <alignment horizontal="left" vertical="center" readingOrder="1"/>
    </xf>
    <xf numFmtId="0" fontId="6" fillId="33" borderId="1">
      <alignment horizontal="left"/>
    </xf>
    <xf numFmtId="3" fontId="1" fillId="34" borderId="2">
      <alignment horizontal="right"/>
    </xf>
    <xf numFmtId="4" fontId="1" fillId="34" borderId="2">
      <alignment horizontal="right"/>
    </xf>
    <xf numFmtId="3" fontId="7" fillId="34" borderId="2">
      <alignment horizontal="right"/>
    </xf>
  </cellStyleXfs>
  <cellXfs count="14">
    <xf numFmtId="0" fontId="0" fillId="0" borderId="0" xfId="0"/>
    <xf numFmtId="0" fontId="2" fillId="33" borderId="0" xfId="26"/>
    <xf numFmtId="0" fontId="5" fillId="34" borderId="0" xfId="31">
      <alignment horizontal="center"/>
    </xf>
    <xf numFmtId="0" fontId="6" fillId="33" borderId="3" xfId="33">
      <alignment horizontal="left"/>
    </xf>
    <xf numFmtId="0" fontId="6" fillId="33" borderId="3" xfId="32">
      <alignment horizontal="right"/>
    </xf>
    <xf numFmtId="0" fontId="6" fillId="33" borderId="1" xfId="30">
      <alignment horizontal="right"/>
    </xf>
    <xf numFmtId="0" fontId="7" fillId="34" borderId="5" xfId="35"/>
    <xf numFmtId="0" fontId="9" fillId="35" borderId="4" xfId="34"/>
    <xf numFmtId="0" fontId="4" fillId="33" borderId="15" xfId="50">
      <alignment horizontal="left" vertical="center" readingOrder="1"/>
    </xf>
    <xf numFmtId="0" fontId="6" fillId="33" borderId="1" xfId="51">
      <alignment horizontal="left"/>
    </xf>
    <xf numFmtId="0" fontId="3" fillId="34" borderId="5" xfId="36" applyFont="1"/>
    <xf numFmtId="3" fontId="1" fillId="34" borderId="2" xfId="52">
      <alignment horizontal="right"/>
    </xf>
    <xf numFmtId="4" fontId="1" fillId="34" borderId="2" xfId="53">
      <alignment horizontal="right"/>
    </xf>
    <xf numFmtId="3" fontId="7" fillId="34" borderId="2" xfId="54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 xr:uid="{00000000-0005-0000-0000-000019000000}"/>
    <cellStyle name="blp_title_header_row_left" xfId="50" xr:uid="{00000000-0005-0000-0000-00001A000000}"/>
    <cellStyle name="Calculation" xfId="27" builtinId="22" customBuiltin="1"/>
    <cellStyle name="Check Cell" xfId="28" builtinId="23" customBuiltin="1"/>
    <cellStyle name="Explanatory Text" xfId="29" builtinId="53" customBuiltin="1"/>
    <cellStyle name="fa_column_header_bottom" xfId="30" xr:uid="{00000000-0005-0000-0000-00001E000000}"/>
    <cellStyle name="fa_column_header_bottom_left" xfId="51" xr:uid="{00000000-0005-0000-0000-00001F000000}"/>
    <cellStyle name="fa_column_header_empty" xfId="31" xr:uid="{00000000-0005-0000-0000-000020000000}"/>
    <cellStyle name="fa_column_header_top" xfId="32" xr:uid="{00000000-0005-0000-0000-000021000000}"/>
    <cellStyle name="fa_column_header_top_left" xfId="33" xr:uid="{00000000-0005-0000-0000-000022000000}"/>
    <cellStyle name="fa_data_bold_0_grouped" xfId="54" xr:uid="{00000000-0005-0000-0000-000023000000}"/>
    <cellStyle name="fa_data_standard_0_grouped" xfId="52" xr:uid="{00000000-0005-0000-0000-000024000000}"/>
    <cellStyle name="fa_data_standard_2_grouped" xfId="53" xr:uid="{00000000-0005-0000-0000-000025000000}"/>
    <cellStyle name="fa_footer_italic" xfId="34" xr:uid="{00000000-0005-0000-0000-000026000000}"/>
    <cellStyle name="fa_row_header_bold" xfId="35" xr:uid="{00000000-0005-0000-0000-000027000000}"/>
    <cellStyle name="fa_row_header_standard" xfId="36" xr:uid="{00000000-0005-0000-0000-000028000000}"/>
    <cellStyle name="Good" xfId="37" builtinId="26" customBuiltin="1"/>
    <cellStyle name="Heading 1" xfId="38" builtinId="16" customBuiltin="1"/>
    <cellStyle name="Heading 2" xfId="39" builtinId="17" customBuiltin="1"/>
    <cellStyle name="Heading 3" xfId="40" builtinId="18" customBuiltin="1"/>
    <cellStyle name="Heading 4" xfId="41" builtinId="19" customBuiltin="1"/>
    <cellStyle name="Input" xfId="42" builtinId="20" customBuiltin="1"/>
    <cellStyle name="Linked Cell" xfId="43" builtinId="24" customBuiltin="1"/>
    <cellStyle name="Neutral" xfId="44" builtinId="28" customBuiltin="1"/>
    <cellStyle name="Normal" xfId="0" builtinId="0"/>
    <cellStyle name="Note" xfId="45" builtinId="10" customBuiltin="1"/>
    <cellStyle name="Output" xfId="46" builtinId="21" customBuiltin="1"/>
    <cellStyle name="Title" xfId="47" builtinId="15" customBuiltin="1"/>
    <cellStyle name="Total" xfId="48" builtinId="25" customBuiltin="1"/>
    <cellStyle name="Warning Text" xfId="49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/>
  </sheetViews>
  <sheetFormatPr defaultRowHeight="15"/>
  <cols>
    <col min="1" max="1" width="35.140625" customWidth="1"/>
    <col min="2" max="2" width="0" hidden="1" customWidth="1"/>
    <col min="3" max="12" width="11.8554687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0.25">
      <c r="A2" s="8" t="s">
        <v>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</row>
    <row r="3" spans="1:1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>
      <c r="A4" s="3" t="s">
        <v>1</v>
      </c>
      <c r="B4" s="3"/>
      <c r="C4" s="4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4" t="s">
        <v>7</v>
      </c>
      <c r="I4" s="4" t="s">
        <v>8</v>
      </c>
      <c r="J4" s="4" t="s">
        <v>9</v>
      </c>
      <c r="K4" s="4" t="s">
        <v>10</v>
      </c>
      <c r="L4" s="4" t="s">
        <v>11</v>
      </c>
    </row>
    <row r="5" spans="1:12">
      <c r="A5" s="9" t="s">
        <v>12</v>
      </c>
      <c r="B5" s="9"/>
      <c r="C5" s="5" t="s">
        <v>13</v>
      </c>
      <c r="D5" s="5" t="s">
        <v>14</v>
      </c>
      <c r="E5" s="5" t="s">
        <v>15</v>
      </c>
      <c r="F5" s="5" t="s">
        <v>16</v>
      </c>
      <c r="G5" s="5" t="s">
        <v>17</v>
      </c>
      <c r="H5" s="5" t="s">
        <v>18</v>
      </c>
      <c r="I5" s="5" t="s">
        <v>19</v>
      </c>
      <c r="J5" s="5" t="s">
        <v>20</v>
      </c>
      <c r="K5" s="5" t="s">
        <v>21</v>
      </c>
      <c r="L5" s="5" t="s">
        <v>22</v>
      </c>
    </row>
    <row r="6" spans="1:12">
      <c r="A6" s="6" t="s">
        <v>23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 spans="1:12">
      <c r="A7" s="10" t="s">
        <v>24</v>
      </c>
      <c r="B7" s="10" t="s">
        <v>25</v>
      </c>
      <c r="C7" s="12">
        <f>_xll.BDH("AVNT US Equity","RETURN_COM_EQY","FY 2013","FY 2013","Currency=USD","Period=FY","BEST_FPERIOD_OVERRIDE=FY","FILING_STATUS=MR","FA_ADJUSTED=GAAP","Sort=A","Dates=H","DateFormat=P","Fill=—","Direction=H","UseDPDF=Y")</f>
        <v>30.363</v>
      </c>
      <c r="D7" s="12">
        <f>_xll.BDH("AVNT US Equity","RETURN_COM_EQY","FY 2014","FY 2014","Currency=USD","Period=FY","BEST_FPERIOD_OVERRIDE=FY","FILING_STATUS=MR","FA_ADJUSTED=GAAP","Sort=A","Dates=H","DateFormat=P","Fill=—","Direction=H","UseDPDF=Y")</f>
        <v>9.0353999999999992</v>
      </c>
      <c r="E7" s="12">
        <f>_xll.BDH("AVNT US Equity","RETURN_COM_EQY","FY 2015","FY 2015","Currency=USD","Period=FY","BEST_FPERIOD_OVERRIDE=FY","FILING_STATUS=MR","FA_ADJUSTED=GAAP","Sort=A","Dates=H","DateFormat=P","Fill=—","Direction=H","UseDPDF=Y")</f>
        <v>19.533899999999999</v>
      </c>
      <c r="F7" s="12">
        <f>_xll.BDH("AVNT US Equity","RETURN_COM_EQY","FY 2016","FY 2016","Currency=USD","Period=FY","BEST_FPERIOD_OVERRIDE=FY","FILING_STATUS=MR","FA_ADJUSTED=GAAP","Sort=A","Dates=H","DateFormat=P","Fill=—","Direction=H","UseDPDF=Y")</f>
        <v>23.122699999999998</v>
      </c>
      <c r="G7" s="12">
        <f>_xll.BDH("AVNT US Equity","RETURN_COM_EQY","FY 2017","FY 2017","Currency=USD","Period=FY","BEST_FPERIOD_OVERRIDE=FY","FILING_STATUS=MR","FA_ADJUSTED=GAAP","Sort=A","Dates=H","DateFormat=P","Fill=—","Direction=H","UseDPDF=Y")</f>
        <v>-8.7212999999999994</v>
      </c>
      <c r="H7" s="12">
        <f>_xll.BDH("AVNT US Equity","RETURN_COM_EQY","FY 2018","FY 2018","Currency=USD","Period=FY","BEST_FPERIOD_OVERRIDE=FY","FILING_STATUS=MR","FA_ADJUSTED=GAAP","Sort=A","Dates=H","DateFormat=P","Fill=—","Direction=H","UseDPDF=Y")</f>
        <v>28.071999999999999</v>
      </c>
      <c r="I7" s="12">
        <f>_xll.BDH("AVNT US Equity","RETURN_COM_EQY","FY 2019","FY 2019","Currency=USD","Period=FY","BEST_FPERIOD_OVERRIDE=FY","FILING_STATUS=MR","FA_ADJUSTED=GAAP","Sort=A","Dates=H","DateFormat=P","Fill=—","Direction=H","UseDPDF=Y")</f>
        <v>73.949399999999997</v>
      </c>
      <c r="J7" s="12">
        <f>_xll.BDH("AVNT US Equity","RETURN_COM_EQY","FY 2020","FY 2020","Currency=USD","Period=FY","BEST_FPERIOD_OVERRIDE=FY","FILING_STATUS=MR","FA_ADJUSTED=GAAP","Sort=A","Dates=H","DateFormat=P","Fill=—","Direction=H","UseDPDF=Y")</f>
        <v>9.5744000000000007</v>
      </c>
      <c r="K7" s="12">
        <f>_xll.BDH("AVNT US Equity","RETURN_COM_EQY","FY 2021","FY 2021","Currency=USD","Period=FY","BEST_FPERIOD_OVERRIDE=FY","FILING_STATUS=MR","FA_ADJUSTED=GAAP","Sort=A","Dates=H","DateFormat=P","Fill=—","Direction=H","UseDPDF=Y")</f>
        <v>13.2957</v>
      </c>
      <c r="L7" s="12">
        <f>_xll.BDH("AVNT US Equity","RETURN_COM_EQY","FY 2022","FY 2022","Currency=USD","Period=FY","BEST_FPERIOD_OVERRIDE=FY","FILING_STATUS=MR","FA_ADJUSTED=GAAP","Sort=A","Dates=H","DateFormat=P","Fill=—","Direction=H","UseDPDF=Y")</f>
        <v>34.220799999999997</v>
      </c>
    </row>
    <row r="8" spans="1:12">
      <c r="A8" s="10" t="s">
        <v>26</v>
      </c>
      <c r="B8" s="10" t="s">
        <v>27</v>
      </c>
      <c r="C8" s="12">
        <f>_xll.BDH("AVNT US Equity","RETURN_ON_ASSET","FY 2013","FY 2013","Currency=USD","Period=FY","BEST_FPERIOD_OVERRIDE=FY","FILING_STATUS=MR","FA_ADJUSTED=GAAP","Sort=A","Dates=H","DateFormat=P","Fill=—","Direction=H","UseDPDF=Y")</f>
        <v>9.6134000000000004</v>
      </c>
      <c r="D8" s="12">
        <f>_xll.BDH("AVNT US Equity","RETURN_ON_ASSET","FY 2014","FY 2014","Currency=USD","Period=FY","BEST_FPERIOD_OVERRIDE=FY","FILING_STATUS=MR","FA_ADJUSTED=GAAP","Sort=A","Dates=H","DateFormat=P","Fill=—","Direction=H","UseDPDF=Y")</f>
        <v>2.8233000000000001</v>
      </c>
      <c r="E8" s="12">
        <f>_xll.BDH("AVNT US Equity","RETURN_ON_ASSET","FY 2015","FY 2015","Currency=USD","Period=FY","BEST_FPERIOD_OVERRIDE=FY","FILING_STATUS=MR","FA_ADJUSTED=GAAP","Sort=A","Dates=H","DateFormat=P","Fill=—","Direction=H","UseDPDF=Y")</f>
        <v>5.4965999999999999</v>
      </c>
      <c r="F8" s="12">
        <f>_xll.BDH("AVNT US Equity","RETURN_ON_ASSET","FY 2016","FY 2016","Currency=USD","Period=FY","BEST_FPERIOD_OVERRIDE=FY","FILING_STATUS=MR","FA_ADJUSTED=GAAP","Sort=A","Dates=H","DateFormat=P","Fill=—","Direction=H","UseDPDF=Y")</f>
        <v>6.1978</v>
      </c>
      <c r="G8" s="12">
        <f>_xll.BDH("AVNT US Equity","RETURN_ON_ASSET","FY 2017","FY 2017","Currency=USD","Period=FY","BEST_FPERIOD_OVERRIDE=FY","FILING_STATUS=MR","FA_ADJUSTED=GAAP","Sort=A","Dates=H","DateFormat=P","Fill=—","Direction=H","UseDPDF=Y")</f>
        <v>-2.1208999999999998</v>
      </c>
      <c r="H8" s="12">
        <f>_xll.BDH("AVNT US Equity","RETURN_ON_ASSET","FY 2018","FY 2018","Currency=USD","Period=FY","BEST_FPERIOD_OVERRIDE=FY","FILING_STATUS=MR","FA_ADJUSTED=GAAP","Sort=A","Dates=H","DateFormat=P","Fill=—","Direction=H","UseDPDF=Y")</f>
        <v>5.8872999999999998</v>
      </c>
      <c r="I8" s="12">
        <f>_xll.BDH("AVNT US Equity","RETURN_ON_ASSET","FY 2019","FY 2019","Currency=USD","Period=FY","BEST_FPERIOD_OVERRIDE=FY","FILING_STATUS=MR","FA_ADJUSTED=GAAP","Sort=A","Dates=H","DateFormat=P","Fill=—","Direction=H","UseDPDF=Y")</f>
        <v>19.6311</v>
      </c>
      <c r="J8" s="12">
        <f>_xll.BDH("AVNT US Equity","RETURN_ON_ASSET","FY 2020","FY 2020","Currency=USD","Period=FY","BEST_FPERIOD_OVERRIDE=FY","FILING_STATUS=MR","FA_ADJUSTED=GAAP","Sort=A","Dates=H","DateFormat=P","Fill=—","Direction=H","UseDPDF=Y")</f>
        <v>3.2319</v>
      </c>
      <c r="K8" s="12">
        <f>_xll.BDH("AVNT US Equity","RETURN_ON_ASSET","FY 2021","FY 2021","Currency=USD","Period=FY","BEST_FPERIOD_OVERRIDE=FY","FILING_STATUS=MR","FA_ADJUSTED=GAAP","Sort=A","Dates=H","DateFormat=P","Fill=—","Direction=H","UseDPDF=Y")</f>
        <v>4.6779000000000002</v>
      </c>
      <c r="L8" s="12">
        <f>_xll.BDH("AVNT US Equity","RETURN_ON_ASSET","FY 2022","FY 2022","Currency=USD","Period=FY","BEST_FPERIOD_OVERRIDE=FY","FILING_STATUS=MR","FA_ADJUSTED=GAAP","Sort=A","Dates=H","DateFormat=P","Fill=—","Direction=H","UseDPDF=Y")</f>
        <v>12.688800000000001</v>
      </c>
    </row>
    <row r="9" spans="1:12">
      <c r="A9" s="10" t="s">
        <v>28</v>
      </c>
      <c r="B9" s="10" t="s">
        <v>29</v>
      </c>
      <c r="C9" s="12" t="str">
        <f>_xll.BDH("AVNT US Equity","RETURN_ON_CAP","FY 2013","FY 2013","Currency=USD","Period=FY","BEST_FPERIOD_OVERRIDE=FY","FILING_STATUS=MR","FA_ADJUSTED=GAAP","Sort=A","Dates=H","DateFormat=P","Fill=—","Direction=H","UseDPDF=Y")</f>
        <v>—</v>
      </c>
      <c r="D9" s="12" t="str">
        <f>_xll.BDH("AVNT US Equity","RETURN_ON_CAP","FY 2014","FY 2014","Currency=USD","Period=FY","BEST_FPERIOD_OVERRIDE=FY","FILING_STATUS=MR","FA_ADJUSTED=GAAP","Sort=A","Dates=H","DateFormat=P","Fill=—","Direction=H","UseDPDF=Y")</f>
        <v>—</v>
      </c>
      <c r="E9" s="12">
        <f>_xll.BDH("AVNT US Equity","RETURN_ON_CAP","FY 2015","FY 2015","Currency=USD","Period=FY","BEST_FPERIOD_OVERRIDE=FY","FILING_STATUS=MR","FA_ADJUSTED=GAAP","Sort=A","Dates=H","DateFormat=P","Fill=—","Direction=H","UseDPDF=Y")</f>
        <v>11.0381</v>
      </c>
      <c r="F9" s="12">
        <f>_xll.BDH("AVNT US Equity","RETURN_ON_CAP","FY 2016","FY 2016","Currency=USD","Period=FY","BEST_FPERIOD_OVERRIDE=FY","FILING_STATUS=MR","FA_ADJUSTED=GAAP","Sort=A","Dates=H","DateFormat=P","Fill=—","Direction=H","UseDPDF=Y")</f>
        <v>10.650499999999999</v>
      </c>
      <c r="G9" s="12">
        <f>_xll.BDH("AVNT US Equity","RETURN_ON_CAP","FY 2017","FY 2017","Currency=USD","Period=FY","BEST_FPERIOD_OVERRIDE=FY","FILING_STATUS=MR","FA_ADJUSTED=GAAP","Sort=A","Dates=H","DateFormat=P","Fill=—","Direction=H","UseDPDF=Y")</f>
        <v>-0.35670000000000002</v>
      </c>
      <c r="H9" s="12">
        <f>_xll.BDH("AVNT US Equity","RETURN_ON_CAP","FY 2018","FY 2018","Currency=USD","Period=FY","BEST_FPERIOD_OVERRIDE=FY","FILING_STATUS=MR","FA_ADJUSTED=GAAP","Sort=A","Dates=H","DateFormat=P","Fill=—","Direction=H","UseDPDF=Y")</f>
        <v>11.036799999999999</v>
      </c>
      <c r="I9" s="12">
        <f>_xll.BDH("AVNT US Equity","RETURN_ON_CAP","FY 2019","FY 2019","Currency=USD","Period=FY","BEST_FPERIOD_OVERRIDE=FY","FILING_STATUS=MR","FA_ADJUSTED=GAAP","Sort=A","Dates=H","DateFormat=P","Fill=—","Direction=H","UseDPDF=Y")</f>
        <v>30.060500000000001</v>
      </c>
      <c r="J9" s="12">
        <f>_xll.BDH("AVNT US Equity","RETURN_ON_CAP","FY 2020","FY 2020","Currency=USD","Period=FY","BEST_FPERIOD_OVERRIDE=FY","FILING_STATUS=MR","FA_ADJUSTED=GAAP","Sort=A","Dates=H","DateFormat=P","Fill=—","Direction=H","UseDPDF=Y")</f>
        <v>7.4649000000000001</v>
      </c>
      <c r="K9" s="12">
        <f>_xll.BDH("AVNT US Equity","RETURN_ON_CAP","FY 2021","FY 2021","Currency=USD","Period=FY","BEST_FPERIOD_OVERRIDE=FY","FILING_STATUS=MR","FA_ADJUSTED=GAAP","Sort=A","Dates=H","DateFormat=P","Fill=—","Direction=H","UseDPDF=Y")</f>
        <v>8.1107999999999993</v>
      </c>
      <c r="L9" s="12">
        <f>_xll.BDH("AVNT US Equity","RETURN_ON_CAP","FY 2022","FY 2022","Currency=USD","Period=FY","BEST_FPERIOD_OVERRIDE=FY","FILING_STATUS=MR","FA_ADJUSTED=GAAP","Sort=A","Dates=H","DateFormat=P","Fill=—","Direction=H","UseDPDF=Y")</f>
        <v>19.845400000000001</v>
      </c>
    </row>
    <row r="10" spans="1:12">
      <c r="A10" s="10" t="s">
        <v>30</v>
      </c>
      <c r="B10" s="10" t="s">
        <v>31</v>
      </c>
      <c r="C10" s="12">
        <f>_xll.BDH("AVNT US Equity","RETURN_ON_INV_CAPITAL","FY 2013","FY 2013","Currency=USD","Period=FY","BEST_FPERIOD_OVERRIDE=FY","FILING_STATUS=MR","FA_ADJUSTED=GAAP","Sort=A","Dates=H","DateFormat=P","Fill=—","Direction=H","UseDPDF=Y")</f>
        <v>5.1837999999999997</v>
      </c>
      <c r="D10" s="12">
        <f>_xll.BDH("AVNT US Equity","RETURN_ON_INV_CAPITAL","FY 2014","FY 2014","Currency=USD","Period=FY","BEST_FPERIOD_OVERRIDE=FY","FILING_STATUS=MR","FA_ADJUSTED=GAAP","Sort=A","Dates=H","DateFormat=P","Fill=—","Direction=H","UseDPDF=Y")</f>
        <v>9.8466000000000005</v>
      </c>
      <c r="E10" s="12">
        <f>_xll.BDH("AVNT US Equity","RETURN_ON_INV_CAPITAL","FY 2015","FY 2015","Currency=USD","Period=FY","BEST_FPERIOD_OVERRIDE=FY","FILING_STATUS=MR","FA_ADJUSTED=GAAP","Sort=A","Dates=H","DateFormat=P","Fill=—","Direction=H","UseDPDF=Y")</f>
        <v>12.282999999999999</v>
      </c>
      <c r="F10" s="12">
        <f>_xll.BDH("AVNT US Equity","RETURN_ON_INV_CAPITAL","FY 2016","FY 2016","Currency=USD","Period=FY","BEST_FPERIOD_OVERRIDE=FY","FILING_STATUS=MR","FA_ADJUSTED=GAAP","Sort=A","Dates=H","DateFormat=P","Fill=—","Direction=H","UseDPDF=Y")</f>
        <v>9.7250999999999994</v>
      </c>
      <c r="G10" s="12">
        <f>_xll.BDH("AVNT US Equity","RETURN_ON_INV_CAPITAL","FY 2017","FY 2017","Currency=USD","Period=FY","BEST_FPERIOD_OVERRIDE=FY","FILING_STATUS=MR","FA_ADJUSTED=GAAP","Sort=A","Dates=H","DateFormat=P","Fill=—","Direction=H","UseDPDF=Y")</f>
        <v>10.5627</v>
      </c>
      <c r="H10" s="12">
        <f>_xll.BDH("AVNT US Equity","RETURN_ON_INV_CAPITAL","FY 2018","FY 2018","Currency=USD","Period=FY","BEST_FPERIOD_OVERRIDE=FY","FILING_STATUS=MR","FA_ADJUSTED=GAAP","Sort=A","Dates=H","DateFormat=P","Fill=—","Direction=H","UseDPDF=Y")</f>
        <v>8.1804000000000006</v>
      </c>
      <c r="I10" s="12">
        <f>_xll.BDH("AVNT US Equity","RETURN_ON_INV_CAPITAL","FY 2019","FY 2019","Currency=USD","Period=FY","BEST_FPERIOD_OVERRIDE=FY","FILING_STATUS=MR","FA_ADJUSTED=GAAP","Sort=A","Dates=H","DateFormat=P","Fill=—","Direction=H","UseDPDF=Y")</f>
        <v>4.1833</v>
      </c>
      <c r="J10" s="12">
        <f>_xll.BDH("AVNT US Equity","RETURN_ON_INV_CAPITAL","FY 2020","FY 2020","Currency=USD","Period=FY","BEST_FPERIOD_OVERRIDE=FY","FILING_STATUS=MR","FA_ADJUSTED=GAAP","Sort=A","Dates=H","DateFormat=P","Fill=—","Direction=H","UseDPDF=Y")</f>
        <v>4.9191000000000003</v>
      </c>
      <c r="K10" s="12">
        <f>_xll.BDH("AVNT US Equity","RETURN_ON_INV_CAPITAL","FY 2021","FY 2021","Currency=USD","Period=FY","BEST_FPERIOD_OVERRIDE=FY","FILING_STATUS=MR","FA_ADJUSTED=GAAP","Sort=A","Dates=H","DateFormat=P","Fill=—","Direction=H","UseDPDF=Y")</f>
        <v>5.4580000000000002</v>
      </c>
      <c r="L10" s="12">
        <f>_xll.BDH("AVNT US Equity","RETURN_ON_INV_CAPITAL","FY 2022","FY 2022","Currency=USD","Period=FY","BEST_FPERIOD_OVERRIDE=FY","FILING_STATUS=MR","FA_ADJUSTED=GAAP","Sort=A","Dates=H","DateFormat=P","Fill=—","Direction=H","UseDPDF=Y")</f>
        <v>5.6444000000000001</v>
      </c>
    </row>
    <row r="11" spans="1:12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</row>
    <row r="12" spans="1:12">
      <c r="A12" s="6" t="s">
        <v>32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 spans="1:12">
      <c r="A13" s="10" t="s">
        <v>33</v>
      </c>
      <c r="B13" s="10" t="s">
        <v>34</v>
      </c>
      <c r="C13" s="12">
        <f>_xll.BDH("AVNT US Equity","GROSS_MARGIN","FY 2013","FY 2013","Currency=USD","Period=FY","BEST_FPERIOD_OVERRIDE=FY","FILING_STATUS=MR","FA_ADJUSTED=GAAP","Sort=A","Dates=H","DateFormat=P","Fill=—","Direction=H","UseDPDF=Y")</f>
        <v>17.5594</v>
      </c>
      <c r="D13" s="12">
        <f>_xll.BDH("AVNT US Equity","GROSS_MARGIN","FY 2014","FY 2014","Currency=USD","Period=FY","BEST_FPERIOD_OVERRIDE=FY","FILING_STATUS=MR","FA_ADJUSTED=GAAP","Sort=A","Dates=H","DateFormat=P","Fill=—","Direction=H","UseDPDF=Y")</f>
        <v>18.456499999999998</v>
      </c>
      <c r="E13" s="12">
        <f>_xll.BDH("AVNT US Equity","GROSS_MARGIN","FY 2015","FY 2015","Currency=USD","Period=FY","BEST_FPERIOD_OVERRIDE=FY","FILING_STATUS=MR","FA_ADJUSTED=GAAP","Sort=A","Dates=H","DateFormat=P","Fill=—","Direction=H","UseDPDF=Y")</f>
        <v>20.177</v>
      </c>
      <c r="F13" s="12">
        <f>_xll.BDH("AVNT US Equity","GROSS_MARGIN","FY 2016","FY 2016","Currency=USD","Period=FY","BEST_FPERIOD_OVERRIDE=FY","FILING_STATUS=MR","FA_ADJUSTED=GAAP","Sort=A","Dates=H","DateFormat=P","Fill=—","Direction=H","UseDPDF=Y")</f>
        <v>23.041599999999999</v>
      </c>
      <c r="G13" s="12">
        <f>_xll.BDH("AVNT US Equity","GROSS_MARGIN","FY 2017","FY 2017","Currency=USD","Period=FY","BEST_FPERIOD_OVERRIDE=FY","FILING_STATUS=MR","FA_ADJUSTED=GAAP","Sort=A","Dates=H","DateFormat=P","Fill=—","Direction=H","UseDPDF=Y")</f>
        <v>22.2577</v>
      </c>
      <c r="H13" s="12">
        <f>_xll.BDH("AVNT US Equity","GROSS_MARGIN","FY 2018","FY 2018","Currency=USD","Period=FY","BEST_FPERIOD_OVERRIDE=FY","FILING_STATUS=MR","FA_ADJUSTED=GAAP","Sort=A","Dates=H","DateFormat=P","Fill=—","Direction=H","UseDPDF=Y")</f>
        <v>21.686900000000001</v>
      </c>
      <c r="I13" s="12">
        <f>_xll.BDH("AVNT US Equity","GROSS_MARGIN","FY 2019","FY 2019","Currency=USD","Period=FY","BEST_FPERIOD_OVERRIDE=FY","FILING_STATUS=MR","FA_ADJUSTED=GAAP","Sort=A","Dates=H","DateFormat=P","Fill=—","Direction=H","UseDPDF=Y")</f>
        <v>22.9573</v>
      </c>
      <c r="J13" s="12">
        <f>_xll.BDH("AVNT US Equity","GROSS_MARGIN","FY 2020","FY 2020","Currency=USD","Period=FY","BEST_FPERIOD_OVERRIDE=FY","FILING_STATUS=MR","FA_ADJUSTED=GAAP","Sort=A","Dates=H","DateFormat=P","Fill=—","Direction=H","UseDPDF=Y")</f>
        <v>24.191099999999999</v>
      </c>
      <c r="K13" s="12">
        <f>_xll.BDH("AVNT US Equity","GROSS_MARGIN","FY 2021","FY 2021","Currency=USD","Period=FY","BEST_FPERIOD_OVERRIDE=FY","FILING_STATUS=MR","FA_ADJUSTED=GAAP","Sort=A","Dates=H","DateFormat=P","Fill=—","Direction=H","UseDPDF=Y")</f>
        <v>28.4663</v>
      </c>
      <c r="L13" s="12">
        <f>_xll.BDH("AVNT US Equity","GROSS_MARGIN","FY 2022","FY 2022","Currency=USD","Period=FY","BEST_FPERIOD_OVERRIDE=FY","FILING_STATUS=MR","FA_ADJUSTED=GAAP","Sort=A","Dates=H","DateFormat=P","Fill=—","Direction=H","UseDPDF=Y")</f>
        <v>25.985499999999998</v>
      </c>
    </row>
    <row r="14" spans="1:12">
      <c r="A14" s="10" t="s">
        <v>35</v>
      </c>
      <c r="B14" s="10" t="s">
        <v>36</v>
      </c>
      <c r="C14" s="12">
        <f>_xll.BDH("AVNT US Equity","EBITDA_TO_REVENUE","FY 2013","FY 2013","Currency=USD","Period=FY","BEST_FPERIOD_OVERRIDE=FY","FILING_STATUS=MR","FA_ADJUSTED=GAAP","Sort=A","Dates=H","DateFormat=P","Fill=—","Direction=H","UseDPDF=Y")</f>
        <v>9.0502000000000002</v>
      </c>
      <c r="D14" s="12">
        <f>_xll.BDH("AVNT US Equity","EBITDA_TO_REVENUE","FY 2014","FY 2014","Currency=USD","Period=FY","BEST_FPERIOD_OVERRIDE=FY","FILING_STATUS=MR","FA_ADJUSTED=GAAP","Sort=A","Dates=H","DateFormat=P","Fill=—","Direction=H","UseDPDF=Y")</f>
        <v>7.2740999999999998</v>
      </c>
      <c r="E14" s="12">
        <f>_xll.BDH("AVNT US Equity","EBITDA_TO_REVENUE","FY 2015","FY 2015","Currency=USD","Period=FY","BEST_FPERIOD_OVERRIDE=FY","FILING_STATUS=MR","FA_ADJUSTED=GAAP","Sort=A","Dates=H","DateFormat=P","Fill=—","Direction=H","UseDPDF=Y")</f>
        <v>10.332800000000001</v>
      </c>
      <c r="F14" s="12">
        <f>_xll.BDH("AVNT US Equity","EBITDA_TO_REVENUE","FY 2016","FY 2016","Currency=USD","Period=FY","BEST_FPERIOD_OVERRIDE=FY","FILING_STATUS=MR","FA_ADJUSTED=GAAP","Sort=A","Dates=H","DateFormat=P","Fill=—","Direction=H","UseDPDF=Y")</f>
        <v>13.162699999999999</v>
      </c>
      <c r="G14" s="12">
        <f>_xll.BDH("AVNT US Equity","EBITDA_TO_REVENUE","FY 2017","FY 2017","Currency=USD","Period=FY","BEST_FPERIOD_OVERRIDE=FY","FILING_STATUS=MR","FA_ADJUSTED=GAAP","Sort=A","Dates=H","DateFormat=P","Fill=—","Direction=H","UseDPDF=Y")</f>
        <v>11.4617</v>
      </c>
      <c r="H14" s="12">
        <f>_xll.BDH("AVNT US Equity","EBITDA_TO_REVENUE","FY 2018","FY 2018","Currency=USD","Period=FY","BEST_FPERIOD_OVERRIDE=FY","FILING_STATUS=MR","FA_ADJUSTED=GAAP","Sort=A","Dates=H","DateFormat=P","Fill=—","Direction=H","UseDPDF=Y")</f>
        <v>10.1701</v>
      </c>
      <c r="I14" s="12">
        <f>_xll.BDH("AVNT US Equity","EBITDA_TO_REVENUE","FY 2019","FY 2019","Currency=USD","Period=FY","BEST_FPERIOD_OVERRIDE=FY","FILING_STATUS=MR","FA_ADJUSTED=GAAP","Sort=A","Dates=H","DateFormat=P","Fill=—","Direction=H","UseDPDF=Y")</f>
        <v>9.3722999999999992</v>
      </c>
      <c r="J14" s="12">
        <f>_xll.BDH("AVNT US Equity","EBITDA_TO_REVENUE","FY 2020","FY 2020","Currency=USD","Period=FY","BEST_FPERIOD_OVERRIDE=FY","FILING_STATUS=MR","FA_ADJUSTED=GAAP","Sort=A","Dates=H","DateFormat=P","Fill=—","Direction=H","UseDPDF=Y")</f>
        <v>10.243399999999999</v>
      </c>
      <c r="K14" s="12">
        <f>_xll.BDH("AVNT US Equity","EBITDA_TO_REVENUE","FY 2021","FY 2021","Currency=USD","Period=FY","BEST_FPERIOD_OVERRIDE=FY","FILING_STATUS=MR","FA_ADJUSTED=GAAP","Sort=A","Dates=H","DateFormat=P","Fill=—","Direction=H","UseDPDF=Y")</f>
        <v>13.6721</v>
      </c>
      <c r="L14" s="12">
        <f>_xll.BDH("AVNT US Equity","EBITDA_TO_REVENUE","FY 2022","FY 2022","Currency=USD","Period=FY","BEST_FPERIOD_OVERRIDE=FY","FILING_STATUS=MR","FA_ADJUSTED=GAAP","Sort=A","Dates=H","DateFormat=P","Fill=—","Direction=H","UseDPDF=Y")</f>
        <v>13.827299999999999</v>
      </c>
    </row>
    <row r="15" spans="1:12">
      <c r="A15" s="10" t="s">
        <v>37</v>
      </c>
      <c r="B15" s="10" t="s">
        <v>38</v>
      </c>
      <c r="C15" s="12">
        <f>_xll.BDH("AVNT US Equity","OPER_MARGIN","FY 2013","FY 2013","Currency=USD","Period=FY","BEST_FPERIOD_OVERRIDE=FY","FILING_STATUS=MR","FA_ADJUSTED=GAAP","Sort=A","Dates=H","DateFormat=P","Fill=—","Direction=H","UseDPDF=Y")</f>
        <v>6.1386000000000003</v>
      </c>
      <c r="D15" s="12">
        <f>_xll.BDH("AVNT US Equity","OPER_MARGIN","FY 2014","FY 2014","Currency=USD","Period=FY","BEST_FPERIOD_OVERRIDE=FY","FILING_STATUS=MR","FA_ADJUSTED=GAAP","Sort=A","Dates=H","DateFormat=P","Fill=—","Direction=H","UseDPDF=Y")</f>
        <v>4.0438000000000001</v>
      </c>
      <c r="E15" s="12">
        <f>_xll.BDH("AVNT US Equity","OPER_MARGIN","FY 2015","FY 2015","Currency=USD","Period=FY","BEST_FPERIOD_OVERRIDE=FY","FILING_STATUS=MR","FA_ADJUSTED=GAAP","Sort=A","Dates=H","DateFormat=P","Fill=—","Direction=H","UseDPDF=Y")</f>
        <v>7.4283999999999999</v>
      </c>
      <c r="F15" s="12">
        <f>_xll.BDH("AVNT US Equity","OPER_MARGIN","FY 2016","FY 2016","Currency=USD","Period=FY","BEST_FPERIOD_OVERRIDE=FY","FILING_STATUS=MR","FA_ADJUSTED=GAAP","Sort=A","Dates=H","DateFormat=P","Fill=—","Direction=H","UseDPDF=Y")</f>
        <v>9.7426999999999992</v>
      </c>
      <c r="G15" s="12">
        <f>_xll.BDH("AVNT US Equity","OPER_MARGIN","FY 2017","FY 2017","Currency=USD","Period=FY","BEST_FPERIOD_OVERRIDE=FY","FILING_STATUS=MR","FA_ADJUSTED=GAAP","Sort=A","Dates=H","DateFormat=P","Fill=—","Direction=H","UseDPDF=Y")</f>
        <v>8.4460999999999995</v>
      </c>
      <c r="H15" s="12">
        <f>_xll.BDH("AVNT US Equity","OPER_MARGIN","FY 2018","FY 2018","Currency=USD","Period=FY","BEST_FPERIOD_OVERRIDE=FY","FILING_STATUS=MR","FA_ADJUSTED=GAAP","Sort=A","Dates=H","DateFormat=P","Fill=—","Direction=H","UseDPDF=Y")</f>
        <v>6.1992000000000003</v>
      </c>
      <c r="I15" s="12">
        <f>_xll.BDH("AVNT US Equity","OPER_MARGIN","FY 2019","FY 2019","Currency=USD","Period=FY","BEST_FPERIOD_OVERRIDE=FY","FILING_STATUS=MR","FA_ADJUSTED=GAAP","Sort=A","Dates=H","DateFormat=P","Fill=—","Direction=H","UseDPDF=Y")</f>
        <v>5.4772999999999996</v>
      </c>
      <c r="J15" s="12">
        <f>_xll.BDH("AVNT US Equity","OPER_MARGIN","FY 2020","FY 2020","Currency=USD","Period=FY","BEST_FPERIOD_OVERRIDE=FY","FILING_STATUS=MR","FA_ADJUSTED=GAAP","Sort=A","Dates=H","DateFormat=P","Fill=—","Direction=H","UseDPDF=Y")</f>
        <v>5.8388</v>
      </c>
      <c r="K15" s="12">
        <f>_xll.BDH("AVNT US Equity","OPER_MARGIN","FY 2021","FY 2021","Currency=USD","Period=FY","BEST_FPERIOD_OVERRIDE=FY","FILING_STATUS=MR","FA_ADJUSTED=GAAP","Sort=A","Dates=H","DateFormat=P","Fill=—","Direction=H","UseDPDF=Y")</f>
        <v>8.4360999999999997</v>
      </c>
      <c r="L15" s="12">
        <f>_xll.BDH("AVNT US Equity","OPER_MARGIN","FY 2022","FY 2022","Currency=USD","Period=FY","BEST_FPERIOD_OVERRIDE=FY","FILING_STATUS=MR","FA_ADJUSTED=GAAP","Sort=A","Dates=H","DateFormat=P","Fill=—","Direction=H","UseDPDF=Y")</f>
        <v>7.1623999999999999</v>
      </c>
    </row>
    <row r="16" spans="1:12">
      <c r="A16" s="10" t="s">
        <v>39</v>
      </c>
      <c r="B16" s="10" t="s">
        <v>40</v>
      </c>
      <c r="C16" s="12">
        <f>_xll.BDH("AVNT US Equity","INCREMENTAL_OPERATING_MARGIN","FY 2013","FY 2013","Currency=USD","Period=FY","BEST_FPERIOD_OVERRIDE=FY","FILING_STATUS=MR","FA_ADJUSTED=GAAP","Sort=A","Dates=H","DateFormat=P","Fill=—","Direction=H","UseDPDF=Y")</f>
        <v>10.325100000000001</v>
      </c>
      <c r="D16" s="12" t="str">
        <f>_xll.BDH("AVNT US Equity","INCREMENTAL_OPERATING_MARGIN","FY 2014","FY 2014","Currency=USD","Period=FY","BEST_FPERIOD_OVERRIDE=FY","FILING_STATUS=MR","FA_ADJUSTED=GAAP","Sort=A","Dates=H","DateFormat=P","Fill=—","Direction=H","UseDPDF=Y")</f>
        <v>—</v>
      </c>
      <c r="E16" s="12" t="str">
        <f>_xll.BDH("AVNT US Equity","INCREMENTAL_OPERATING_MARGIN","FY 2015","FY 2015","Currency=USD","Period=FY","BEST_FPERIOD_OVERRIDE=FY","FILING_STATUS=MR","FA_ADJUSTED=GAAP","Sort=A","Dates=H","DateFormat=P","Fill=—","Direction=H","UseDPDF=Y")</f>
        <v>—</v>
      </c>
      <c r="F16" s="12" t="str">
        <f>_xll.BDH("AVNT US Equity","INCREMENTAL_OPERATING_MARGIN","FY 2016","FY 2016","Currency=USD","Period=FY","BEST_FPERIOD_OVERRIDE=FY","FILING_STATUS=MR","FA_ADJUSTED=GAAP","Sort=A","Dates=H","DateFormat=P","Fill=—","Direction=H","UseDPDF=Y")</f>
        <v>—</v>
      </c>
      <c r="G16" s="12" t="str">
        <f>_xll.BDH("AVNT US Equity","INCREMENTAL_OPERATING_MARGIN","FY 2017","FY 2017","Currency=USD","Period=FY","BEST_FPERIOD_OVERRIDE=FY","FILING_STATUS=MR","FA_ADJUSTED=GAAP","Sort=A","Dates=H","DateFormat=P","Fill=—","Direction=H","UseDPDF=Y")</f>
        <v>—</v>
      </c>
      <c r="H16" s="12">
        <f>_xll.BDH("AVNT US Equity","INCREMENTAL_OPERATING_MARGIN","FY 2018","FY 2018","Currency=USD","Period=FY","BEST_FPERIOD_OVERRIDE=FY","FILING_STATUS=MR","FA_ADJUSTED=GAAP","Sort=A","Dates=H","DateFormat=P","Fill=—","Direction=H","UseDPDF=Y")</f>
        <v>-26.999099999999999</v>
      </c>
      <c r="I16" s="12">
        <f>_xll.BDH("AVNT US Equity","INCREMENTAL_OPERATING_MARGIN","FY 2019","FY 2019","Currency=USD","Period=FY","BEST_FPERIOD_OVERRIDE=FY","FILING_STATUS=MR","FA_ADJUSTED=GAAP","Sort=A","Dates=H","DateFormat=P","Fill=—","Direction=H","UseDPDF=Y")</f>
        <v>-119.12569999999999</v>
      </c>
      <c r="J16" s="12">
        <f>_xll.BDH("AVNT US Equity","INCREMENTAL_OPERATING_MARGIN","FY 2020","FY 2020","Currency=USD","Period=FY","BEST_FPERIOD_OVERRIDE=FY","FILING_STATUS=MR","FA_ADJUSTED=GAAP","Sort=A","Dates=H","DateFormat=P","Fill=—","Direction=H","UseDPDF=Y")</f>
        <v>8.5662000000000003</v>
      </c>
      <c r="K16" s="12">
        <f>_xll.BDH("AVNT US Equity","INCREMENTAL_OPERATING_MARGIN","FY 2021","FY 2021","Currency=USD","Period=FY","BEST_FPERIOD_OVERRIDE=FY","FILING_STATUS=MR","FA_ADJUSTED=GAAP","Sort=A","Dates=H","DateFormat=P","Fill=—","Direction=H","UseDPDF=Y")</f>
        <v>123.16079999999999</v>
      </c>
      <c r="L16" s="12" t="str">
        <f>_xll.BDH("AVNT US Equity","INCREMENTAL_OPERATING_MARGIN","FY 2022","FY 2022","Currency=USD","Period=FY","BEST_FPERIOD_OVERRIDE=FY","FILING_STATUS=MR","FA_ADJUSTED=GAAP","Sort=A","Dates=H","DateFormat=P","Fill=—","Direction=H","UseDPDF=Y")</f>
        <v>—</v>
      </c>
    </row>
    <row r="17" spans="1:12">
      <c r="A17" s="10" t="s">
        <v>41</v>
      </c>
      <c r="B17" s="10" t="s">
        <v>42</v>
      </c>
      <c r="C17" s="12">
        <f>_xll.BDH("AVNT US Equity","PRETAX_INC_TO_NET_SALES","FY 2013","FY 2013","Currency=USD","Period=FY","BEST_FPERIOD_OVERRIDE=FY","FILING_STATUS=MR","FA_ADJUSTED=GAAP","Sort=A","Dates=H","DateFormat=P","Fill=—","Direction=H","UseDPDF=Y")</f>
        <v>4.0039999999999996</v>
      </c>
      <c r="D17" s="12">
        <f>_xll.BDH("AVNT US Equity","PRETAX_INC_TO_NET_SALES","FY 2014","FY 2014","Currency=USD","Period=FY","BEST_FPERIOD_OVERRIDE=FY","FILING_STATUS=MR","FA_ADJUSTED=GAAP","Sort=A","Dates=H","DateFormat=P","Fill=—","Direction=H","UseDPDF=Y")</f>
        <v>2.3048000000000002</v>
      </c>
      <c r="E17" s="12">
        <f>_xll.BDH("AVNT US Equity","PRETAX_INC_TO_NET_SALES","FY 2015","FY 2015","Currency=USD","Period=FY","BEST_FPERIOD_OVERRIDE=FY","FILING_STATUS=MR","FA_ADJUSTED=GAAP","Sort=A","Dates=H","DateFormat=P","Fill=—","Direction=H","UseDPDF=Y")</f>
        <v>4.9650999999999996</v>
      </c>
      <c r="F17" s="12">
        <f>_xll.BDH("AVNT US Equity","PRETAX_INC_TO_NET_SALES","FY 2016","FY 2016","Currency=USD","Period=FY","BEST_FPERIOD_OVERRIDE=FY","FILING_STATUS=MR","FA_ADJUSTED=GAAP","Sort=A","Dates=H","DateFormat=P","Fill=—","Direction=H","UseDPDF=Y")</f>
        <v>7.7111999999999998</v>
      </c>
      <c r="G17" s="12">
        <f>_xll.BDH("AVNT US Equity","PRETAX_INC_TO_NET_SALES","FY 2017","FY 2017","Currency=USD","Period=FY","BEST_FPERIOD_OVERRIDE=FY","FILING_STATUS=MR","FA_ADJUSTED=GAAP","Sort=A","Dates=H","DateFormat=P","Fill=—","Direction=H","UseDPDF=Y")</f>
        <v>6.5730000000000004</v>
      </c>
      <c r="H17" s="12">
        <f>_xll.BDH("AVNT US Equity","PRETAX_INC_TO_NET_SALES","FY 2018","FY 2018","Currency=USD","Period=FY","BEST_FPERIOD_OVERRIDE=FY","FILING_STATUS=MR","FA_ADJUSTED=GAAP","Sort=A","Dates=H","DateFormat=P","Fill=—","Direction=H","UseDPDF=Y")</f>
        <v>3.5335000000000001</v>
      </c>
      <c r="I17" s="12">
        <f>_xll.BDH("AVNT US Equity","PRETAX_INC_TO_NET_SALES","FY 2019","FY 2019","Currency=USD","Period=FY","BEST_FPERIOD_OVERRIDE=FY","FILING_STATUS=MR","FA_ADJUSTED=GAAP","Sort=A","Dates=H","DateFormat=P","Fill=—","Direction=H","UseDPDF=Y")</f>
        <v>3.8216000000000001</v>
      </c>
      <c r="J17" s="12">
        <f>_xll.BDH("AVNT US Equity","PRETAX_INC_TO_NET_SALES","FY 2020","FY 2020","Currency=USD","Period=FY","BEST_FPERIOD_OVERRIDE=FY","FILING_STATUS=MR","FA_ADJUSTED=GAAP","Sort=A","Dates=H","DateFormat=P","Fill=—","Direction=H","UseDPDF=Y")</f>
        <v>4.2873000000000001</v>
      </c>
      <c r="K17" s="12">
        <f>_xll.BDH("AVNT US Equity","PRETAX_INC_TO_NET_SALES","FY 2021","FY 2021","Currency=USD","Period=FY","BEST_FPERIOD_OVERRIDE=FY","FILING_STATUS=MR","FA_ADJUSTED=GAAP","Sort=A","Dates=H","DateFormat=P","Fill=—","Direction=H","UseDPDF=Y")</f>
        <v>6.1378000000000004</v>
      </c>
      <c r="L17" s="12">
        <f>_xll.BDH("AVNT US Equity","PRETAX_INC_TO_NET_SALES","FY 2022","FY 2022","Currency=USD","Period=FY","BEST_FPERIOD_OVERRIDE=FY","FILING_STATUS=MR","FA_ADJUSTED=GAAP","Sort=A","Dates=H","DateFormat=P","Fill=—","Direction=H","UseDPDF=Y")</f>
        <v>1.8782000000000001</v>
      </c>
    </row>
    <row r="18" spans="1:12">
      <c r="A18" s="10" t="s">
        <v>43</v>
      </c>
      <c r="B18" s="10" t="s">
        <v>44</v>
      </c>
      <c r="C18" s="12">
        <f>_xll.BDH("AVNT US Equity","INC_BEF_XO_ITEMS_TO_NET_SALES","FY 2013","FY 2013","Currency=USD","Period=FY","BEST_FPERIOD_OVERRIDE=FY","FILING_STATUS=MR","FA_ADJUSTED=GAAP","Sort=A","Dates=H","DateFormat=P","Fill=—","Direction=H","UseDPDF=Y")</f>
        <v>2.4634</v>
      </c>
      <c r="D18" s="12">
        <f>_xll.BDH("AVNT US Equity","INC_BEF_XO_ITEMS_TO_NET_SALES","FY 2014","FY 2014","Currency=USD","Period=FY","BEST_FPERIOD_OVERRIDE=FY","FILING_STATUS=MR","FA_ADJUSTED=GAAP","Sort=A","Dates=H","DateFormat=P","Fill=—","Direction=H","UseDPDF=Y")</f>
        <v>2.0127999999999999</v>
      </c>
      <c r="E18" s="12">
        <f>_xll.BDH("AVNT US Equity","INC_BEF_XO_ITEMS_TO_NET_SALES","FY 2015","FY 2015","Currency=USD","Period=FY","BEST_FPERIOD_OVERRIDE=FY","FILING_STATUS=MR","FA_ADJUSTED=GAAP","Sort=A","Dates=H","DateFormat=P","Fill=—","Direction=H","UseDPDF=Y")</f>
        <v>4.2840999999999996</v>
      </c>
      <c r="F18" s="12">
        <f>_xll.BDH("AVNT US Equity","INC_BEF_XO_ITEMS_TO_NET_SALES","FY 2016","FY 2016","Currency=USD","Period=FY","BEST_FPERIOD_OVERRIDE=FY","FILING_STATUS=MR","FA_ADJUSTED=GAAP","Sort=A","Dates=H","DateFormat=P","Fill=—","Direction=H","UseDPDF=Y")</f>
        <v>5.6558000000000002</v>
      </c>
      <c r="G18" s="12">
        <f>_xll.BDH("AVNT US Equity","INC_BEF_XO_ITEMS_TO_NET_SALES","FY 2017","FY 2017","Currency=USD","Period=FY","BEST_FPERIOD_OVERRIDE=FY","FILING_STATUS=MR","FA_ADJUSTED=GAAP","Sort=A","Dates=H","DateFormat=P","Fill=—","Direction=H","UseDPDF=Y")</f>
        <v>5.3747999999999996</v>
      </c>
      <c r="H18" s="12">
        <f>_xll.BDH("AVNT US Equity","INC_BEF_XO_ITEMS_TO_NET_SALES","FY 2018","FY 2018","Currency=USD","Period=FY","BEST_FPERIOD_OVERRIDE=FY","FILING_STATUS=MR","FA_ADJUSTED=GAAP","Sort=A","Dates=H","DateFormat=P","Fill=—","Direction=H","UseDPDF=Y")</f>
        <v>3.0337000000000001</v>
      </c>
      <c r="I18" s="12">
        <f>_xll.BDH("AVNT US Equity","INC_BEF_XO_ITEMS_TO_NET_SALES","FY 2019","FY 2019","Currency=USD","Period=FY","BEST_FPERIOD_OVERRIDE=FY","FILING_STATUS=MR","FA_ADJUSTED=GAAP","Sort=A","Dates=H","DateFormat=P","Fill=—","Direction=H","UseDPDF=Y")</f>
        <v>2.6444000000000001</v>
      </c>
      <c r="J18" s="12">
        <f>_xll.BDH("AVNT US Equity","INC_BEF_XO_ITEMS_TO_NET_SALES","FY 2020","FY 2020","Currency=USD","Period=FY","BEST_FPERIOD_OVERRIDE=FY","FILING_STATUS=MR","FA_ADJUSTED=GAAP","Sort=A","Dates=H","DateFormat=P","Fill=—","Direction=H","UseDPDF=Y")</f>
        <v>4.1269999999999998</v>
      </c>
      <c r="K18" s="12">
        <f>_xll.BDH("AVNT US Equity","INC_BEF_XO_ITEMS_TO_NET_SALES","FY 2021","FY 2021","Currency=USD","Period=FY","BEST_FPERIOD_OVERRIDE=FY","FILING_STATUS=MR","FA_ADJUSTED=GAAP","Sort=A","Dates=H","DateFormat=P","Fill=—","Direction=H","UseDPDF=Y")</f>
        <v>4.5724999999999998</v>
      </c>
      <c r="L18" s="12">
        <f>_xll.BDH("AVNT US Equity","INC_BEF_XO_ITEMS_TO_NET_SALES","FY 2022","FY 2022","Currency=USD","Period=FY","BEST_FPERIOD_OVERRIDE=FY","FILING_STATUS=MR","FA_ADJUSTED=GAAP","Sort=A","Dates=H","DateFormat=P","Fill=—","Direction=H","UseDPDF=Y")</f>
        <v>2.4462999999999999</v>
      </c>
    </row>
    <row r="19" spans="1:12">
      <c r="A19" s="10" t="s">
        <v>45</v>
      </c>
      <c r="B19" s="10" t="s">
        <v>46</v>
      </c>
      <c r="C19" s="12">
        <f>_xll.BDH("AVNT US Equity","PROF_MARGIN","FY 2013","FY 2013","Currency=USD","Period=FY","BEST_FPERIOD_OVERRIDE=FY","FILING_STATUS=MR","FA_ADJUSTED=GAAP","Sort=A","Dates=H","DateFormat=P","Fill=—","Direction=H","UseDPDF=Y")</f>
        <v>6.4648000000000003</v>
      </c>
      <c r="D19" s="12">
        <f>_xll.BDH("AVNT US Equity","PROF_MARGIN","FY 2014","FY 2014","Currency=USD","Period=FY","BEST_FPERIOD_OVERRIDE=FY","FILING_STATUS=MR","FA_ADJUSTED=GAAP","Sort=A","Dates=H","DateFormat=P","Fill=—","Direction=H","UseDPDF=Y")</f>
        <v>2.0649000000000002</v>
      </c>
      <c r="E19" s="12">
        <f>_xll.BDH("AVNT US Equity","PROF_MARGIN","FY 2015","FY 2015","Currency=USD","Period=FY","BEST_FPERIOD_OVERRIDE=FY","FILING_STATUS=MR","FA_ADJUSTED=GAAP","Sort=A","Dates=H","DateFormat=P","Fill=—","Direction=H","UseDPDF=Y")</f>
        <v>4.2811000000000003</v>
      </c>
      <c r="F19" s="12">
        <f>_xll.BDH("AVNT US Equity","PROF_MARGIN","FY 2016","FY 2016","Currency=USD","Period=FY","BEST_FPERIOD_OVERRIDE=FY","FILING_STATUS=MR","FA_ADJUSTED=GAAP","Sort=A","Dates=H","DateFormat=P","Fill=—","Direction=H","UseDPDF=Y")</f>
        <v>5.6216999999999997</v>
      </c>
      <c r="G19" s="12">
        <f>_xll.BDH("AVNT US Equity","PROF_MARGIN","FY 2017","FY 2017","Currency=USD","Period=FY","BEST_FPERIOD_OVERRIDE=FY","FILING_STATUS=MR","FA_ADJUSTED=GAAP","Sort=A","Dates=H","DateFormat=P","Fill=—","Direction=H","UseDPDF=Y")</f>
        <v>-1.7864</v>
      </c>
      <c r="H19" s="12">
        <f>_xll.BDH("AVNT US Equity","PROF_MARGIN","FY 2018","FY 2018","Currency=USD","Period=FY","BEST_FPERIOD_OVERRIDE=FY","FILING_STATUS=MR","FA_ADJUSTED=GAAP","Sort=A","Dates=H","DateFormat=P","Fill=—","Direction=H","UseDPDF=Y")</f>
        <v>5.5467000000000004</v>
      </c>
      <c r="I19" s="12">
        <f>_xll.BDH("AVNT US Equity","PROF_MARGIN","FY 2019","FY 2019","Currency=USD","Period=FY","BEST_FPERIOD_OVERRIDE=FY","FILING_STATUS=MR","FA_ADJUSTED=GAAP","Sort=A","Dates=H","DateFormat=P","Fill=—","Direction=H","UseDPDF=Y")</f>
        <v>20.561</v>
      </c>
      <c r="J19" s="12">
        <f>_xll.BDH("AVNT US Equity","PROF_MARGIN","FY 2020","FY 2020","Currency=USD","Period=FY","BEST_FPERIOD_OVERRIDE=FY","FILING_STATUS=MR","FA_ADJUSTED=GAAP","Sort=A","Dates=H","DateFormat=P","Fill=—","Direction=H","UseDPDF=Y")</f>
        <v>4.0590999999999999</v>
      </c>
      <c r="K19" s="12">
        <f>_xll.BDH("AVNT US Equity","PROF_MARGIN","FY 2021","FY 2021","Currency=USD","Period=FY","BEST_FPERIOD_OVERRIDE=FY","FILING_STATUS=MR","FA_ADJUSTED=GAAP","Sort=A","Dates=H","DateFormat=P","Fill=—","Direction=H","UseDPDF=Y")</f>
        <v>6.9611999999999998</v>
      </c>
      <c r="L19" s="12">
        <f>_xll.BDH("AVNT US Equity","PROF_MARGIN","FY 2022","FY 2022","Currency=USD","Period=FY","BEST_FPERIOD_OVERRIDE=FY","FILING_STATUS=MR","FA_ADJUSTED=GAAP","Sort=A","Dates=H","DateFormat=P","Fill=—","Direction=H","UseDPDF=Y")</f>
        <v>20.6983</v>
      </c>
    </row>
    <row r="20" spans="1:12">
      <c r="A20" s="10" t="s">
        <v>47</v>
      </c>
      <c r="B20" s="10" t="s">
        <v>48</v>
      </c>
      <c r="C20" s="12">
        <f>_xll.BDH("AVNT US Equity","NET_INCOME_TO_COMMON_MARGIN","FY 2013","FY 2013","Currency=USD","Period=FY","BEST_FPERIOD_OVERRIDE=FY","FILING_STATUS=MR","FA_ADJUSTED=GAAP","Sort=A","Dates=H","DateFormat=P","Fill=—","Direction=H","UseDPDF=Y")</f>
        <v>6.4648000000000003</v>
      </c>
      <c r="D20" s="12">
        <f>_xll.BDH("AVNT US Equity","NET_INCOME_TO_COMMON_MARGIN","FY 2014","FY 2014","Currency=USD","Period=FY","BEST_FPERIOD_OVERRIDE=FY","FILING_STATUS=MR","FA_ADJUSTED=GAAP","Sort=A","Dates=H","DateFormat=P","Fill=—","Direction=H","UseDPDF=Y")</f>
        <v>2.0649000000000002</v>
      </c>
      <c r="E20" s="12">
        <f>_xll.BDH("AVNT US Equity","NET_INCOME_TO_COMMON_MARGIN","FY 2015","FY 2015","Currency=USD","Period=FY","BEST_FPERIOD_OVERRIDE=FY","FILING_STATUS=MR","FA_ADJUSTED=GAAP","Sort=A","Dates=H","DateFormat=P","Fill=—","Direction=H","UseDPDF=Y")</f>
        <v>4.2811000000000003</v>
      </c>
      <c r="F20" s="12">
        <f>_xll.BDH("AVNT US Equity","NET_INCOME_TO_COMMON_MARGIN","FY 2016","FY 2016","Currency=USD","Period=FY","BEST_FPERIOD_OVERRIDE=FY","FILING_STATUS=MR","FA_ADJUSTED=GAAP","Sort=A","Dates=H","DateFormat=P","Fill=—","Direction=H","UseDPDF=Y")</f>
        <v>5.6216999999999997</v>
      </c>
      <c r="G20" s="12">
        <f>_xll.BDH("AVNT US Equity","NET_INCOME_TO_COMMON_MARGIN","FY 2017","FY 2017","Currency=USD","Period=FY","BEST_FPERIOD_OVERRIDE=FY","FILING_STATUS=MR","FA_ADJUSTED=GAAP","Sort=A","Dates=H","DateFormat=P","Fill=—","Direction=H","UseDPDF=Y")</f>
        <v>-1.7864</v>
      </c>
      <c r="H20" s="12">
        <f>_xll.BDH("AVNT US Equity","NET_INCOME_TO_COMMON_MARGIN","FY 2018","FY 2018","Currency=USD","Period=FY","BEST_FPERIOD_OVERRIDE=FY","FILING_STATUS=MR","FA_ADJUSTED=GAAP","Sort=A","Dates=H","DateFormat=P","Fill=—","Direction=H","UseDPDF=Y")</f>
        <v>5.5467000000000004</v>
      </c>
      <c r="I20" s="12">
        <f>_xll.BDH("AVNT US Equity","NET_INCOME_TO_COMMON_MARGIN","FY 2019","FY 2019","Currency=USD","Period=FY","BEST_FPERIOD_OVERRIDE=FY","FILING_STATUS=MR","FA_ADJUSTED=GAAP","Sort=A","Dates=H","DateFormat=P","Fill=—","Direction=H","UseDPDF=Y")</f>
        <v>20.561</v>
      </c>
      <c r="J20" s="12">
        <f>_xll.BDH("AVNT US Equity","NET_INCOME_TO_COMMON_MARGIN","FY 2020","FY 2020","Currency=USD","Period=FY","BEST_FPERIOD_OVERRIDE=FY","FILING_STATUS=MR","FA_ADJUSTED=GAAP","Sort=A","Dates=H","DateFormat=P","Fill=—","Direction=H","UseDPDF=Y")</f>
        <v>4.0590999999999999</v>
      </c>
      <c r="K20" s="12">
        <f>_xll.BDH("AVNT US Equity","NET_INCOME_TO_COMMON_MARGIN","FY 2021","FY 2021","Currency=USD","Period=FY","BEST_FPERIOD_OVERRIDE=FY","FILING_STATUS=MR","FA_ADJUSTED=GAAP","Sort=A","Dates=H","DateFormat=P","Fill=—","Direction=H","UseDPDF=Y")</f>
        <v>6.9611999999999998</v>
      </c>
      <c r="L20" s="12">
        <f>_xll.BDH("AVNT US Equity","NET_INCOME_TO_COMMON_MARGIN","FY 2022","FY 2022","Currency=USD","Period=FY","BEST_FPERIOD_OVERRIDE=FY","FILING_STATUS=MR","FA_ADJUSTED=GAAP","Sort=A","Dates=H","DateFormat=P","Fill=—","Direction=H","UseDPDF=Y")</f>
        <v>20.6983</v>
      </c>
    </row>
    <row r="21" spans="1:12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</row>
    <row r="22" spans="1:12">
      <c r="A22" s="6" t="s">
        <v>49</v>
      </c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 spans="1:12">
      <c r="A23" s="10" t="s">
        <v>50</v>
      </c>
      <c r="B23" s="10" t="s">
        <v>51</v>
      </c>
      <c r="C23" s="12">
        <f>_xll.BDH("AVNT US Equity","EFF_TAX_RATE","FY 2013","FY 2013","Currency=USD","Period=FY","BEST_FPERIOD_OVERRIDE=FY","FILING_STATUS=MR","FA_ADJUSTED=GAAP","Sort=A","Dates=H","DateFormat=P","Fill=—","Direction=H","UseDPDF=Y")</f>
        <v>38.476799999999997</v>
      </c>
      <c r="D23" s="12">
        <f>_xll.BDH("AVNT US Equity","EFF_TAX_RATE","FY 2014","FY 2014","Currency=USD","Period=FY","BEST_FPERIOD_OVERRIDE=FY","FILING_STATUS=MR","FA_ADJUSTED=GAAP","Sort=A","Dates=H","DateFormat=P","Fill=—","Direction=H","UseDPDF=Y")</f>
        <v>12.669700000000001</v>
      </c>
      <c r="E23" s="12">
        <f>_xll.BDH("AVNT US Equity","EFF_TAX_RATE","FY 2015","FY 2015","Currency=USD","Period=FY","BEST_FPERIOD_OVERRIDE=FY","FILING_STATUS=MR","FA_ADJUSTED=GAAP","Sort=A","Dates=H","DateFormat=P","Fill=—","Direction=H","UseDPDF=Y")</f>
        <v>13.715</v>
      </c>
      <c r="F23" s="12">
        <f>_xll.BDH("AVNT US Equity","EFF_TAX_RATE","FY 2016","FY 2016","Currency=USD","Period=FY","BEST_FPERIOD_OVERRIDE=FY","FILING_STATUS=MR","FA_ADJUSTED=GAAP","Sort=A","Dates=H","DateFormat=P","Fill=—","Direction=H","UseDPDF=Y")</f>
        <v>26.654900000000001</v>
      </c>
      <c r="G23" s="12">
        <f>_xll.BDH("AVNT US Equity","EFF_TAX_RATE","FY 2017","FY 2017","Currency=USD","Period=FY","BEST_FPERIOD_OVERRIDE=FY","FILING_STATUS=MR","FA_ADJUSTED=GAAP","Sort=A","Dates=H","DateFormat=P","Fill=—","Direction=H","UseDPDF=Y")</f>
        <v>18.228899999999999</v>
      </c>
      <c r="H23" s="12">
        <f>_xll.BDH("AVNT US Equity","EFF_TAX_RATE","FY 2018","FY 2018","Currency=USD","Period=FY","BEST_FPERIOD_OVERRIDE=FY","FILING_STATUS=MR","FA_ADJUSTED=GAAP","Sort=A","Dates=H","DateFormat=P","Fill=—","Direction=H","UseDPDF=Y")</f>
        <v>14.1454</v>
      </c>
      <c r="I23" s="12">
        <f>_xll.BDH("AVNT US Equity","EFF_TAX_RATE","FY 2019","FY 2019","Currency=USD","Period=FY","BEST_FPERIOD_OVERRIDE=FY","FILING_STATUS=MR","FA_ADJUSTED=GAAP","Sort=A","Dates=H","DateFormat=P","Fill=—","Direction=H","UseDPDF=Y")</f>
        <v>30.804400000000001</v>
      </c>
      <c r="J23" s="12">
        <f>_xll.BDH("AVNT US Equity","EFF_TAX_RATE","FY 2020","FY 2020","Currency=USD","Period=FY","BEST_FPERIOD_OVERRIDE=FY","FILING_STATUS=MR","FA_ADJUSTED=GAAP","Sort=A","Dates=H","DateFormat=P","Fill=—","Direction=H","UseDPDF=Y")</f>
        <v>3.7410000000000001</v>
      </c>
      <c r="K23" s="12">
        <f>_xll.BDH("AVNT US Equity","EFF_TAX_RATE","FY 2021","FY 2021","Currency=USD","Period=FY","BEST_FPERIOD_OVERRIDE=FY","FILING_STATUS=MR","FA_ADJUSTED=GAAP","Sort=A","Dates=H","DateFormat=P","Fill=—","Direction=H","UseDPDF=Y")</f>
        <v>25.503699999999998</v>
      </c>
      <c r="L23" s="12" t="str">
        <f>_xll.BDH("AVNT US Equity","EFF_TAX_RATE","FY 2022","FY 2022","Currency=USD","Period=FY","BEST_FPERIOD_OVERRIDE=FY","FILING_STATUS=MR","FA_ADJUSTED=GAAP","Sort=A","Dates=H","DateFormat=P","Fill=—","Direction=H","UseDPDF=Y")</f>
        <v>—</v>
      </c>
    </row>
    <row r="24" spans="1:12">
      <c r="A24" s="10" t="s">
        <v>52</v>
      </c>
      <c r="B24" s="10" t="s">
        <v>53</v>
      </c>
      <c r="C24" s="12">
        <f>_xll.BDH("AVNT US Equity","DVD_PAYOUT_RATIO","FY 2013","FY 2013","Currency=USD","Period=FY","BEST_FPERIOD_OVERRIDE=FY","FILING_STATUS=MR","FA_ADJUSTED=GAAP","Sort=A","Dates=H","DateFormat=P","Fill=—","Direction=H","UseDPDF=Y")</f>
        <v>26.170200000000001</v>
      </c>
      <c r="D24" s="12">
        <f>_xll.BDH("AVNT US Equity","DVD_PAYOUT_RATIO","FY 2014","FY 2014","Currency=USD","Period=FY","BEST_FPERIOD_OVERRIDE=FY","FILING_STATUS=MR","FA_ADJUSTED=GAAP","Sort=A","Dates=H","DateFormat=P","Fill=—","Direction=H","UseDPDF=Y")</f>
        <v>39.8718</v>
      </c>
      <c r="E24" s="12">
        <f>_xll.BDH("AVNT US Equity","DVD_PAYOUT_RATIO","FY 2015","FY 2015","Currency=USD","Period=FY","BEST_FPERIOD_OVERRIDE=FY","FILING_STATUS=MR","FA_ADJUSTED=GAAP","Sort=A","Dates=H","DateFormat=P","Fill=—","Direction=H","UseDPDF=Y")</f>
        <v>25.726099999999999</v>
      </c>
      <c r="F24" s="12">
        <f>_xll.BDH("AVNT US Equity","DVD_PAYOUT_RATIO","FY 2016","FY 2016","Currency=USD","Period=FY","BEST_FPERIOD_OVERRIDE=FY","FILING_STATUS=MR","FA_ADJUSTED=GAAP","Sort=A","Dates=H","DateFormat=P","Fill=—","Direction=H","UseDPDF=Y")</f>
        <v>24.6995</v>
      </c>
      <c r="G24" s="12">
        <f>_xll.BDH("AVNT US Equity","DVD_PAYOUT_RATIO","FY 2017","FY 2017","Currency=USD","Period=FY","BEST_FPERIOD_OVERRIDE=FY","FILING_STATUS=MR","FA_ADJUSTED=GAAP","Sort=A","Dates=H","DateFormat=P","Fill=—","Direction=H","UseDPDF=Y")</f>
        <v>27.031700000000001</v>
      </c>
      <c r="H24" s="12">
        <f>_xll.BDH("AVNT US Equity","DVD_PAYOUT_RATIO","FY 2018","FY 2018","Currency=USD","Period=FY","BEST_FPERIOD_OVERRIDE=FY","FILING_STATUS=MR","FA_ADJUSTED=GAAP","Sort=A","Dates=H","DateFormat=P","Fill=—","Direction=H","UseDPDF=Y")</f>
        <v>65.564400000000006</v>
      </c>
      <c r="I24" s="12">
        <f>_xll.BDH("AVNT US Equity","DVD_PAYOUT_RATIO","FY 2019","FY 2019","Currency=USD","Period=FY","BEST_FPERIOD_OVERRIDE=FY","FILING_STATUS=MR","FA_ADJUSTED=GAAP","Sort=A","Dates=H","DateFormat=P","Fill=—","Direction=H","UseDPDF=Y")</f>
        <v>79.867500000000007</v>
      </c>
      <c r="J24" s="12">
        <f>_xll.BDH("AVNT US Equity","DVD_PAYOUT_RATIO","FY 2020","FY 2020","Currency=USD","Period=FY","BEST_FPERIOD_OVERRIDE=FY","FILING_STATUS=MR","FA_ADJUSTED=GAAP","Sort=A","Dates=H","DateFormat=P","Fill=—","Direction=H","UseDPDF=Y")</f>
        <v>55.971200000000003</v>
      </c>
      <c r="K24" s="12">
        <f>_xll.BDH("AVNT US Equity","DVD_PAYOUT_RATIO","FY 2021","FY 2021","Currency=USD","Period=FY","BEST_FPERIOD_OVERRIDE=FY","FILING_STATUS=MR","FA_ADJUSTED=GAAP","Sort=A","Dates=H","DateFormat=P","Fill=—","Direction=H","UseDPDF=Y")</f>
        <v>52.6845</v>
      </c>
      <c r="L24" s="12">
        <f>_xll.BDH("AVNT US Equity","DVD_PAYOUT_RATIO","FY 2022","FY 2022","Currency=USD","Period=FY","BEST_FPERIOD_OVERRIDE=FY","FILING_STATUS=MR","FA_ADJUSTED=GAAP","Sort=A","Dates=H","DateFormat=P","Fill=—","Direction=H","UseDPDF=Y")</f>
        <v>105.73909999999999</v>
      </c>
    </row>
    <row r="25" spans="1:12">
      <c r="A25" s="10" t="s">
        <v>54</v>
      </c>
      <c r="B25" s="10" t="s">
        <v>55</v>
      </c>
      <c r="C25" s="12">
        <f>_xll.BDH("AVNT US Equity","SUSTAIN_GROWTH_RT","FY 2013","FY 2013","Currency=USD","Period=FY","BEST_FPERIOD_OVERRIDE=FY","FILING_STATUS=MR","FA_ADJUSTED=GAAP","Sort=A","Dates=H","DateFormat=P","Fill=—","Direction=H","UseDPDF=Y")</f>
        <v>22.417000000000002</v>
      </c>
      <c r="D25" s="12">
        <f>_xll.BDH("AVNT US Equity","SUSTAIN_GROWTH_RT","FY 2014","FY 2014","Currency=USD","Period=FY","BEST_FPERIOD_OVERRIDE=FY","FILING_STATUS=MR","FA_ADJUSTED=GAAP","Sort=A","Dates=H","DateFormat=P","Fill=—","Direction=H","UseDPDF=Y")</f>
        <v>5.4328000000000003</v>
      </c>
      <c r="E25" s="12">
        <f>_xll.BDH("AVNT US Equity","SUSTAIN_GROWTH_RT","FY 2015","FY 2015","Currency=USD","Period=FY","BEST_FPERIOD_OVERRIDE=FY","FILING_STATUS=MR","FA_ADJUSTED=GAAP","Sort=A","Dates=H","DateFormat=P","Fill=—","Direction=H","UseDPDF=Y")</f>
        <v>14.508599999999999</v>
      </c>
      <c r="F25" s="12">
        <f>_xll.BDH("AVNT US Equity","SUSTAIN_GROWTH_RT","FY 2016","FY 2016","Currency=USD","Period=FY","BEST_FPERIOD_OVERRIDE=FY","FILING_STATUS=MR","FA_ADJUSTED=GAAP","Sort=A","Dates=H","DateFormat=P","Fill=—","Direction=H","UseDPDF=Y")</f>
        <v>17.4115</v>
      </c>
      <c r="G25" s="12">
        <f>_xll.BDH("AVNT US Equity","SUSTAIN_GROWTH_RT","FY 2017","FY 2017","Currency=USD","Period=FY","BEST_FPERIOD_OVERRIDE=FY","FILING_STATUS=MR","FA_ADJUSTED=GAAP","Sort=A","Dates=H","DateFormat=P","Fill=—","Direction=H","UseDPDF=Y")</f>
        <v>-6.3638000000000003</v>
      </c>
      <c r="H25" s="12">
        <f>_xll.BDH("AVNT US Equity","SUSTAIN_GROWTH_RT","FY 2018","FY 2018","Currency=USD","Period=FY","BEST_FPERIOD_OVERRIDE=FY","FILING_STATUS=MR","FA_ADJUSTED=GAAP","Sort=A","Dates=H","DateFormat=P","Fill=—","Direction=H","UseDPDF=Y")</f>
        <v>9.6668000000000003</v>
      </c>
      <c r="I25" s="12">
        <f>_xll.BDH("AVNT US Equity","SUSTAIN_GROWTH_RT","FY 2019","FY 2019","Currency=USD","Period=FY","BEST_FPERIOD_OVERRIDE=FY","FILING_STATUS=MR","FA_ADJUSTED=GAAP","Sort=A","Dates=H","DateFormat=P","Fill=—","Direction=H","UseDPDF=Y")</f>
        <v>14.8878</v>
      </c>
      <c r="J25" s="12">
        <f>_xll.BDH("AVNT US Equity","SUSTAIN_GROWTH_RT","FY 2020","FY 2020","Currency=USD","Period=FY","BEST_FPERIOD_OVERRIDE=FY","FILING_STATUS=MR","FA_ADJUSTED=GAAP","Sort=A","Dates=H","DateFormat=P","Fill=—","Direction=H","UseDPDF=Y")</f>
        <v>4.2154999999999996</v>
      </c>
      <c r="K25" s="12">
        <f>_xll.BDH("AVNT US Equity","SUSTAIN_GROWTH_RT","FY 2021","FY 2021","Currency=USD","Period=FY","BEST_FPERIOD_OVERRIDE=FY","FILING_STATUS=MR","FA_ADJUSTED=GAAP","Sort=A","Dates=H","DateFormat=P","Fill=—","Direction=H","UseDPDF=Y")</f>
        <v>6.2908999999999997</v>
      </c>
      <c r="L25" s="12">
        <f>_xll.BDH("AVNT US Equity","SUSTAIN_GROWTH_RT","FY 2022","FY 2022","Currency=USD","Period=FY","BEST_FPERIOD_OVERRIDE=FY","FILING_STATUS=MR","FA_ADJUSTED=GAAP","Sort=A","Dates=H","DateFormat=P","Fill=—","Direction=H","UseDPDF=Y")</f>
        <v>-1.964</v>
      </c>
    </row>
    <row r="26" spans="1:12">
      <c r="A26" s="7" t="s">
        <v>56</v>
      </c>
      <c r="B26" s="7"/>
      <c r="C26" s="7" t="s">
        <v>57</v>
      </c>
      <c r="D26" s="7"/>
      <c r="E26" s="7"/>
      <c r="F26" s="7"/>
      <c r="G26" s="7"/>
      <c r="H26" s="7"/>
      <c r="I26" s="7"/>
      <c r="J26" s="7"/>
      <c r="K26" s="7"/>
      <c r="L2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/>
  <cp:revision/>
  <dcterms:created xsi:type="dcterms:W3CDTF">2013-04-03T15:49:21Z</dcterms:created>
  <dcterms:modified xsi:type="dcterms:W3CDTF">2023-12-04T20:05:25Z</dcterms:modified>
  <cp:category/>
  <cp:contentStatus/>
</cp:coreProperties>
</file>