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4FFF2F7E-2610-4D4E-BAE4-041A26BBE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2" l="1"/>
  <c r="E17" i="2"/>
  <c r="E9" i="2"/>
  <c r="E12" i="2"/>
  <c r="G22" i="2"/>
  <c r="E14" i="2"/>
  <c r="C12" i="2"/>
  <c r="C9" i="2"/>
  <c r="E7" i="2"/>
  <c r="F17" i="2"/>
  <c r="F13" i="2"/>
  <c r="C7" i="2"/>
  <c r="F22" i="2"/>
  <c r="C22" i="2"/>
  <c r="H22" i="2"/>
  <c r="D14" i="2"/>
  <c r="H14" i="2"/>
  <c r="F12" i="2"/>
  <c r="E20" i="2"/>
  <c r="H20" i="2"/>
  <c r="F6" i="2"/>
  <c r="G7" i="2"/>
  <c r="G17" i="2"/>
  <c r="H12" i="2"/>
  <c r="F16" i="2"/>
  <c r="H9" i="2"/>
  <c r="H7" i="2"/>
  <c r="H17" i="2"/>
  <c r="F8" i="2"/>
  <c r="I12" i="2"/>
  <c r="C17" i="2"/>
  <c r="F18" i="2"/>
  <c r="F9" i="2"/>
  <c r="D7" i="2"/>
  <c r="I14" i="2"/>
  <c r="D22" i="2"/>
  <c r="C20" i="2"/>
  <c r="G14" i="2"/>
  <c r="J22" i="2"/>
  <c r="I9" i="2"/>
  <c r="F7" i="2"/>
  <c r="J9" i="2"/>
  <c r="C14" i="2"/>
  <c r="I17" i="2"/>
  <c r="J20" i="2"/>
  <c r="G9" i="2"/>
  <c r="I22" i="2"/>
  <c r="D9" i="2"/>
  <c r="D12" i="2"/>
  <c r="J12" i="2"/>
  <c r="I20" i="2"/>
  <c r="J7" i="2"/>
  <c r="J14" i="2"/>
  <c r="F20" i="2"/>
  <c r="J17" i="2"/>
  <c r="I10" i="2"/>
  <c r="G12" i="2"/>
  <c r="D20" i="2"/>
  <c r="E25" i="2"/>
  <c r="C6" i="2"/>
  <c r="D10" i="2"/>
  <c r="G20" i="2"/>
  <c r="C8" i="2"/>
  <c r="E6" i="2"/>
  <c r="C10" i="2"/>
  <c r="C25" i="2"/>
  <c r="I7" i="2"/>
  <c r="D6" i="2"/>
  <c r="F10" i="2"/>
  <c r="G16" i="2"/>
  <c r="D16" i="2"/>
  <c r="D8" i="2"/>
  <c r="E10" i="2"/>
  <c r="C21" i="2"/>
  <c r="D17" i="2"/>
  <c r="C16" i="2"/>
  <c r="E13" i="2"/>
  <c r="J6" i="2"/>
  <c r="C13" i="2"/>
  <c r="C18" i="2"/>
  <c r="D25" i="2"/>
  <c r="D21" i="2"/>
  <c r="E16" i="2"/>
  <c r="D18" i="2"/>
  <c r="E21" i="2"/>
  <c r="F14" i="2"/>
  <c r="E8" i="2"/>
  <c r="E18" i="2"/>
  <c r="F25" i="2"/>
  <c r="G8" i="2"/>
  <c r="H18" i="2"/>
  <c r="G10" i="2"/>
  <c r="G13" i="2"/>
  <c r="I25" i="2"/>
  <c r="G21" i="2"/>
  <c r="I6" i="2"/>
  <c r="I13" i="2"/>
  <c r="H13" i="2"/>
  <c r="D13" i="2"/>
  <c r="H21" i="2"/>
  <c r="J18" i="2"/>
  <c r="J13" i="2"/>
  <c r="J10" i="2"/>
  <c r="I16" i="2"/>
  <c r="G25" i="2"/>
  <c r="J16" i="2"/>
  <c r="F21" i="2"/>
  <c r="H25" i="2"/>
  <c r="H8" i="2"/>
  <c r="H16" i="2"/>
  <c r="I8" i="2"/>
  <c r="J8" i="2"/>
  <c r="I18" i="2"/>
  <c r="H10" i="2"/>
  <c r="I21" i="2"/>
  <c r="G6" i="2"/>
  <c r="J21" i="2"/>
  <c r="H6" i="2"/>
  <c r="J25" i="2"/>
  <c r="G18" i="2"/>
</calcChain>
</file>

<file path=xl/sharedStrings.xml><?xml version="1.0" encoding="utf-8"?>
<sst xmlns="http://schemas.openxmlformats.org/spreadsheetml/2006/main" count="51" uniqueCount="51">
  <si>
    <t>DuPont de Nemours Inc (DD US) - Liquidity</t>
  </si>
  <si>
    <t>In Millions of USD except Per Share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</si>
  <si>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</si>
  <si>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</si>
  <si>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</si>
  <si>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</si>
  <si>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</si>
  <si>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</si>
  <si>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</si>
  <si>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</si>
  <si>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</si>
  <si>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</si>
  <si>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</si>
  <si>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</si>
  <si>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</si>
  <si>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</si>
  <si>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</si>
  <si>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</si>
  <si>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</si>
  <si>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</si>
  <si>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</si>
  <si>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</si>
  <si>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</si>
  <si>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</si>
  <si>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</si>
  <si>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</si>
  <si>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</si>
  <si>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</si>
  <si>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</si>
  <si>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</si>
  <si>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</si>
  <si>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</si>
  <si>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</si>
  <si>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</si>
  <si>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</si>
  <si>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</si>
  <si>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</si>
  <si>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</si>
  <si>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</si>
  <si>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</si>
  <si>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</si>
  <si>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</si>
  <si>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</si>
  <si>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</si>
  <si>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</si>
  <si>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</si>
  <si>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</si>
  <si>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Commercial Paper Outstanding</t>
  </si>
  <si>
    <t>BS_TOT_COM_PAPER_ISSUED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</si>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</sst>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</cellStyleXfs>
  <cellXfs count="13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3" fontId="1" fillId="34" borderId="2" xfId="51">
      <alignment horizontal="right"/>
    </xf>
    <xf numFmtId="164" fontId="1" fillId="34" borderId="2" xfId="52">
      <alignment horizontal="right"/>
    </xf>
    <xf numFmtId="4" fontId="1" fillId="34" borderId="2" xfId="53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0_grouped" xfId="51" xr:uid="{00000000-0005-0000-0000-000023000000}"/>
    <cellStyle name="fa_data_standard_1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standard" xfId="35" xr:uid="{00000000-0005-0000-0000-000027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0" width="11.85546875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</row>
    <row r="5" spans="1:10">
      <c r="A5" s="8" t="s">
        <v>10</v>
      </c>
      <c r="B5" s="8"/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</row>
    <row r="6" spans="1:10">
      <c r="A6" s="9" t="s">
        <v>19</v>
      </c>
      <c r="B6" s="9" t="s">
        <v>20</v>
      </c>
      <c r="C6" s="12">
        <f>_xll.BDH("DD US Equity","CASH_RATIO","FY 2015","FY 2015","Currency=USD","Period=FY","BEST_FPERIOD_OVERRIDE=FY","FILING_STATUS=MR","Sort=A","Dates=H","DateFormat=P","Fill=—","Direction=H","UseDPDF=Y")</f>
        <v>0.60599999999999998</v>
      </c>
      <c r="D6" s="12">
        <f>_xll.BDH("DD US Equity","CASH_RATIO","FY 2016","FY 2016","Currency=USD","Period=FY","BEST_FPERIOD_OVERRIDE=FY","FILING_STATUS=MR","Sort=A","Dates=H","DateFormat=P","Fill=—","Direction=H","UseDPDF=Y")</f>
        <v>0.5242</v>
      </c>
      <c r="E6" s="12">
        <f>_xll.BDH("DD US Equity","CASH_RATIO","FY 2017","FY 2017","Currency=USD","Period=FY","BEST_FPERIOD_OVERRIDE=FY","FILING_STATUS=MR","Sort=A","Dates=H","DateFormat=P","Fill=—","Direction=H","UseDPDF=Y")</f>
        <v>0.55089999999999995</v>
      </c>
      <c r="F6" s="12">
        <f>_xll.BDH("DD US Equity","CASH_RATIO","FY 2018","FY 2018","Currency=USD","Period=FY","BEST_FPERIOD_OVERRIDE=FY","FILING_STATUS=MR","Sort=A","Dates=H","DateFormat=P","Fill=—","Direction=H","UseDPDF=Y")</f>
        <v>0.11700000000000001</v>
      </c>
      <c r="G6" s="12">
        <f>_xll.BDH("DD US Equity","CASH_RATIO","FY 2019","FY 2019","Currency=USD","Period=FY","BEST_FPERIOD_OVERRIDE=FY","FILING_STATUS=MR","Sort=A","Dates=H","DateFormat=P","Fill=—","Direction=H","UseDPDF=Y")</f>
        <v>0.1845</v>
      </c>
      <c r="H6" s="12">
        <f>_xll.BDH("DD US Equity","CASH_RATIO","FY 2020","FY 2020","Currency=USD","Period=FY","BEST_FPERIOD_OVERRIDE=FY","FILING_STATUS=MR","Sort=A","Dates=H","DateFormat=P","Fill=—","Direction=H","UseDPDF=Y")</f>
        <v>0.20810000000000001</v>
      </c>
      <c r="I6" s="12">
        <f>_xll.BDH("DD US Equity","CASH_RATIO","FY 2021","FY 2021","Currency=USD","Period=FY","BEST_FPERIOD_OVERRIDE=FY","FILING_STATUS=MR","Sort=A","Dates=H","DateFormat=P","Fill=—","Direction=H","UseDPDF=Y")</f>
        <v>0.4718</v>
      </c>
      <c r="J6" s="12">
        <f>_xll.BDH("DD US Equity","CASH_RATIO","FY 2022","FY 2022","Currency=USD","Period=FY","BEST_FPERIOD_OVERRIDE=FY","FILING_STATUS=MR","Sort=A","Dates=H","DateFormat=P","Fill=—","Direction=H","UseDPDF=Y")</f>
        <v>0.98099999999999998</v>
      </c>
    </row>
    <row r="7" spans="1:10">
      <c r="A7" s="9" t="s">
        <v>21</v>
      </c>
      <c r="B7" s="9" t="s">
        <v>22</v>
      </c>
      <c r="C7" s="12">
        <f>_xll.BDH("DD US Equity","CUR_RATIO","FY 2015","FY 2015","Currency=USD","Period=FY","BEST_FPERIOD_OVERRIDE=FY","FILING_STATUS=MR","Sort=A","Dates=H","DateFormat=P","Fill=—","Direction=H","UseDPDF=Y")</f>
        <v>2.1103999999999998</v>
      </c>
      <c r="D7" s="12">
        <f>_xll.BDH("DD US Equity","CUR_RATIO","FY 2016","FY 2016","Currency=USD","Period=FY","BEST_FPERIOD_OVERRIDE=FY","FILING_STATUS=MR","Sort=A","Dates=H","DateFormat=P","Fill=—","Direction=H","UseDPDF=Y")</f>
        <v>1.8771</v>
      </c>
      <c r="E7" s="12">
        <f>_xll.BDH("DD US Equity","CUR_RATIO","FY 2017","FY 2017","Currency=USD","Period=FY","BEST_FPERIOD_OVERRIDE=FY","FILING_STATUS=MR","Sort=A","Dates=H","DateFormat=P","Fill=—","Direction=H","UseDPDF=Y")</f>
        <v>1.9096</v>
      </c>
      <c r="F7" s="12">
        <f>_xll.BDH("DD US Equity","CUR_RATIO","FY 2018","FY 2018","Currency=USD","Period=FY","BEST_FPERIOD_OVERRIDE=FY","FILING_STATUS=MR","Sort=A","Dates=H","DateFormat=P","Fill=—","Direction=H","UseDPDF=Y")</f>
        <v>1.7276</v>
      </c>
      <c r="G7" s="12">
        <f>_xll.BDH("DD US Equity","CUR_RATIO","FY 2019","FY 2019","Currency=USD","Period=FY","BEST_FPERIOD_OVERRIDE=FY","FILING_STATUS=MR","Sort=A","Dates=H","DateFormat=P","Fill=—","Direction=H","UseDPDF=Y")</f>
        <v>1.1980999999999999</v>
      </c>
      <c r="H7" s="12">
        <f>_xll.BDH("DD US Equity","CUR_RATIO","FY 2020","FY 2020","Currency=USD","Period=FY","BEST_FPERIOD_OVERRIDE=FY","FILING_STATUS=MR","Sort=A","Dates=H","DateFormat=P","Fill=—","Direction=H","UseDPDF=Y")</f>
        <v>2.3725999999999998</v>
      </c>
      <c r="I7" s="12">
        <f>_xll.BDH("DD US Equity","CUR_RATIO","FY 2021","FY 2021","Currency=USD","Period=FY","BEST_FPERIOD_OVERRIDE=FY","FILING_STATUS=MR","Sort=A","Dates=H","DateFormat=P","Fill=—","Direction=H","UseDPDF=Y")</f>
        <v>1.8923000000000001</v>
      </c>
      <c r="J7" s="12">
        <f>_xll.BDH("DD US Equity","CUR_RATIO","FY 2022","FY 2022","Currency=USD","Period=FY","BEST_FPERIOD_OVERRIDE=FY","FILING_STATUS=MR","Sort=A","Dates=H","DateFormat=P","Fill=—","Direction=H","UseDPDF=Y")</f>
        <v>3.0190000000000001</v>
      </c>
    </row>
    <row r="8" spans="1:10">
      <c r="A8" s="9" t="s">
        <v>23</v>
      </c>
      <c r="B8" s="9" t="s">
        <v>24</v>
      </c>
      <c r="C8" s="12">
        <f>_xll.BDH("DD US Equity","QUICK_RATIO","FY 2015","FY 2015","Currency=USD","Period=FY","BEST_FPERIOD_OVERRIDE=FY","FILING_STATUS=MR","Sort=A","Dates=H","DateFormat=P","Fill=—","Direction=H","UseDPDF=Y")</f>
        <v>0.9748</v>
      </c>
      <c r="D8" s="12">
        <f>_xll.BDH("DD US Equity","QUICK_RATIO","FY 2016","FY 2016","Currency=USD","Period=FY","BEST_FPERIOD_OVERRIDE=FY","FILING_STATUS=MR","Sort=A","Dates=H","DateFormat=P","Fill=—","Direction=H","UseDPDF=Y")</f>
        <v>0.89439999999999997</v>
      </c>
      <c r="E8" s="12">
        <f>_xll.BDH("DD US Equity","QUICK_RATIO","FY 2017","FY 2017","Currency=USD","Period=FY","BEST_FPERIOD_OVERRIDE=FY","FILING_STATUS=MR","Sort=A","Dates=H","DateFormat=P","Fill=—","Direction=H","UseDPDF=Y")</f>
        <v>0.9839</v>
      </c>
      <c r="F8" s="12">
        <f>_xll.BDH("DD US Equity","QUICK_RATIO","FY 2018","FY 2018","Currency=USD","Period=FY","BEST_FPERIOD_OVERRIDE=FY","FILING_STATUS=MR","Sort=A","Dates=H","DateFormat=P","Fill=—","Direction=H","UseDPDF=Y")</f>
        <v>0.16320000000000001</v>
      </c>
      <c r="G8" s="12">
        <f>_xll.BDH("DD US Equity","QUICK_RATIO","FY 2019","FY 2019","Currency=USD","Period=FY","BEST_FPERIOD_OVERRIDE=FY","FILING_STATUS=MR","Sort=A","Dates=H","DateFormat=P","Fill=—","Direction=H","UseDPDF=Y")</f>
        <v>0.6401</v>
      </c>
      <c r="H8" s="12">
        <f>_xll.BDH("DD US Equity","QUICK_RATIO","FY 2020","FY 2020","Currency=USD","Period=FY","BEST_FPERIOD_OVERRIDE=FY","FILING_STATUS=MR","Sort=A","Dates=H","DateFormat=P","Fill=—","Direction=H","UseDPDF=Y")</f>
        <v>0.40610000000000002</v>
      </c>
      <c r="I8" s="12">
        <f>_xll.BDH("DD US Equity","QUICK_RATIO","FY 2021","FY 2021","Currency=USD","Period=FY","BEST_FPERIOD_OVERRIDE=FY","FILING_STATUS=MR","Sort=A","Dates=H","DateFormat=P","Fill=—","Direction=H","UseDPDF=Y")</f>
        <v>1.1079000000000001</v>
      </c>
      <c r="J8" s="12">
        <f>_xll.BDH("DD US Equity","QUICK_RATIO","FY 2022","FY 2022","Currency=USD","Period=FY","BEST_FPERIOD_OVERRIDE=FY","FILING_STATUS=MR","Sort=A","Dates=H","DateFormat=P","Fill=—","Direction=H","UseDPDF=Y")</f>
        <v>1.6555</v>
      </c>
    </row>
    <row r="9" spans="1:10">
      <c r="A9" s="9" t="s">
        <v>25</v>
      </c>
      <c r="B9" s="9" t="s">
        <v>26</v>
      </c>
      <c r="C9" s="12" t="str">
        <f>_xll.BDH("DD US Equity","CFO_TO_AVG_CURRENT_LIABILITIES","FY 2015","FY 2015","Currency=USD","Period=FY","BEST_FPERIOD_OVERRIDE=FY","FILING_STATUS=MR","Sort=A","Dates=H","DateFormat=P","Fill=—","Direction=H","UseDPDF=Y")</f>
        <v>—</v>
      </c>
      <c r="D9" s="12" t="str">
        <f>_xll.BDH("DD US Equity","CFO_TO_AVG_CURRENT_LIABILITIES","FY 2016","FY 2016","Currency=USD","Period=FY","BEST_FPERIOD_OVERRIDE=FY","FILING_STATUS=MR","Sort=A","Dates=H","DateFormat=P","Fill=—","Direction=H","UseDPDF=Y")</f>
        <v>—</v>
      </c>
      <c r="E9" s="12">
        <f>_xll.BDH("DD US Equity","CFO_TO_AVG_CURRENT_LIABILITIES","FY 2017","FY 2017","Currency=USD","Period=FY","BEST_FPERIOD_OVERRIDE=FY","FILING_STATUS=MR","Sort=A","Dates=H","DateFormat=P","Fill=—","Direction=H","UseDPDF=Y")</f>
        <v>-3.95E-2</v>
      </c>
      <c r="F9" s="12">
        <f>_xll.BDH("DD US Equity","CFO_TO_AVG_CURRENT_LIABILITIES","FY 2018","FY 2018","Currency=USD","Period=FY","BEST_FPERIOD_OVERRIDE=FY","FILING_STATUS=MR","Sort=A","Dates=H","DateFormat=P","Fill=—","Direction=H","UseDPDF=Y")</f>
        <v>9.5200000000000007E-2</v>
      </c>
      <c r="G9" s="12">
        <f>_xll.BDH("DD US Equity","CFO_TO_AVG_CURRENT_LIABILITIES","FY 2019","FY 2019","Currency=USD","Period=FY","BEST_FPERIOD_OVERRIDE=FY","FILING_STATUS=MR","Sort=A","Dates=H","DateFormat=P","Fill=—","Direction=H","UseDPDF=Y")</f>
        <v>3.4500000000000003E-2</v>
      </c>
      <c r="H9" s="12">
        <f>_xll.BDH("DD US Equity","CFO_TO_AVG_CURRENT_LIABILITIES","FY 2020","FY 2020","Currency=USD","Period=FY","BEST_FPERIOD_OVERRIDE=FY","FILING_STATUS=MR","Sort=A","Dates=H","DateFormat=P","Fill=—","Direction=H","UseDPDF=Y")</f>
        <v>0.39810000000000001</v>
      </c>
      <c r="I9" s="12">
        <f>_xll.BDH("DD US Equity","CFO_TO_AVG_CURRENT_LIABILITIES","FY 2021","FY 2021","Currency=USD","Period=FY","BEST_FPERIOD_OVERRIDE=FY","FILING_STATUS=MR","Sort=A","Dates=H","DateFormat=P","Fill=—","Direction=H","UseDPDF=Y")</f>
        <v>0.2767</v>
      </c>
      <c r="J9" s="12">
        <f>_xll.BDH("DD US Equity","CFO_TO_AVG_CURRENT_LIABILITIES","FY 2022","FY 2022","Currency=USD","Period=FY","BEST_FPERIOD_OVERRIDE=FY","FILING_STATUS=MR","Sort=A","Dates=H","DateFormat=P","Fill=—","Direction=H","UseDPDF=Y")</f>
        <v>0.14710000000000001</v>
      </c>
    </row>
    <row r="10" spans="1:10">
      <c r="A10" s="9" t="s">
        <v>27</v>
      </c>
      <c r="B10" s="9" t="s">
        <v>28</v>
      </c>
      <c r="C10" s="12">
        <f>_xll.BDH("DD US Equity","COM_EQY_TO_TOT_ASSET","FY 2015","FY 2015","Currency=USD","Period=FY","BEST_FPERIOD_OVERRIDE=FY","FILING_STATUS=MR","Sort=A","Dates=H","DateFormat=P","Fill=—","Direction=H","UseDPDF=Y")</f>
        <v>49.955599999999997</v>
      </c>
      <c r="D10" s="12">
        <f>_xll.BDH("DD US Equity","COM_EQY_TO_TOT_ASSET","FY 2016","FY 2016","Currency=USD","Period=FY","BEST_FPERIOD_OVERRIDE=FY","FILING_STATUS=MR","Sort=A","Dates=H","DateFormat=P","Fill=—","Direction=H","UseDPDF=Y")</f>
        <v>32.683500000000002</v>
      </c>
      <c r="E10" s="12">
        <f>_xll.BDH("DD US Equity","COM_EQY_TO_TOT_ASSET","FY 2017","FY 2017","Currency=USD","Period=FY","BEST_FPERIOD_OVERRIDE=FY","FILING_STATUS=MR","Sort=A","Dates=H","DateFormat=P","Fill=—","Direction=H","UseDPDF=Y")</f>
        <v>52.210599999999999</v>
      </c>
      <c r="F10" s="12">
        <f>_xll.BDH("DD US Equity","COM_EQY_TO_TOT_ASSET","FY 2018","FY 2018","Currency=USD","Period=FY","BEST_FPERIOD_OVERRIDE=FY","FILING_STATUS=MR","Sort=A","Dates=H","DateFormat=P","Fill=—","Direction=H","UseDPDF=Y")</f>
        <v>50.194000000000003</v>
      </c>
      <c r="G10" s="12">
        <f>_xll.BDH("DD US Equity","COM_EQY_TO_TOT_ASSET","FY 2019","FY 2019","Currency=USD","Period=FY","BEST_FPERIOD_OVERRIDE=FY","FILING_STATUS=MR","Sort=A","Dates=H","DateFormat=P","Fill=—","Direction=H","UseDPDF=Y")</f>
        <v>59.0625</v>
      </c>
      <c r="H10" s="12">
        <f>_xll.BDH("DD US Equity","COM_EQY_TO_TOT_ASSET","FY 2020","FY 2020","Currency=USD","Period=FY","BEST_FPERIOD_OVERRIDE=FY","FILING_STATUS=MR","Sort=A","Dates=H","DateFormat=P","Fill=—","Direction=H","UseDPDF=Y")</f>
        <v>54.304400000000001</v>
      </c>
      <c r="I10" s="12">
        <f>_xll.BDH("DD US Equity","COM_EQY_TO_TOT_ASSET","FY 2021","FY 2021","Currency=USD","Period=FY","BEST_FPERIOD_OVERRIDE=FY","FILING_STATUS=MR","Sort=A","Dates=H","DateFormat=P","Fill=—","Direction=H","UseDPDF=Y")</f>
        <v>57.831400000000002</v>
      </c>
      <c r="J10" s="12">
        <f>_xll.BDH("DD US Equity","COM_EQY_TO_TOT_ASSET","FY 2022","FY 2022","Currency=USD","Period=FY","BEST_FPERIOD_OVERRIDE=FY","FILING_STATUS=MR","Sort=A","Dates=H","DateFormat=P","Fill=—","Direction=H","UseDPDF=Y")</f>
        <v>64.246200000000002</v>
      </c>
    </row>
    <row r="11" spans="1:10">
      <c r="A11" s="9"/>
      <c r="B11" s="10"/>
      <c r="C11" s="10"/>
      <c r="D11" s="10"/>
      <c r="E11" s="10"/>
      <c r="F11" s="10"/>
      <c r="G11" s="10"/>
      <c r="H11" s="10"/>
      <c r="I11" s="10"/>
      <c r="J11" s="10"/>
    </row>
    <row r="12" spans="1:10">
      <c r="A12" s="9" t="s">
        <v>29</v>
      </c>
      <c r="B12" s="9" t="s">
        <v>30</v>
      </c>
      <c r="C12" s="12">
        <f>_xll.BDH("DD US Equity","LT_DEBT_TO_TOT_EQY","FY 2015","FY 2015","Currency=USD","Period=FY","BEST_FPERIOD_OVERRIDE=FY","FILING_STATUS=MR","Sort=A","Dates=H","DateFormat=P","Fill=—","Direction=H","UseDPDF=Y")</f>
        <v>30.099299999999999</v>
      </c>
      <c r="D12" s="12">
        <f>_xll.BDH("DD US Equity","LT_DEBT_TO_TOT_EQY","FY 2016","FY 2016","Currency=USD","Period=FY","BEST_FPERIOD_OVERRIDE=FY","FILING_STATUS=MR","Sort=A","Dates=H","DateFormat=P","Fill=—","Direction=H","UseDPDF=Y")</f>
        <v>75.125799999999998</v>
      </c>
      <c r="E12" s="12">
        <f>_xll.BDH("DD US Equity","LT_DEBT_TO_TOT_EQY","FY 2017","FY 2017","Currency=USD","Period=FY","BEST_FPERIOD_OVERRIDE=FY","FILING_STATUS=MR","Sort=A","Dates=H","DateFormat=P","Fill=—","Direction=H","UseDPDF=Y")</f>
        <v>29.4878</v>
      </c>
      <c r="F12" s="12">
        <f>_xll.BDH("DD US Equity","LT_DEBT_TO_TOT_EQY","FY 2018","FY 2018","Currency=USD","Period=FY","BEST_FPERIOD_OVERRIDE=FY","FILING_STATUS=MR","Sort=A","Dates=H","DateFormat=P","Fill=—","Direction=H","UseDPDF=Y")</f>
        <v>13.1637</v>
      </c>
      <c r="G12" s="12">
        <f>_xll.BDH("DD US Equity","LT_DEBT_TO_TOT_EQY","FY 2019","FY 2019","Currency=USD","Period=FY","BEST_FPERIOD_OVERRIDE=FY","FILING_STATUS=MR","Sort=A","Dates=H","DateFormat=P","Fill=—","Direction=H","UseDPDF=Y")</f>
        <v>33.768900000000002</v>
      </c>
      <c r="H12" s="12">
        <f>_xll.BDH("DD US Equity","LT_DEBT_TO_TOT_EQY","FY 2020","FY 2020","Currency=USD","Period=FY","BEST_FPERIOD_OVERRIDE=FY","FILING_STATUS=MR","Sort=A","Dates=H","DateFormat=P","Fill=—","Direction=H","UseDPDF=Y")</f>
        <v>40.744799999999998</v>
      </c>
      <c r="I12" s="12">
        <f>_xll.BDH("DD US Equity","LT_DEBT_TO_TOT_EQY","FY 2021","FY 2021","Currency=USD","Period=FY","BEST_FPERIOD_OVERRIDE=FY","FILING_STATUS=MR","Sort=A","Dates=H","DateFormat=P","Fill=—","Direction=H","UseDPDF=Y")</f>
        <v>40.687600000000003</v>
      </c>
      <c r="J12" s="12">
        <f>_xll.BDH("DD US Equity","LT_DEBT_TO_TOT_EQY","FY 2022","FY 2022","Currency=USD","Period=FY","BEST_FPERIOD_OVERRIDE=FY","FILING_STATUS=MR","Sort=A","Dates=H","DateFormat=P","Fill=—","Direction=H","UseDPDF=Y")</f>
        <v>30.007000000000001</v>
      </c>
    </row>
    <row r="13" spans="1:10">
      <c r="A13" s="9" t="s">
        <v>31</v>
      </c>
      <c r="B13" s="9" t="s">
        <v>32</v>
      </c>
      <c r="C13" s="12">
        <f>_xll.BDH("DD US Equity","LT_DEBT_TO_TOT_CAP","FY 2015","FY 2015","Currency=USD","Period=FY","BEST_FPERIOD_OVERRIDE=FY","FILING_STATUS=MR","Sort=A","Dates=H","DateFormat=P","Fill=—","Direction=H","UseDPDF=Y")</f>
        <v>22.6494</v>
      </c>
      <c r="D13" s="12">
        <f>_xll.BDH("DD US Equity","LT_DEBT_TO_TOT_CAP","FY 2016","FY 2016","Currency=USD","Period=FY","BEST_FPERIOD_OVERRIDE=FY","FILING_STATUS=MR","Sort=A","Dates=H","DateFormat=P","Fill=—","Direction=H","UseDPDF=Y")</f>
        <v>42.097499999999997</v>
      </c>
      <c r="E13" s="12">
        <f>_xll.BDH("DD US Equity","LT_DEBT_TO_TOT_CAP","FY 2017","FY 2017","Currency=USD","Period=FY","BEST_FPERIOD_OVERRIDE=FY","FILING_STATUS=MR","Sort=A","Dates=H","DateFormat=P","Fill=—","Direction=H","UseDPDF=Y")</f>
        <v>22.100300000000001</v>
      </c>
      <c r="F13" s="12">
        <f>_xll.BDH("DD US Equity","LT_DEBT_TO_TOT_CAP","FY 2018","FY 2018","Currency=USD","Period=FY","BEST_FPERIOD_OVERRIDE=FY","FILING_STATUS=MR","Sort=A","Dates=H","DateFormat=P","Fill=—","Direction=H","UseDPDF=Y")</f>
        <v>11.630800000000001</v>
      </c>
      <c r="G13" s="12">
        <f>_xll.BDH("DD US Equity","LT_DEBT_TO_TOT_CAP","FY 2019","FY 2019","Currency=USD","Period=FY","BEST_FPERIOD_OVERRIDE=FY","FILING_STATUS=MR","Sort=A","Dates=H","DateFormat=P","Fill=—","Direction=H","UseDPDF=Y")</f>
        <v>23.5623</v>
      </c>
      <c r="H13" s="12">
        <f>_xll.BDH("DD US Equity","LT_DEBT_TO_TOT_CAP","FY 2020","FY 2020","Currency=USD","Period=FY","BEST_FPERIOD_OVERRIDE=FY","FILING_STATUS=MR","Sort=A","Dates=H","DateFormat=P","Fill=—","Direction=H","UseDPDF=Y")</f>
        <v>28.8874</v>
      </c>
      <c r="I13" s="12">
        <f>_xll.BDH("DD US Equity","LT_DEBT_TO_TOT_CAP","FY 2021","FY 2021","Currency=USD","Period=FY","BEST_FPERIOD_OVERRIDE=FY","FILING_STATUS=MR","Sort=A","Dates=H","DateFormat=P","Fill=—","Direction=H","UseDPDF=Y")</f>
        <v>28.731000000000002</v>
      </c>
      <c r="J13" s="12">
        <f>_xll.BDH("DD US Equity","LT_DEBT_TO_TOT_CAP","FY 2022","FY 2022","Currency=USD","Period=FY","BEST_FPERIOD_OVERRIDE=FY","FILING_STATUS=MR","Sort=A","Dates=H","DateFormat=P","Fill=—","Direction=H","UseDPDF=Y")</f>
        <v>22.8276</v>
      </c>
    </row>
    <row r="14" spans="1:10">
      <c r="A14" s="9" t="s">
        <v>33</v>
      </c>
      <c r="B14" s="9" t="s">
        <v>34</v>
      </c>
      <c r="C14" s="12">
        <f>_xll.BDH("DD US Equity","LT_DEBT_TO_TOT_ASSET","FY 2015","FY 2015","Currency=USD","Period=FY","BEST_FPERIOD_OVERRIDE=FY","FILING_STATUS=MR","Sort=A","Dates=H","DateFormat=P","Fill=—","Direction=H","UseDPDF=Y")</f>
        <v>15.2803</v>
      </c>
      <c r="D14" s="12">
        <f>_xll.BDH("DD US Equity","LT_DEBT_TO_TOT_ASSET","FY 2016","FY 2016","Currency=USD","Period=FY","BEST_FPERIOD_OVERRIDE=FY","FILING_STATUS=MR","Sort=A","Dates=H","DateFormat=P","Fill=—","Direction=H","UseDPDF=Y")</f>
        <v>25.7273</v>
      </c>
      <c r="E14" s="12">
        <f>_xll.BDH("DD US Equity","LT_DEBT_TO_TOT_ASSET","FY 2017","FY 2017","Currency=USD","Period=FY","BEST_FPERIOD_OVERRIDE=FY","FILING_STATUS=MR","Sort=A","Dates=H","DateFormat=P","Fill=—","Direction=H","UseDPDF=Y")</f>
        <v>15.6408</v>
      </c>
      <c r="F14" s="12">
        <f>_xll.BDH("DD US Equity","LT_DEBT_TO_TOT_ASSET","FY 2018","FY 2018","Currency=USD","Period=FY","BEST_FPERIOD_OVERRIDE=FY","FILING_STATUS=MR","Sort=A","Dates=H","DateFormat=P","Fill=—","Direction=H","UseDPDF=Y")</f>
        <v>6.7201000000000004</v>
      </c>
      <c r="G14" s="12">
        <f>_xll.BDH("DD US Equity","LT_DEBT_TO_TOT_ASSET","FY 2019","FY 2019","Currency=USD","Period=FY","BEST_FPERIOD_OVERRIDE=FY","FILING_STATUS=MR","Sort=A","Dates=H","DateFormat=P","Fill=—","Direction=H","UseDPDF=Y")</f>
        <v>20.221599999999999</v>
      </c>
      <c r="H14" s="12">
        <f>_xll.BDH("DD US Equity","LT_DEBT_TO_TOT_ASSET","FY 2020","FY 2020","Currency=USD","Period=FY","BEST_FPERIOD_OVERRIDE=FY","FILING_STATUS=MR","Sort=A","Dates=H","DateFormat=P","Fill=—","Direction=H","UseDPDF=Y")</f>
        <v>22.451499999999999</v>
      </c>
      <c r="I14" s="12">
        <f>_xll.BDH("DD US Equity","LT_DEBT_TO_TOT_ASSET","FY 2021","FY 2021","Currency=USD","Period=FY","BEST_FPERIOD_OVERRIDE=FY","FILING_STATUS=MR","Sort=A","Dates=H","DateFormat=P","Fill=—","Direction=H","UseDPDF=Y")</f>
        <v>24.079499999999999</v>
      </c>
      <c r="J14" s="12">
        <f>_xll.BDH("DD US Equity","LT_DEBT_TO_TOT_ASSET","FY 2022","FY 2022","Currency=USD","Period=FY","BEST_FPERIOD_OVERRIDE=FY","FILING_STATUS=MR","Sort=A","Dates=H","DateFormat=P","Fill=—","Direction=H","UseDPDF=Y")</f>
        <v>19.603400000000001</v>
      </c>
    </row>
    <row r="15" spans="1:10">
      <c r="A15" s="9"/>
      <c r="B15" s="10"/>
      <c r="C15" s="10"/>
      <c r="D15" s="10"/>
      <c r="E15" s="10"/>
      <c r="F15" s="10"/>
      <c r="G15" s="10"/>
      <c r="H15" s="10"/>
      <c r="I15" s="10"/>
      <c r="J15" s="10"/>
    </row>
    <row r="16" spans="1:10">
      <c r="A16" s="9" t="s">
        <v>35</v>
      </c>
      <c r="B16" s="9" t="s">
        <v>36</v>
      </c>
      <c r="C16" s="12">
        <f>_xll.BDH("DD US Equity","TOT_DEBT_TO_TOT_EQY","FY 2015","FY 2015","Currency=USD","Period=FY","BEST_FPERIOD_OVERRIDE=FY","FILING_STATUS=MR","Sort=A","Dates=H","DateFormat=P","Fill=—","Direction=H","UseDPDF=Y")</f>
        <v>32.892200000000003</v>
      </c>
      <c r="D16" s="12">
        <f>_xll.BDH("DD US Equity","TOT_DEBT_TO_TOT_EQY","FY 2016","FY 2016","Currency=USD","Period=FY","BEST_FPERIOD_OVERRIDE=FY","FILING_STATUS=MR","Sort=A","Dates=H","DateFormat=P","Fill=—","Direction=H","UseDPDF=Y")</f>
        <v>78.456800000000001</v>
      </c>
      <c r="E16" s="12">
        <f>_xll.BDH("DD US Equity","TOT_DEBT_TO_TOT_EQY","FY 2017","FY 2017","Currency=USD","Period=FY","BEST_FPERIOD_OVERRIDE=FY","FILING_STATUS=MR","Sort=A","Dates=H","DateFormat=P","Fill=—","Direction=H","UseDPDF=Y")</f>
        <v>33.426900000000003</v>
      </c>
      <c r="F16" s="12">
        <f>_xll.BDH("DD US Equity","TOT_DEBT_TO_TOT_EQY","FY 2018","FY 2018","Currency=USD","Period=FY","BEST_FPERIOD_OVERRIDE=FY","FILING_STATUS=MR","Sort=A","Dates=H","DateFormat=P","Fill=—","Direction=H","UseDPDF=Y")</f>
        <v>13.179399999999999</v>
      </c>
      <c r="G16" s="12">
        <f>_xll.BDH("DD US Equity","TOT_DEBT_TO_TOT_EQY","FY 2019","FY 2019","Currency=USD","Period=FY","BEST_FPERIOD_OVERRIDE=FY","FILING_STATUS=MR","Sort=A","Dates=H","DateFormat=P","Fill=—","Direction=H","UseDPDF=Y")</f>
        <v>43.317500000000003</v>
      </c>
      <c r="H16" s="12">
        <f>_xll.BDH("DD US Equity","TOT_DEBT_TO_TOT_EQY","FY 2020","FY 2020","Currency=USD","Period=FY","BEST_FPERIOD_OVERRIDE=FY","FILING_STATUS=MR","Sort=A","Dates=H","DateFormat=P","Fill=—","Direction=H","UseDPDF=Y")</f>
        <v>41.046799999999998</v>
      </c>
      <c r="I16" s="12">
        <f>_xll.BDH("DD US Equity","TOT_DEBT_TO_TOT_EQY","FY 2021","FY 2021","Currency=USD","Period=FY","BEST_FPERIOD_OVERRIDE=FY","FILING_STATUS=MR","Sort=A","Dates=H","DateFormat=P","Fill=—","Direction=H","UseDPDF=Y")</f>
        <v>41.615499999999997</v>
      </c>
      <c r="J16" s="12">
        <f>_xll.BDH("DD US Equity","TOT_DEBT_TO_TOT_EQY","FY 2022","FY 2022","Currency=USD","Period=FY","BEST_FPERIOD_OVERRIDE=FY","FILING_STATUS=MR","Sort=A","Dates=H","DateFormat=P","Fill=—","Direction=H","UseDPDF=Y")</f>
        <v>31.450600000000001</v>
      </c>
    </row>
    <row r="17" spans="1:10">
      <c r="A17" s="9" t="s">
        <v>37</v>
      </c>
      <c r="B17" s="9" t="s">
        <v>38</v>
      </c>
      <c r="C17" s="12">
        <f>_xll.BDH("DD US Equity","TOT_DEBT_TO_TOT_CAP","FY 2015","FY 2015","Currency=USD","Period=FY","BEST_FPERIOD_OVERRIDE=FY","FILING_STATUS=MR","Sort=A","Dates=H","DateFormat=P","Fill=—","Direction=H","UseDPDF=Y")</f>
        <v>24.751100000000001</v>
      </c>
      <c r="D17" s="12">
        <f>_xll.BDH("DD US Equity","TOT_DEBT_TO_TOT_CAP","FY 2016","FY 2016","Currency=USD","Period=FY","BEST_FPERIOD_OVERRIDE=FY","FILING_STATUS=MR","Sort=A","Dates=H","DateFormat=P","Fill=—","Direction=H","UseDPDF=Y")</f>
        <v>43.963999999999999</v>
      </c>
      <c r="E17" s="12">
        <f>_xll.BDH("DD US Equity","TOT_DEBT_TO_TOT_CAP","FY 2017","FY 2017","Currency=USD","Period=FY","BEST_FPERIOD_OVERRIDE=FY","FILING_STATUS=MR","Sort=A","Dates=H","DateFormat=P","Fill=—","Direction=H","UseDPDF=Y")</f>
        <v>25.052600000000002</v>
      </c>
      <c r="F17" s="12">
        <f>_xll.BDH("DD US Equity","TOT_DEBT_TO_TOT_CAP","FY 2018","FY 2018","Currency=USD","Period=FY","BEST_FPERIOD_OVERRIDE=FY","FILING_STATUS=MR","Sort=A","Dates=H","DateFormat=P","Fill=—","Direction=H","UseDPDF=Y")</f>
        <v>11.6447</v>
      </c>
      <c r="G17" s="12">
        <f>_xll.BDH("DD US Equity","TOT_DEBT_TO_TOT_CAP","FY 2019","FY 2019","Currency=USD","Period=FY","BEST_FPERIOD_OVERRIDE=FY","FILING_STATUS=MR","Sort=A","Dates=H","DateFormat=P","Fill=—","Direction=H","UseDPDF=Y")</f>
        <v>30.224799999999998</v>
      </c>
      <c r="H17" s="12">
        <f>_xll.BDH("DD US Equity","TOT_DEBT_TO_TOT_CAP","FY 2020","FY 2020","Currency=USD","Period=FY","BEST_FPERIOD_OVERRIDE=FY","FILING_STATUS=MR","Sort=A","Dates=H","DateFormat=P","Fill=—","Direction=H","UseDPDF=Y")</f>
        <v>29.101600000000001</v>
      </c>
      <c r="I17" s="12">
        <f>_xll.BDH("DD US Equity","TOT_DEBT_TO_TOT_CAP","FY 2021","FY 2021","Currency=USD","Period=FY","BEST_FPERIOD_OVERRIDE=FY","FILING_STATUS=MR","Sort=A","Dates=H","DateFormat=P","Fill=—","Direction=H","UseDPDF=Y")</f>
        <v>29.386299999999999</v>
      </c>
      <c r="J17" s="12">
        <f>_xll.BDH("DD US Equity","TOT_DEBT_TO_TOT_CAP","FY 2022","FY 2022","Currency=USD","Period=FY","BEST_FPERIOD_OVERRIDE=FY","FILING_STATUS=MR","Sort=A","Dates=H","DateFormat=P","Fill=—","Direction=H","UseDPDF=Y")</f>
        <v>23.925799999999999</v>
      </c>
    </row>
    <row r="18" spans="1:10">
      <c r="A18" s="9" t="s">
        <v>39</v>
      </c>
      <c r="B18" s="9" t="s">
        <v>40</v>
      </c>
      <c r="C18" s="12">
        <f>_xll.BDH("DD US Equity","TOT_DEBT_TO_TOT_ASSET","FY 2015","FY 2015","Currency=USD","Period=FY","BEST_FPERIOD_OVERRIDE=FY","FILING_STATUS=MR","Sort=A","Dates=H","DateFormat=P","Fill=—","Direction=H","UseDPDF=Y")</f>
        <v>16.6982</v>
      </c>
      <c r="D18" s="12">
        <f>_xll.BDH("DD US Equity","TOT_DEBT_TO_TOT_ASSET","FY 2016","FY 2016","Currency=USD","Period=FY","BEST_FPERIOD_OVERRIDE=FY","FILING_STATUS=MR","Sort=A","Dates=H","DateFormat=P","Fill=—","Direction=H","UseDPDF=Y")</f>
        <v>26.867999999999999</v>
      </c>
      <c r="E18" s="12">
        <f>_xll.BDH("DD US Equity","TOT_DEBT_TO_TOT_ASSET","FY 2017","FY 2017","Currency=USD","Period=FY","BEST_FPERIOD_OVERRIDE=FY","FILING_STATUS=MR","Sort=A","Dates=H","DateFormat=P","Fill=—","Direction=H","UseDPDF=Y")</f>
        <v>17.7302</v>
      </c>
      <c r="F18" s="12">
        <f>_xll.BDH("DD US Equity","TOT_DEBT_TO_TOT_ASSET","FY 2018","FY 2018","Currency=USD","Period=FY","BEST_FPERIOD_OVERRIDE=FY","FILING_STATUS=MR","Sort=A","Dates=H","DateFormat=P","Fill=—","Direction=H","UseDPDF=Y")</f>
        <v>6.7281000000000004</v>
      </c>
      <c r="G18" s="12">
        <f>_xll.BDH("DD US Equity","TOT_DEBT_TO_TOT_ASSET","FY 2019","FY 2019","Currency=USD","Period=FY","BEST_FPERIOD_OVERRIDE=FY","FILING_STATUS=MR","Sort=A","Dates=H","DateFormat=P","Fill=—","Direction=H","UseDPDF=Y")</f>
        <v>25.939499999999999</v>
      </c>
      <c r="H18" s="12">
        <f>_xll.BDH("DD US Equity","TOT_DEBT_TO_TOT_ASSET","FY 2020","FY 2020","Currency=USD","Period=FY","BEST_FPERIOD_OVERRIDE=FY","FILING_STATUS=MR","Sort=A","Dates=H","DateFormat=P","Fill=—","Direction=H","UseDPDF=Y")</f>
        <v>22.617899999999999</v>
      </c>
      <c r="I18" s="12">
        <f>_xll.BDH("DD US Equity","TOT_DEBT_TO_TOT_ASSET","FY 2021","FY 2021","Currency=USD","Period=FY","BEST_FPERIOD_OVERRIDE=FY","FILING_STATUS=MR","Sort=A","Dates=H","DateFormat=P","Fill=—","Direction=H","UseDPDF=Y")</f>
        <v>24.628599999999999</v>
      </c>
      <c r="J18" s="12">
        <f>_xll.BDH("DD US Equity","TOT_DEBT_TO_TOT_ASSET","FY 2022","FY 2022","Currency=USD","Period=FY","BEST_FPERIOD_OVERRIDE=FY","FILING_STATUS=MR","Sort=A","Dates=H","DateFormat=P","Fill=—","Direction=H","UseDPDF=Y")</f>
        <v>20.546500000000002</v>
      </c>
    </row>
    <row r="19" spans="1:10">
      <c r="A19" s="9"/>
      <c r="B19" s="10"/>
      <c r="C19" s="10"/>
      <c r="D19" s="10"/>
      <c r="E19" s="10"/>
      <c r="F19" s="10"/>
      <c r="G19" s="10"/>
      <c r="H19" s="10"/>
      <c r="I19" s="10"/>
      <c r="J19" s="10"/>
    </row>
    <row r="20" spans="1:10">
      <c r="A20" s="9" t="s">
        <v>41</v>
      </c>
      <c r="B20" s="9" t="s">
        <v>42</v>
      </c>
      <c r="C20" s="12" t="str">
        <f>_xll.BDH("DD US Equity","CASH_FLOW_TO_TOT_LIAB","FY 2015","FY 2015","Currency=USD","Period=FY","BEST_FPERIOD_OVERRIDE=FY","FILING_STATUS=MR","Sort=A","Dates=H","DateFormat=P","Fill=—","Direction=H","UseDPDF=Y")</f>
        <v>—</v>
      </c>
      <c r="D20" s="12" t="str">
        <f>_xll.BDH("DD US Equity","CASH_FLOW_TO_TOT_LIAB","FY 2016","FY 2016","Currency=USD","Period=FY","BEST_FPERIOD_OVERRIDE=FY","FILING_STATUS=MR","Sort=A","Dates=H","DateFormat=P","Fill=—","Direction=H","UseDPDF=Y")</f>
        <v>—</v>
      </c>
      <c r="E20" s="12">
        <f>_xll.BDH("DD US Equity","CASH_FLOW_TO_TOT_LIAB","FY 2017","FY 2017","Currency=USD","Period=FY","BEST_FPERIOD_OVERRIDE=FY","FILING_STATUS=MR","Sort=A","Dates=H","DateFormat=P","Fill=—","Direction=H","UseDPDF=Y")</f>
        <v>-0.8478</v>
      </c>
      <c r="F20" s="12">
        <f>_xll.BDH("DD US Equity","CASH_FLOW_TO_TOT_LIAB","FY 2018","FY 2018","Currency=USD","Period=FY","BEST_FPERIOD_OVERRIDE=FY","FILING_STATUS=MR","Sort=A","Dates=H","DateFormat=P","Fill=—","Direction=H","UseDPDF=Y")</f>
        <v>5.1448999999999998</v>
      </c>
      <c r="G20" s="12">
        <f>_xll.BDH("DD US Equity","CASH_FLOW_TO_TOT_LIAB","FY 2019","FY 2019","Currency=USD","Period=FY","BEST_FPERIOD_OVERRIDE=FY","FILING_STATUS=MR","Sort=A","Dates=H","DateFormat=P","Fill=—","Direction=H","UseDPDF=Y")</f>
        <v>5.0610999999999997</v>
      </c>
      <c r="H20" s="12">
        <f>_xll.BDH("DD US Equity","CASH_FLOW_TO_TOT_LIAB","FY 2020","FY 2020","Currency=USD","Period=FY","BEST_FPERIOD_OVERRIDE=FY","FILING_STATUS=MR","Sort=A","Dates=H","DateFormat=P","Fill=—","Direction=H","UseDPDF=Y")</f>
        <v>12.8636</v>
      </c>
      <c r="I20" s="12">
        <f>_xll.BDH("DD US Equity","CASH_FLOW_TO_TOT_LIAB","FY 2021","FY 2021","Currency=USD","Period=FY","BEST_FPERIOD_OVERRIDE=FY","FILING_STATUS=MR","Sort=A","Dates=H","DateFormat=P","Fill=—","Direction=H","UseDPDF=Y")</f>
        <v>12.226000000000001</v>
      </c>
      <c r="J20" s="12">
        <f>_xll.BDH("DD US Equity","CASH_FLOW_TO_TOT_LIAB","FY 2022","FY 2022","Currency=USD","Period=FY","BEST_FPERIOD_OVERRIDE=FY","FILING_STATUS=MR","Sort=A","Dates=H","DateFormat=P","Fill=—","Direction=H","UseDPDF=Y")</f>
        <v>4.101</v>
      </c>
    </row>
    <row r="21" spans="1:10">
      <c r="A21" s="9" t="s">
        <v>43</v>
      </c>
      <c r="B21" s="9" t="s">
        <v>44</v>
      </c>
      <c r="C21" s="12" t="str">
        <f>_xll.BDH("DD US Equity","CAP_EXPEND_RATIO","FY 2015","FY 2015","Currency=USD","Period=FY","BEST_FPERIOD_OVERRIDE=FY","FILING_STATUS=MR","Sort=A","Dates=H","DateFormat=P","Fill=—","Direction=H","UseDPDF=Y")</f>
        <v>—</v>
      </c>
      <c r="D21" s="12" t="str">
        <f>_xll.BDH("DD US Equity","CAP_EXPEND_RATIO","FY 2016","FY 2016","Currency=USD","Period=FY","BEST_FPERIOD_OVERRIDE=FY","FILING_STATUS=MR","Sort=A","Dates=H","DateFormat=P","Fill=—","Direction=H","UseDPDF=Y")</f>
        <v>—</v>
      </c>
      <c r="E21" s="12">
        <f>_xll.BDH("DD US Equity","CAP_EXPEND_RATIO","FY 2017","FY 2017","Currency=USD","Period=FY","BEST_FPERIOD_OVERRIDE=FY","FILING_STATUS=MR","Sort=A","Dates=H","DateFormat=P","Fill=—","Direction=H","UseDPDF=Y")</f>
        <v>-0.21429999999999999</v>
      </c>
      <c r="F21" s="12">
        <f>_xll.BDH("DD US Equity","CAP_EXPEND_RATIO","FY 2018","FY 2018","Currency=USD","Period=FY","BEST_FPERIOD_OVERRIDE=FY","FILING_STATUS=MR","Sort=A","Dates=H","DateFormat=P","Fill=—","Direction=H","UseDPDF=Y")</f>
        <v>1.2330000000000001</v>
      </c>
      <c r="G21" s="12">
        <f>_xll.BDH("DD US Equity","CAP_EXPEND_RATIO","FY 2019","FY 2019","Currency=USD","Period=FY","BEST_FPERIOD_OVERRIDE=FY","FILING_STATUS=MR","Sort=A","Dates=H","DateFormat=P","Fill=—","Direction=H","UseDPDF=Y")</f>
        <v>0.56999999999999995</v>
      </c>
      <c r="H21" s="12">
        <f>_xll.BDH("DD US Equity","CAP_EXPEND_RATIO","FY 2020","FY 2020","Currency=USD","Period=FY","BEST_FPERIOD_OVERRIDE=FY","FILING_STATUS=MR","Sort=A","Dates=H","DateFormat=P","Fill=—","Direction=H","UseDPDF=Y")</f>
        <v>3.4296000000000002</v>
      </c>
      <c r="I21" s="12">
        <f>_xll.BDH("DD US Equity","CAP_EXPEND_RATIO","FY 2021","FY 2021","Currency=USD","Period=FY","BEST_FPERIOD_OVERRIDE=FY","FILING_STATUS=MR","Sort=A","Dates=H","DateFormat=P","Fill=—","Direction=H","UseDPDF=Y")</f>
        <v>2.56</v>
      </c>
      <c r="J21" s="12">
        <f>_xll.BDH("DD US Equity","CAP_EXPEND_RATIO","FY 2022","FY 2022","Currency=USD","Period=FY","BEST_FPERIOD_OVERRIDE=FY","FILING_STATUS=MR","Sort=A","Dates=H","DateFormat=P","Fill=—","Direction=H","UseDPDF=Y")</f>
        <v>0.79139999999999999</v>
      </c>
    </row>
    <row r="22" spans="1:10">
      <c r="A22" s="9" t="s">
        <v>45</v>
      </c>
      <c r="B22" s="9" t="s">
        <v>46</v>
      </c>
      <c r="C22" s="12">
        <f>_xll.BDH("DD US Equity","ALTMAN_Z_SCORE","FY 2015","FY 2015","Currency=USD","Period=FY","BEST_FPERIOD_OVERRIDE=FY","FILING_STATUS=MR","Sort=A","Dates=H","DateFormat=P","Fill=—","Direction=H","UseDPDF=Y")</f>
        <v>2.2530000000000001</v>
      </c>
      <c r="D22" s="12">
        <f>_xll.BDH("DD US Equity","ALTMAN_Z_SCORE","FY 2016","FY 2016","Currency=USD","Period=FY","BEST_FPERIOD_OVERRIDE=FY","FILING_STATUS=MR","Sort=A","Dates=H","DateFormat=P","Fill=—","Direction=H","UseDPDF=Y")</f>
        <v>3.2458</v>
      </c>
      <c r="E22" s="12">
        <f>_xll.BDH("DD US Equity","ALTMAN_Z_SCORE","FY 2017","FY 2017","Currency=USD","Period=FY","BEST_FPERIOD_OVERRIDE=FY","FILING_STATUS=MR","Sort=A","Dates=H","DateFormat=P","Fill=—","Direction=H","UseDPDF=Y")</f>
        <v>2.6671999999999998</v>
      </c>
      <c r="F22" s="12">
        <f>_xll.BDH("DD US Equity","ALTMAN_Z_SCORE","FY 2018","FY 2018","Currency=USD","Period=FY","BEST_FPERIOD_OVERRIDE=FY","FILING_STATUS=MR","Sort=A","Dates=H","DateFormat=P","Fill=—","Direction=H","UseDPDF=Y")</f>
        <v>1.7331000000000001</v>
      </c>
      <c r="G22" s="12">
        <f>_xll.BDH("DD US Equity","ALTMAN_Z_SCORE","FY 2019","FY 2019","Currency=USD","Period=FY","BEST_FPERIOD_OVERRIDE=FY","FILING_STATUS=MR","Sort=A","Dates=H","DateFormat=P","Fill=—","Direction=H","UseDPDF=Y")</f>
        <v>1.5367999999999999</v>
      </c>
      <c r="H22" s="12">
        <f>_xll.BDH("DD US Equity","ALTMAN_Z_SCORE","FY 2020","FY 2020","Currency=USD","Period=FY","BEST_FPERIOD_OVERRIDE=FY","FILING_STATUS=MR","Sort=A","Dates=H","DateFormat=P","Fill=—","Direction=H","UseDPDF=Y")</f>
        <v>1.2157</v>
      </c>
      <c r="I22" s="12">
        <f>_xll.BDH("DD US Equity","ALTMAN_Z_SCORE","FY 2021","FY 2021","Currency=USD","Period=FY","BEST_FPERIOD_OVERRIDE=FY","FILING_STATUS=MR","Sort=A","Dates=H","DateFormat=P","Fill=—","Direction=H","UseDPDF=Y")</f>
        <v>0.80349999999999999</v>
      </c>
      <c r="J22" s="12">
        <f>_xll.BDH("DD US Equity","ALTMAN_Z_SCORE","FY 2022","FY 2022","Currency=USD","Period=FY","BEST_FPERIOD_OVERRIDE=FY","FILING_STATUS=MR","Sort=A","Dates=H","DateFormat=P","Fill=—","Direction=H","UseDPDF=Y")</f>
        <v>1.3274999999999999</v>
      </c>
    </row>
    <row r="23" spans="1:10">
      <c r="A23" s="9"/>
      <c r="B23" s="10"/>
      <c r="C23" s="10"/>
      <c r="D23" s="10"/>
      <c r="E23" s="10"/>
      <c r="F23" s="10"/>
      <c r="G23" s="10"/>
      <c r="H23" s="10"/>
      <c r="I23" s="10"/>
      <c r="J23" s="10"/>
    </row>
    <row r="24" spans="1:10">
      <c r="A24" s="9"/>
      <c r="B24" s="10"/>
      <c r="C24" s="10"/>
      <c r="D24" s="10"/>
      <c r="E24" s="10"/>
      <c r="F24" s="10"/>
      <c r="G24" s="10"/>
      <c r="H24" s="10"/>
      <c r="I24" s="10"/>
      <c r="J24" s="10"/>
    </row>
    <row r="25" spans="1:10">
      <c r="A25" s="9" t="s">
        <v>47</v>
      </c>
      <c r="B25" s="9" t="s">
        <v>48</v>
      </c>
      <c r="C25" s="11" t="str">
        <f>_xll.BDH("DD US Equity","BS_TOT_COM_PAPER_ISSUED","FY 2015","FY 2015","Currency=USD","Period=FY","BEST_FPERIOD_OVERRIDE=FY","FILING_STATUS=MR","SCALING_FORMAT=MLN","Sort=A","Dates=H","DateFormat=P","Fill=—","Direction=H","UseDPDF=Y")</f>
        <v>—</v>
      </c>
      <c r="D25" s="11">
        <f>_xll.BDH("DD US Equity","BS_TOT_COM_PAPER_ISSUED","FY 2016","FY 2016","Currency=USD","Period=FY","BEST_FPERIOD_OVERRIDE=FY","FILING_STATUS=MR","SCALING_FORMAT=MLN","Sort=A","Dates=H","DateFormat=P","Fill=—","Direction=H","UseDPDF=Y")</f>
        <v>0</v>
      </c>
      <c r="E25" s="11">
        <f>_xll.BDH("DD US Equity","BS_TOT_COM_PAPER_ISSUED","FY 2017","FY 2017","Currency=USD","Period=FY","BEST_FPERIOD_OVERRIDE=FY","FILING_STATUS=MR","SCALING_FORMAT=MLN","Sort=A","Dates=H","DateFormat=P","Fill=—","Direction=H","UseDPDF=Y")</f>
        <v>1667</v>
      </c>
      <c r="F25" s="11">
        <f>_xll.BDH("DD US Equity","BS_TOT_COM_PAPER_ISSUED","FY 2018","FY 2018","Currency=USD","Period=FY","BEST_FPERIOD_OVERRIDE=FY","FILING_STATUS=MR","SCALING_FORMAT=MLN","Sort=A","Dates=H","DateFormat=P","Fill=—","Direction=H","UseDPDF=Y")</f>
        <v>1857</v>
      </c>
      <c r="G25" s="11">
        <f>_xll.BDH("DD US Equity","BS_TOT_COM_PAPER_ISSUED","FY 2019","FY 2019","Currency=USD","Period=FY","BEST_FPERIOD_OVERRIDE=FY","FILING_STATUS=MR","SCALING_FORMAT=MLN","Sort=A","Dates=H","DateFormat=P","Fill=—","Direction=H","UseDPDF=Y")</f>
        <v>1829</v>
      </c>
      <c r="H25" s="11">
        <f>_xll.BDH("DD US Equity","BS_TOT_COM_PAPER_ISSUED","FY 2020","FY 2020","Currency=USD","Period=FY","BEST_FPERIOD_OVERRIDE=FY","FILING_STATUS=MR","SCALING_FORMAT=MLN","Sort=A","Dates=H","DateFormat=P","Fill=—","Direction=H","UseDPDF=Y")</f>
        <v>0</v>
      </c>
      <c r="I25" s="11">
        <f>_xll.BDH("DD US Equity","BS_TOT_COM_PAPER_ISSUED","FY 2021","FY 2021","Currency=USD","Period=FY","BEST_FPERIOD_OVERRIDE=FY","FILING_STATUS=MR","SCALING_FORMAT=MLN","Sort=A","Dates=H","DateFormat=P","Fill=—","Direction=H","UseDPDF=Y")</f>
        <v>150</v>
      </c>
      <c r="J25" s="11">
        <f>_xll.BDH("DD US Equity","BS_TOT_COM_PAPER_ISSUED","FY 2022","FY 2022","Currency=USD","Period=FY","BEST_FPERIOD_OVERRIDE=FY","FILING_STATUS=MR","SCALING_FORMAT=MLN","Sort=A","Dates=H","DateFormat=P","Fill=—","Direction=H","UseDPDF=Y")</f>
        <v>0</v>
      </c>
    </row>
    <row r="26" spans="1:10">
      <c r="A26" s="6" t="s">
        <v>49</v>
      </c>
      <c r="B26" s="6"/>
      <c r="C26" s="6" t="s">
        <v>50</v>
      </c>
      <c r="D26" s="6"/>
      <c r="E26" s="6"/>
      <c r="F26" s="6"/>
      <c r="G26" s="6"/>
      <c r="H26" s="6"/>
      <c r="I26" s="6"/>
      <c r="J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2023-12-04T20:07:58Z</dcterms:modified>
  <cp:category/>
  <cp:contentStatus/>
</cp:coreProperties>
</file>