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b-my.sharepoint.com/personal/hm23424_bristol_ac_uk/Documents/"/>
    </mc:Choice>
  </mc:AlternateContent>
  <xr:revisionPtr revIDLastSave="0" documentId="8_{C30943CE-7E9F-4D5F-AC42-38B68E6C78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SG - Overview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" l="1"/>
  <c r="D9" i="2"/>
  <c r="F8" i="2"/>
  <c r="C96" i="2"/>
  <c r="H95" i="2"/>
  <c r="D78" i="2"/>
  <c r="D136" i="2"/>
  <c r="C31" i="2"/>
  <c r="G64" i="2"/>
  <c r="C56" i="2"/>
  <c r="G47" i="2"/>
  <c r="E78" i="2"/>
  <c r="C81" i="2"/>
  <c r="H30" i="2"/>
  <c r="G90" i="2"/>
  <c r="E93" i="2"/>
  <c r="G98" i="2"/>
  <c r="D139" i="2"/>
  <c r="E105" i="2"/>
  <c r="C114" i="2"/>
  <c r="G143" i="2"/>
  <c r="E122" i="2"/>
  <c r="G131" i="2"/>
  <c r="C125" i="2"/>
  <c r="H80" i="2"/>
  <c r="D36" i="2"/>
  <c r="E148" i="2"/>
  <c r="F98" i="2"/>
  <c r="C139" i="2"/>
  <c r="E136" i="2"/>
  <c r="D14" i="2"/>
  <c r="F136" i="2"/>
  <c r="H33" i="2"/>
  <c r="G116" i="2"/>
  <c r="C22" i="2"/>
  <c r="D148" i="2"/>
  <c r="F148" i="2"/>
  <c r="H143" i="2"/>
  <c r="F116" i="2"/>
  <c r="F122" i="2"/>
  <c r="D96" i="2"/>
  <c r="G33" i="2"/>
  <c r="D56" i="2"/>
  <c r="H131" i="2"/>
  <c r="F105" i="2"/>
  <c r="D114" i="2"/>
  <c r="F93" i="2"/>
  <c r="D45" i="2"/>
  <c r="C7" i="2"/>
  <c r="D125" i="2"/>
  <c r="G9" i="2"/>
  <c r="H116" i="2"/>
  <c r="E14" i="2"/>
  <c r="C34" i="2"/>
  <c r="E22" i="2"/>
  <c r="G78" i="2"/>
  <c r="C20" i="2"/>
  <c r="G22" i="2"/>
  <c r="E31" i="2"/>
  <c r="G36" i="2"/>
  <c r="E56" i="2"/>
  <c r="C48" i="2"/>
  <c r="C65" i="2"/>
  <c r="E45" i="2"/>
  <c r="E81" i="2"/>
  <c r="G93" i="2"/>
  <c r="C91" i="2"/>
  <c r="E96" i="2"/>
  <c r="C103" i="2"/>
  <c r="E114" i="2"/>
  <c r="C132" i="2"/>
  <c r="G122" i="2"/>
  <c r="G136" i="2"/>
  <c r="G50" i="2"/>
  <c r="C117" i="2"/>
  <c r="E139" i="2"/>
  <c r="G105" i="2"/>
  <c r="G30" i="2"/>
  <c r="G148" i="2"/>
  <c r="C146" i="2"/>
  <c r="D105" i="2"/>
  <c r="D22" i="2"/>
  <c r="F64" i="2"/>
  <c r="E125" i="2"/>
  <c r="F9" i="2"/>
  <c r="F36" i="2"/>
  <c r="D122" i="2"/>
  <c r="E36" i="2"/>
  <c r="F22" i="2"/>
  <c r="H138" i="2"/>
  <c r="H47" i="2"/>
  <c r="D31" i="2"/>
  <c r="D81" i="2"/>
  <c r="D34" i="2"/>
  <c r="H64" i="2"/>
  <c r="H90" i="2"/>
  <c r="D20" i="2"/>
  <c r="D7" i="2"/>
  <c r="F78" i="2"/>
  <c r="F14" i="2"/>
  <c r="H9" i="2"/>
  <c r="H98" i="2"/>
  <c r="H50" i="2"/>
  <c r="D65" i="2"/>
  <c r="F45" i="2"/>
  <c r="H36" i="2"/>
  <c r="F50" i="2"/>
  <c r="F31" i="2"/>
  <c r="H22" i="2"/>
  <c r="F56" i="2"/>
  <c r="D48" i="2"/>
  <c r="H78" i="2"/>
  <c r="F81" i="2"/>
  <c r="D91" i="2"/>
  <c r="H93" i="2"/>
  <c r="F96" i="2"/>
  <c r="D103" i="2"/>
  <c r="H105" i="2"/>
  <c r="H136" i="2"/>
  <c r="F125" i="2"/>
  <c r="D117" i="2"/>
  <c r="F139" i="2"/>
  <c r="H122" i="2"/>
  <c r="D146" i="2"/>
  <c r="F114" i="2"/>
  <c r="D132" i="2"/>
  <c r="E146" i="2"/>
  <c r="H148" i="2"/>
  <c r="H14" i="2"/>
  <c r="G114" i="2"/>
  <c r="C123" i="2"/>
  <c r="G13" i="2"/>
  <c r="H13" i="2"/>
  <c r="G139" i="2"/>
  <c r="E117" i="2"/>
  <c r="D23" i="2"/>
  <c r="F33" i="2"/>
  <c r="E132" i="2"/>
  <c r="C149" i="2"/>
  <c r="F131" i="2"/>
  <c r="C14" i="2"/>
  <c r="H44" i="2"/>
  <c r="E9" i="2"/>
  <c r="C137" i="2"/>
  <c r="G125" i="2"/>
  <c r="F20" i="2"/>
  <c r="H45" i="2"/>
  <c r="D43" i="2"/>
  <c r="F34" i="2"/>
  <c r="H31" i="2"/>
  <c r="F48" i="2"/>
  <c r="D54" i="2"/>
  <c r="H56" i="2"/>
  <c r="D94" i="2"/>
  <c r="D106" i="2"/>
  <c r="F91" i="2"/>
  <c r="F65" i="2"/>
  <c r="H81" i="2"/>
  <c r="G96" i="2"/>
  <c r="D79" i="2"/>
  <c r="H96" i="2"/>
  <c r="F132" i="2"/>
  <c r="D149" i="2"/>
  <c r="F117" i="2"/>
  <c r="F103" i="2"/>
  <c r="H114" i="2"/>
  <c r="G31" i="2"/>
  <c r="F146" i="2"/>
  <c r="H139" i="2"/>
  <c r="D123" i="2"/>
  <c r="D137" i="2"/>
  <c r="F7" i="2"/>
  <c r="C43" i="2"/>
  <c r="E48" i="2"/>
  <c r="E65" i="2"/>
  <c r="G56" i="2"/>
  <c r="D10" i="2"/>
  <c r="G81" i="2"/>
  <c r="H125" i="2"/>
  <c r="G7" i="2"/>
  <c r="C15" i="2"/>
  <c r="C106" i="2"/>
  <c r="E10" i="2"/>
  <c r="E23" i="2"/>
  <c r="E43" i="2"/>
  <c r="G20" i="2"/>
  <c r="C32" i="2"/>
  <c r="C46" i="2"/>
  <c r="G34" i="2"/>
  <c r="G48" i="2"/>
  <c r="G65" i="2"/>
  <c r="G91" i="2"/>
  <c r="C63" i="2"/>
  <c r="E79" i="2"/>
  <c r="E54" i="2"/>
  <c r="E106" i="2"/>
  <c r="E123" i="2"/>
  <c r="C97" i="2"/>
  <c r="E94" i="2"/>
  <c r="C82" i="2"/>
  <c r="G103" i="2"/>
  <c r="H55" i="2"/>
  <c r="C130" i="2"/>
  <c r="G117" i="2"/>
  <c r="G132" i="2"/>
  <c r="D13" i="2"/>
  <c r="E137" i="2"/>
  <c r="C140" i="2"/>
  <c r="G146" i="2"/>
  <c r="E149" i="2"/>
  <c r="E47" i="2"/>
  <c r="E33" i="2"/>
  <c r="H16" i="2"/>
  <c r="F16" i="2"/>
  <c r="C10" i="2"/>
  <c r="C115" i="2"/>
  <c r="G14" i="2"/>
  <c r="C45" i="2"/>
  <c r="H124" i="2"/>
  <c r="D93" i="2"/>
  <c r="E7" i="2"/>
  <c r="E91" i="2"/>
  <c r="H7" i="2"/>
  <c r="E20" i="2"/>
  <c r="F10" i="2"/>
  <c r="C23" i="2"/>
  <c r="G45" i="2"/>
  <c r="E34" i="2"/>
  <c r="D15" i="2"/>
  <c r="C79" i="2"/>
  <c r="C94" i="2"/>
  <c r="E103" i="2"/>
  <c r="C54" i="2"/>
  <c r="D97" i="2"/>
  <c r="F23" i="2"/>
  <c r="H20" i="2"/>
  <c r="F43" i="2"/>
  <c r="H34" i="2"/>
  <c r="D46" i="2"/>
  <c r="H48" i="2"/>
  <c r="F79" i="2"/>
  <c r="D63" i="2"/>
  <c r="F54" i="2"/>
  <c r="D32" i="2"/>
  <c r="H65" i="2"/>
  <c r="H91" i="2"/>
  <c r="D82" i="2"/>
  <c r="F137" i="2"/>
  <c r="H117" i="2"/>
  <c r="C8" i="2"/>
  <c r="H103" i="2"/>
  <c r="F94" i="2"/>
  <c r="F106" i="2"/>
  <c r="E16" i="2"/>
  <c r="G10" i="2"/>
  <c r="G44" i="2"/>
  <c r="F143" i="2"/>
  <c r="H132" i="2"/>
  <c r="D115" i="2"/>
  <c r="F123" i="2"/>
  <c r="D130" i="2"/>
  <c r="H146" i="2"/>
  <c r="F149" i="2"/>
  <c r="G23" i="2"/>
  <c r="G16" i="2"/>
  <c r="E50" i="2"/>
  <c r="D50" i="2"/>
  <c r="E15" i="2"/>
  <c r="C21" i="2"/>
  <c r="D140" i="2"/>
  <c r="C35" i="2"/>
  <c r="E32" i="2"/>
  <c r="G43" i="2"/>
  <c r="H94" i="2"/>
  <c r="C49" i="2"/>
  <c r="G54" i="2"/>
  <c r="E46" i="2"/>
  <c r="G79" i="2"/>
  <c r="C92" i="2"/>
  <c r="C104" i="2"/>
  <c r="C77" i="2"/>
  <c r="G149" i="2"/>
  <c r="E140" i="2"/>
  <c r="E82" i="2"/>
  <c r="D104" i="2"/>
  <c r="E130" i="2"/>
  <c r="E63" i="2"/>
  <c r="C147" i="2"/>
  <c r="E97" i="2"/>
  <c r="G106" i="2"/>
  <c r="E115" i="2"/>
  <c r="F97" i="2"/>
  <c r="C133" i="2"/>
  <c r="G123" i="2"/>
  <c r="G94" i="2"/>
  <c r="G137" i="2"/>
  <c r="C121" i="2"/>
  <c r="F115" i="2"/>
  <c r="H137" i="2"/>
  <c r="F130" i="2"/>
  <c r="D121" i="2"/>
  <c r="H123" i="2"/>
  <c r="C9" i="2"/>
  <c r="D133" i="2"/>
  <c r="F140" i="2"/>
  <c r="H149" i="2"/>
  <c r="H113" i="2"/>
  <c r="D21" i="2"/>
  <c r="D35" i="2"/>
  <c r="F15" i="2"/>
  <c r="H10" i="2"/>
  <c r="F90" i="2"/>
  <c r="D77" i="2"/>
  <c r="F63" i="2"/>
  <c r="F47" i="2"/>
  <c r="H79" i="2"/>
  <c r="F82" i="2"/>
  <c r="D147" i="2"/>
  <c r="F32" i="2"/>
  <c r="D8" i="2"/>
  <c r="H106" i="2"/>
  <c r="H54" i="2"/>
  <c r="D49" i="2"/>
  <c r="H43" i="2"/>
  <c r="F46" i="2"/>
  <c r="C13" i="2"/>
  <c r="H23" i="2"/>
  <c r="D92" i="2"/>
  <c r="G15" i="2"/>
  <c r="E8" i="2"/>
  <c r="E21" i="2"/>
  <c r="E35" i="2"/>
  <c r="C30" i="2"/>
  <c r="G32" i="2"/>
  <c r="C44" i="2"/>
  <c r="G46" i="2"/>
  <c r="G97" i="2"/>
  <c r="C55" i="2"/>
  <c r="E49" i="2"/>
  <c r="G63" i="2"/>
  <c r="G82" i="2"/>
  <c r="E77" i="2"/>
  <c r="E133" i="2"/>
  <c r="C95" i="2"/>
  <c r="C124" i="2"/>
  <c r="C80" i="2"/>
  <c r="E121" i="2"/>
  <c r="C113" i="2"/>
  <c r="G140" i="2"/>
  <c r="G130" i="2"/>
  <c r="E104" i="2"/>
  <c r="E92" i="2"/>
  <c r="C138" i="2"/>
  <c r="H140" i="2"/>
  <c r="E147" i="2"/>
  <c r="F133" i="2"/>
  <c r="H115" i="2"/>
  <c r="G115" i="2"/>
  <c r="F147" i="2"/>
  <c r="F121" i="2"/>
  <c r="C156" i="2"/>
  <c r="H130" i="2"/>
  <c r="D124" i="2"/>
  <c r="D138" i="2"/>
  <c r="D156" i="2"/>
  <c r="H15" i="2"/>
  <c r="F21" i="2"/>
  <c r="C16" i="2"/>
  <c r="H82" i="2"/>
  <c r="F49" i="2"/>
  <c r="E13" i="2"/>
  <c r="D30" i="2"/>
  <c r="D80" i="2"/>
  <c r="E55" i="2"/>
  <c r="H32" i="2"/>
  <c r="D113" i="2"/>
  <c r="H63" i="2"/>
  <c r="F77" i="2"/>
  <c r="G8" i="2"/>
  <c r="G77" i="2"/>
  <c r="F35" i="2"/>
  <c r="C47" i="2"/>
  <c r="C116" i="2"/>
  <c r="G49" i="2"/>
  <c r="C33" i="2"/>
  <c r="H46" i="2"/>
  <c r="D44" i="2"/>
  <c r="C90" i="2"/>
  <c r="D95" i="2"/>
  <c r="G35" i="2"/>
  <c r="D55" i="2"/>
  <c r="G147" i="2"/>
  <c r="E30" i="2"/>
  <c r="H97" i="2"/>
  <c r="C64" i="2"/>
  <c r="E95" i="2"/>
  <c r="G104" i="2"/>
  <c r="E113" i="2"/>
  <c r="G21" i="2"/>
  <c r="E124" i="2"/>
  <c r="E156" i="2"/>
  <c r="E44" i="2"/>
  <c r="E138" i="2"/>
  <c r="F30" i="2"/>
  <c r="H77" i="2"/>
  <c r="H8" i="2"/>
  <c r="F104" i="2"/>
  <c r="F80" i="2"/>
  <c r="H92" i="2"/>
  <c r="F13" i="2"/>
  <c r="D16" i="2"/>
  <c r="E80" i="2"/>
  <c r="G133" i="2"/>
  <c r="F44" i="2"/>
  <c r="D47" i="2"/>
  <c r="D33" i="2"/>
  <c r="C143" i="2"/>
  <c r="F92" i="2"/>
  <c r="C105" i="2"/>
  <c r="H49" i="2"/>
  <c r="G92" i="2"/>
  <c r="C131" i="2"/>
  <c r="C98" i="2"/>
  <c r="G121" i="2"/>
  <c r="D90" i="2"/>
  <c r="H35" i="2"/>
  <c r="F95" i="2"/>
  <c r="F55" i="2"/>
  <c r="H21" i="2"/>
  <c r="D98" i="2"/>
  <c r="G80" i="2"/>
  <c r="H156" i="2"/>
  <c r="C148" i="2"/>
  <c r="F124" i="2"/>
  <c r="G138" i="2"/>
  <c r="H133" i="2"/>
  <c r="C78" i="2"/>
  <c r="H121" i="2"/>
  <c r="G124" i="2"/>
  <c r="D116" i="2"/>
  <c r="G55" i="2"/>
  <c r="C136" i="2"/>
  <c r="E131" i="2"/>
  <c r="E64" i="2"/>
  <c r="G156" i="2"/>
  <c r="G113" i="2"/>
  <c r="F138" i="2"/>
  <c r="H147" i="2"/>
  <c r="E116" i="2"/>
  <c r="E90" i="2"/>
  <c r="H104" i="2"/>
  <c r="C50" i="2"/>
  <c r="C122" i="2"/>
  <c r="D131" i="2"/>
  <c r="G95" i="2"/>
  <c r="F156" i="2"/>
  <c r="E98" i="2"/>
  <c r="D64" i="2"/>
  <c r="F113" i="2"/>
  <c r="E143" i="2"/>
  <c r="C93" i="2"/>
  <c r="D143" i="2"/>
</calcChain>
</file>

<file path=xl/sharedStrings.xml><?xml version="1.0" encoding="utf-8"?>
<sst xmlns="http://schemas.openxmlformats.org/spreadsheetml/2006/main" count="405" uniqueCount="249">
  <si>
    <t>DuPont de Nemours Inc (DD US) - Overview</t>
  </si>
  <si>
    <t>In Millions of USD except Per Share</t>
  </si>
  <si>
    <t>FY 2017</t>
  </si>
  <si>
    <t>FY 2018</t>
  </si>
  <si>
    <t>FY 2019</t>
  </si>
  <si>
    <t>FY 2020</t>
  </si>
  <si>
    <t>FY 2021</t>
  </si>
  <si>
    <t>FY 2022</t>
  </si>
  <si>
    <t>12 Months Ending</t>
  </si>
  <si>
    <t>12/31/2017</t>
  </si>
  <si>
    <t>12/31/2018</t>
  </si>
  <si>
    <t>12/31/2019</t>
  </si>
  <si>
    <t>12/31/2020</t>
  </si>
  <si>
    <t>12/31/2021</t>
  </si>
  <si>
    <t>12/31/2022</t>
  </si>
  <si>
    <t>ESG Financial Materiality Scores</t>
  </si>
  <si>
    <t>BESG ESG Score</t>
  </si>
  <si>
    <t>ESG_SCORE</t>
  </si>
  <si>
    <t>BESG Environmental Pillar Score</t>
  </si>
  <si>
    <t>ENVIRONMENTAL_SCORE</t>
  </si>
  <si>
    <t>BESG Social Pillar Score</t>
  </si>
  <si>
    <t>SOCIAL_SCORE</t>
  </si>
  <si>
    <t>BESG Governance Pillar Score</t>
  </si>
  <si>
    <t>GOVERNANCE_SCORE</t>
  </si>
  <si>
    <t>ESG Disclosure Scores</t>
  </si>
  <si>
    <t>ESG Disclosure Score</t>
  </si>
  <si>
    <t>ESG_DISCLOSURE_SCORE</t>
  </si>
  <si>
    <t>Environmental Disclosure Score</t>
  </si>
  <si>
    <t>ENVIRON_DISCLOSURE_SCORE</t>
  </si>
  <si>
    <t>Social Disclosure Score</t>
  </si>
  <si>
    <t>SOCIAL_DISCLOSURE_SCORE</t>
  </si>
  <si>
    <t>Governance Disclosure Score</t>
  </si>
  <si>
    <t>GOVNCE_DISCLOSURE_SCORE</t>
  </si>
  <si>
    <t>Environmental</t>
  </si>
  <si>
    <t>Air Quality</t>
  </si>
  <si>
    <t>Nitrogen Oxide Emissions</t>
  </si>
  <si>
    <t>NOX_EMISSIONS</t>
  </si>
  <si>
    <t>VOC Emissions</t>
  </si>
  <si>
    <t>VOC_EMISSIONS</t>
  </si>
  <si>
    <t>Particulate Emissions</t>
  </si>
  <si>
    <t>PARTICULATE_EMISSIONS</t>
  </si>
  <si>
    <t>Sulphur Dioxide / Sulphur Oxide Emissions</t>
  </si>
  <si>
    <t>SULPHUR_DIOXIDE_SULPHUR_OXIDE_EM</t>
  </si>
  <si>
    <t>Climate Change</t>
  </si>
  <si>
    <t>Emissions Reduction Initiatives</t>
  </si>
  <si>
    <t>EMISSION_REDUCTION</t>
  </si>
  <si>
    <t>Yes</t>
  </si>
  <si>
    <t>Climate Change Policy</t>
  </si>
  <si>
    <t>CLIMATE_CHG_POLICY</t>
  </si>
  <si>
    <t>Climate Change Opportunities Discussed</t>
  </si>
  <si>
    <t>CLIMATE_CHG_OPPORTUNITIES</t>
  </si>
  <si>
    <t>No</t>
  </si>
  <si>
    <t>Risks of Climate Change Discussed</t>
  </si>
  <si>
    <t>CLIMATE_RISKS</t>
  </si>
  <si>
    <t>CO2 Scope 1</t>
  </si>
  <si>
    <t>CO2_SCOPE_1</t>
  </si>
  <si>
    <t>GHG Scope 1</t>
  </si>
  <si>
    <t>GHG_SCOPE_1</t>
  </si>
  <si>
    <t>GHG Scope 2 Location-Based</t>
  </si>
  <si>
    <t>GHG_SCOPE_2_LOCATION_BASED</t>
  </si>
  <si>
    <t>GHG Scope 2 Market-Based</t>
  </si>
  <si>
    <t>GHG_SCOPE_2_MARKET_BASED</t>
  </si>
  <si>
    <t>GHG Scope 3</t>
  </si>
  <si>
    <t>GHG_SCOPE_3</t>
  </si>
  <si>
    <t>Scope of Disclosure</t>
  </si>
  <si>
    <t>SCOPE_OF_DISCLOSURE</t>
  </si>
  <si>
    <t>Carbon per Unit of Production</t>
  </si>
  <si>
    <t>CARBON_PER_UNIT_OF_PROD</t>
  </si>
  <si>
    <t>Ecological &amp; Biodiversity Impacts</t>
  </si>
  <si>
    <t>Biodiversity Policy</t>
  </si>
  <si>
    <t>BIODIVERSITY_POLICY</t>
  </si>
  <si>
    <t>Energy</t>
  </si>
  <si>
    <t>Energy Efficiency Policy</t>
  </si>
  <si>
    <t>ENERGY_EFFIC_POLICY</t>
  </si>
  <si>
    <t>Total Energy Consumption</t>
  </si>
  <si>
    <t>ENERGY_CONSUMPTION</t>
  </si>
  <si>
    <t>Renewable Energy Use</t>
  </si>
  <si>
    <t>RENEW_ENERGY_USE</t>
  </si>
  <si>
    <t>Electricity Used</t>
  </si>
  <si>
    <t>ELECTRICITY_USED</t>
  </si>
  <si>
    <t>Self Generated Renewable Electricity</t>
  </si>
  <si>
    <t>SELF_GEN_RENEWABLE_ELECTRICITY</t>
  </si>
  <si>
    <t>Fuel Used - Coal/Lignite</t>
  </si>
  <si>
    <t>COAL_USED</t>
  </si>
  <si>
    <t>Fuel Used - Natural Gas</t>
  </si>
  <si>
    <t>NAT_GAS_USED</t>
  </si>
  <si>
    <t>Fuel Used - Crude Oil/Diesel</t>
  </si>
  <si>
    <t>OIL_DIESEL_USED</t>
  </si>
  <si>
    <t>Energy Per Unit of Production</t>
  </si>
  <si>
    <t>ENERGY_PER_UNIT_PRODUCTION</t>
  </si>
  <si>
    <t>Materials &amp; Waste</t>
  </si>
  <si>
    <t>Waste Reduction Policy</t>
  </si>
  <si>
    <t>WASTE_REDUCTION</t>
  </si>
  <si>
    <t>Hazardous Waste</t>
  </si>
  <si>
    <t>HAZARDOUS_WASTE</t>
  </si>
  <si>
    <t>Total Waste</t>
  </si>
  <si>
    <t>TOTAL_WASTE</t>
  </si>
  <si>
    <t>Waste Sent to Landfills</t>
  </si>
  <si>
    <t>WASTE_SENT_TO_LANDFILLS</t>
  </si>
  <si>
    <t>Supply Chain</t>
  </si>
  <si>
    <t>Environmental Supply Chain Management</t>
  </si>
  <si>
    <t>ENVIRON_SUPPLY_MGT</t>
  </si>
  <si>
    <t>Water</t>
  </si>
  <si>
    <t>Water Policy</t>
  </si>
  <si>
    <t>WATER_POLICY</t>
  </si>
  <si>
    <t>Total Water Withdrawal</t>
  </si>
  <si>
    <t>TOTAL_WATER_WITHDRAWAL</t>
  </si>
  <si>
    <t>Total Water Discharged</t>
  </si>
  <si>
    <t>TOTAL_WATER_DISCHARGED</t>
  </si>
  <si>
    <t>Water Consumption</t>
  </si>
  <si>
    <t>WATER_CONSMPTN</t>
  </si>
  <si>
    <t>Social</t>
  </si>
  <si>
    <t>Community &amp; Customers</t>
  </si>
  <si>
    <t>Human Rights Policy</t>
  </si>
  <si>
    <t>HUMAN_RIGHTS_POLICY</t>
  </si>
  <si>
    <t>Policy Against Child Labor</t>
  </si>
  <si>
    <t>POLICY_AGAINST_CHILD_LABOR</t>
  </si>
  <si>
    <t>Quality Assurance and Recall Policy</t>
  </si>
  <si>
    <t>QUALITY_ASSURANCE_AND_RECALL_POL</t>
  </si>
  <si>
    <t>Consumer Data Protection Policy</t>
  </si>
  <si>
    <t>CONSUMER_DATA_PROTECTION_POLICY</t>
  </si>
  <si>
    <t>Diversity</t>
  </si>
  <si>
    <t>Equal Opportunity Policy</t>
  </si>
  <si>
    <t>EQUAL_OPPORTUNITY_POLICY</t>
  </si>
  <si>
    <t>Gender Pay Gap Breakout</t>
  </si>
  <si>
    <t>GENDER_PAY_GAP_BREAKOUT</t>
  </si>
  <si>
    <t>Pct Women in Management</t>
  </si>
  <si>
    <t>PCT_WOMEN_MGT</t>
  </si>
  <si>
    <t>Pct Women in Middle and or Other Management</t>
  </si>
  <si>
    <t>PCT_WOMEN_IN_MID_AND_OTHER_MGMT</t>
  </si>
  <si>
    <t>Pct Women in Workforce</t>
  </si>
  <si>
    <t>PCT_WOMEN_EMPLOYEES</t>
  </si>
  <si>
    <t>Pct Minorities in Management</t>
  </si>
  <si>
    <t>PCT_MINORITY_MGT</t>
  </si>
  <si>
    <t>Pct Minorities in Workforce</t>
  </si>
  <si>
    <t>PCT_MINORITY_EMPLOYEES</t>
  </si>
  <si>
    <t>80%+ Workforce Gender Pay Gap Waterfall</t>
  </si>
  <si>
    <t>GENDER_PAY_GAP_WATERFALL</t>
  </si>
  <si>
    <t>Ethics &amp; Compliance</t>
  </si>
  <si>
    <t>Business Ethics Policy</t>
  </si>
  <si>
    <t>ETHICS_POLICY</t>
  </si>
  <si>
    <t>Anti-Bribery Ethics Policy</t>
  </si>
  <si>
    <t>ANTI_BRIBERY_ETHICS_POLICY</t>
  </si>
  <si>
    <t>Health &amp; Safety</t>
  </si>
  <si>
    <t>Health and Safety Policy</t>
  </si>
  <si>
    <t>HEALTH_SAFETY_POLICY</t>
  </si>
  <si>
    <t>Fatalities - Employees</t>
  </si>
  <si>
    <t>FATALITIES_EMPLOYEES</t>
  </si>
  <si>
    <t>Fatalities - Contractors</t>
  </si>
  <si>
    <t>FATALITIES_CONTRACTORS</t>
  </si>
  <si>
    <t>Fatalities - Total</t>
  </si>
  <si>
    <t>FATALITIES_TOTAL</t>
  </si>
  <si>
    <t>Lost Time Incident Rate - Employees</t>
  </si>
  <si>
    <t>LOST_TIME_INCIDENT_RATE</t>
  </si>
  <si>
    <t>Lost Time Incident Rate - Contractors</t>
  </si>
  <si>
    <t>LOST_TIME_INCIDENT_RT_CNTRCTR</t>
  </si>
  <si>
    <t>Lost Time Incident Rate - Workforce</t>
  </si>
  <si>
    <t>LOST_TM_INCIDENT_RT_WORKFORCE</t>
  </si>
  <si>
    <t>Total Recordable Incident Rate - Employees</t>
  </si>
  <si>
    <t>TOTAL_RECORDABLE_INCIDENT_RATE</t>
  </si>
  <si>
    <t>Total Recordable Incident Rate - Contractors</t>
  </si>
  <si>
    <t>TOT_RECORDABLE_INCID_RT_CNTRCTR</t>
  </si>
  <si>
    <t>Total Recordable Incident Rate - Workforce</t>
  </si>
  <si>
    <t>TOT_RECRDBL_INCID_RT_WORKFORCE</t>
  </si>
  <si>
    <t>Human Capital</t>
  </si>
  <si>
    <t>Training Policy</t>
  </si>
  <si>
    <t>TRAINING_POLICY</t>
  </si>
  <si>
    <t>Fair Remuneration Policy</t>
  </si>
  <si>
    <t>FAIR_REMUNERATION_POLICY</t>
  </si>
  <si>
    <t>Number of Employees - CSR</t>
  </si>
  <si>
    <t>NUMBER_EMPLOYEES_CSR</t>
  </si>
  <si>
    <t>Number of Contractors</t>
  </si>
  <si>
    <t>NUMBER_OF_CONTRACTORS</t>
  </si>
  <si>
    <t>Pct Employees Unionized</t>
  </si>
  <si>
    <t>PCT_EMPLOYEES_UNIONIZED</t>
  </si>
  <si>
    <t>Total Hours Spent by Firm - Employee Training</t>
  </si>
  <si>
    <t>TOT_HRS_SPENT_BY_FIRM_EMP_TRAIN</t>
  </si>
  <si>
    <t>Social Supply Chain Management</t>
  </si>
  <si>
    <t>SOCIAL_SUPPLY_CHAIN_MGMT</t>
  </si>
  <si>
    <t>Governance</t>
  </si>
  <si>
    <t>Audit Risk &amp; Oversight</t>
  </si>
  <si>
    <t>Years Auditor Employed</t>
  </si>
  <si>
    <t>YEARS_AUDITOR_EMPLOYED</t>
  </si>
  <si>
    <t>Size of Audit Committee</t>
  </si>
  <si>
    <t>SIZE_OF_AUDIT_COMMITTEE</t>
  </si>
  <si>
    <t>Number of Independent Directors on Audit Committee</t>
  </si>
  <si>
    <t>NUM_IND_DIR_ON_AUD_CMTE</t>
  </si>
  <si>
    <t>Audit Committee Meetings</t>
  </si>
  <si>
    <t>AUDIT_COMMITTEE_MEETINGS</t>
  </si>
  <si>
    <t>Audit Committee Meeting Attendance Percentage</t>
  </si>
  <si>
    <t>AUDIT_COMMITTEE_MTG_ATTEND_PCT</t>
  </si>
  <si>
    <t>Board Composition</t>
  </si>
  <si>
    <t>Company Conducts Board Evaluations</t>
  </si>
  <si>
    <t>COMPANY_CONDUCTS_BRD_EVALUATIONS</t>
  </si>
  <si>
    <t>Board Size</t>
  </si>
  <si>
    <t>BOARD_SIZE</t>
  </si>
  <si>
    <t>Number of Executives / Company Managers</t>
  </si>
  <si>
    <t>NUM_EXECUTIVES_COMP_MANAGERS</t>
  </si>
  <si>
    <t>Number of Non Executive Directors on Board</t>
  </si>
  <si>
    <t>NUM_OF_NONEXEC_DIR_ON_BRD</t>
  </si>
  <si>
    <t>Number of Board Meetings for the Year</t>
  </si>
  <si>
    <t>BOARD_MEETINGS_PER_YR</t>
  </si>
  <si>
    <t>Board Meeting Attendance Pct</t>
  </si>
  <si>
    <t>BOARD_MEETING_ATTENDANCE_PCT</t>
  </si>
  <si>
    <t>Compensation</t>
  </si>
  <si>
    <t>Company Has Executive Share Ownership Guidelines</t>
  </si>
  <si>
    <t>COMP_HAS_EXEC_SH_OWNER_GUIDELNS</t>
  </si>
  <si>
    <t>Director Share Ownership Guidelines</t>
  </si>
  <si>
    <t>DIRECTOR_SH_OWNERSHIP_GUIDELINES</t>
  </si>
  <si>
    <t>Size of Compensation Committee</t>
  </si>
  <si>
    <t>SIZE_OF_COMPENSATION_COMMITTEE</t>
  </si>
  <si>
    <t>Num of Independent Directors on Compensation Cmte</t>
  </si>
  <si>
    <t>NUM_IND_DIR_ON_CMPNSTN_CMTE</t>
  </si>
  <si>
    <t>Number of Compensation Committee Meetings</t>
  </si>
  <si>
    <t>NUM_COMPENSATION_CMTE_MTG</t>
  </si>
  <si>
    <t>Compensation Committee Meeting Attendance %</t>
  </si>
  <si>
    <t>COMPENSATION_CMTE_MTG_ATTEND_PCT</t>
  </si>
  <si>
    <t>Number of Female Executives</t>
  </si>
  <si>
    <t>NUMBER_OF_FEMALE_EXECUTIVES</t>
  </si>
  <si>
    <t>Number of Women on Board</t>
  </si>
  <si>
    <t>NUMBER_OF_WOMEN_ON_BOARD</t>
  </si>
  <si>
    <t>Board Age Limit</t>
  </si>
  <si>
    <t>BOARD_AGE_LIMIT</t>
  </si>
  <si>
    <t>Age of the Youngest Director</t>
  </si>
  <si>
    <t>AGE_OF_YOUNGEST_DIRECTOR</t>
  </si>
  <si>
    <t>Age of the Oldest Director</t>
  </si>
  <si>
    <t>AGE_OF_OLDEST_DIRECTOR</t>
  </si>
  <si>
    <t>Independence</t>
  </si>
  <si>
    <t>Number of Independent Directors</t>
  </si>
  <si>
    <t>INDEPENDENT_DIRECTORS</t>
  </si>
  <si>
    <t>Nominations &amp; Governance Oversight</t>
  </si>
  <si>
    <t>Size of Nomination Committee</t>
  </si>
  <si>
    <t>SIZE_OF_NOMINATION_COMMITTEE</t>
  </si>
  <si>
    <t>Num of Independent Directors on Nomination Cmte</t>
  </si>
  <si>
    <t>NUM_IND_DIR_ON_NOM_CMTE</t>
  </si>
  <si>
    <t>Number of Nomination Committee Meetings</t>
  </si>
  <si>
    <t>NUM_OF_NOMINATION_CMTE_MTG</t>
  </si>
  <si>
    <t>Nomination Committee Meeting Attendance Percentage</t>
  </si>
  <si>
    <t>NOMINATION_CMTE_MTG_ATTEND_PCT</t>
  </si>
  <si>
    <t>Sustainability Governance</t>
  </si>
  <si>
    <t>Verification Type</t>
  </si>
  <si>
    <t>VERIFICATION_TYPE</t>
  </si>
  <si>
    <t>Employee CSR Training</t>
  </si>
  <si>
    <t>EMPLOYEE_CSR_TRAINING</t>
  </si>
  <si>
    <t>Tenure</t>
  </si>
  <si>
    <t>Board Duration (Years)</t>
  </si>
  <si>
    <t>BOARD_DURATION</t>
  </si>
  <si>
    <t>Source: Bloomberg</t>
  </si>
  <si>
    <t>Right click to show data transparency (not supported for all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</si>
</sst>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16" fillId="3" borderId="0" applyNumberFormat="0" applyBorder="0" applyAlignment="0" applyProtection="0"/>
    <xf numFmtId="0" fontId="2" fillId="33" borderId="0"/>
    <xf numFmtId="0" fontId="20" fillId="6" borderId="9" applyNumberFormat="0" applyAlignment="0" applyProtection="0"/>
    <xf numFmtId="0" fontId="22" fillId="7" borderId="12" applyNumberFormat="0" applyAlignment="0" applyProtection="0"/>
    <xf numFmtId="0" fontId="24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9" fillId="35" borderId="4" applyNumberFormat="0" applyAlignment="0" applyProtection="0"/>
    <xf numFmtId="0" fontId="7" fillId="34" borderId="5"/>
    <xf numFmtId="0" fontId="8" fillId="34" borderId="5"/>
    <xf numFmtId="0" fontId="15" fillId="2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8" fillId="5" borderId="9" applyNumberFormat="0" applyAlignment="0" applyProtection="0"/>
    <xf numFmtId="0" fontId="21" fillId="0" borderId="11" applyNumberFormat="0" applyFill="0" applyAlignment="0" applyProtection="0"/>
    <xf numFmtId="0" fontId="17" fillId="4" borderId="0" applyNumberFormat="0" applyBorder="0" applyAlignment="0" applyProtection="0"/>
    <xf numFmtId="0" fontId="10" fillId="8" borderId="13" applyNumberFormat="0" applyFont="0" applyAlignment="0" applyProtection="0"/>
    <xf numFmtId="0" fontId="19" fillId="6" borderId="10" applyNumberFormat="0" applyAlignment="0" applyProtection="0"/>
    <xf numFmtId="0" fontId="11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3" fontId="1" fillId="34" borderId="2">
      <alignment horizontal="right"/>
    </xf>
    <xf numFmtId="164" fontId="1" fillId="34" borderId="2">
      <alignment horizontal="right"/>
    </xf>
    <xf numFmtId="4" fontId="1" fillId="34" borderId="2">
      <alignment horizontal="right"/>
    </xf>
    <xf numFmtId="3" fontId="7" fillId="34" borderId="2">
      <alignment horizontal="right"/>
    </xf>
    <xf numFmtId="4" fontId="7" fillId="34" borderId="2">
      <alignment horizontal="right"/>
    </xf>
  </cellStyleXfs>
  <cellXfs count="16">
    <xf numFmtId="0" fontId="0" fillId="0" borderId="0" xfId="0"/>
    <xf numFmtId="0" fontId="2" fillId="33" borderId="0" xfId="26"/>
    <xf numFmtId="0" fontId="5" fillId="34" borderId="0" xfId="31">
      <alignment horizontal="center"/>
    </xf>
    <xf numFmtId="0" fontId="6" fillId="33" borderId="3" xfId="33">
      <alignment horizontal="left"/>
    </xf>
    <xf numFmtId="0" fontId="6" fillId="33" borderId="3" xfId="32">
      <alignment horizontal="right"/>
    </xf>
    <xf numFmtId="0" fontId="6" fillId="33" borderId="1" xfId="30">
      <alignment horizontal="right"/>
    </xf>
    <xf numFmtId="0" fontId="7" fillId="34" borderId="5" xfId="35"/>
    <xf numFmtId="0" fontId="9" fillId="35" borderId="4" xfId="34"/>
    <xf numFmtId="0" fontId="4" fillId="33" borderId="15" xfId="50">
      <alignment horizontal="left" vertical="center" readingOrder="1"/>
    </xf>
    <xf numFmtId="0" fontId="6" fillId="33" borderId="1" xfId="51">
      <alignment horizontal="left"/>
    </xf>
    <xf numFmtId="0" fontId="3" fillId="34" borderId="5" xfId="36" applyFont="1"/>
    <xf numFmtId="3" fontId="1" fillId="34" borderId="2" xfId="52">
      <alignment horizontal="right"/>
    </xf>
    <xf numFmtId="164" fontId="1" fillId="34" borderId="2" xfId="53">
      <alignment horizontal="right"/>
    </xf>
    <xf numFmtId="4" fontId="1" fillId="34" borderId="2" xfId="54">
      <alignment horizontal="right"/>
    </xf>
    <xf numFmtId="3" fontId="7" fillId="34" borderId="2" xfId="55">
      <alignment horizontal="right"/>
    </xf>
    <xf numFmtId="4" fontId="7" fillId="34" borderId="2" xfId="56">
      <alignment horizontal="right"/>
    </xf>
  </cellXfs>
  <cellStyles count="5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0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left" xfId="51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left" xfId="33" xr:uid="{00000000-0005-0000-0000-000022000000}"/>
    <cellStyle name="fa_data_bold_0_grouped" xfId="55" xr:uid="{00000000-0005-0000-0000-000023000000}"/>
    <cellStyle name="fa_data_bold_2_grouped" xfId="56" xr:uid="{00000000-0005-0000-0000-000024000000}"/>
    <cellStyle name="fa_data_standard_0_grouped" xfId="52" xr:uid="{00000000-0005-0000-0000-000025000000}"/>
    <cellStyle name="fa_data_standard_1_grouped" xfId="53" xr:uid="{00000000-0005-0000-0000-000026000000}"/>
    <cellStyle name="fa_data_standard_2_grouped" xfId="54" xr:uid="{00000000-0005-0000-0000-000027000000}"/>
    <cellStyle name="fa_footer_italic" xfId="34" xr:uid="{00000000-0005-0000-0000-000028000000}"/>
    <cellStyle name="fa_row_header_bold" xfId="35" xr:uid="{00000000-0005-0000-0000-000029000000}"/>
    <cellStyle name="fa_row_header_standard" xfId="36" xr:uid="{00000000-0005-0000-0000-00002A000000}"/>
    <cellStyle name="Good" xfId="37" builtinId="26" customBuiltin="1"/>
    <cellStyle name="Heading 1" xfId="38" builtinId="16" customBuiltin="1"/>
    <cellStyle name="Heading 2" xfId="39" builtinId="17" customBuiltin="1"/>
    <cellStyle name="Heading 3" xfId="40" builtinId="18" customBuiltin="1"/>
    <cellStyle name="Heading 4" xfId="41" builtinId="19" customBuiltin="1"/>
    <cellStyle name="Input" xfId="42" builtinId="20" customBuiltin="1"/>
    <cellStyle name="Linked Cell" xfId="43" builtinId="24" customBuiltin="1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7"/>
  <sheetViews>
    <sheetView tabSelected="1" workbookViewId="0"/>
  </sheetViews>
  <sheetFormatPr defaultRowHeight="15"/>
  <cols>
    <col min="1" max="1" width="35.140625" customWidth="1"/>
    <col min="2" max="2" width="0" hidden="1" customWidth="1"/>
    <col min="3" max="8" width="11.85546875" customWidth="1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 ht="20.25">
      <c r="A2" s="8" t="s">
        <v>0</v>
      </c>
      <c r="B2" s="8"/>
      <c r="C2" s="8"/>
      <c r="D2" s="8"/>
      <c r="E2" s="8"/>
      <c r="F2" s="8"/>
      <c r="G2" s="8"/>
      <c r="H2" s="8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3" t="s">
        <v>1</v>
      </c>
      <c r="B4" s="3"/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</row>
    <row r="5" spans="1:8">
      <c r="A5" s="9" t="s">
        <v>8</v>
      </c>
      <c r="B5" s="9"/>
      <c r="C5" s="5" t="s">
        <v>9</v>
      </c>
      <c r="D5" s="5" t="s">
        <v>10</v>
      </c>
      <c r="E5" s="5" t="s">
        <v>11</v>
      </c>
      <c r="F5" s="5" t="s">
        <v>12</v>
      </c>
      <c r="G5" s="5" t="s">
        <v>13</v>
      </c>
      <c r="H5" s="5" t="s">
        <v>14</v>
      </c>
    </row>
    <row r="6" spans="1:8">
      <c r="A6" s="10" t="s">
        <v>15</v>
      </c>
      <c r="B6" s="11"/>
      <c r="C6" s="11"/>
      <c r="D6" s="11"/>
      <c r="E6" s="11"/>
      <c r="F6" s="11"/>
      <c r="G6" s="11"/>
      <c r="H6" s="11"/>
    </row>
    <row r="7" spans="1:8">
      <c r="A7" s="10" t="s">
        <v>16</v>
      </c>
      <c r="B7" s="10" t="s">
        <v>17</v>
      </c>
      <c r="C7" s="13">
        <f>_xll.BDH("DD US Equity","ESG_SCORE","FY 2017","FY 2017","Currency=USD","Period=FY","BEST_FPERIOD_OVERRIDE=FY","FILING_STATUS=MR","Sort=A","Dates=H","DateFormat=P","Fill=—","Direction=H","UseDPDF=Y")</f>
        <v>3.34</v>
      </c>
      <c r="D7" s="13">
        <f>_xll.BDH("DD US Equity","ESG_SCORE","FY 2018","FY 2018","Currency=USD","Period=FY","BEST_FPERIOD_OVERRIDE=FY","FILING_STATUS=MR","Sort=A","Dates=H","DateFormat=P","Fill=—","Direction=H","UseDPDF=Y")</f>
        <v>2.06</v>
      </c>
      <c r="E7" s="13">
        <f>_xll.BDH("DD US Equity","ESG_SCORE","FY 2019","FY 2019","Currency=USD","Period=FY","BEST_FPERIOD_OVERRIDE=FY","FILING_STATUS=MR","Sort=A","Dates=H","DateFormat=P","Fill=—","Direction=H","UseDPDF=Y")</f>
        <v>5.34</v>
      </c>
      <c r="F7" s="13">
        <f>_xll.BDH("DD US Equity","ESG_SCORE","FY 2020","FY 2020","Currency=USD","Period=FY","BEST_FPERIOD_OVERRIDE=FY","FILING_STATUS=MR","Sort=A","Dates=H","DateFormat=P","Fill=—","Direction=H","UseDPDF=Y")</f>
        <v>5.24</v>
      </c>
      <c r="G7" s="13">
        <f>_xll.BDH("DD US Equity","ESG_SCORE","FY 2021","FY 2021","Currency=USD","Period=FY","BEST_FPERIOD_OVERRIDE=FY","FILING_STATUS=MR","Sort=A","Dates=H","DateFormat=P","Fill=—","Direction=H","UseDPDF=Y")</f>
        <v>5.49</v>
      </c>
      <c r="H7" s="13" t="str">
        <f>_xll.BDH("DD US Equity","ESG_SCORE","FY 2022","FY 2022","Currency=USD","Period=FY","BEST_FPERIOD_OVERRIDE=FY","FILING_STATUS=MR","Sort=A","Dates=H","DateFormat=P","Fill=—","Direction=H","UseDPDF=Y")</f>
        <v>—</v>
      </c>
    </row>
    <row r="8" spans="1:8">
      <c r="A8" s="10" t="s">
        <v>18</v>
      </c>
      <c r="B8" s="10" t="s">
        <v>19</v>
      </c>
      <c r="C8" s="13">
        <f>_xll.BDH("DD US Equity","ENVIRONMENTAL_SCORE","FY 2017","FY 2017","Currency=USD","Period=FY","BEST_FPERIOD_OVERRIDE=FY","FILING_STATUS=MR","Sort=A","Dates=H","DateFormat=P","Fill=—","Direction=H","UseDPDF=Y")</f>
        <v>2.48</v>
      </c>
      <c r="D8" s="13">
        <f>_xll.BDH("DD US Equity","ENVIRONMENTAL_SCORE","FY 2018","FY 2018","Currency=USD","Period=FY","BEST_FPERIOD_OVERRIDE=FY","FILING_STATUS=MR","Sort=A","Dates=H","DateFormat=P","Fill=—","Direction=H","UseDPDF=Y")</f>
        <v>0.68</v>
      </c>
      <c r="E8" s="13">
        <f>_xll.BDH("DD US Equity","ENVIRONMENTAL_SCORE","FY 2019","FY 2019","Currency=USD","Period=FY","BEST_FPERIOD_OVERRIDE=FY","FILING_STATUS=MR","Sort=A","Dates=H","DateFormat=P","Fill=—","Direction=H","UseDPDF=Y")</f>
        <v>4.76</v>
      </c>
      <c r="F8" s="13">
        <f>_xll.BDH("DD US Equity","ENVIRONMENTAL_SCORE","FY 2020","FY 2020","Currency=USD","Period=FY","BEST_FPERIOD_OVERRIDE=FY","FILING_STATUS=MR","Sort=A","Dates=H","DateFormat=P","Fill=—","Direction=H","UseDPDF=Y")</f>
        <v>4.59</v>
      </c>
      <c r="G8" s="13">
        <f>_xll.BDH("DD US Equity","ENVIRONMENTAL_SCORE","FY 2021","FY 2021","Currency=USD","Period=FY","BEST_FPERIOD_OVERRIDE=FY","FILING_STATUS=MR","Sort=A","Dates=H","DateFormat=P","Fill=—","Direction=H","UseDPDF=Y")</f>
        <v>4.82</v>
      </c>
      <c r="H8" s="13" t="str">
        <f>_xll.BDH("DD US Equity","ENVIRONMENTAL_SCORE","FY 2022","FY 2022","Currency=USD","Period=FY","BEST_FPERIOD_OVERRIDE=FY","FILING_STATUS=MR","Sort=A","Dates=H","DateFormat=P","Fill=—","Direction=H","UseDPDF=Y")</f>
        <v>—</v>
      </c>
    </row>
    <row r="9" spans="1:8">
      <c r="A9" s="10" t="s">
        <v>20</v>
      </c>
      <c r="B9" s="10" t="s">
        <v>21</v>
      </c>
      <c r="C9" s="13">
        <f>_xll.BDH("DD US Equity","SOCIAL_SCORE","FY 2017","FY 2017","Currency=USD","Period=FY","BEST_FPERIOD_OVERRIDE=FY","FILING_STATUS=MR","Sort=A","Dates=H","DateFormat=P","Fill=—","Direction=H","UseDPDF=Y")</f>
        <v>1.9</v>
      </c>
      <c r="D9" s="13">
        <f>_xll.BDH("DD US Equity","SOCIAL_SCORE","FY 2018","FY 2018","Currency=USD","Period=FY","BEST_FPERIOD_OVERRIDE=FY","FILING_STATUS=MR","Sort=A","Dates=H","DateFormat=P","Fill=—","Direction=H","UseDPDF=Y")</f>
        <v>1.0900000000000001</v>
      </c>
      <c r="E9" s="13">
        <f>_xll.BDH("DD US Equity","SOCIAL_SCORE","FY 2019","FY 2019","Currency=USD","Period=FY","BEST_FPERIOD_OVERRIDE=FY","FILING_STATUS=MR","Sort=A","Dates=H","DateFormat=P","Fill=—","Direction=H","UseDPDF=Y")</f>
        <v>4.6399999999999997</v>
      </c>
      <c r="F9" s="13">
        <f>_xll.BDH("DD US Equity","SOCIAL_SCORE","FY 2020","FY 2020","Currency=USD","Period=FY","BEST_FPERIOD_OVERRIDE=FY","FILING_STATUS=MR","Sort=A","Dates=H","DateFormat=P","Fill=—","Direction=H","UseDPDF=Y")</f>
        <v>4.58</v>
      </c>
      <c r="G9" s="13">
        <f>_xll.BDH("DD US Equity","SOCIAL_SCORE","FY 2021","FY 2021","Currency=USD","Period=FY","BEST_FPERIOD_OVERRIDE=FY","FILING_STATUS=MR","Sort=A","Dates=H","DateFormat=P","Fill=—","Direction=H","UseDPDF=Y")</f>
        <v>5.1100000000000003</v>
      </c>
      <c r="H9" s="13" t="str">
        <f>_xll.BDH("DD US Equity","SOCIAL_SCORE","FY 2022","FY 2022","Currency=USD","Period=FY","BEST_FPERIOD_OVERRIDE=FY","FILING_STATUS=MR","Sort=A","Dates=H","DateFormat=P","Fill=—","Direction=H","UseDPDF=Y")</f>
        <v>—</v>
      </c>
    </row>
    <row r="10" spans="1:8">
      <c r="A10" s="10" t="s">
        <v>22</v>
      </c>
      <c r="B10" s="10" t="s">
        <v>23</v>
      </c>
      <c r="C10" s="13">
        <f>_xll.BDH("DD US Equity","GOVERNANCE_SCORE","FY 2017","FY 2017","Currency=USD","Period=FY","BEST_FPERIOD_OVERRIDE=FY","FILING_STATUS=MR","Sort=A","Dates=H","DateFormat=P","Fill=—","Direction=H","UseDPDF=Y")</f>
        <v>6.99</v>
      </c>
      <c r="D10" s="13">
        <f>_xll.BDH("DD US Equity","GOVERNANCE_SCORE","FY 2018","FY 2018","Currency=USD","Period=FY","BEST_FPERIOD_OVERRIDE=FY","FILING_STATUS=MR","Sort=A","Dates=H","DateFormat=P","Fill=—","Direction=H","UseDPDF=Y")</f>
        <v>6.88</v>
      </c>
      <c r="E10" s="13">
        <f>_xll.BDH("DD US Equity","GOVERNANCE_SCORE","FY 2019","FY 2019","Currency=USD","Period=FY","BEST_FPERIOD_OVERRIDE=FY","FILING_STATUS=MR","Sort=A","Dates=H","DateFormat=P","Fill=—","Direction=H","UseDPDF=Y")</f>
        <v>7.18</v>
      </c>
      <c r="F10" s="13">
        <f>_xll.BDH("DD US Equity","GOVERNANCE_SCORE","FY 2020","FY 2020","Currency=USD","Period=FY","BEST_FPERIOD_OVERRIDE=FY","FILING_STATUS=MR","Sort=A","Dates=H","DateFormat=P","Fill=—","Direction=H","UseDPDF=Y")</f>
        <v>7.17</v>
      </c>
      <c r="G10" s="13">
        <f>_xll.BDH("DD US Equity","GOVERNANCE_SCORE","FY 2021","FY 2021","Currency=USD","Period=FY","BEST_FPERIOD_OVERRIDE=FY","FILING_STATUS=MR","Sort=A","Dates=H","DateFormat=P","Fill=—","Direction=H","UseDPDF=Y")</f>
        <v>7.11</v>
      </c>
      <c r="H10" s="13" t="str">
        <f>_xll.BDH("DD US Equity","GOVERNANCE_SCORE","FY 2022","FY 2022","Currency=USD","Period=FY","BEST_FPERIOD_OVERRIDE=FY","FILING_STATUS=MR","Sort=A","Dates=H","DateFormat=P","Fill=—","Direction=H","UseDPDF=Y")</f>
        <v>—</v>
      </c>
    </row>
    <row r="11" spans="1:8">
      <c r="A11" s="10"/>
      <c r="B11" s="11"/>
      <c r="C11" s="11"/>
      <c r="D11" s="11"/>
      <c r="E11" s="11"/>
      <c r="F11" s="11"/>
      <c r="G11" s="11"/>
      <c r="H11" s="11"/>
    </row>
    <row r="12" spans="1:8">
      <c r="A12" s="10" t="s">
        <v>24</v>
      </c>
      <c r="B12" s="11"/>
      <c r="C12" s="11"/>
      <c r="D12" s="11"/>
      <c r="E12" s="11"/>
      <c r="F12" s="11"/>
      <c r="G12" s="11"/>
      <c r="H12" s="11"/>
    </row>
    <row r="13" spans="1:8">
      <c r="A13" s="6" t="s">
        <v>25</v>
      </c>
      <c r="B13" s="6" t="s">
        <v>26</v>
      </c>
      <c r="C13" s="15">
        <f>_xll.BDH("DD US Equity","ESG_DISCLOSURE_SCORE","FY 2017","FY 2017","Currency=USD","Period=FY","BEST_FPERIOD_OVERRIDE=FY","FILING_STATUS=MR","Sort=A","Dates=H","DateFormat=P","Fill=—","Direction=H","UseDPDF=Y")</f>
        <v>54.421100000000003</v>
      </c>
      <c r="D13" s="15">
        <f>_xll.BDH("DD US Equity","ESG_DISCLOSURE_SCORE","FY 2018","FY 2018","Currency=USD","Period=FY","BEST_FPERIOD_OVERRIDE=FY","FILING_STATUS=MR","Sort=A","Dates=H","DateFormat=P","Fill=—","Direction=H","UseDPDF=Y")</f>
        <v>39.080599999999997</v>
      </c>
      <c r="E13" s="15">
        <f>_xll.BDH("DD US Equity","ESG_DISCLOSURE_SCORE","FY 2019","FY 2019","Currency=USD","Period=FY","BEST_FPERIOD_OVERRIDE=FY","FILING_STATUS=MR","Sort=A","Dates=H","DateFormat=P","Fill=—","Direction=H","UseDPDF=Y")</f>
        <v>66.623099999999994</v>
      </c>
      <c r="F13" s="15">
        <f>_xll.BDH("DD US Equity","ESG_DISCLOSURE_SCORE","FY 2020","FY 2020","Currency=USD","Period=FY","BEST_FPERIOD_OVERRIDE=FY","FILING_STATUS=MR","Sort=A","Dates=H","DateFormat=P","Fill=—","Direction=H","UseDPDF=Y")</f>
        <v>68.675200000000004</v>
      </c>
      <c r="G13" s="15">
        <f>_xll.BDH("DD US Equity","ESG_DISCLOSURE_SCORE","FY 2021","FY 2021","Currency=USD","Period=FY","BEST_FPERIOD_OVERRIDE=FY","FILING_STATUS=MR","Sort=A","Dates=H","DateFormat=P","Fill=—","Direction=H","UseDPDF=Y")</f>
        <v>70.244399999999999</v>
      </c>
      <c r="H13" s="15">
        <f>_xll.BDH("DD US Equity","ESG_DISCLOSURE_SCORE","FY 2022","FY 2022","Currency=USD","Period=FY","BEST_FPERIOD_OVERRIDE=FY","FILING_STATUS=MR","Sort=A","Dates=H","DateFormat=P","Fill=—","Direction=H","UseDPDF=Y")</f>
        <v>69.862200000000001</v>
      </c>
    </row>
    <row r="14" spans="1:8">
      <c r="A14" s="10" t="s">
        <v>27</v>
      </c>
      <c r="B14" s="10" t="s">
        <v>28</v>
      </c>
      <c r="C14" s="13">
        <f>_xll.BDH("DD US Equity","ENVIRON_DISCLOSURE_SCORE","FY 2017","FY 2017","Currency=USD","Period=FY","BEST_FPERIOD_OVERRIDE=FY","FILING_STATUS=MR","Sort=A","Dates=H","DateFormat=P","Fill=—","Direction=H","UseDPDF=Y")</f>
        <v>49.471499999999999</v>
      </c>
      <c r="D14" s="13">
        <f>_xll.BDH("DD US Equity","ENVIRON_DISCLOSURE_SCORE","FY 2018","FY 2018","Currency=USD","Period=FY","BEST_FPERIOD_OVERRIDE=FY","FILING_STATUS=MR","Sort=A","Dates=H","DateFormat=P","Fill=—","Direction=H","UseDPDF=Y")</f>
        <v>17.970400000000001</v>
      </c>
      <c r="E14" s="13">
        <f>_xll.BDH("DD US Equity","ENVIRON_DISCLOSURE_SCORE","FY 2019","FY 2019","Currency=USD","Period=FY","BEST_FPERIOD_OVERRIDE=FY","FILING_STATUS=MR","Sort=A","Dates=H","DateFormat=P","Fill=—","Direction=H","UseDPDF=Y")</f>
        <v>69.525800000000004</v>
      </c>
      <c r="F14" s="13">
        <f>_xll.BDH("DD US Equity","ENVIRON_DISCLOSURE_SCORE","FY 2020","FY 2020","Currency=USD","Period=FY","BEST_FPERIOD_OVERRIDE=FY","FILING_STATUS=MR","Sort=A","Dates=H","DateFormat=P","Fill=—","Direction=H","UseDPDF=Y")</f>
        <v>69.525800000000004</v>
      </c>
      <c r="G14" s="13">
        <f>_xll.BDH("DD US Equity","ENVIRON_DISCLOSURE_SCORE","FY 2021","FY 2021","Currency=USD","Period=FY","BEST_FPERIOD_OVERRIDE=FY","FILING_STATUS=MR","Sort=A","Dates=H","DateFormat=P","Fill=—","Direction=H","UseDPDF=Y")</f>
        <v>69.525800000000004</v>
      </c>
      <c r="H14" s="13">
        <f>_xll.BDH("DD US Equity","ENVIRON_DISCLOSURE_SCORE","FY 2022","FY 2022","Currency=USD","Period=FY","BEST_FPERIOD_OVERRIDE=FY","FILING_STATUS=MR","Sort=A","Dates=H","DateFormat=P","Fill=—","Direction=H","UseDPDF=Y")</f>
        <v>67.804299999999998</v>
      </c>
    </row>
    <row r="15" spans="1:8">
      <c r="A15" s="10" t="s">
        <v>29</v>
      </c>
      <c r="B15" s="10" t="s">
        <v>30</v>
      </c>
      <c r="C15" s="13">
        <f>_xll.BDH("DD US Equity","SOCIAL_DISCLOSURE_SCORE","FY 2017","FY 2017","Currency=USD","Period=FY","BEST_FPERIOD_OVERRIDE=FY","FILING_STATUS=MR","Sort=A","Dates=H","DateFormat=P","Fill=—","Direction=H","UseDPDF=Y")</f>
        <v>26.178999999999998</v>
      </c>
      <c r="D15" s="13">
        <f>_xll.BDH("DD US Equity","SOCIAL_DISCLOSURE_SCORE","FY 2018","FY 2018","Currency=USD","Period=FY","BEST_FPERIOD_OVERRIDE=FY","FILING_STATUS=MR","Sort=A","Dates=H","DateFormat=P","Fill=—","Direction=H","UseDPDF=Y")</f>
        <v>16.6264</v>
      </c>
      <c r="E15" s="13">
        <f>_xll.BDH("DD US Equity","SOCIAL_DISCLOSURE_SCORE","FY 2019","FY 2019","Currency=USD","Period=FY","BEST_FPERIOD_OVERRIDE=FY","FILING_STATUS=MR","Sort=A","Dates=H","DateFormat=P","Fill=—","Direction=H","UseDPDF=Y")</f>
        <v>36.487299999999998</v>
      </c>
      <c r="F15" s="13">
        <f>_xll.BDH("DD US Equity","SOCIAL_DISCLOSURE_SCORE","FY 2020","FY 2020","Currency=USD","Period=FY","BEST_FPERIOD_OVERRIDE=FY","FILING_STATUS=MR","Sort=A","Dates=H","DateFormat=P","Fill=—","Direction=H","UseDPDF=Y")</f>
        <v>42.654200000000003</v>
      </c>
      <c r="G15" s="13">
        <f>_xll.BDH("DD US Equity","SOCIAL_DISCLOSURE_SCORE","FY 2021","FY 2021","Currency=USD","Period=FY","BEST_FPERIOD_OVERRIDE=FY","FILING_STATUS=MR","Sort=A","Dates=H","DateFormat=P","Fill=—","Direction=H","UseDPDF=Y")</f>
        <v>41.0822</v>
      </c>
      <c r="H15" s="13">
        <f>_xll.BDH("DD US Equity","SOCIAL_DISCLOSURE_SCORE","FY 2022","FY 2022","Currency=USD","Period=FY","BEST_FPERIOD_OVERRIDE=FY","FILING_STATUS=MR","Sort=A","Dates=H","DateFormat=P","Fill=—","Direction=H","UseDPDF=Y")</f>
        <v>41.656599999999997</v>
      </c>
    </row>
    <row r="16" spans="1:8">
      <c r="A16" s="10" t="s">
        <v>31</v>
      </c>
      <c r="B16" s="10" t="s">
        <v>32</v>
      </c>
      <c r="C16" s="13">
        <f>_xll.BDH("DD US Equity","GOVNCE_DISCLOSURE_SCORE","FY 2017","FY 2017","Currency=USD","Period=FY","BEST_FPERIOD_OVERRIDE=FY","FILING_STATUS=MR","Sort=A","Dates=H","DateFormat=P","Fill=—","Direction=H","UseDPDF=Y")</f>
        <v>87.477400000000003</v>
      </c>
      <c r="D16" s="13">
        <f>_xll.BDH("DD US Equity","GOVNCE_DISCLOSURE_SCORE","FY 2018","FY 2018","Currency=USD","Period=FY","BEST_FPERIOD_OVERRIDE=FY","FILING_STATUS=MR","Sort=A","Dates=H","DateFormat=P","Fill=—","Direction=H","UseDPDF=Y")</f>
        <v>82.480400000000003</v>
      </c>
      <c r="E16" s="13">
        <f>_xll.BDH("DD US Equity","GOVNCE_DISCLOSURE_SCORE","FY 2019","FY 2019","Currency=USD","Period=FY","BEST_FPERIOD_OVERRIDE=FY","FILING_STATUS=MR","Sort=A","Dates=H","DateFormat=P","Fill=—","Direction=H","UseDPDF=Y")</f>
        <v>93.738699999999994</v>
      </c>
      <c r="F16" s="13">
        <f>_xll.BDH("DD US Equity","GOVNCE_DISCLOSURE_SCORE","FY 2020","FY 2020","Currency=USD","Period=FY","BEST_FPERIOD_OVERRIDE=FY","FILING_STATUS=MR","Sort=A","Dates=H","DateFormat=P","Fill=—","Direction=H","UseDPDF=Y")</f>
        <v>93.738699999999994</v>
      </c>
      <c r="G16" s="13">
        <f>_xll.BDH("DD US Equity","GOVNCE_DISCLOSURE_SCORE","FY 2021","FY 2021","Currency=USD","Period=FY","BEST_FPERIOD_OVERRIDE=FY","FILING_STATUS=MR","Sort=A","Dates=H","DateFormat=P","Fill=—","Direction=H","UseDPDF=Y")</f>
        <v>100</v>
      </c>
      <c r="H16" s="13">
        <f>_xll.BDH("DD US Equity","GOVNCE_DISCLOSURE_SCORE","FY 2022","FY 2022","Currency=USD","Period=FY","BEST_FPERIOD_OVERRIDE=FY","FILING_STATUS=MR","Sort=A","Dates=H","DateFormat=P","Fill=—","Direction=H","UseDPDF=Y")</f>
        <v>100</v>
      </c>
    </row>
    <row r="17" spans="1:8">
      <c r="A17" s="10"/>
      <c r="B17" s="11"/>
      <c r="C17" s="11"/>
      <c r="D17" s="11"/>
      <c r="E17" s="11"/>
      <c r="F17" s="11"/>
      <c r="G17" s="11"/>
      <c r="H17" s="11"/>
    </row>
    <row r="18" spans="1:8">
      <c r="A18" s="6" t="s">
        <v>33</v>
      </c>
      <c r="B18" s="14"/>
      <c r="C18" s="14"/>
      <c r="D18" s="14"/>
      <c r="E18" s="14"/>
      <c r="F18" s="14"/>
      <c r="G18" s="14"/>
      <c r="H18" s="14"/>
    </row>
    <row r="19" spans="1:8">
      <c r="A19" s="10" t="s">
        <v>34</v>
      </c>
      <c r="B19" s="11"/>
      <c r="C19" s="11"/>
      <c r="D19" s="11"/>
      <c r="E19" s="11"/>
      <c r="F19" s="11"/>
      <c r="G19" s="11"/>
      <c r="H19" s="11"/>
    </row>
    <row r="20" spans="1:8">
      <c r="A20" s="10" t="s">
        <v>35</v>
      </c>
      <c r="B20" s="10" t="s">
        <v>36</v>
      </c>
      <c r="C20" s="12" t="str">
        <f>_xll.BDH("DD US Equity","NOX_EMISSIONS","FY 2017","FY 2017","Currency=USD","Period=FY","BEST_FPERIOD_OVERRIDE=FY","FILING_STATUS=MR","Sort=A","Dates=H","DateFormat=P","Fill=—","Direction=H","UseDPDF=Y")</f>
        <v>—</v>
      </c>
      <c r="D20" s="12" t="str">
        <f>_xll.BDH("DD US Equity","NOX_EMISSIONS","FY 2018","FY 2018","Currency=USD","Period=FY","BEST_FPERIOD_OVERRIDE=FY","FILING_STATUS=MR","Sort=A","Dates=H","DateFormat=P","Fill=—","Direction=H","UseDPDF=Y")</f>
        <v>—</v>
      </c>
      <c r="E20" s="12">
        <f>_xll.BDH("DD US Equity","NOX_EMISSIONS","FY 2019","FY 2019","Currency=USD","Period=FY","BEST_FPERIOD_OVERRIDE=FY","FILING_STATUS=MR","Sort=A","Dates=H","DateFormat=P","Fill=—","Direction=H","UseDPDF=Y")</f>
        <v>1.64</v>
      </c>
      <c r="F20" s="12">
        <f>_xll.BDH("DD US Equity","NOX_EMISSIONS","FY 2020","FY 2020","Currency=USD","Period=FY","BEST_FPERIOD_OVERRIDE=FY","FILING_STATUS=MR","Sort=A","Dates=H","DateFormat=P","Fill=—","Direction=H","UseDPDF=Y")</f>
        <v>1.2</v>
      </c>
      <c r="G20" s="12">
        <f>_xll.BDH("DD US Equity","NOX_EMISSIONS","FY 2021","FY 2021","Currency=USD","Period=FY","BEST_FPERIOD_OVERRIDE=FY","FILING_STATUS=MR","Sort=A","Dates=H","DateFormat=P","Fill=—","Direction=H","UseDPDF=Y")</f>
        <v>0.7</v>
      </c>
      <c r="H20" s="12">
        <f>_xll.BDH("DD US Equity","NOX_EMISSIONS","FY 2022","FY 2022","Currency=USD","Period=FY","BEST_FPERIOD_OVERRIDE=FY","FILING_STATUS=MR","Sort=A","Dates=H","DateFormat=P","Fill=—","Direction=H","UseDPDF=Y")</f>
        <v>0.59199999999999997</v>
      </c>
    </row>
    <row r="21" spans="1:8">
      <c r="A21" s="10" t="s">
        <v>37</v>
      </c>
      <c r="B21" s="10" t="s">
        <v>38</v>
      </c>
      <c r="C21" s="12" t="str">
        <f>_xll.BDH("DD US Equity","VOC_EMISSIONS","FY 2017","FY 2017","Currency=USD","Period=FY","BEST_FPERIOD_OVERRIDE=FY","FILING_STATUS=MR","Sort=A","Dates=H","DateFormat=P","Fill=—","Direction=H","UseDPDF=Y")</f>
        <v>—</v>
      </c>
      <c r="D21" s="12" t="str">
        <f>_xll.BDH("DD US Equity","VOC_EMISSIONS","FY 2018","FY 2018","Currency=USD","Period=FY","BEST_FPERIOD_OVERRIDE=FY","FILING_STATUS=MR","Sort=A","Dates=H","DateFormat=P","Fill=—","Direction=H","UseDPDF=Y")</f>
        <v>—</v>
      </c>
      <c r="E21" s="12">
        <f>_xll.BDH("DD US Equity","VOC_EMISSIONS","FY 2019","FY 2019","Currency=USD","Period=FY","BEST_FPERIOD_OVERRIDE=FY","FILING_STATUS=MR","Sort=A","Dates=H","DateFormat=P","Fill=—","Direction=H","UseDPDF=Y")</f>
        <v>3.24</v>
      </c>
      <c r="F21" s="12">
        <f>_xll.BDH("DD US Equity","VOC_EMISSIONS","FY 2020","FY 2020","Currency=USD","Period=FY","BEST_FPERIOD_OVERRIDE=FY","FILING_STATUS=MR","Sort=A","Dates=H","DateFormat=P","Fill=—","Direction=H","UseDPDF=Y")</f>
        <v>2.5</v>
      </c>
      <c r="G21" s="12">
        <f>_xll.BDH("DD US Equity","VOC_EMISSIONS","FY 2021","FY 2021","Currency=USD","Period=FY","BEST_FPERIOD_OVERRIDE=FY","FILING_STATUS=MR","Sort=A","Dates=H","DateFormat=P","Fill=—","Direction=H","UseDPDF=Y")</f>
        <v>0.98</v>
      </c>
      <c r="H21" s="12">
        <f>_xll.BDH("DD US Equity","VOC_EMISSIONS","FY 2022","FY 2022","Currency=USD","Period=FY","BEST_FPERIOD_OVERRIDE=FY","FILING_STATUS=MR","Sort=A","Dates=H","DateFormat=P","Fill=—","Direction=H","UseDPDF=Y")</f>
        <v>1.0369999999999999</v>
      </c>
    </row>
    <row r="22" spans="1:8">
      <c r="A22" s="10" t="s">
        <v>39</v>
      </c>
      <c r="B22" s="10" t="s">
        <v>40</v>
      </c>
      <c r="C22" s="12" t="str">
        <f>_xll.BDH("DD US Equity","PARTICULATE_EMISSIONS","FY 2017","FY 2017","Currency=USD","Period=FY","BEST_FPERIOD_OVERRIDE=FY","FILING_STATUS=MR","Sort=A","Dates=H","DateFormat=P","Fill=—","Direction=H","UseDPDF=Y")</f>
        <v>—</v>
      </c>
      <c r="D22" s="12" t="str">
        <f>_xll.BDH("DD US Equity","PARTICULATE_EMISSIONS","FY 2018","FY 2018","Currency=USD","Period=FY","BEST_FPERIOD_OVERRIDE=FY","FILING_STATUS=MR","Sort=A","Dates=H","DateFormat=P","Fill=—","Direction=H","UseDPDF=Y")</f>
        <v>—</v>
      </c>
      <c r="E22" s="12">
        <f>_xll.BDH("DD US Equity","PARTICULATE_EMISSIONS","FY 2019","FY 2019","Currency=USD","Period=FY","BEST_FPERIOD_OVERRIDE=FY","FILING_STATUS=MR","Sort=A","Dates=H","DateFormat=P","Fill=—","Direction=H","UseDPDF=Y")</f>
        <v>0.3</v>
      </c>
      <c r="F22" s="12">
        <f>_xll.BDH("DD US Equity","PARTICULATE_EMISSIONS","FY 2020","FY 2020","Currency=USD","Period=FY","BEST_FPERIOD_OVERRIDE=FY","FILING_STATUS=MR","Sort=A","Dates=H","DateFormat=P","Fill=—","Direction=H","UseDPDF=Y")</f>
        <v>0.28999999999999998</v>
      </c>
      <c r="G22" s="12">
        <f>_xll.BDH("DD US Equity","PARTICULATE_EMISSIONS","FY 2021","FY 2021","Currency=USD","Period=FY","BEST_FPERIOD_OVERRIDE=FY","FILING_STATUS=MR","Sort=A","Dates=H","DateFormat=P","Fill=—","Direction=H","UseDPDF=Y")</f>
        <v>1.2999999999999999E-2</v>
      </c>
      <c r="H22" s="12">
        <f>_xll.BDH("DD US Equity","PARTICULATE_EMISSIONS","FY 2022","FY 2022","Currency=USD","Period=FY","BEST_FPERIOD_OVERRIDE=FY","FILING_STATUS=MR","Sort=A","Dates=H","DateFormat=P","Fill=—","Direction=H","UseDPDF=Y")</f>
        <v>1.4E-2</v>
      </c>
    </row>
    <row r="23" spans="1:8">
      <c r="A23" s="10" t="s">
        <v>41</v>
      </c>
      <c r="B23" s="10" t="s">
        <v>42</v>
      </c>
      <c r="C23" s="12" t="str">
        <f>_xll.BDH("DD US Equity","SULPHUR_DIOXIDE_SULPHUR_OXIDE_EM","FY 2017","FY 2017","Currency=USD","Period=FY","BEST_FPERIOD_OVERRIDE=FY","FILING_STATUS=MR","Sort=A","Dates=H","DateFormat=P","Fill=—","Direction=H","UseDPDF=Y")</f>
        <v>—</v>
      </c>
      <c r="D23" s="12" t="str">
        <f>_xll.BDH("DD US Equity","SULPHUR_DIOXIDE_SULPHUR_OXIDE_EM","FY 2018","FY 2018","Currency=USD","Period=FY","BEST_FPERIOD_OVERRIDE=FY","FILING_STATUS=MR","Sort=A","Dates=H","DateFormat=P","Fill=—","Direction=H","UseDPDF=Y")</f>
        <v>—</v>
      </c>
      <c r="E23" s="12">
        <f>_xll.BDH("DD US Equity","SULPHUR_DIOXIDE_SULPHUR_OXIDE_EM","FY 2019","FY 2019","Currency=USD","Period=FY","BEST_FPERIOD_OVERRIDE=FY","FILING_STATUS=MR","Sort=A","Dates=H","DateFormat=P","Fill=—","Direction=H","UseDPDF=Y")</f>
        <v>0.34399999999999997</v>
      </c>
      <c r="F23" s="12">
        <f>_xll.BDH("DD US Equity","SULPHUR_DIOXIDE_SULPHUR_OXIDE_EM","FY 2020","FY 2020","Currency=USD","Period=FY","BEST_FPERIOD_OVERRIDE=FY","FILING_STATUS=MR","Sort=A","Dates=H","DateFormat=P","Fill=—","Direction=H","UseDPDF=Y")</f>
        <v>0.34</v>
      </c>
      <c r="G23" s="12">
        <f>_xll.BDH("DD US Equity","SULPHUR_DIOXIDE_SULPHUR_OXIDE_EM","FY 2021","FY 2021","Currency=USD","Period=FY","BEST_FPERIOD_OVERRIDE=FY","FILING_STATUS=MR","Sort=A","Dates=H","DateFormat=P","Fill=—","Direction=H","UseDPDF=Y")</f>
        <v>8.0000000000000002E-3</v>
      </c>
      <c r="H23" s="12">
        <f>_xll.BDH("DD US Equity","SULPHUR_DIOXIDE_SULPHUR_OXIDE_EM","FY 2022","FY 2022","Currency=USD","Period=FY","BEST_FPERIOD_OVERRIDE=FY","FILING_STATUS=MR","Sort=A","Dates=H","DateFormat=P","Fill=—","Direction=H","UseDPDF=Y")</f>
        <v>5.0000000000000001E-3</v>
      </c>
    </row>
    <row r="24" spans="1:8">
      <c r="A24" s="10"/>
      <c r="B24" s="11"/>
      <c r="C24" s="11"/>
      <c r="D24" s="11"/>
      <c r="E24" s="11"/>
      <c r="F24" s="11"/>
      <c r="G24" s="11"/>
      <c r="H24" s="11"/>
    </row>
    <row r="25" spans="1:8">
      <c r="A25" s="10" t="s">
        <v>43</v>
      </c>
      <c r="B25" s="11"/>
      <c r="C25" s="11"/>
      <c r="D25" s="11"/>
      <c r="E25" s="11"/>
      <c r="F25" s="11"/>
      <c r="G25" s="11"/>
      <c r="H25" s="11"/>
    </row>
    <row r="26" spans="1:8">
      <c r="A26" s="10" t="s">
        <v>44</v>
      </c>
      <c r="B26" s="10" t="s">
        <v>45</v>
      </c>
      <c r="C26" s="11" t="s">
        <v>46</v>
      </c>
      <c r="D26" s="11" t="s">
        <v>46</v>
      </c>
      <c r="E26" s="11" t="s">
        <v>46</v>
      </c>
      <c r="F26" s="11" t="s">
        <v>46</v>
      </c>
      <c r="G26" s="11" t="s">
        <v>46</v>
      </c>
      <c r="H26" s="11" t="s">
        <v>46</v>
      </c>
    </row>
    <row r="27" spans="1:8">
      <c r="A27" s="10" t="s">
        <v>47</v>
      </c>
      <c r="B27" s="10" t="s">
        <v>48</v>
      </c>
      <c r="C27" s="11" t="s">
        <v>46</v>
      </c>
      <c r="D27" s="11" t="s">
        <v>46</v>
      </c>
      <c r="E27" s="11" t="s">
        <v>46</v>
      </c>
      <c r="F27" s="11" t="s">
        <v>46</v>
      </c>
      <c r="G27" s="11" t="s">
        <v>46</v>
      </c>
      <c r="H27" s="11" t="s">
        <v>46</v>
      </c>
    </row>
    <row r="28" spans="1:8">
      <c r="A28" s="10" t="s">
        <v>49</v>
      </c>
      <c r="B28" s="10" t="s">
        <v>50</v>
      </c>
      <c r="C28" s="11" t="s">
        <v>51</v>
      </c>
      <c r="D28" s="11" t="s">
        <v>51</v>
      </c>
      <c r="E28" s="11" t="s">
        <v>46</v>
      </c>
      <c r="F28" s="11" t="s">
        <v>46</v>
      </c>
      <c r="G28" s="11" t="s">
        <v>46</v>
      </c>
      <c r="H28" s="11" t="s">
        <v>46</v>
      </c>
    </row>
    <row r="29" spans="1:8">
      <c r="A29" s="10" t="s">
        <v>52</v>
      </c>
      <c r="B29" s="10" t="s">
        <v>53</v>
      </c>
      <c r="C29" s="11" t="s">
        <v>46</v>
      </c>
      <c r="D29" s="11" t="s">
        <v>46</v>
      </c>
      <c r="E29" s="11" t="s">
        <v>46</v>
      </c>
      <c r="F29" s="11" t="s">
        <v>46</v>
      </c>
      <c r="G29" s="11" t="s">
        <v>46</v>
      </c>
      <c r="H29" s="11" t="s">
        <v>46</v>
      </c>
    </row>
    <row r="30" spans="1:8">
      <c r="A30" s="10" t="s">
        <v>54</v>
      </c>
      <c r="B30" s="10" t="s">
        <v>55</v>
      </c>
      <c r="C30" s="12">
        <f>_xll.BDH("DD US Equity","CO2_SCOPE_1","FY 2017","FY 2017","Currency=USD","Period=FY","BEST_FPERIOD_OVERRIDE=FY","FILING_STATUS=MR","Sort=A","Dates=H","DateFormat=P","Fill=—","Direction=H","UseDPDF=Y")</f>
        <v>4077.65</v>
      </c>
      <c r="D30" s="12" t="str">
        <f>_xll.BDH("DD US Equity","CO2_SCOPE_1","FY 2018","FY 2018","Currency=USD","Period=FY","BEST_FPERIOD_OVERRIDE=FY","FILING_STATUS=MR","Sort=A","Dates=H","DateFormat=P","Fill=—","Direction=H","UseDPDF=Y")</f>
        <v>—</v>
      </c>
      <c r="E30" s="12">
        <f>_xll.BDH("DD US Equity","CO2_SCOPE_1","FY 2019","FY 2019","Currency=USD","Period=FY","BEST_FPERIOD_OVERRIDE=FY","FILING_STATUS=MR","Sort=A","Dates=H","DateFormat=P","Fill=—","Direction=H","UseDPDF=Y")</f>
        <v>1516.51</v>
      </c>
      <c r="F30" s="12">
        <f>_xll.BDH("DD US Equity","CO2_SCOPE_1","FY 2020","FY 2020","Currency=USD","Period=FY","BEST_FPERIOD_OVERRIDE=FY","FILING_STATUS=MR","Sort=A","Dates=H","DateFormat=P","Fill=—","Direction=H","UseDPDF=Y")</f>
        <v>1481.54</v>
      </c>
      <c r="G30" s="12">
        <f>_xll.BDH("DD US Equity","CO2_SCOPE_1","FY 2021","FY 2021","Currency=USD","Period=FY","BEST_FPERIOD_OVERRIDE=FY","FILING_STATUS=MR","Sort=A","Dates=H","DateFormat=P","Fill=—","Direction=H","UseDPDF=Y")</f>
        <v>653.47500000000002</v>
      </c>
      <c r="H30" s="12">
        <f>_xll.BDH("DD US Equity","CO2_SCOPE_1","FY 2022","FY 2022","Currency=USD","Period=FY","BEST_FPERIOD_OVERRIDE=FY","FILING_STATUS=MR","Sort=A","Dates=H","DateFormat=P","Fill=—","Direction=H","UseDPDF=Y")</f>
        <v>530.33699999999999</v>
      </c>
    </row>
    <row r="31" spans="1:8">
      <c r="A31" s="10" t="s">
        <v>56</v>
      </c>
      <c r="B31" s="10" t="s">
        <v>57</v>
      </c>
      <c r="C31" s="12">
        <f>_xll.BDH("DD US Equity","GHG_SCOPE_1","FY 2017","FY 2017","Currency=USD","Period=FY","BEST_FPERIOD_OVERRIDE=FY","FILING_STATUS=MR","Sort=A","Dates=H","DateFormat=P","Fill=—","Direction=H","UseDPDF=Y")</f>
        <v>4150.03</v>
      </c>
      <c r="D31" s="12" t="str">
        <f>_xll.BDH("DD US Equity","GHG_SCOPE_1","FY 2018","FY 2018","Currency=USD","Period=FY","BEST_FPERIOD_OVERRIDE=FY","FILING_STATUS=MR","Sort=A","Dates=H","DateFormat=P","Fill=—","Direction=H","UseDPDF=Y")</f>
        <v>—</v>
      </c>
      <c r="E31" s="12">
        <f>_xll.BDH("DD US Equity","GHG_SCOPE_1","FY 2019","FY 2019","Currency=USD","Period=FY","BEST_FPERIOD_OVERRIDE=FY","FILING_STATUS=MR","Sort=A","Dates=H","DateFormat=P","Fill=—","Direction=H","UseDPDF=Y")</f>
        <v>3057</v>
      </c>
      <c r="F31" s="12">
        <f>_xll.BDH("DD US Equity","GHG_SCOPE_1","FY 2020","FY 2020","Currency=USD","Period=FY","BEST_FPERIOD_OVERRIDE=FY","FILING_STATUS=MR","Sort=A","Dates=H","DateFormat=P","Fill=—","Direction=H","UseDPDF=Y")</f>
        <v>3074</v>
      </c>
      <c r="G31" s="12">
        <f>_xll.BDH("DD US Equity","GHG_SCOPE_1","FY 2021","FY 2021","Currency=USD","Period=FY","BEST_FPERIOD_OVERRIDE=FY","FILING_STATUS=MR","Sort=A","Dates=H","DateFormat=P","Fill=—","Direction=H","UseDPDF=Y")</f>
        <v>1870.26</v>
      </c>
      <c r="H31" s="12">
        <f>_xll.BDH("DD US Equity","GHG_SCOPE_1","FY 2022","FY 2022","Currency=USD","Period=FY","BEST_FPERIOD_OVERRIDE=FY","FILING_STATUS=MR","Sort=A","Dates=H","DateFormat=P","Fill=—","Direction=H","UseDPDF=Y")</f>
        <v>1433.82</v>
      </c>
    </row>
    <row r="32" spans="1:8">
      <c r="A32" s="10" t="s">
        <v>58</v>
      </c>
      <c r="B32" s="10" t="s">
        <v>59</v>
      </c>
      <c r="C32" s="12">
        <f>_xll.BDH("DD US Equity","GHG_SCOPE_2_LOCATION_BASED","FY 2017","FY 2017","Currency=USD","Period=FY","BEST_FPERIOD_OVERRIDE=FY","FILING_STATUS=MR","Sort=A","Dates=H","DateFormat=P","Fill=—","Direction=H","UseDPDF=Y")</f>
        <v>2816.25</v>
      </c>
      <c r="D32" s="12" t="str">
        <f>_xll.BDH("DD US Equity","GHG_SCOPE_2_LOCATION_BASED","FY 2018","FY 2018","Currency=USD","Period=FY","BEST_FPERIOD_OVERRIDE=FY","FILING_STATUS=MR","Sort=A","Dates=H","DateFormat=P","Fill=—","Direction=H","UseDPDF=Y")</f>
        <v>—</v>
      </c>
      <c r="E32" s="12">
        <f>_xll.BDH("DD US Equity","GHG_SCOPE_2_LOCATION_BASED","FY 2019","FY 2019","Currency=USD","Period=FY","BEST_FPERIOD_OVERRIDE=FY","FILING_STATUS=MR","Sort=A","Dates=H","DateFormat=P","Fill=—","Direction=H","UseDPDF=Y")</f>
        <v>2323</v>
      </c>
      <c r="F32" s="12">
        <f>_xll.BDH("DD US Equity","GHG_SCOPE_2_LOCATION_BASED","FY 2020","FY 2020","Currency=USD","Period=FY","BEST_FPERIOD_OVERRIDE=FY","FILING_STATUS=MR","Sort=A","Dates=H","DateFormat=P","Fill=—","Direction=H","UseDPDF=Y")</f>
        <v>2074</v>
      </c>
      <c r="G32" s="12">
        <f>_xll.BDH("DD US Equity","GHG_SCOPE_2_LOCATION_BASED","FY 2021","FY 2021","Currency=USD","Period=FY","BEST_FPERIOD_OVERRIDE=FY","FILING_STATUS=MR","Sort=A","Dates=H","DateFormat=P","Fill=—","Direction=H","UseDPDF=Y")</f>
        <v>1274.42</v>
      </c>
      <c r="H32" s="12">
        <f>_xll.BDH("DD US Equity","GHG_SCOPE_2_LOCATION_BASED","FY 2022","FY 2022","Currency=USD","Period=FY","BEST_FPERIOD_OVERRIDE=FY","FILING_STATUS=MR","Sort=A","Dates=H","DateFormat=P","Fill=—","Direction=H","UseDPDF=Y")</f>
        <v>910.22500000000002</v>
      </c>
    </row>
    <row r="33" spans="1:8">
      <c r="A33" s="10" t="s">
        <v>60</v>
      </c>
      <c r="B33" s="10" t="s">
        <v>61</v>
      </c>
      <c r="C33" s="12">
        <f>_xll.BDH("DD US Equity","GHG_SCOPE_2_MARKET_BASED","FY 2017","FY 2017","Currency=USD","Period=FY","BEST_FPERIOD_OVERRIDE=FY","FILING_STATUS=MR","Sort=A","Dates=H","DateFormat=P","Fill=—","Direction=H","UseDPDF=Y")</f>
        <v>2920.77</v>
      </c>
      <c r="D33" s="12" t="str">
        <f>_xll.BDH("DD US Equity","GHG_SCOPE_2_MARKET_BASED","FY 2018","FY 2018","Currency=USD","Period=FY","BEST_FPERIOD_OVERRIDE=FY","FILING_STATUS=MR","Sort=A","Dates=H","DateFormat=P","Fill=—","Direction=H","UseDPDF=Y")</f>
        <v>—</v>
      </c>
      <c r="E33" s="12">
        <f>_xll.BDH("DD US Equity","GHG_SCOPE_2_MARKET_BASED","FY 2019","FY 2019","Currency=USD","Period=FY","BEST_FPERIOD_OVERRIDE=FY","FILING_STATUS=MR","Sort=A","Dates=H","DateFormat=P","Fill=—","Direction=H","UseDPDF=Y")</f>
        <v>2532.7600000000002</v>
      </c>
      <c r="F33" s="12">
        <f>_xll.BDH("DD US Equity","GHG_SCOPE_2_MARKET_BASED","FY 2020","FY 2020","Currency=USD","Period=FY","BEST_FPERIOD_OVERRIDE=FY","FILING_STATUS=MR","Sort=A","Dates=H","DateFormat=P","Fill=—","Direction=H","UseDPDF=Y")</f>
        <v>1958.09</v>
      </c>
      <c r="G33" s="12">
        <f>_xll.BDH("DD US Equity","GHG_SCOPE_2_MARKET_BASED","FY 2021","FY 2021","Currency=USD","Period=FY","BEST_FPERIOD_OVERRIDE=FY","FILING_STATUS=MR","Sort=A","Dates=H","DateFormat=P","Fill=—","Direction=H","UseDPDF=Y")</f>
        <v>1224.5999999999999</v>
      </c>
      <c r="H33" s="12">
        <f>_xll.BDH("DD US Equity","GHG_SCOPE_2_MARKET_BASED","FY 2022","FY 2022","Currency=USD","Period=FY","BEST_FPERIOD_OVERRIDE=FY","FILING_STATUS=MR","Sort=A","Dates=H","DateFormat=P","Fill=—","Direction=H","UseDPDF=Y")</f>
        <v>699.63599999999997</v>
      </c>
    </row>
    <row r="34" spans="1:8">
      <c r="A34" s="10" t="s">
        <v>62</v>
      </c>
      <c r="B34" s="10" t="s">
        <v>63</v>
      </c>
      <c r="C34" s="12">
        <f>_xll.BDH("DD US Equity","GHG_SCOPE_3","FY 2017","FY 2017","Currency=USD","Period=FY","BEST_FPERIOD_OVERRIDE=FY","FILING_STATUS=MR","Sort=A","Dates=H","DateFormat=P","Fill=—","Direction=H","UseDPDF=Y")</f>
        <v>2353.5500000000002</v>
      </c>
      <c r="D34" s="12" t="str">
        <f>_xll.BDH("DD US Equity","GHG_SCOPE_3","FY 2018","FY 2018","Currency=USD","Period=FY","BEST_FPERIOD_OVERRIDE=FY","FILING_STATUS=MR","Sort=A","Dates=H","DateFormat=P","Fill=—","Direction=H","UseDPDF=Y")</f>
        <v>—</v>
      </c>
      <c r="E34" s="12">
        <f>_xll.BDH("DD US Equity","GHG_SCOPE_3","FY 2019","FY 2019","Currency=USD","Period=FY","BEST_FPERIOD_OVERRIDE=FY","FILING_STATUS=MR","Sort=A","Dates=H","DateFormat=P","Fill=—","Direction=H","UseDPDF=Y")</f>
        <v>1302.74</v>
      </c>
      <c r="F34" s="12">
        <f>_xll.BDH("DD US Equity","GHG_SCOPE_3","FY 2020","FY 2020","Currency=USD","Period=FY","BEST_FPERIOD_OVERRIDE=FY","FILING_STATUS=MR","Sort=A","Dates=H","DateFormat=P","Fill=—","Direction=H","UseDPDF=Y")</f>
        <v>1074.9000000000001</v>
      </c>
      <c r="G34" s="12">
        <f>_xll.BDH("DD US Equity","GHG_SCOPE_3","FY 2021","FY 2021","Currency=USD","Period=FY","BEST_FPERIOD_OVERRIDE=FY","FILING_STATUS=MR","Sort=A","Dates=H","DateFormat=P","Fill=—","Direction=H","UseDPDF=Y")</f>
        <v>14740</v>
      </c>
      <c r="H34" s="12">
        <f>_xll.BDH("DD US Equity","GHG_SCOPE_3","FY 2022","FY 2022","Currency=USD","Period=FY","BEST_FPERIOD_OVERRIDE=FY","FILING_STATUS=MR","Sort=A","Dates=H","DateFormat=P","Fill=—","Direction=H","UseDPDF=Y")</f>
        <v>11874.9</v>
      </c>
    </row>
    <row r="35" spans="1:8">
      <c r="A35" s="10" t="s">
        <v>64</v>
      </c>
      <c r="B35" s="10" t="s">
        <v>65</v>
      </c>
      <c r="C35" s="13">
        <f>_xll.BDH("DD US Equity","SCOPE_OF_DISCLOSURE","FY 2017","FY 2017","Currency=USD","Period=FY","BEST_FPERIOD_OVERRIDE=FY","FILING_STATUS=MR","Sort=A","Dates=H","DateFormat=P","Fill=—","Direction=H","UseDPDF=Y")</f>
        <v>1</v>
      </c>
      <c r="D35" s="13" t="str">
        <f>_xll.BDH("DD US Equity","SCOPE_OF_DISCLOSURE","FY 2018","FY 2018","Currency=USD","Period=FY","BEST_FPERIOD_OVERRIDE=FY","FILING_STATUS=MR","Sort=A","Dates=H","DateFormat=P","Fill=—","Direction=H","UseDPDF=Y")</f>
        <v>—</v>
      </c>
      <c r="E35" s="13">
        <f>_xll.BDH("DD US Equity","SCOPE_OF_DISCLOSURE","FY 2019","FY 2019","Currency=USD","Period=FY","BEST_FPERIOD_OVERRIDE=FY","FILING_STATUS=MR","Sort=A","Dates=H","DateFormat=P","Fill=—","Direction=H","UseDPDF=Y")</f>
        <v>1</v>
      </c>
      <c r="F35" s="13">
        <f>_xll.BDH("DD US Equity","SCOPE_OF_DISCLOSURE","FY 2020","FY 2020","Currency=USD","Period=FY","BEST_FPERIOD_OVERRIDE=FY","FILING_STATUS=MR","Sort=A","Dates=H","DateFormat=P","Fill=—","Direction=H","UseDPDF=Y")</f>
        <v>1</v>
      </c>
      <c r="G35" s="13">
        <f>_xll.BDH("DD US Equity","SCOPE_OF_DISCLOSURE","FY 2021","FY 2021","Currency=USD","Period=FY","BEST_FPERIOD_OVERRIDE=FY","FILING_STATUS=MR","Sort=A","Dates=H","DateFormat=P","Fill=—","Direction=H","UseDPDF=Y")</f>
        <v>1</v>
      </c>
      <c r="H35" s="13">
        <f>_xll.BDH("DD US Equity","SCOPE_OF_DISCLOSURE","FY 2022","FY 2022","Currency=USD","Period=FY","BEST_FPERIOD_OVERRIDE=FY","FILING_STATUS=MR","Sort=A","Dates=H","DateFormat=P","Fill=—","Direction=H","UseDPDF=Y")</f>
        <v>1</v>
      </c>
    </row>
    <row r="36" spans="1:8">
      <c r="A36" s="10" t="s">
        <v>66</v>
      </c>
      <c r="B36" s="10" t="s">
        <v>67</v>
      </c>
      <c r="C36" s="13" t="str">
        <f>_xll.BDH("DD US Equity","CARBON_PER_UNIT_OF_PROD","FY 2017","FY 2017","Currency=USD","Period=FY","BEST_FPERIOD_OVERRIDE=FY","FILING_STATUS=MR","Sort=A","Dates=H","DateFormat=P","Fill=—","Direction=H","UseDPDF=Y")</f>
        <v>—</v>
      </c>
      <c r="D36" s="13" t="str">
        <f>_xll.BDH("DD US Equity","CARBON_PER_UNIT_OF_PROD","FY 2018","FY 2018","Currency=USD","Period=FY","BEST_FPERIOD_OVERRIDE=FY","FILING_STATUS=MR","Sort=A","Dates=H","DateFormat=P","Fill=—","Direction=H","UseDPDF=Y")</f>
        <v>—</v>
      </c>
      <c r="E36" s="13">
        <f>_xll.BDH("DD US Equity","CARBON_PER_UNIT_OF_PROD","FY 2019","FY 2019","Currency=USD","Period=FY","BEST_FPERIOD_OVERRIDE=FY","FILING_STATUS=MR","Sort=A","Dates=H","DateFormat=P","Fill=—","Direction=H","UseDPDF=Y")</f>
        <v>1.65</v>
      </c>
      <c r="F36" s="13">
        <f>_xll.BDH("DD US Equity","CARBON_PER_UNIT_OF_PROD","FY 2020","FY 2020","Currency=USD","Period=FY","BEST_FPERIOD_OVERRIDE=FY","FILING_STATUS=MR","Sort=A","Dates=H","DateFormat=P","Fill=—","Direction=H","UseDPDF=Y")</f>
        <v>3.04</v>
      </c>
      <c r="G36" s="13">
        <f>_xll.BDH("DD US Equity","CARBON_PER_UNIT_OF_PROD","FY 2021","FY 2021","Currency=USD","Period=FY","BEST_FPERIOD_OVERRIDE=FY","FILING_STATUS=MR","Sort=A","Dates=H","DateFormat=P","Fill=—","Direction=H","UseDPDF=Y")</f>
        <v>2.4900000000000002</v>
      </c>
      <c r="H36" s="13">
        <f>_xll.BDH("DD US Equity","CARBON_PER_UNIT_OF_PROD","FY 2022","FY 2022","Currency=USD","Period=FY","BEST_FPERIOD_OVERRIDE=FY","FILING_STATUS=MR","Sort=A","Dates=H","DateFormat=P","Fill=—","Direction=H","UseDPDF=Y")</f>
        <v>2</v>
      </c>
    </row>
    <row r="37" spans="1:8">
      <c r="A37" s="10"/>
      <c r="B37" s="11"/>
      <c r="C37" s="11"/>
      <c r="D37" s="11"/>
      <c r="E37" s="11"/>
      <c r="F37" s="11"/>
      <c r="G37" s="11"/>
      <c r="H37" s="11"/>
    </row>
    <row r="38" spans="1:8">
      <c r="A38" s="10" t="s">
        <v>68</v>
      </c>
      <c r="B38" s="11"/>
      <c r="C38" s="11"/>
      <c r="D38" s="11"/>
      <c r="E38" s="11"/>
      <c r="F38" s="11"/>
      <c r="G38" s="11"/>
      <c r="H38" s="11"/>
    </row>
    <row r="39" spans="1:8">
      <c r="A39" s="10" t="s">
        <v>69</v>
      </c>
      <c r="B39" s="10" t="s">
        <v>70</v>
      </c>
      <c r="C39" s="11" t="s">
        <v>46</v>
      </c>
      <c r="D39" s="11" t="s">
        <v>46</v>
      </c>
      <c r="E39" s="11" t="s">
        <v>46</v>
      </c>
      <c r="F39" s="11" t="s">
        <v>46</v>
      </c>
      <c r="G39" s="11" t="s">
        <v>46</v>
      </c>
      <c r="H39" s="11" t="s">
        <v>46</v>
      </c>
    </row>
    <row r="40" spans="1:8">
      <c r="A40" s="10"/>
      <c r="B40" s="11"/>
      <c r="C40" s="11"/>
      <c r="D40" s="11"/>
      <c r="E40" s="11"/>
      <c r="F40" s="11"/>
      <c r="G40" s="11"/>
      <c r="H40" s="11"/>
    </row>
    <row r="41" spans="1:8">
      <c r="A41" s="10" t="s">
        <v>71</v>
      </c>
      <c r="B41" s="11"/>
      <c r="C41" s="11"/>
      <c r="D41" s="11"/>
      <c r="E41" s="11"/>
      <c r="F41" s="11"/>
      <c r="G41" s="11"/>
      <c r="H41" s="11"/>
    </row>
    <row r="42" spans="1:8">
      <c r="A42" s="10" t="s">
        <v>72</v>
      </c>
      <c r="B42" s="10" t="s">
        <v>73</v>
      </c>
      <c r="C42" s="11" t="s">
        <v>46</v>
      </c>
      <c r="D42" s="11" t="s">
        <v>46</v>
      </c>
      <c r="E42" s="11" t="s">
        <v>46</v>
      </c>
      <c r="F42" s="11" t="s">
        <v>46</v>
      </c>
      <c r="G42" s="11" t="s">
        <v>46</v>
      </c>
      <c r="H42" s="11" t="s">
        <v>46</v>
      </c>
    </row>
    <row r="43" spans="1:8">
      <c r="A43" s="10" t="s">
        <v>74</v>
      </c>
      <c r="B43" s="10" t="s">
        <v>75</v>
      </c>
      <c r="C43" s="12">
        <f>_xll.BDH("DD US Equity","ENERGY_CONSUMPTION","FY 2017","FY 2017","Currency=USD","Period=FY","BEST_FPERIOD_OVERRIDE=FY","FILING_STATUS=MR","Sort=A","Dates=H","DateFormat=P","Fill=—","Direction=H","UseDPDF=Y")</f>
        <v>25486.6</v>
      </c>
      <c r="D43" s="12" t="str">
        <f>_xll.BDH("DD US Equity","ENERGY_CONSUMPTION","FY 2018","FY 2018","Currency=USD","Period=FY","BEST_FPERIOD_OVERRIDE=FY","FILING_STATUS=MR","Sort=A","Dates=H","DateFormat=P","Fill=—","Direction=H","UseDPDF=Y")</f>
        <v>—</v>
      </c>
      <c r="E43" s="12">
        <f>_xll.BDH("DD US Equity","ENERGY_CONSUMPTION","FY 2019","FY 2019","Currency=USD","Period=FY","BEST_FPERIOD_OVERRIDE=FY","FILING_STATUS=MR","Sort=A","Dates=H","DateFormat=P","Fill=—","Direction=H","UseDPDF=Y")</f>
        <v>14850</v>
      </c>
      <c r="F43" s="12">
        <f>_xll.BDH("DD US Equity","ENERGY_CONSUMPTION","FY 2020","FY 2020","Currency=USD","Period=FY","BEST_FPERIOD_OVERRIDE=FY","FILING_STATUS=MR","Sort=A","Dates=H","DateFormat=P","Fill=—","Direction=H","UseDPDF=Y")</f>
        <v>13851.7</v>
      </c>
      <c r="G43" s="12">
        <f>_xll.BDH("DD US Equity","ENERGY_CONSUMPTION","FY 2021","FY 2021","Currency=USD","Period=FY","BEST_FPERIOD_OVERRIDE=FY","FILING_STATUS=MR","Sort=A","Dates=H","DateFormat=P","Fill=—","Direction=H","UseDPDF=Y")</f>
        <v>6806</v>
      </c>
      <c r="H43" s="12">
        <f>_xll.BDH("DD US Equity","ENERGY_CONSUMPTION","FY 2022","FY 2022","Currency=USD","Period=FY","BEST_FPERIOD_OVERRIDE=FY","FILING_STATUS=MR","Sort=A","Dates=H","DateFormat=P","Fill=—","Direction=H","UseDPDF=Y")</f>
        <v>5550.87</v>
      </c>
    </row>
    <row r="44" spans="1:8">
      <c r="A44" s="10" t="s">
        <v>76</v>
      </c>
      <c r="B44" s="10" t="s">
        <v>77</v>
      </c>
      <c r="C44" s="12">
        <f>_xll.BDH("DD US Equity","RENEW_ENERGY_USE","FY 2017","FY 2017","Currency=USD","Period=FY","BEST_FPERIOD_OVERRIDE=FY","FILING_STATUS=MR","Sort=A","Dates=H","DateFormat=P","Fill=—","Direction=H","UseDPDF=Y")</f>
        <v>916.40700000000004</v>
      </c>
      <c r="D44" s="12" t="str">
        <f>_xll.BDH("DD US Equity","RENEW_ENERGY_USE","FY 2018","FY 2018","Currency=USD","Period=FY","BEST_FPERIOD_OVERRIDE=FY","FILING_STATUS=MR","Sort=A","Dates=H","DateFormat=P","Fill=—","Direction=H","UseDPDF=Y")</f>
        <v>—</v>
      </c>
      <c r="E44" s="12">
        <f>_xll.BDH("DD US Equity","RENEW_ENERGY_USE","FY 2019","FY 2019","Currency=USD","Period=FY","BEST_FPERIOD_OVERRIDE=FY","FILING_STATUS=MR","Sort=A","Dates=H","DateFormat=P","Fill=—","Direction=H","UseDPDF=Y")</f>
        <v>732.6</v>
      </c>
      <c r="F44" s="12">
        <f>_xll.BDH("DD US Equity","RENEW_ENERGY_USE","FY 2020","FY 2020","Currency=USD","Period=FY","BEST_FPERIOD_OVERRIDE=FY","FILING_STATUS=MR","Sort=A","Dates=H","DateFormat=P","Fill=—","Direction=H","UseDPDF=Y")</f>
        <v>783.93799999999999</v>
      </c>
      <c r="G44" s="12">
        <f>_xll.BDH("DD US Equity","RENEW_ENERGY_USE","FY 2021","FY 2021","Currency=USD","Period=FY","BEST_FPERIOD_OVERRIDE=FY","FILING_STATUS=MR","Sort=A","Dates=H","DateFormat=P","Fill=—","Direction=H","UseDPDF=Y")</f>
        <v>414.18</v>
      </c>
      <c r="H44" s="12">
        <f>_xll.BDH("DD US Equity","RENEW_ENERGY_USE","FY 2022","FY 2022","Currency=USD","Period=FY","BEST_FPERIOD_OVERRIDE=FY","FILING_STATUS=MR","Sort=A","Dates=H","DateFormat=P","Fill=—","Direction=H","UseDPDF=Y")</f>
        <v>102.90900000000001</v>
      </c>
    </row>
    <row r="45" spans="1:8">
      <c r="A45" s="10" t="s">
        <v>78</v>
      </c>
      <c r="B45" s="10" t="s">
        <v>79</v>
      </c>
      <c r="C45" s="12">
        <f>_xll.BDH("DD US Equity","ELECTRICITY_USED","FY 2017","FY 2017","Currency=USD","Period=FY","BEST_FPERIOD_OVERRIDE=FY","FILING_STATUS=MR","Sort=A","Dates=H","DateFormat=P","Fill=—","Direction=H","UseDPDF=Y")</f>
        <v>4158.83</v>
      </c>
      <c r="D45" s="12" t="str">
        <f>_xll.BDH("DD US Equity","ELECTRICITY_USED","FY 2018","FY 2018","Currency=USD","Period=FY","BEST_FPERIOD_OVERRIDE=FY","FILING_STATUS=MR","Sort=A","Dates=H","DateFormat=P","Fill=—","Direction=H","UseDPDF=Y")</f>
        <v>—</v>
      </c>
      <c r="E45" s="12">
        <f>_xll.BDH("DD US Equity","ELECTRICITY_USED","FY 2019","FY 2019","Currency=USD","Period=FY","BEST_FPERIOD_OVERRIDE=FY","FILING_STATUS=MR","Sort=A","Dates=H","DateFormat=P","Fill=—","Direction=H","UseDPDF=Y")</f>
        <v>3757</v>
      </c>
      <c r="F45" s="12">
        <f>_xll.BDH("DD US Equity","ELECTRICITY_USED","FY 2020","FY 2020","Currency=USD","Period=FY","BEST_FPERIOD_OVERRIDE=FY","FILING_STATUS=MR","Sort=A","Dates=H","DateFormat=P","Fill=—","Direction=H","UseDPDF=Y")</f>
        <v>3548.73</v>
      </c>
      <c r="G45" s="12">
        <f>_xll.BDH("DD US Equity","ELECTRICITY_USED","FY 2021","FY 2021","Currency=USD","Period=FY","BEST_FPERIOD_OVERRIDE=FY","FILING_STATUS=MR","Sort=A","Dates=H","DateFormat=P","Fill=—","Direction=H","UseDPDF=Y")</f>
        <v>2124</v>
      </c>
      <c r="H45" s="12">
        <f>_xll.BDH("DD US Equity","ELECTRICITY_USED","FY 2022","FY 2022","Currency=USD","Period=FY","BEST_FPERIOD_OVERRIDE=FY","FILING_STATUS=MR","Sort=A","Dates=H","DateFormat=P","Fill=—","Direction=H","UseDPDF=Y")</f>
        <v>1764.88</v>
      </c>
    </row>
    <row r="46" spans="1:8">
      <c r="A46" s="10" t="s">
        <v>80</v>
      </c>
      <c r="B46" s="10" t="s">
        <v>81</v>
      </c>
      <c r="C46" s="12" t="str">
        <f>_xll.BDH("DD US Equity","SELF_GEN_RENEWABLE_ELECTRICITY","FY 2017","FY 2017","Currency=USD","Period=FY","BEST_FPERIOD_OVERRIDE=FY","FILING_STATUS=MR","Sort=A","Dates=H","DateFormat=P","Fill=—","Direction=H","UseDPDF=Y")</f>
        <v>—</v>
      </c>
      <c r="D46" s="12" t="str">
        <f>_xll.BDH("DD US Equity","SELF_GEN_RENEWABLE_ELECTRICITY","FY 2018","FY 2018","Currency=USD","Period=FY","BEST_FPERIOD_OVERRIDE=FY","FILING_STATUS=MR","Sort=A","Dates=H","DateFormat=P","Fill=—","Direction=H","UseDPDF=Y")</f>
        <v>—</v>
      </c>
      <c r="E46" s="12">
        <f>_xll.BDH("DD US Equity","SELF_GEN_RENEWABLE_ELECTRICITY","FY 2019","FY 2019","Currency=USD","Period=FY","BEST_FPERIOD_OVERRIDE=FY","FILING_STATUS=MR","Sort=A","Dates=H","DateFormat=P","Fill=—","Direction=H","UseDPDF=Y")</f>
        <v>1.4</v>
      </c>
      <c r="F46" s="12">
        <f>_xll.BDH("DD US Equity","SELF_GEN_RENEWABLE_ELECTRICITY","FY 2020","FY 2020","Currency=USD","Period=FY","BEST_FPERIOD_OVERRIDE=FY","FILING_STATUS=MR","Sort=A","Dates=H","DateFormat=P","Fill=—","Direction=H","UseDPDF=Y")</f>
        <v>4.0919999999999996</v>
      </c>
      <c r="G46" s="12">
        <f>_xll.BDH("DD US Equity","SELF_GEN_RENEWABLE_ELECTRICITY","FY 2021","FY 2021","Currency=USD","Period=FY","BEST_FPERIOD_OVERRIDE=FY","FILING_STATUS=MR","Sort=A","Dates=H","DateFormat=P","Fill=—","Direction=H","UseDPDF=Y")</f>
        <v>0.39400000000000002</v>
      </c>
      <c r="H46" s="12">
        <f>_xll.BDH("DD US Equity","SELF_GEN_RENEWABLE_ELECTRICITY","FY 2022","FY 2022","Currency=USD","Period=FY","BEST_FPERIOD_OVERRIDE=FY","FILING_STATUS=MR","Sort=A","Dates=H","DateFormat=P","Fill=—","Direction=H","UseDPDF=Y")</f>
        <v>0.192</v>
      </c>
    </row>
    <row r="47" spans="1:8">
      <c r="A47" s="10" t="s">
        <v>82</v>
      </c>
      <c r="B47" s="10" t="s">
        <v>83</v>
      </c>
      <c r="C47" s="12">
        <f>_xll.BDH("DD US Equity","COAL_USED","FY 2017","FY 2017","Currency=USD","Period=FY","BEST_FPERIOD_OVERRIDE=FY","FILING_STATUS=MR","Sort=A","Dates=H","DateFormat=P","Fill=—","Direction=H","UseDPDF=Y")</f>
        <v>1.873</v>
      </c>
      <c r="D47" s="12" t="str">
        <f>_xll.BDH("DD US Equity","COAL_USED","FY 2018","FY 2018","Currency=USD","Period=FY","BEST_FPERIOD_OVERRIDE=FY","FILING_STATUS=MR","Sort=A","Dates=H","DateFormat=P","Fill=—","Direction=H","UseDPDF=Y")</f>
        <v>—</v>
      </c>
      <c r="E47" s="12">
        <f>_xll.BDH("DD US Equity","COAL_USED","FY 2019","FY 2019","Currency=USD","Period=FY","BEST_FPERIOD_OVERRIDE=FY","FILING_STATUS=MR","Sort=A","Dates=H","DateFormat=P","Fill=—","Direction=H","UseDPDF=Y")</f>
        <v>1.39</v>
      </c>
      <c r="F47" s="12">
        <f>_xll.BDH("DD US Equity","COAL_USED","FY 2020","FY 2020","Currency=USD","Period=FY","BEST_FPERIOD_OVERRIDE=FY","FILING_STATUS=MR","Sort=A","Dates=H","DateFormat=P","Fill=—","Direction=H","UseDPDF=Y")</f>
        <v>1.1819999999999999</v>
      </c>
      <c r="G47" s="12">
        <f>_xll.BDH("DD US Equity","COAL_USED","FY 2021","FY 2021","Currency=USD","Period=FY","BEST_FPERIOD_OVERRIDE=FY","FILING_STATUS=MR","Sort=A","Dates=H","DateFormat=P","Fill=—","Direction=H","UseDPDF=Y")</f>
        <v>0</v>
      </c>
      <c r="H47" s="12" t="str">
        <f>_xll.BDH("DD US Equity","COAL_USED","FY 2022","FY 2022","Currency=USD","Period=FY","BEST_FPERIOD_OVERRIDE=FY","FILING_STATUS=MR","Sort=A","Dates=H","DateFormat=P","Fill=—","Direction=H","UseDPDF=Y")</f>
        <v>—</v>
      </c>
    </row>
    <row r="48" spans="1:8">
      <c r="A48" s="10" t="s">
        <v>84</v>
      </c>
      <c r="B48" s="10" t="s">
        <v>85</v>
      </c>
      <c r="C48" s="12">
        <f>_xll.BDH("DD US Equity","NAT_GAS_USED","FY 2017","FY 2017","Currency=USD","Period=FY","BEST_FPERIOD_OVERRIDE=FY","FILING_STATUS=MR","Sort=A","Dates=H","DateFormat=P","Fill=—","Direction=H","UseDPDF=Y")</f>
        <v>1555600</v>
      </c>
      <c r="D48" s="12" t="str">
        <f>_xll.BDH("DD US Equity","NAT_GAS_USED","FY 2018","FY 2018","Currency=USD","Period=FY","BEST_FPERIOD_OVERRIDE=FY","FILING_STATUS=MR","Sort=A","Dates=H","DateFormat=P","Fill=—","Direction=H","UseDPDF=Y")</f>
        <v>—</v>
      </c>
      <c r="E48" s="12">
        <f>_xll.BDH("DD US Equity","NAT_GAS_USED","FY 2019","FY 2019","Currency=USD","Period=FY","BEST_FPERIOD_OVERRIDE=FY","FILING_STATUS=MR","Sort=A","Dates=H","DateFormat=P","Fill=—","Direction=H","UseDPDF=Y")</f>
        <v>662189</v>
      </c>
      <c r="F48" s="12">
        <f>_xll.BDH("DD US Equity","NAT_GAS_USED","FY 2020","FY 2020","Currency=USD","Period=FY","BEST_FPERIOD_OVERRIDE=FY","FILING_STATUS=MR","Sort=A","Dates=H","DateFormat=P","Fill=—","Direction=H","UseDPDF=Y")</f>
        <v>662498</v>
      </c>
      <c r="G48" s="12">
        <f>_xll.BDH("DD US Equity","NAT_GAS_USED","FY 2021","FY 2021","Currency=USD","Period=FY","BEST_FPERIOD_OVERRIDE=FY","FILING_STATUS=MR","Sort=A","Dates=H","DateFormat=P","Fill=—","Direction=H","UseDPDF=Y")</f>
        <v>261908</v>
      </c>
      <c r="H48" s="12">
        <f>_xll.BDH("DD US Equity","NAT_GAS_USED","FY 2022","FY 2022","Currency=USD","Period=FY","BEST_FPERIOD_OVERRIDE=FY","FILING_STATUS=MR","Sort=A","Dates=H","DateFormat=P","Fill=—","Direction=H","UseDPDF=Y")</f>
        <v>198824</v>
      </c>
    </row>
    <row r="49" spans="1:8">
      <c r="A49" s="10" t="s">
        <v>86</v>
      </c>
      <c r="B49" s="10" t="s">
        <v>87</v>
      </c>
      <c r="C49" s="12">
        <f>_xll.BDH("DD US Equity","OIL_DIESEL_USED","FY 2017","FY 2017","Currency=USD","Period=FY","BEST_FPERIOD_OVERRIDE=FY","FILING_STATUS=MR","Sort=A","Dates=H","DateFormat=P","Fill=—","Direction=H","UseDPDF=Y")</f>
        <v>19.954000000000001</v>
      </c>
      <c r="D49" s="12" t="str">
        <f>_xll.BDH("DD US Equity","OIL_DIESEL_USED","FY 2018","FY 2018","Currency=USD","Period=FY","BEST_FPERIOD_OVERRIDE=FY","FILING_STATUS=MR","Sort=A","Dates=H","DateFormat=P","Fill=—","Direction=H","UseDPDF=Y")</f>
        <v>—</v>
      </c>
      <c r="E49" s="12">
        <f>_xll.BDH("DD US Equity","OIL_DIESEL_USED","FY 2019","FY 2019","Currency=USD","Period=FY","BEST_FPERIOD_OVERRIDE=FY","FILING_STATUS=MR","Sort=A","Dates=H","DateFormat=P","Fill=—","Direction=H","UseDPDF=Y")</f>
        <v>14.98</v>
      </c>
      <c r="F49" s="12">
        <f>_xll.BDH("DD US Equity","OIL_DIESEL_USED","FY 2020","FY 2020","Currency=USD","Period=FY","BEST_FPERIOD_OVERRIDE=FY","FILING_STATUS=MR","Sort=A","Dates=H","DateFormat=P","Fill=—","Direction=H","UseDPDF=Y")</f>
        <v>16.853999999999999</v>
      </c>
      <c r="G49" s="12">
        <f>_xll.BDH("DD US Equity","OIL_DIESEL_USED","FY 2021","FY 2021","Currency=USD","Period=FY","BEST_FPERIOD_OVERRIDE=FY","FILING_STATUS=MR","Sort=A","Dates=H","DateFormat=P","Fill=—","Direction=H","UseDPDF=Y")</f>
        <v>9.7539999999999996</v>
      </c>
      <c r="H49" s="12">
        <f>_xll.BDH("DD US Equity","OIL_DIESEL_USED","FY 2022","FY 2022","Currency=USD","Period=FY","BEST_FPERIOD_OVERRIDE=FY","FILING_STATUS=MR","Sort=A","Dates=H","DateFormat=P","Fill=—","Direction=H","UseDPDF=Y")</f>
        <v>4.4080000000000004</v>
      </c>
    </row>
    <row r="50" spans="1:8">
      <c r="A50" s="10" t="s">
        <v>88</v>
      </c>
      <c r="B50" s="10" t="s">
        <v>89</v>
      </c>
      <c r="C50" s="13" t="str">
        <f>_xll.BDH("DD US Equity","ENERGY_PER_UNIT_PRODUCTION","FY 2017","FY 2017","Currency=USD","Period=FY","BEST_FPERIOD_OVERRIDE=FY","FILING_STATUS=MR","Sort=A","Dates=H","DateFormat=P","Fill=—","Direction=H","UseDPDF=Y")</f>
        <v>—</v>
      </c>
      <c r="D50" s="13" t="str">
        <f>_xll.BDH("DD US Equity","ENERGY_PER_UNIT_PRODUCTION","FY 2018","FY 2018","Currency=USD","Period=FY","BEST_FPERIOD_OVERRIDE=FY","FILING_STATUS=MR","Sort=A","Dates=H","DateFormat=P","Fill=—","Direction=H","UseDPDF=Y")</f>
        <v>—</v>
      </c>
      <c r="E50" s="13">
        <f>_xll.BDH("DD US Equity","ENERGY_PER_UNIT_PRODUCTION","FY 2019","FY 2019","Currency=USD","Period=FY","BEST_FPERIOD_OVERRIDE=FY","FILING_STATUS=MR","Sort=A","Dates=H","DateFormat=P","Fill=—","Direction=H","UseDPDF=Y")</f>
        <v>6.75</v>
      </c>
      <c r="F50" s="13">
        <f>_xll.BDH("DD US Equity","ENERGY_PER_UNIT_PRODUCTION","FY 2020","FY 2020","Currency=USD","Period=FY","BEST_FPERIOD_OVERRIDE=FY","FILING_STATUS=MR","Sort=A","Dates=H","DateFormat=P","Fill=—","Direction=H","UseDPDF=Y")</f>
        <v>4.67</v>
      </c>
      <c r="G50" s="13">
        <f>_xll.BDH("DD US Equity","ENERGY_PER_UNIT_PRODUCTION","FY 2021","FY 2021","Currency=USD","Period=FY","BEST_FPERIOD_OVERRIDE=FY","FILING_STATUS=MR","Sort=A","Dates=H","DateFormat=P","Fill=—","Direction=H","UseDPDF=Y")</f>
        <v>3.84</v>
      </c>
      <c r="H50" s="13">
        <f>_xll.BDH("DD US Equity","ENERGY_PER_UNIT_PRODUCTION","FY 2022","FY 2022","Currency=USD","Period=FY","BEST_FPERIOD_OVERRIDE=FY","FILING_STATUS=MR","Sort=A","Dates=H","DateFormat=P","Fill=—","Direction=H","UseDPDF=Y")</f>
        <v>5.0599999999999996</v>
      </c>
    </row>
    <row r="51" spans="1:8">
      <c r="A51" s="10"/>
      <c r="B51" s="11"/>
      <c r="C51" s="11"/>
      <c r="D51" s="11"/>
      <c r="E51" s="11"/>
      <c r="F51" s="11"/>
      <c r="G51" s="11"/>
      <c r="H51" s="11"/>
    </row>
    <row r="52" spans="1:8">
      <c r="A52" s="10" t="s">
        <v>90</v>
      </c>
      <c r="B52" s="11"/>
      <c r="C52" s="11"/>
      <c r="D52" s="11"/>
      <c r="E52" s="11"/>
      <c r="F52" s="11"/>
      <c r="G52" s="11"/>
      <c r="H52" s="11"/>
    </row>
    <row r="53" spans="1:8">
      <c r="A53" s="10" t="s">
        <v>91</v>
      </c>
      <c r="B53" s="10" t="s">
        <v>92</v>
      </c>
      <c r="C53" s="11" t="s">
        <v>46</v>
      </c>
      <c r="D53" s="11" t="s">
        <v>46</v>
      </c>
      <c r="E53" s="11" t="s">
        <v>46</v>
      </c>
      <c r="F53" s="11" t="s">
        <v>46</v>
      </c>
      <c r="G53" s="11" t="s">
        <v>46</v>
      </c>
      <c r="H53" s="11" t="s">
        <v>46</v>
      </c>
    </row>
    <row r="54" spans="1:8">
      <c r="A54" s="10" t="s">
        <v>93</v>
      </c>
      <c r="B54" s="10" t="s">
        <v>94</v>
      </c>
      <c r="C54" s="12">
        <f>_xll.BDH("DD US Equity","HAZARDOUS_WASTE","FY 2017","FY 2017","Currency=USD","Period=FY","BEST_FPERIOD_OVERRIDE=FY","FILING_STATUS=MR","Sort=A","Dates=H","DateFormat=P","Fill=—","Direction=H","UseDPDF=Y")</f>
        <v>199.476</v>
      </c>
      <c r="D54" s="12" t="str">
        <f>_xll.BDH("DD US Equity","HAZARDOUS_WASTE","FY 2018","FY 2018","Currency=USD","Period=FY","BEST_FPERIOD_OVERRIDE=FY","FILING_STATUS=MR","Sort=A","Dates=H","DateFormat=P","Fill=—","Direction=H","UseDPDF=Y")</f>
        <v>—</v>
      </c>
      <c r="E54" s="12">
        <f>_xll.BDH("DD US Equity","HAZARDOUS_WASTE","FY 2019","FY 2019","Currency=USD","Period=FY","BEST_FPERIOD_OVERRIDE=FY","FILING_STATUS=MR","Sort=A","Dates=H","DateFormat=P","Fill=—","Direction=H","UseDPDF=Y")</f>
        <v>73.599999999999994</v>
      </c>
      <c r="F54" s="12">
        <f>_xll.BDH("DD US Equity","HAZARDOUS_WASTE","FY 2020","FY 2020","Currency=USD","Period=FY","BEST_FPERIOD_OVERRIDE=FY","FILING_STATUS=MR","Sort=A","Dates=H","DateFormat=P","Fill=—","Direction=H","UseDPDF=Y")</f>
        <v>70.2</v>
      </c>
      <c r="G54" s="12">
        <f>_xll.BDH("DD US Equity","HAZARDOUS_WASTE","FY 2021","FY 2021","Currency=USD","Period=FY","BEST_FPERIOD_OVERRIDE=FY","FILING_STATUS=MR","Sort=A","Dates=H","DateFormat=P","Fill=—","Direction=H","UseDPDF=Y")</f>
        <v>72</v>
      </c>
      <c r="H54" s="12">
        <f>_xll.BDH("DD US Equity","HAZARDOUS_WASTE","FY 2022","FY 2022","Currency=USD","Period=FY","BEST_FPERIOD_OVERRIDE=FY","FILING_STATUS=MR","Sort=A","Dates=H","DateFormat=P","Fill=—","Direction=H","UseDPDF=Y")</f>
        <v>52.671999999999997</v>
      </c>
    </row>
    <row r="55" spans="1:8">
      <c r="A55" s="10" t="s">
        <v>95</v>
      </c>
      <c r="B55" s="10" t="s">
        <v>96</v>
      </c>
      <c r="C55" s="12">
        <f>_xll.BDH("DD US Equity","TOTAL_WASTE","FY 2017","FY 2017","Currency=USD","Period=FY","BEST_FPERIOD_OVERRIDE=FY","FILING_STATUS=MR","Sort=A","Dates=H","DateFormat=P","Fill=—","Direction=H","UseDPDF=Y")</f>
        <v>286.74700000000001</v>
      </c>
      <c r="D55" s="12" t="str">
        <f>_xll.BDH("DD US Equity","TOTAL_WASTE","FY 2018","FY 2018","Currency=USD","Period=FY","BEST_FPERIOD_OVERRIDE=FY","FILING_STATUS=MR","Sort=A","Dates=H","DateFormat=P","Fill=—","Direction=H","UseDPDF=Y")</f>
        <v>—</v>
      </c>
      <c r="E55" s="12">
        <f>_xll.BDH("DD US Equity","TOTAL_WASTE","FY 2019","FY 2019","Currency=USD","Period=FY","BEST_FPERIOD_OVERRIDE=FY","FILING_STATUS=MR","Sort=A","Dates=H","DateFormat=P","Fill=—","Direction=H","UseDPDF=Y")</f>
        <v>183.4</v>
      </c>
      <c r="F55" s="12">
        <f>_xll.BDH("DD US Equity","TOTAL_WASTE","FY 2020","FY 2020","Currency=USD","Period=FY","BEST_FPERIOD_OVERRIDE=FY","FILING_STATUS=MR","Sort=A","Dates=H","DateFormat=P","Fill=—","Direction=H","UseDPDF=Y")</f>
        <v>178.5</v>
      </c>
      <c r="G55" s="12">
        <f>_xll.BDH("DD US Equity","TOTAL_WASTE","FY 2021","FY 2021","Currency=USD","Period=FY","BEST_FPERIOD_OVERRIDE=FY","FILING_STATUS=MR","Sort=A","Dates=H","DateFormat=P","Fill=—","Direction=H","UseDPDF=Y")</f>
        <v>378.3</v>
      </c>
      <c r="H55" s="12">
        <f>_xll.BDH("DD US Equity","TOTAL_WASTE","FY 2022","FY 2022","Currency=USD","Period=FY","BEST_FPERIOD_OVERRIDE=FY","FILING_STATUS=MR","Sort=A","Dates=H","DateFormat=P","Fill=—","Direction=H","UseDPDF=Y")</f>
        <v>329.2</v>
      </c>
    </row>
    <row r="56" spans="1:8">
      <c r="A56" s="10" t="s">
        <v>97</v>
      </c>
      <c r="B56" s="10" t="s">
        <v>98</v>
      </c>
      <c r="C56" s="12">
        <f>_xll.BDH("DD US Equity","WASTE_SENT_TO_LANDFILLS","FY 2017","FY 2017","Currency=USD","Period=FY","BEST_FPERIOD_OVERRIDE=FY","FILING_STATUS=MR","Sort=A","Dates=H","DateFormat=P","Fill=—","Direction=H","UseDPDF=Y")</f>
        <v>64.683999999999997</v>
      </c>
      <c r="D56" s="12" t="str">
        <f>_xll.BDH("DD US Equity","WASTE_SENT_TO_LANDFILLS","FY 2018","FY 2018","Currency=USD","Period=FY","BEST_FPERIOD_OVERRIDE=FY","FILING_STATUS=MR","Sort=A","Dates=H","DateFormat=P","Fill=—","Direction=H","UseDPDF=Y")</f>
        <v>—</v>
      </c>
      <c r="E56" s="12">
        <f>_xll.BDH("DD US Equity","WASTE_SENT_TO_LANDFILLS","FY 2019","FY 2019","Currency=USD","Period=FY","BEST_FPERIOD_OVERRIDE=FY","FILING_STATUS=MR","Sort=A","Dates=H","DateFormat=P","Fill=—","Direction=H","UseDPDF=Y")</f>
        <v>83.7</v>
      </c>
      <c r="F56" s="12">
        <f>_xll.BDH("DD US Equity","WASTE_SENT_TO_LANDFILLS","FY 2020","FY 2020","Currency=USD","Period=FY","BEST_FPERIOD_OVERRIDE=FY","FILING_STATUS=MR","Sort=A","Dates=H","DateFormat=P","Fill=—","Direction=H","UseDPDF=Y")</f>
        <v>80.5</v>
      </c>
      <c r="G56" s="12">
        <f>_xll.BDH("DD US Equity","WASTE_SENT_TO_LANDFILLS","FY 2021","FY 2021","Currency=USD","Period=FY","BEST_FPERIOD_OVERRIDE=FY","FILING_STATUS=MR","Sort=A","Dates=H","DateFormat=P","Fill=—","Direction=H","UseDPDF=Y")</f>
        <v>49.6</v>
      </c>
      <c r="H56" s="12">
        <f>_xll.BDH("DD US Equity","WASTE_SENT_TO_LANDFILLS","FY 2022","FY 2022","Currency=USD","Period=FY","BEST_FPERIOD_OVERRIDE=FY","FILING_STATUS=MR","Sort=A","Dates=H","DateFormat=P","Fill=—","Direction=H","UseDPDF=Y")</f>
        <v>46.5</v>
      </c>
    </row>
    <row r="57" spans="1:8">
      <c r="A57" s="10"/>
      <c r="B57" s="11"/>
      <c r="C57" s="11"/>
      <c r="D57" s="11"/>
      <c r="E57" s="11"/>
      <c r="F57" s="11"/>
      <c r="G57" s="11"/>
      <c r="H57" s="11"/>
    </row>
    <row r="58" spans="1:8">
      <c r="A58" s="10" t="s">
        <v>99</v>
      </c>
      <c r="B58" s="11"/>
      <c r="C58" s="11"/>
      <c r="D58" s="11"/>
      <c r="E58" s="11"/>
      <c r="F58" s="11"/>
      <c r="G58" s="11"/>
      <c r="H58" s="11"/>
    </row>
    <row r="59" spans="1:8">
      <c r="A59" s="10" t="s">
        <v>100</v>
      </c>
      <c r="B59" s="10" t="s">
        <v>101</v>
      </c>
      <c r="C59" s="11" t="s">
        <v>46</v>
      </c>
      <c r="D59" s="11" t="s">
        <v>46</v>
      </c>
      <c r="E59" s="11" t="s">
        <v>46</v>
      </c>
      <c r="F59" s="11" t="s">
        <v>46</v>
      </c>
      <c r="G59" s="11" t="s">
        <v>46</v>
      </c>
      <c r="H59" s="11" t="s">
        <v>46</v>
      </c>
    </row>
    <row r="60" spans="1:8">
      <c r="A60" s="10"/>
      <c r="B60" s="11"/>
      <c r="C60" s="11"/>
      <c r="D60" s="11"/>
      <c r="E60" s="11"/>
      <c r="F60" s="11"/>
      <c r="G60" s="11"/>
      <c r="H60" s="11"/>
    </row>
    <row r="61" spans="1:8">
      <c r="A61" s="10" t="s">
        <v>102</v>
      </c>
      <c r="B61" s="11"/>
      <c r="C61" s="11"/>
      <c r="D61" s="11"/>
      <c r="E61" s="11"/>
      <c r="F61" s="11"/>
      <c r="G61" s="11"/>
      <c r="H61" s="11"/>
    </row>
    <row r="62" spans="1:8">
      <c r="A62" s="10" t="s">
        <v>103</v>
      </c>
      <c r="B62" s="10" t="s">
        <v>104</v>
      </c>
      <c r="C62" s="11" t="s">
        <v>46</v>
      </c>
      <c r="D62" s="11" t="s">
        <v>46</v>
      </c>
      <c r="E62" s="11" t="s">
        <v>46</v>
      </c>
      <c r="F62" s="11" t="s">
        <v>46</v>
      </c>
      <c r="G62" s="11" t="s">
        <v>46</v>
      </c>
      <c r="H62" s="11" t="s">
        <v>46</v>
      </c>
    </row>
    <row r="63" spans="1:8">
      <c r="A63" s="10" t="s">
        <v>105</v>
      </c>
      <c r="B63" s="10" t="s">
        <v>106</v>
      </c>
      <c r="C63" s="12">
        <f>_xll.BDH("DD US Equity","TOTAL_WATER_WITHDRAWAL","FY 2017","FY 2017","Currency=USD","Period=FY","BEST_FPERIOD_OVERRIDE=FY","FILING_STATUS=MR","Sort=A","Dates=H","DateFormat=P","Fill=—","Direction=H","UseDPDF=Y")</f>
        <v>304649</v>
      </c>
      <c r="D63" s="12" t="str">
        <f>_xll.BDH("DD US Equity","TOTAL_WATER_WITHDRAWAL","FY 2018","FY 2018","Currency=USD","Period=FY","BEST_FPERIOD_OVERRIDE=FY","FILING_STATUS=MR","Sort=A","Dates=H","DateFormat=P","Fill=—","Direction=H","UseDPDF=Y")</f>
        <v>—</v>
      </c>
      <c r="E63" s="12">
        <f>_xll.BDH("DD US Equity","TOTAL_WATER_WITHDRAWAL","FY 2019","FY 2019","Currency=USD","Period=FY","BEST_FPERIOD_OVERRIDE=FY","FILING_STATUS=MR","Sort=A","Dates=H","DateFormat=P","Fill=—","Direction=H","UseDPDF=Y")</f>
        <v>179350</v>
      </c>
      <c r="F63" s="12">
        <f>_xll.BDH("DD US Equity","TOTAL_WATER_WITHDRAWAL","FY 2020","FY 2020","Currency=USD","Period=FY","BEST_FPERIOD_OVERRIDE=FY","FILING_STATUS=MR","Sort=A","Dates=H","DateFormat=P","Fill=—","Direction=H","UseDPDF=Y")</f>
        <v>172244</v>
      </c>
      <c r="G63" s="12">
        <f>_xll.BDH("DD US Equity","TOTAL_WATER_WITHDRAWAL","FY 2021","FY 2021","Currency=USD","Period=FY","BEST_FPERIOD_OVERRIDE=FY","FILING_STATUS=MR","Sort=A","Dates=H","DateFormat=P","Fill=—","Direction=H","UseDPDF=Y")</f>
        <v>106913</v>
      </c>
      <c r="H63" s="12">
        <f>_xll.BDH("DD US Equity","TOTAL_WATER_WITHDRAWAL","FY 2022","FY 2022","Currency=USD","Period=FY","BEST_FPERIOD_OVERRIDE=FY","FILING_STATUS=MR","Sort=A","Dates=H","DateFormat=P","Fill=—","Direction=H","UseDPDF=Y")</f>
        <v>93503.898000000001</v>
      </c>
    </row>
    <row r="64" spans="1:8">
      <c r="A64" s="10" t="s">
        <v>107</v>
      </c>
      <c r="B64" s="10" t="s">
        <v>108</v>
      </c>
      <c r="C64" s="12" t="str">
        <f>_xll.BDH("DD US Equity","TOTAL_WATER_DISCHARGED","FY 2017","FY 2017","Currency=USD","Period=FY","BEST_FPERIOD_OVERRIDE=FY","FILING_STATUS=MR","Sort=A","Dates=H","DateFormat=P","Fill=—","Direction=H","UseDPDF=Y")</f>
        <v>—</v>
      </c>
      <c r="D64" s="12" t="str">
        <f>_xll.BDH("DD US Equity","TOTAL_WATER_DISCHARGED","FY 2018","FY 2018","Currency=USD","Period=FY","BEST_FPERIOD_OVERRIDE=FY","FILING_STATUS=MR","Sort=A","Dates=H","DateFormat=P","Fill=—","Direction=H","UseDPDF=Y")</f>
        <v>—</v>
      </c>
      <c r="E64" s="12">
        <f>_xll.BDH("DD US Equity","TOTAL_WATER_DISCHARGED","FY 2019","FY 2019","Currency=USD","Period=FY","BEST_FPERIOD_OVERRIDE=FY","FILING_STATUS=MR","Sort=A","Dates=H","DateFormat=P","Fill=—","Direction=H","UseDPDF=Y")</f>
        <v>121568</v>
      </c>
      <c r="F64" s="12">
        <f>_xll.BDH("DD US Equity","TOTAL_WATER_DISCHARGED","FY 2020","FY 2020","Currency=USD","Period=FY","BEST_FPERIOD_OVERRIDE=FY","FILING_STATUS=MR","Sort=A","Dates=H","DateFormat=P","Fill=—","Direction=H","UseDPDF=Y")</f>
        <v>115200</v>
      </c>
      <c r="G64" s="12">
        <f>_xll.BDH("DD US Equity","TOTAL_WATER_DISCHARGED","FY 2021","FY 2021","Currency=USD","Period=FY","BEST_FPERIOD_OVERRIDE=FY","FILING_STATUS=MR","Sort=A","Dates=H","DateFormat=P","Fill=—","Direction=H","UseDPDF=Y")</f>
        <v>105090</v>
      </c>
      <c r="H64" s="12">
        <f>_xll.BDH("DD US Equity","TOTAL_WATER_DISCHARGED","FY 2022","FY 2022","Currency=USD","Period=FY","BEST_FPERIOD_OVERRIDE=FY","FILING_STATUS=MR","Sort=A","Dates=H","DateFormat=P","Fill=—","Direction=H","UseDPDF=Y")</f>
        <v>87447</v>
      </c>
    </row>
    <row r="65" spans="1:8">
      <c r="A65" s="10" t="s">
        <v>109</v>
      </c>
      <c r="B65" s="10" t="s">
        <v>110</v>
      </c>
      <c r="C65" s="12">
        <f>_xll.BDH("DD US Equity","WATER_CONSMPTN","FY 2017","FY 2017","Currency=USD","Period=FY","BEST_FPERIOD_OVERRIDE=FY","FILING_STATUS=MR","Sort=A","Dates=H","DateFormat=P","Fill=—","Direction=H","UseDPDF=Y")</f>
        <v>161356</v>
      </c>
      <c r="D65" s="12" t="str">
        <f>_xll.BDH("DD US Equity","WATER_CONSMPTN","FY 2018","FY 2018","Currency=USD","Period=FY","BEST_FPERIOD_OVERRIDE=FY","FILING_STATUS=MR","Sort=A","Dates=H","DateFormat=P","Fill=—","Direction=H","UseDPDF=Y")</f>
        <v>—</v>
      </c>
      <c r="E65" s="12">
        <f>_xll.BDH("DD US Equity","WATER_CONSMPTN","FY 2019","FY 2019","Currency=USD","Period=FY","BEST_FPERIOD_OVERRIDE=FY","FILING_STATUS=MR","Sort=A","Dates=H","DateFormat=P","Fill=—","Direction=H","UseDPDF=Y")</f>
        <v>57783</v>
      </c>
      <c r="F65" s="12">
        <f>_xll.BDH("DD US Equity","WATER_CONSMPTN","FY 2020","FY 2020","Currency=USD","Period=FY","BEST_FPERIOD_OVERRIDE=FY","FILING_STATUS=MR","Sort=A","Dates=H","DateFormat=P","Fill=—","Direction=H","UseDPDF=Y")</f>
        <v>57044</v>
      </c>
      <c r="G65" s="12">
        <f>_xll.BDH("DD US Equity","WATER_CONSMPTN","FY 2021","FY 2021","Currency=USD","Period=FY","BEST_FPERIOD_OVERRIDE=FY","FILING_STATUS=MR","Sort=A","Dates=H","DateFormat=P","Fill=—","Direction=H","UseDPDF=Y")</f>
        <v>13359</v>
      </c>
      <c r="H65" s="12">
        <f>_xll.BDH("DD US Equity","WATER_CONSMPTN","FY 2022","FY 2022","Currency=USD","Period=FY","BEST_FPERIOD_OVERRIDE=FY","FILING_STATUS=MR","Sort=A","Dates=H","DateFormat=P","Fill=—","Direction=H","UseDPDF=Y")</f>
        <v>7949.73</v>
      </c>
    </row>
    <row r="66" spans="1:8">
      <c r="A66" s="10"/>
      <c r="B66" s="11"/>
      <c r="C66" s="11"/>
      <c r="D66" s="11"/>
      <c r="E66" s="11"/>
      <c r="F66" s="11"/>
      <c r="G66" s="11"/>
      <c r="H66" s="11"/>
    </row>
    <row r="67" spans="1:8">
      <c r="A67" s="10" t="s">
        <v>111</v>
      </c>
      <c r="B67" s="11"/>
      <c r="C67" s="11"/>
      <c r="D67" s="11"/>
      <c r="E67" s="11"/>
      <c r="F67" s="11"/>
      <c r="G67" s="11"/>
      <c r="H67" s="11"/>
    </row>
    <row r="68" spans="1:8">
      <c r="A68" s="10" t="s">
        <v>112</v>
      </c>
      <c r="B68" s="11"/>
      <c r="C68" s="11"/>
      <c r="D68" s="11"/>
      <c r="E68" s="11"/>
      <c r="F68" s="11"/>
      <c r="G68" s="11"/>
      <c r="H68" s="11"/>
    </row>
    <row r="69" spans="1:8">
      <c r="A69" s="10" t="s">
        <v>113</v>
      </c>
      <c r="B69" s="10" t="s">
        <v>114</v>
      </c>
      <c r="C69" s="11" t="s">
        <v>46</v>
      </c>
      <c r="D69" s="11" t="s">
        <v>46</v>
      </c>
      <c r="E69" s="11" t="s">
        <v>46</v>
      </c>
      <c r="F69" s="11" t="s">
        <v>46</v>
      </c>
      <c r="G69" s="11" t="s">
        <v>46</v>
      </c>
      <c r="H69" s="11" t="s">
        <v>46</v>
      </c>
    </row>
    <row r="70" spans="1:8">
      <c r="A70" s="10" t="s">
        <v>115</v>
      </c>
      <c r="B70" s="10" t="s">
        <v>116</v>
      </c>
      <c r="C70" s="11" t="s">
        <v>46</v>
      </c>
      <c r="D70" s="11" t="s">
        <v>46</v>
      </c>
      <c r="E70" s="11" t="s">
        <v>46</v>
      </c>
      <c r="F70" s="11" t="s">
        <v>46</v>
      </c>
      <c r="G70" s="11" t="s">
        <v>46</v>
      </c>
      <c r="H70" s="11" t="s">
        <v>46</v>
      </c>
    </row>
    <row r="71" spans="1:8">
      <c r="A71" s="10" t="s">
        <v>117</v>
      </c>
      <c r="B71" s="10" t="s">
        <v>118</v>
      </c>
      <c r="C71" s="11" t="s">
        <v>51</v>
      </c>
      <c r="D71" s="11" t="s">
        <v>51</v>
      </c>
      <c r="E71" s="11" t="s">
        <v>51</v>
      </c>
      <c r="F71" s="11" t="s">
        <v>46</v>
      </c>
      <c r="G71" s="11" t="s">
        <v>46</v>
      </c>
      <c r="H71" s="11" t="s">
        <v>46</v>
      </c>
    </row>
    <row r="72" spans="1:8">
      <c r="A72" s="10" t="s">
        <v>119</v>
      </c>
      <c r="B72" s="10" t="s">
        <v>120</v>
      </c>
      <c r="C72" s="11" t="s">
        <v>46</v>
      </c>
      <c r="D72" s="11" t="s">
        <v>46</v>
      </c>
      <c r="E72" s="11" t="s">
        <v>46</v>
      </c>
      <c r="F72" s="11" t="s">
        <v>46</v>
      </c>
      <c r="G72" s="11" t="s">
        <v>46</v>
      </c>
      <c r="H72" s="11" t="s">
        <v>46</v>
      </c>
    </row>
    <row r="73" spans="1:8">
      <c r="A73" s="10"/>
      <c r="B73" s="11"/>
      <c r="C73" s="11"/>
      <c r="D73" s="11"/>
      <c r="E73" s="11"/>
      <c r="F73" s="11"/>
      <c r="G73" s="11"/>
      <c r="H73" s="11"/>
    </row>
    <row r="74" spans="1:8">
      <c r="A74" s="10" t="s">
        <v>121</v>
      </c>
      <c r="B74" s="11"/>
      <c r="C74" s="11"/>
      <c r="D74" s="11"/>
      <c r="E74" s="11"/>
      <c r="F74" s="11"/>
      <c r="G74" s="11"/>
      <c r="H74" s="11"/>
    </row>
    <row r="75" spans="1:8">
      <c r="A75" s="10" t="s">
        <v>122</v>
      </c>
      <c r="B75" s="10" t="s">
        <v>123</v>
      </c>
      <c r="C75" s="11" t="s">
        <v>46</v>
      </c>
      <c r="D75" s="11" t="s">
        <v>46</v>
      </c>
      <c r="E75" s="11" t="s">
        <v>46</v>
      </c>
      <c r="F75" s="11" t="s">
        <v>46</v>
      </c>
      <c r="G75" s="11" t="s">
        <v>46</v>
      </c>
      <c r="H75" s="11" t="s">
        <v>46</v>
      </c>
    </row>
    <row r="76" spans="1:8">
      <c r="A76" s="10" t="s">
        <v>124</v>
      </c>
      <c r="B76" s="10" t="s">
        <v>125</v>
      </c>
      <c r="C76" s="11" t="s">
        <v>51</v>
      </c>
      <c r="D76" s="11" t="s">
        <v>51</v>
      </c>
      <c r="E76" s="11" t="s">
        <v>46</v>
      </c>
      <c r="F76" s="11" t="s">
        <v>46</v>
      </c>
      <c r="G76" s="11" t="s">
        <v>46</v>
      </c>
      <c r="H76" s="11" t="s">
        <v>46</v>
      </c>
    </row>
    <row r="77" spans="1:8">
      <c r="A77" s="10" t="s">
        <v>126</v>
      </c>
      <c r="B77" s="10" t="s">
        <v>127</v>
      </c>
      <c r="C77" s="13" t="str">
        <f>_xll.BDH("DD US Equity","PCT_WOMEN_MGT","FY 2017","FY 2017","Currency=USD","Period=FY","BEST_FPERIOD_OVERRIDE=FY","FILING_STATUS=MR","Sort=A","Dates=H","DateFormat=P","Fill=—","Direction=H","UseDPDF=Y")</f>
        <v>—</v>
      </c>
      <c r="D77" s="13" t="str">
        <f>_xll.BDH("DD US Equity","PCT_WOMEN_MGT","FY 2018","FY 2018","Currency=USD","Period=FY","BEST_FPERIOD_OVERRIDE=FY","FILING_STATUS=MR","Sort=A","Dates=H","DateFormat=P","Fill=—","Direction=H","UseDPDF=Y")</f>
        <v>—</v>
      </c>
      <c r="E77" s="13">
        <f>_xll.BDH("DD US Equity","PCT_WOMEN_MGT","FY 2019","FY 2019","Currency=USD","Period=FY","BEST_FPERIOD_OVERRIDE=FY","FILING_STATUS=MR","Sort=A","Dates=H","DateFormat=P","Fill=—","Direction=H","UseDPDF=Y")</f>
        <v>38</v>
      </c>
      <c r="F77" s="13">
        <f>_xll.BDH("DD US Equity","PCT_WOMEN_MGT","FY 2020","FY 2020","Currency=USD","Period=FY","BEST_FPERIOD_OVERRIDE=FY","FILING_STATUS=MR","Sort=A","Dates=H","DateFormat=P","Fill=—","Direction=H","UseDPDF=Y")</f>
        <v>23</v>
      </c>
      <c r="G77" s="13">
        <f>_xll.BDH("DD US Equity","PCT_WOMEN_MGT","FY 2021","FY 2021","Currency=USD","Period=FY","BEST_FPERIOD_OVERRIDE=FY","FILING_STATUS=MR","Sort=A","Dates=H","DateFormat=P","Fill=—","Direction=H","UseDPDF=Y")</f>
        <v>26</v>
      </c>
      <c r="H77" s="13">
        <f>_xll.BDH("DD US Equity","PCT_WOMEN_MGT","FY 2022","FY 2022","Currency=USD","Period=FY","BEST_FPERIOD_OVERRIDE=FY","FILING_STATUS=MR","Sort=A","Dates=H","DateFormat=P","Fill=—","Direction=H","UseDPDF=Y")</f>
        <v>27</v>
      </c>
    </row>
    <row r="78" spans="1:8">
      <c r="A78" s="10" t="s">
        <v>128</v>
      </c>
      <c r="B78" s="10" t="s">
        <v>129</v>
      </c>
      <c r="C78" s="13" t="str">
        <f>_xll.BDH("DD US Equity","PCT_WOMEN_IN_MID_AND_OTHER_MGMT","FY 2017","FY 2017","Currency=USD","Period=FY","BEST_FPERIOD_OVERRIDE=FY","FILING_STATUS=MR","Sort=A","Dates=H","DateFormat=P","Fill=—","Direction=H","UseDPDF=Y")</f>
        <v>—</v>
      </c>
      <c r="D78" s="13">
        <f>_xll.BDH("DD US Equity","PCT_WOMEN_IN_MID_AND_OTHER_MGMT","FY 2018","FY 2018","Currency=USD","Period=FY","BEST_FPERIOD_OVERRIDE=FY","FILING_STATUS=MR","Sort=A","Dates=H","DateFormat=P","Fill=—","Direction=H","UseDPDF=Y")</f>
        <v>26.57</v>
      </c>
      <c r="E78" s="13">
        <f>_xll.BDH("DD US Equity","PCT_WOMEN_IN_MID_AND_OTHER_MGMT","FY 2019","FY 2019","Currency=USD","Period=FY","BEST_FPERIOD_OVERRIDE=FY","FILING_STATUS=MR","Sort=A","Dates=H","DateFormat=P","Fill=—","Direction=H","UseDPDF=Y")</f>
        <v>24</v>
      </c>
      <c r="F78" s="13">
        <f>_xll.BDH("DD US Equity","PCT_WOMEN_IN_MID_AND_OTHER_MGMT","FY 2020","FY 2020","Currency=USD","Period=FY","BEST_FPERIOD_OVERRIDE=FY","FILING_STATUS=MR","Sort=A","Dates=H","DateFormat=P","Fill=—","Direction=H","UseDPDF=Y")</f>
        <v>28</v>
      </c>
      <c r="G78" s="13">
        <f>_xll.BDH("DD US Equity","PCT_WOMEN_IN_MID_AND_OTHER_MGMT","FY 2021","FY 2021","Currency=USD","Period=FY","BEST_FPERIOD_OVERRIDE=FY","FILING_STATUS=MR","Sort=A","Dates=H","DateFormat=P","Fill=—","Direction=H","UseDPDF=Y")</f>
        <v>26</v>
      </c>
      <c r="H78" s="13">
        <f>_xll.BDH("DD US Equity","PCT_WOMEN_IN_MID_AND_OTHER_MGMT","FY 2022","FY 2022","Currency=USD","Period=FY","BEST_FPERIOD_OVERRIDE=FY","FILING_STATUS=MR","Sort=A","Dates=H","DateFormat=P","Fill=—","Direction=H","UseDPDF=Y")</f>
        <v>27</v>
      </c>
    </row>
    <row r="79" spans="1:8">
      <c r="A79" s="10" t="s">
        <v>130</v>
      </c>
      <c r="B79" s="10" t="s">
        <v>131</v>
      </c>
      <c r="C79" s="13" t="str">
        <f>_xll.BDH("DD US Equity","PCT_WOMEN_EMPLOYEES","FY 2017","FY 2017","Currency=USD","Period=FY","BEST_FPERIOD_OVERRIDE=FY","FILING_STATUS=MR","Sort=A","Dates=H","DateFormat=P","Fill=—","Direction=H","UseDPDF=Y")</f>
        <v>—</v>
      </c>
      <c r="D79" s="13">
        <f>_xll.BDH("DD US Equity","PCT_WOMEN_EMPLOYEES","FY 2018","FY 2018","Currency=USD","Period=FY","BEST_FPERIOD_OVERRIDE=FY","FILING_STATUS=MR","Sort=A","Dates=H","DateFormat=P","Fill=—","Direction=H","UseDPDF=Y")</f>
        <v>30.06</v>
      </c>
      <c r="E79" s="13">
        <f>_xll.BDH("DD US Equity","PCT_WOMEN_EMPLOYEES","FY 2019","FY 2019","Currency=USD","Period=FY","BEST_FPERIOD_OVERRIDE=FY","FILING_STATUS=MR","Sort=A","Dates=H","DateFormat=P","Fill=—","Direction=H","UseDPDF=Y")</f>
        <v>29</v>
      </c>
      <c r="F79" s="13">
        <f>_xll.BDH("DD US Equity","PCT_WOMEN_EMPLOYEES","FY 2020","FY 2020","Currency=USD","Period=FY","BEST_FPERIOD_OVERRIDE=FY","FILING_STATUS=MR","Sort=A","Dates=H","DateFormat=P","Fill=—","Direction=H","UseDPDF=Y")</f>
        <v>29</v>
      </c>
      <c r="G79" s="13">
        <f>_xll.BDH("DD US Equity","PCT_WOMEN_EMPLOYEES","FY 2021","FY 2021","Currency=USD","Period=FY","BEST_FPERIOD_OVERRIDE=FY","FILING_STATUS=MR","Sort=A","Dates=H","DateFormat=P","Fill=—","Direction=H","UseDPDF=Y")</f>
        <v>28</v>
      </c>
      <c r="H79" s="13">
        <f>_xll.BDH("DD US Equity","PCT_WOMEN_EMPLOYEES","FY 2022","FY 2022","Currency=USD","Period=FY","BEST_FPERIOD_OVERRIDE=FY","FILING_STATUS=MR","Sort=A","Dates=H","DateFormat=P","Fill=—","Direction=H","UseDPDF=Y")</f>
        <v>31</v>
      </c>
    </row>
    <row r="80" spans="1:8">
      <c r="A80" s="10" t="s">
        <v>132</v>
      </c>
      <c r="B80" s="10" t="s">
        <v>133</v>
      </c>
      <c r="C80" s="13" t="str">
        <f>_xll.BDH("DD US Equity","PCT_MINORITY_MGT","FY 2017","FY 2017","Currency=USD","Period=FY","BEST_FPERIOD_OVERRIDE=FY","FILING_STATUS=MR","Sort=A","Dates=H","DateFormat=P","Fill=—","Direction=H","UseDPDF=Y")</f>
        <v>—</v>
      </c>
      <c r="D80" s="13" t="str">
        <f>_xll.BDH("DD US Equity","PCT_MINORITY_MGT","FY 2018","FY 2018","Currency=USD","Period=FY","BEST_FPERIOD_OVERRIDE=FY","FILING_STATUS=MR","Sort=A","Dates=H","DateFormat=P","Fill=—","Direction=H","UseDPDF=Y")</f>
        <v>—</v>
      </c>
      <c r="E80" s="13" t="str">
        <f>_xll.BDH("DD US Equity","PCT_MINORITY_MGT","FY 2019","FY 2019","Currency=USD","Period=FY","BEST_FPERIOD_OVERRIDE=FY","FILING_STATUS=MR","Sort=A","Dates=H","DateFormat=P","Fill=—","Direction=H","UseDPDF=Y")</f>
        <v>—</v>
      </c>
      <c r="F80" s="13" t="str">
        <f>_xll.BDH("DD US Equity","PCT_MINORITY_MGT","FY 2020","FY 2020","Currency=USD","Period=FY","BEST_FPERIOD_OVERRIDE=FY","FILING_STATUS=MR","Sort=A","Dates=H","DateFormat=P","Fill=—","Direction=H","UseDPDF=Y")</f>
        <v>—</v>
      </c>
      <c r="G80" s="13" t="str">
        <f>_xll.BDH("DD US Equity","PCT_MINORITY_MGT","FY 2021","FY 2021","Currency=USD","Period=FY","BEST_FPERIOD_OVERRIDE=FY","FILING_STATUS=MR","Sort=A","Dates=H","DateFormat=P","Fill=—","Direction=H","UseDPDF=Y")</f>
        <v>—</v>
      </c>
      <c r="H80" s="13">
        <f>_xll.BDH("DD US Equity","PCT_MINORITY_MGT","FY 2022","FY 2022","Currency=USD","Period=FY","BEST_FPERIOD_OVERRIDE=FY","FILING_STATUS=MR","Sort=A","Dates=H","DateFormat=P","Fill=—","Direction=H","UseDPDF=Y")</f>
        <v>35</v>
      </c>
    </row>
    <row r="81" spans="1:8">
      <c r="A81" s="10" t="s">
        <v>134</v>
      </c>
      <c r="B81" s="10" t="s">
        <v>135</v>
      </c>
      <c r="C81" s="13" t="str">
        <f>_xll.BDH("DD US Equity","PCT_MINORITY_EMPLOYEES","FY 2017","FY 2017","Currency=USD","Period=FY","BEST_FPERIOD_OVERRIDE=FY","FILING_STATUS=MR","Sort=A","Dates=H","DateFormat=P","Fill=—","Direction=H","UseDPDF=Y")</f>
        <v>—</v>
      </c>
      <c r="D81" s="13" t="str">
        <f>_xll.BDH("DD US Equity","PCT_MINORITY_EMPLOYEES","FY 2018","FY 2018","Currency=USD","Period=FY","BEST_FPERIOD_OVERRIDE=FY","FILING_STATUS=MR","Sort=A","Dates=H","DateFormat=P","Fill=—","Direction=H","UseDPDF=Y")</f>
        <v>—</v>
      </c>
      <c r="E81" s="13" t="str">
        <f>_xll.BDH("DD US Equity","PCT_MINORITY_EMPLOYEES","FY 2019","FY 2019","Currency=USD","Period=FY","BEST_FPERIOD_OVERRIDE=FY","FILING_STATUS=MR","Sort=A","Dates=H","DateFormat=P","Fill=—","Direction=H","UseDPDF=Y")</f>
        <v>—</v>
      </c>
      <c r="F81" s="13" t="str">
        <f>_xll.BDH("DD US Equity","PCT_MINORITY_EMPLOYEES","FY 2020","FY 2020","Currency=USD","Period=FY","BEST_FPERIOD_OVERRIDE=FY","FILING_STATUS=MR","Sort=A","Dates=H","DateFormat=P","Fill=—","Direction=H","UseDPDF=Y")</f>
        <v>—</v>
      </c>
      <c r="G81" s="13" t="str">
        <f>_xll.BDH("DD US Equity","PCT_MINORITY_EMPLOYEES","FY 2021","FY 2021","Currency=USD","Period=FY","BEST_FPERIOD_OVERRIDE=FY","FILING_STATUS=MR","Sort=A","Dates=H","DateFormat=P","Fill=—","Direction=H","UseDPDF=Y")</f>
        <v>—</v>
      </c>
      <c r="H81" s="13">
        <f>_xll.BDH("DD US Equity","PCT_MINORITY_EMPLOYEES","FY 2022","FY 2022","Currency=USD","Period=FY","BEST_FPERIOD_OVERRIDE=FY","FILING_STATUS=MR","Sort=A","Dates=H","DateFormat=P","Fill=—","Direction=H","UseDPDF=Y")</f>
        <v>33</v>
      </c>
    </row>
    <row r="82" spans="1:8">
      <c r="A82" s="10" t="s">
        <v>136</v>
      </c>
      <c r="B82" s="10" t="s">
        <v>137</v>
      </c>
      <c r="C82" s="13" t="str">
        <f>_xll.BDH("DD US Equity","GENDER_PAY_GAP_WATERFALL","FY 2017","FY 2017","Currency=USD","Period=FY","BEST_FPERIOD_OVERRIDE=FY","FILING_STATUS=MR","Sort=A","Dates=H","DateFormat=P","Fill=—","Direction=H","UseDPDF=Y")</f>
        <v>—</v>
      </c>
      <c r="D82" s="13" t="str">
        <f>_xll.BDH("DD US Equity","GENDER_PAY_GAP_WATERFALL","FY 2018","FY 2018","Currency=USD","Period=FY","BEST_FPERIOD_OVERRIDE=FY","FILING_STATUS=MR","Sort=A","Dates=H","DateFormat=P","Fill=—","Direction=H","UseDPDF=Y")</f>
        <v>—</v>
      </c>
      <c r="E82" s="13">
        <f>_xll.BDH("DD US Equity","GENDER_PAY_GAP_WATERFALL","FY 2019","FY 2019","Currency=USD","Period=FY","BEST_FPERIOD_OVERRIDE=FY","FILING_STATUS=MR","Sort=A","Dates=H","DateFormat=P","Fill=—","Direction=H","UseDPDF=Y")</f>
        <v>4</v>
      </c>
      <c r="F82" s="13">
        <f>_xll.BDH("DD US Equity","GENDER_PAY_GAP_WATERFALL","FY 2020","FY 2020","Currency=USD","Period=FY","BEST_FPERIOD_OVERRIDE=FY","FILING_STATUS=MR","Sort=A","Dates=H","DateFormat=P","Fill=—","Direction=H","UseDPDF=Y")</f>
        <v>17</v>
      </c>
      <c r="G82" s="13" t="str">
        <f>_xll.BDH("DD US Equity","GENDER_PAY_GAP_WATERFALL","FY 2021","FY 2021","Currency=USD","Period=FY","BEST_FPERIOD_OVERRIDE=FY","FILING_STATUS=MR","Sort=A","Dates=H","DateFormat=P","Fill=—","Direction=H","UseDPDF=Y")</f>
        <v>—</v>
      </c>
      <c r="H82" s="13" t="str">
        <f>_xll.BDH("DD US Equity","GENDER_PAY_GAP_WATERFALL","FY 2022","FY 2022","Currency=USD","Period=FY","BEST_FPERIOD_OVERRIDE=FY","FILING_STATUS=MR","Sort=A","Dates=H","DateFormat=P","Fill=—","Direction=H","UseDPDF=Y")</f>
        <v>—</v>
      </c>
    </row>
    <row r="83" spans="1:8">
      <c r="A83" s="10"/>
      <c r="B83" s="11"/>
      <c r="C83" s="11"/>
      <c r="D83" s="11"/>
      <c r="E83" s="11"/>
      <c r="F83" s="11"/>
      <c r="G83" s="11"/>
      <c r="H83" s="11"/>
    </row>
    <row r="84" spans="1:8">
      <c r="A84" s="10" t="s">
        <v>138</v>
      </c>
      <c r="B84" s="11"/>
      <c r="C84" s="11"/>
      <c r="D84" s="11"/>
      <c r="E84" s="11"/>
      <c r="F84" s="11"/>
      <c r="G84" s="11"/>
      <c r="H84" s="11"/>
    </row>
    <row r="85" spans="1:8">
      <c r="A85" s="10" t="s">
        <v>139</v>
      </c>
      <c r="B85" s="10" t="s">
        <v>140</v>
      </c>
      <c r="C85" s="11" t="s">
        <v>46</v>
      </c>
      <c r="D85" s="11" t="s">
        <v>46</v>
      </c>
      <c r="E85" s="11" t="s">
        <v>46</v>
      </c>
      <c r="F85" s="11" t="s">
        <v>46</v>
      </c>
      <c r="G85" s="11" t="s">
        <v>46</v>
      </c>
      <c r="H85" s="11" t="s">
        <v>46</v>
      </c>
    </row>
    <row r="86" spans="1:8">
      <c r="A86" s="10" t="s">
        <v>141</v>
      </c>
      <c r="B86" s="10" t="s">
        <v>142</v>
      </c>
      <c r="C86" s="11" t="s">
        <v>46</v>
      </c>
      <c r="D86" s="11" t="s">
        <v>46</v>
      </c>
      <c r="E86" s="11" t="s">
        <v>46</v>
      </c>
      <c r="F86" s="11" t="s">
        <v>46</v>
      </c>
      <c r="G86" s="11" t="s">
        <v>46</v>
      </c>
      <c r="H86" s="11" t="s">
        <v>46</v>
      </c>
    </row>
    <row r="87" spans="1:8">
      <c r="A87" s="10"/>
      <c r="B87" s="11"/>
      <c r="C87" s="11"/>
      <c r="D87" s="11"/>
      <c r="E87" s="11"/>
      <c r="F87" s="11"/>
      <c r="G87" s="11"/>
      <c r="H87" s="11"/>
    </row>
    <row r="88" spans="1:8">
      <c r="A88" s="10" t="s">
        <v>143</v>
      </c>
      <c r="B88" s="11"/>
      <c r="C88" s="11"/>
      <c r="D88" s="11"/>
      <c r="E88" s="11"/>
      <c r="F88" s="11"/>
      <c r="G88" s="11"/>
      <c r="H88" s="11"/>
    </row>
    <row r="89" spans="1:8">
      <c r="A89" s="10" t="s">
        <v>144</v>
      </c>
      <c r="B89" s="10" t="s">
        <v>145</v>
      </c>
      <c r="C89" s="11" t="s">
        <v>46</v>
      </c>
      <c r="D89" s="11" t="s">
        <v>46</v>
      </c>
      <c r="E89" s="11" t="s">
        <v>46</v>
      </c>
      <c r="F89" s="11" t="s">
        <v>46</v>
      </c>
      <c r="G89" s="11" t="s">
        <v>46</v>
      </c>
      <c r="H89" s="11" t="s">
        <v>46</v>
      </c>
    </row>
    <row r="90" spans="1:8">
      <c r="A90" s="10" t="s">
        <v>146</v>
      </c>
      <c r="B90" s="10" t="s">
        <v>147</v>
      </c>
      <c r="C90" s="13">
        <f>_xll.BDH("DD US Equity","FATALITIES_EMPLOYEES","FY 2017","FY 2017","Currency=USD","Period=FY","BEST_FPERIOD_OVERRIDE=FY","FILING_STATUS=MR","Sort=A","Dates=H","DateFormat=P","Fill=—","Direction=H","UseDPDF=Y")</f>
        <v>1</v>
      </c>
      <c r="D90" s="13" t="str">
        <f>_xll.BDH("DD US Equity","FATALITIES_EMPLOYEES","FY 2018","FY 2018","Currency=USD","Period=FY","BEST_FPERIOD_OVERRIDE=FY","FILING_STATUS=MR","Sort=A","Dates=H","DateFormat=P","Fill=—","Direction=H","UseDPDF=Y")</f>
        <v>—</v>
      </c>
      <c r="E90" s="13">
        <f>_xll.BDH("DD US Equity","FATALITIES_EMPLOYEES","FY 2019","FY 2019","Currency=USD","Period=FY","BEST_FPERIOD_OVERRIDE=FY","FILING_STATUS=MR","Sort=A","Dates=H","DateFormat=P","Fill=—","Direction=H","UseDPDF=Y")</f>
        <v>0</v>
      </c>
      <c r="F90" s="13">
        <f>_xll.BDH("DD US Equity","FATALITIES_EMPLOYEES","FY 2020","FY 2020","Currency=USD","Period=FY","BEST_FPERIOD_OVERRIDE=FY","FILING_STATUS=MR","Sort=A","Dates=H","DateFormat=P","Fill=—","Direction=H","UseDPDF=Y")</f>
        <v>0</v>
      </c>
      <c r="G90" s="13">
        <f>_xll.BDH("DD US Equity","FATALITIES_EMPLOYEES","FY 2021","FY 2021","Currency=USD","Period=FY","BEST_FPERIOD_OVERRIDE=FY","FILING_STATUS=MR","Sort=A","Dates=H","DateFormat=P","Fill=—","Direction=H","UseDPDF=Y")</f>
        <v>0</v>
      </c>
      <c r="H90" s="13">
        <f>_xll.BDH("DD US Equity","FATALITIES_EMPLOYEES","FY 2022","FY 2022","Currency=USD","Period=FY","BEST_FPERIOD_OVERRIDE=FY","FILING_STATUS=MR","Sort=A","Dates=H","DateFormat=P","Fill=—","Direction=H","UseDPDF=Y")</f>
        <v>0</v>
      </c>
    </row>
    <row r="91" spans="1:8">
      <c r="A91" s="10" t="s">
        <v>148</v>
      </c>
      <c r="B91" s="10" t="s">
        <v>149</v>
      </c>
      <c r="C91" s="13">
        <f>_xll.BDH("DD US Equity","FATALITIES_CONTRACTORS","FY 2017","FY 2017","Currency=USD","Period=FY","BEST_FPERIOD_OVERRIDE=FY","FILING_STATUS=MR","Sort=A","Dates=H","DateFormat=P","Fill=—","Direction=H","UseDPDF=Y")</f>
        <v>1</v>
      </c>
      <c r="D91" s="13" t="str">
        <f>_xll.BDH("DD US Equity","FATALITIES_CONTRACTORS","FY 2018","FY 2018","Currency=USD","Period=FY","BEST_FPERIOD_OVERRIDE=FY","FILING_STATUS=MR","Sort=A","Dates=H","DateFormat=P","Fill=—","Direction=H","UseDPDF=Y")</f>
        <v>—</v>
      </c>
      <c r="E91" s="13">
        <f>_xll.BDH("DD US Equity","FATALITIES_CONTRACTORS","FY 2019","FY 2019","Currency=USD","Period=FY","BEST_FPERIOD_OVERRIDE=FY","FILING_STATUS=MR","Sort=A","Dates=H","DateFormat=P","Fill=—","Direction=H","UseDPDF=Y")</f>
        <v>0</v>
      </c>
      <c r="F91" s="13">
        <f>_xll.BDH("DD US Equity","FATALITIES_CONTRACTORS","FY 2020","FY 2020","Currency=USD","Period=FY","BEST_FPERIOD_OVERRIDE=FY","FILING_STATUS=MR","Sort=A","Dates=H","DateFormat=P","Fill=—","Direction=H","UseDPDF=Y")</f>
        <v>1</v>
      </c>
      <c r="G91" s="13">
        <f>_xll.BDH("DD US Equity","FATALITIES_CONTRACTORS","FY 2021","FY 2021","Currency=USD","Period=FY","BEST_FPERIOD_OVERRIDE=FY","FILING_STATUS=MR","Sort=A","Dates=H","DateFormat=P","Fill=—","Direction=H","UseDPDF=Y")</f>
        <v>0</v>
      </c>
      <c r="H91" s="13">
        <f>_xll.BDH("DD US Equity","FATALITIES_CONTRACTORS","FY 2022","FY 2022","Currency=USD","Period=FY","BEST_FPERIOD_OVERRIDE=FY","FILING_STATUS=MR","Sort=A","Dates=H","DateFormat=P","Fill=—","Direction=H","UseDPDF=Y")</f>
        <v>0</v>
      </c>
    </row>
    <row r="92" spans="1:8">
      <c r="A92" s="10" t="s">
        <v>150</v>
      </c>
      <c r="B92" s="10" t="s">
        <v>151</v>
      </c>
      <c r="C92" s="13">
        <f>_xll.BDH("DD US Equity","FATALITIES_TOTAL","FY 2017","FY 2017","Currency=USD","Period=FY","BEST_FPERIOD_OVERRIDE=FY","FILING_STATUS=MR","Sort=A","Dates=H","DateFormat=P","Fill=—","Direction=H","UseDPDF=Y")</f>
        <v>2</v>
      </c>
      <c r="D92" s="13" t="str">
        <f>_xll.BDH("DD US Equity","FATALITIES_TOTAL","FY 2018","FY 2018","Currency=USD","Period=FY","BEST_FPERIOD_OVERRIDE=FY","FILING_STATUS=MR","Sort=A","Dates=H","DateFormat=P","Fill=—","Direction=H","UseDPDF=Y")</f>
        <v>—</v>
      </c>
      <c r="E92" s="13">
        <f>_xll.BDH("DD US Equity","FATALITIES_TOTAL","FY 2019","FY 2019","Currency=USD","Period=FY","BEST_FPERIOD_OVERRIDE=FY","FILING_STATUS=MR","Sort=A","Dates=H","DateFormat=P","Fill=—","Direction=H","UseDPDF=Y")</f>
        <v>0</v>
      </c>
      <c r="F92" s="13">
        <f>_xll.BDH("DD US Equity","FATALITIES_TOTAL","FY 2020","FY 2020","Currency=USD","Period=FY","BEST_FPERIOD_OVERRIDE=FY","FILING_STATUS=MR","Sort=A","Dates=H","DateFormat=P","Fill=—","Direction=H","UseDPDF=Y")</f>
        <v>1</v>
      </c>
      <c r="G92" s="13">
        <f>_xll.BDH("DD US Equity","FATALITIES_TOTAL","FY 2021","FY 2021","Currency=USD","Period=FY","BEST_FPERIOD_OVERRIDE=FY","FILING_STATUS=MR","Sort=A","Dates=H","DateFormat=P","Fill=—","Direction=H","UseDPDF=Y")</f>
        <v>0</v>
      </c>
      <c r="H92" s="13">
        <f>_xll.BDH("DD US Equity","FATALITIES_TOTAL","FY 2022","FY 2022","Currency=USD","Period=FY","BEST_FPERIOD_OVERRIDE=FY","FILING_STATUS=MR","Sort=A","Dates=H","DateFormat=P","Fill=—","Direction=H","UseDPDF=Y")</f>
        <v>0</v>
      </c>
    </row>
    <row r="93" spans="1:8">
      <c r="A93" s="10" t="s">
        <v>152</v>
      </c>
      <c r="B93" s="10" t="s">
        <v>153</v>
      </c>
      <c r="C93" s="13">
        <f>_xll.BDH("DD US Equity","LOST_TIME_INCIDENT_RATE","FY 2017","FY 2017","Currency=USD","Period=FY","BEST_FPERIOD_OVERRIDE=FY","FILING_STATUS=MR","Sort=A","Dates=H","DateFormat=P","Fill=—","Direction=H","UseDPDF=Y")</f>
        <v>6.4000000000000001E-2</v>
      </c>
      <c r="D93" s="13" t="str">
        <f>_xll.BDH("DD US Equity","LOST_TIME_INCIDENT_RATE","FY 2018","FY 2018","Currency=USD","Period=FY","BEST_FPERIOD_OVERRIDE=FY","FILING_STATUS=MR","Sort=A","Dates=H","DateFormat=P","Fill=—","Direction=H","UseDPDF=Y")</f>
        <v>—</v>
      </c>
      <c r="E93" s="13">
        <f>_xll.BDH("DD US Equity","LOST_TIME_INCIDENT_RATE","FY 2019","FY 2019","Currency=USD","Period=FY","BEST_FPERIOD_OVERRIDE=FY","FILING_STATUS=MR","Sort=A","Dates=H","DateFormat=P","Fill=—","Direction=H","UseDPDF=Y")</f>
        <v>4.9000000000000002E-2</v>
      </c>
      <c r="F93" s="13">
        <f>_xll.BDH("DD US Equity","LOST_TIME_INCIDENT_RATE","FY 2020","FY 2020","Currency=USD","Period=FY","BEST_FPERIOD_OVERRIDE=FY","FILING_STATUS=MR","Sort=A","Dates=H","DateFormat=P","Fill=—","Direction=H","UseDPDF=Y")</f>
        <v>4.7E-2</v>
      </c>
      <c r="G93" s="13">
        <f>_xll.BDH("DD US Equity","LOST_TIME_INCIDENT_RATE","FY 2021","FY 2021","Currency=USD","Period=FY","BEST_FPERIOD_OVERRIDE=FY","FILING_STATUS=MR","Sort=A","Dates=H","DateFormat=P","Fill=—","Direction=H","UseDPDF=Y")</f>
        <v>0.05</v>
      </c>
      <c r="H93" s="13">
        <f>_xll.BDH("DD US Equity","LOST_TIME_INCIDENT_RATE","FY 2022","FY 2022","Currency=USD","Period=FY","BEST_FPERIOD_OVERRIDE=FY","FILING_STATUS=MR","Sort=A","Dates=H","DateFormat=P","Fill=—","Direction=H","UseDPDF=Y")</f>
        <v>0.02</v>
      </c>
    </row>
    <row r="94" spans="1:8">
      <c r="A94" s="10" t="s">
        <v>154</v>
      </c>
      <c r="B94" s="10" t="s">
        <v>155</v>
      </c>
      <c r="C94" s="13">
        <f>_xll.BDH("DD US Equity","LOST_TIME_INCIDENT_RT_CNTRCTR","FY 2017","FY 2017","Currency=USD","Period=FY","BEST_FPERIOD_OVERRIDE=FY","FILING_STATUS=MR","Sort=A","Dates=H","DateFormat=P","Fill=—","Direction=H","UseDPDF=Y")</f>
        <v>6.4000000000000001E-2</v>
      </c>
      <c r="D94" s="13" t="str">
        <f>_xll.BDH("DD US Equity","LOST_TIME_INCIDENT_RT_CNTRCTR","FY 2018","FY 2018","Currency=USD","Period=FY","BEST_FPERIOD_OVERRIDE=FY","FILING_STATUS=MR","Sort=A","Dates=H","DateFormat=P","Fill=—","Direction=H","UseDPDF=Y")</f>
        <v>—</v>
      </c>
      <c r="E94" s="13">
        <f>_xll.BDH("DD US Equity","LOST_TIME_INCIDENT_RT_CNTRCTR","FY 2019","FY 2019","Currency=USD","Period=FY","BEST_FPERIOD_OVERRIDE=FY","FILING_STATUS=MR","Sort=A","Dates=H","DateFormat=P","Fill=—","Direction=H","UseDPDF=Y")</f>
        <v>3.5000000000000003E-2</v>
      </c>
      <c r="F94" s="13">
        <f>_xll.BDH("DD US Equity","LOST_TIME_INCIDENT_RT_CNTRCTR","FY 2020","FY 2020","Currency=USD","Period=FY","BEST_FPERIOD_OVERRIDE=FY","FILING_STATUS=MR","Sort=A","Dates=H","DateFormat=P","Fill=—","Direction=H","UseDPDF=Y")</f>
        <v>7.0000000000000007E-2</v>
      </c>
      <c r="G94" s="13">
        <f>_xll.BDH("DD US Equity","LOST_TIME_INCIDENT_RT_CNTRCTR","FY 2021","FY 2021","Currency=USD","Period=FY","BEST_FPERIOD_OVERRIDE=FY","FILING_STATUS=MR","Sort=A","Dates=H","DateFormat=P","Fill=—","Direction=H","UseDPDF=Y")</f>
        <v>0.109</v>
      </c>
      <c r="H94" s="13">
        <f>_xll.BDH("DD US Equity","LOST_TIME_INCIDENT_RT_CNTRCTR","FY 2022","FY 2022","Currency=USD","Period=FY","BEST_FPERIOD_OVERRIDE=FY","FILING_STATUS=MR","Sort=A","Dates=H","DateFormat=P","Fill=—","Direction=H","UseDPDF=Y")</f>
        <v>0.02</v>
      </c>
    </row>
    <row r="95" spans="1:8">
      <c r="A95" s="10" t="s">
        <v>156</v>
      </c>
      <c r="B95" s="10" t="s">
        <v>157</v>
      </c>
      <c r="C95" s="13" t="str">
        <f>_xll.BDH("DD US Equity","LOST_TM_INCIDENT_RT_WORKFORCE","FY 2017","FY 2017","Currency=USD","Period=FY","BEST_FPERIOD_OVERRIDE=FY","FILING_STATUS=MR","Sort=A","Dates=H","DateFormat=P","Fill=—","Direction=H","UseDPDF=Y")</f>
        <v>—</v>
      </c>
      <c r="D95" s="13" t="str">
        <f>_xll.BDH("DD US Equity","LOST_TM_INCIDENT_RT_WORKFORCE","FY 2018","FY 2018","Currency=USD","Period=FY","BEST_FPERIOD_OVERRIDE=FY","FILING_STATUS=MR","Sort=A","Dates=H","DateFormat=P","Fill=—","Direction=H","UseDPDF=Y")</f>
        <v>—</v>
      </c>
      <c r="E95" s="13">
        <f>_xll.BDH("DD US Equity","LOST_TM_INCIDENT_RT_WORKFORCE","FY 2019","FY 2019","Currency=USD","Period=FY","BEST_FPERIOD_OVERRIDE=FY","FILING_STATUS=MR","Sort=A","Dates=H","DateFormat=P","Fill=—","Direction=H","UseDPDF=Y")</f>
        <v>4.4999999999999998E-2</v>
      </c>
      <c r="F95" s="13">
        <f>_xll.BDH("DD US Equity","LOST_TM_INCIDENT_RT_WORKFORCE","FY 2020","FY 2020","Currency=USD","Period=FY","BEST_FPERIOD_OVERRIDE=FY","FILING_STATUS=MR","Sort=A","Dates=H","DateFormat=P","Fill=—","Direction=H","UseDPDF=Y")</f>
        <v>5.1999999999999998E-2</v>
      </c>
      <c r="G95" s="13">
        <f>_xll.BDH("DD US Equity","LOST_TM_INCIDENT_RT_WORKFORCE","FY 2021","FY 2021","Currency=USD","Period=FY","BEST_FPERIOD_OVERRIDE=FY","FILING_STATUS=MR","Sort=A","Dates=H","DateFormat=P","Fill=—","Direction=H","UseDPDF=Y")</f>
        <v>6.3E-2</v>
      </c>
      <c r="H95" s="13">
        <f>_xll.BDH("DD US Equity","LOST_TM_INCIDENT_RT_WORKFORCE","FY 2022","FY 2022","Currency=USD","Period=FY","BEST_FPERIOD_OVERRIDE=FY","FILING_STATUS=MR","Sort=A","Dates=H","DateFormat=P","Fill=—","Direction=H","UseDPDF=Y")</f>
        <v>0.02</v>
      </c>
    </row>
    <row r="96" spans="1:8">
      <c r="A96" s="10" t="s">
        <v>158</v>
      </c>
      <c r="B96" s="10" t="s">
        <v>159</v>
      </c>
      <c r="C96" s="13">
        <f>_xll.BDH("DD US Equity","TOTAL_RECORDABLE_INCIDENT_RATE","FY 2017","FY 2017","Currency=USD","Period=FY","BEST_FPERIOD_OVERRIDE=FY","FILING_STATUS=MR","Sort=A","Dates=H","DateFormat=P","Fill=—","Direction=H","UseDPDF=Y")</f>
        <v>0.48699999999999999</v>
      </c>
      <c r="D96" s="13" t="str">
        <f>_xll.BDH("DD US Equity","TOTAL_RECORDABLE_INCIDENT_RATE","FY 2018","FY 2018","Currency=USD","Period=FY","BEST_FPERIOD_OVERRIDE=FY","FILING_STATUS=MR","Sort=A","Dates=H","DateFormat=P","Fill=—","Direction=H","UseDPDF=Y")</f>
        <v>—</v>
      </c>
      <c r="E96" s="13">
        <f>_xll.BDH("DD US Equity","TOTAL_RECORDABLE_INCIDENT_RATE","FY 2019","FY 2019","Currency=USD","Period=FY","BEST_FPERIOD_OVERRIDE=FY","FILING_STATUS=MR","Sort=A","Dates=H","DateFormat=P","Fill=—","Direction=H","UseDPDF=Y")</f>
        <v>0.28799999999999998</v>
      </c>
      <c r="F96" s="13">
        <f>_xll.BDH("DD US Equity","TOTAL_RECORDABLE_INCIDENT_RATE","FY 2020","FY 2020","Currency=USD","Period=FY","BEST_FPERIOD_OVERRIDE=FY","FILING_STATUS=MR","Sort=A","Dates=H","DateFormat=P","Fill=—","Direction=H","UseDPDF=Y")</f>
        <v>0.223</v>
      </c>
      <c r="G96" s="13">
        <f>_xll.BDH("DD US Equity","TOTAL_RECORDABLE_INCIDENT_RATE","FY 2021","FY 2021","Currency=USD","Period=FY","BEST_FPERIOD_OVERRIDE=FY","FILING_STATUS=MR","Sort=A","Dates=H","DateFormat=P","Fill=—","Direction=H","UseDPDF=Y")</f>
        <v>0.20899999999999999</v>
      </c>
      <c r="H96" s="13">
        <f>_xll.BDH("DD US Equity","TOTAL_RECORDABLE_INCIDENT_RATE","FY 2022","FY 2022","Currency=USD","Period=FY","BEST_FPERIOD_OVERRIDE=FY","FILING_STATUS=MR","Sort=A","Dates=H","DateFormat=P","Fill=—","Direction=H","UseDPDF=Y")</f>
        <v>0.14000000000000001</v>
      </c>
    </row>
    <row r="97" spans="1:8">
      <c r="A97" s="10" t="s">
        <v>160</v>
      </c>
      <c r="B97" s="10" t="s">
        <v>161</v>
      </c>
      <c r="C97" s="13">
        <f>_xll.BDH("DD US Equity","TOT_RECORDABLE_INCID_RT_CNTRCTR","FY 2017","FY 2017","Currency=USD","Period=FY","BEST_FPERIOD_OVERRIDE=FY","FILING_STATUS=MR","Sort=A","Dates=H","DateFormat=P","Fill=—","Direction=H","UseDPDF=Y")</f>
        <v>0.38900000000000001</v>
      </c>
      <c r="D97" s="13" t="str">
        <f>_xll.BDH("DD US Equity","TOT_RECORDABLE_INCID_RT_CNTRCTR","FY 2018","FY 2018","Currency=USD","Period=FY","BEST_FPERIOD_OVERRIDE=FY","FILING_STATUS=MR","Sort=A","Dates=H","DateFormat=P","Fill=—","Direction=H","UseDPDF=Y")</f>
        <v>—</v>
      </c>
      <c r="E97" s="13">
        <f>_xll.BDH("DD US Equity","TOT_RECORDABLE_INCID_RT_CNTRCTR","FY 2019","FY 2019","Currency=USD","Period=FY","BEST_FPERIOD_OVERRIDE=FY","FILING_STATUS=MR","Sort=A","Dates=H","DateFormat=P","Fill=—","Direction=H","UseDPDF=Y")</f>
        <v>0.36799999999999999</v>
      </c>
      <c r="F97" s="13">
        <f>_xll.BDH("DD US Equity","TOT_RECORDABLE_INCID_RT_CNTRCTR","FY 2020","FY 2020","Currency=USD","Period=FY","BEST_FPERIOD_OVERRIDE=FY","FILING_STATUS=MR","Sort=A","Dates=H","DateFormat=P","Fill=—","Direction=H","UseDPDF=Y")</f>
        <v>0.39200000000000002</v>
      </c>
      <c r="G97" s="13">
        <f>_xll.BDH("DD US Equity","TOT_RECORDABLE_INCID_RT_CNTRCTR","FY 2021","FY 2021","Currency=USD","Period=FY","BEST_FPERIOD_OVERRIDE=FY","FILING_STATUS=MR","Sort=A","Dates=H","DateFormat=P","Fill=—","Direction=H","UseDPDF=Y")</f>
        <v>0.39500000000000002</v>
      </c>
      <c r="H97" s="13">
        <f>_xll.BDH("DD US Equity","TOT_RECORDABLE_INCID_RT_CNTRCTR","FY 2022","FY 2022","Currency=USD","Period=FY","BEST_FPERIOD_OVERRIDE=FY","FILING_STATUS=MR","Sort=A","Dates=H","DateFormat=P","Fill=—","Direction=H","UseDPDF=Y")</f>
        <v>0.19</v>
      </c>
    </row>
    <row r="98" spans="1:8">
      <c r="A98" s="10" t="s">
        <v>162</v>
      </c>
      <c r="B98" s="10" t="s">
        <v>163</v>
      </c>
      <c r="C98" s="13" t="str">
        <f>_xll.BDH("DD US Equity","TOT_RECRDBL_INCID_RT_WORKFORCE","FY 2017","FY 2017","Currency=USD","Period=FY","BEST_FPERIOD_OVERRIDE=FY","FILING_STATUS=MR","Sort=A","Dates=H","DateFormat=P","Fill=—","Direction=H","UseDPDF=Y")</f>
        <v>—</v>
      </c>
      <c r="D98" s="13" t="str">
        <f>_xll.BDH("DD US Equity","TOT_RECRDBL_INCID_RT_WORKFORCE","FY 2018","FY 2018","Currency=USD","Period=FY","BEST_FPERIOD_OVERRIDE=FY","FILING_STATUS=MR","Sort=A","Dates=H","DateFormat=P","Fill=—","Direction=H","UseDPDF=Y")</f>
        <v>—</v>
      </c>
      <c r="E98" s="13">
        <f>_xll.BDH("DD US Equity","TOT_RECRDBL_INCID_RT_WORKFORCE","FY 2019","FY 2019","Currency=USD","Period=FY","BEST_FPERIOD_OVERRIDE=FY","FILING_STATUS=MR","Sort=A","Dates=H","DateFormat=P","Fill=—","Direction=H","UseDPDF=Y")</f>
        <v>0.311</v>
      </c>
      <c r="F98" s="13">
        <f>_xll.BDH("DD US Equity","TOT_RECRDBL_INCID_RT_WORKFORCE","FY 2020","FY 2020","Currency=USD","Period=FY","BEST_FPERIOD_OVERRIDE=FY","FILING_STATUS=MR","Sort=A","Dates=H","DateFormat=P","Fill=—","Direction=H","UseDPDF=Y")</f>
        <v>0.26100000000000001</v>
      </c>
      <c r="G98" s="13">
        <f>_xll.BDH("DD US Equity","TOT_RECRDBL_INCID_RT_WORKFORCE","FY 2021","FY 2021","Currency=USD","Period=FY","BEST_FPERIOD_OVERRIDE=FY","FILING_STATUS=MR","Sort=A","Dates=H","DateFormat=P","Fill=—","Direction=H","UseDPDF=Y")</f>
        <v>0.25</v>
      </c>
      <c r="H98" s="13">
        <f>_xll.BDH("DD US Equity","TOT_RECRDBL_INCID_RT_WORKFORCE","FY 2022","FY 2022","Currency=USD","Period=FY","BEST_FPERIOD_OVERRIDE=FY","FILING_STATUS=MR","Sort=A","Dates=H","DateFormat=P","Fill=—","Direction=H","UseDPDF=Y")</f>
        <v>0.15</v>
      </c>
    </row>
    <row r="99" spans="1:8">
      <c r="A99" s="10"/>
      <c r="B99" s="11"/>
      <c r="C99" s="11"/>
      <c r="D99" s="11"/>
      <c r="E99" s="11"/>
      <c r="F99" s="11"/>
      <c r="G99" s="11"/>
      <c r="H99" s="11"/>
    </row>
    <row r="100" spans="1:8">
      <c r="A100" s="10" t="s">
        <v>164</v>
      </c>
      <c r="B100" s="11"/>
      <c r="C100" s="11"/>
      <c r="D100" s="11"/>
      <c r="E100" s="11"/>
      <c r="F100" s="11"/>
      <c r="G100" s="11"/>
      <c r="H100" s="11"/>
    </row>
    <row r="101" spans="1:8">
      <c r="A101" s="10" t="s">
        <v>165</v>
      </c>
      <c r="B101" s="10" t="s">
        <v>166</v>
      </c>
      <c r="C101" s="11" t="s">
        <v>46</v>
      </c>
      <c r="D101" s="11" t="s">
        <v>46</v>
      </c>
      <c r="E101" s="11" t="s">
        <v>46</v>
      </c>
      <c r="F101" s="11" t="s">
        <v>46</v>
      </c>
      <c r="G101" s="11" t="s">
        <v>46</v>
      </c>
      <c r="H101" s="11" t="s">
        <v>46</v>
      </c>
    </row>
    <row r="102" spans="1:8">
      <c r="A102" s="10" t="s">
        <v>167</v>
      </c>
      <c r="B102" s="10" t="s">
        <v>168</v>
      </c>
      <c r="C102" s="11" t="s">
        <v>51</v>
      </c>
      <c r="D102" s="11" t="s">
        <v>51</v>
      </c>
      <c r="E102" s="11" t="s">
        <v>51</v>
      </c>
      <c r="F102" s="11" t="s">
        <v>51</v>
      </c>
      <c r="G102" s="11" t="s">
        <v>51</v>
      </c>
      <c r="H102" s="11" t="s">
        <v>51</v>
      </c>
    </row>
    <row r="103" spans="1:8">
      <c r="A103" s="10" t="s">
        <v>169</v>
      </c>
      <c r="B103" s="10" t="s">
        <v>170</v>
      </c>
      <c r="C103" s="13">
        <f>_xll.BDH("DD US Equity","NUMBER_EMPLOYEES_CSR","FY 2017","FY 2017","Currency=USD","Period=FY","BEST_FPERIOD_OVERRIDE=FY","FILING_STATUS=MR","Sort=A","Dates=H","DateFormat=P","Fill=—","Direction=H","UseDPDF=Y")</f>
        <v>98000</v>
      </c>
      <c r="D103" s="13">
        <f>_xll.BDH("DD US Equity","NUMBER_EMPLOYEES_CSR","FY 2018","FY 2018","Currency=USD","Period=FY","BEST_FPERIOD_OVERRIDE=FY","FILING_STATUS=MR","Sort=A","Dates=H","DateFormat=P","Fill=—","Direction=H","UseDPDF=Y")</f>
        <v>98000</v>
      </c>
      <c r="E103" s="13">
        <f>_xll.BDH("DD US Equity","NUMBER_EMPLOYEES_CSR","FY 2019","FY 2019","Currency=USD","Period=FY","BEST_FPERIOD_OVERRIDE=FY","FILING_STATUS=MR","Sort=A","Dates=H","DateFormat=P","Fill=—","Direction=H","UseDPDF=Y")</f>
        <v>35119</v>
      </c>
      <c r="F103" s="13">
        <f>_xll.BDH("DD US Equity","NUMBER_EMPLOYEES_CSR","FY 2020","FY 2020","Currency=USD","Period=FY","BEST_FPERIOD_OVERRIDE=FY","FILING_STATUS=MR","Sort=A","Dates=H","DateFormat=P","Fill=—","Direction=H","UseDPDF=Y")</f>
        <v>34000</v>
      </c>
      <c r="G103" s="13">
        <f>_xll.BDH("DD US Equity","NUMBER_EMPLOYEES_CSR","FY 2021","FY 2021","Currency=USD","Period=FY","BEST_FPERIOD_OVERRIDE=FY","FILING_STATUS=MR","Sort=A","Dates=H","DateFormat=P","Fill=—","Direction=H","UseDPDF=Y")</f>
        <v>28000</v>
      </c>
      <c r="H103" s="13">
        <f>_xll.BDH("DD US Equity","NUMBER_EMPLOYEES_CSR","FY 2022","FY 2022","Currency=USD","Period=FY","BEST_FPERIOD_OVERRIDE=FY","FILING_STATUS=MR","Sort=A","Dates=H","DateFormat=P","Fill=—","Direction=H","UseDPDF=Y")</f>
        <v>23000</v>
      </c>
    </row>
    <row r="104" spans="1:8">
      <c r="A104" s="10" t="s">
        <v>171</v>
      </c>
      <c r="B104" s="10" t="s">
        <v>172</v>
      </c>
      <c r="C104" s="13" t="str">
        <f>_xll.BDH("DD US Equity","NUMBER_OF_CONTRACTORS","FY 2017","FY 2017","Currency=USD","Period=FY","BEST_FPERIOD_OVERRIDE=FY","FILING_STATUS=MR","Sort=A","Dates=H","DateFormat=P","Fill=—","Direction=H","UseDPDF=Y")</f>
        <v>—</v>
      </c>
      <c r="D104" s="13" t="str">
        <f>_xll.BDH("DD US Equity","NUMBER_OF_CONTRACTORS","FY 2018","FY 2018","Currency=USD","Period=FY","BEST_FPERIOD_OVERRIDE=FY","FILING_STATUS=MR","Sort=A","Dates=H","DateFormat=P","Fill=—","Direction=H","UseDPDF=Y")</f>
        <v>—</v>
      </c>
      <c r="E104" s="13" t="str">
        <f>_xll.BDH("DD US Equity","NUMBER_OF_CONTRACTORS","FY 2019","FY 2019","Currency=USD","Period=FY","BEST_FPERIOD_OVERRIDE=FY","FILING_STATUS=MR","Sort=A","Dates=H","DateFormat=P","Fill=—","Direction=H","UseDPDF=Y")</f>
        <v>—</v>
      </c>
      <c r="F104" s="13">
        <f>_xll.BDH("DD US Equity","NUMBER_OF_CONTRACTORS","FY 2020","FY 2020","Currency=USD","Period=FY","BEST_FPERIOD_OVERRIDE=FY","FILING_STATUS=MR","Sort=A","Dates=H","DateFormat=P","Fill=—","Direction=H","UseDPDF=Y")</f>
        <v>9600</v>
      </c>
      <c r="G104" s="13">
        <f>_xll.BDH("DD US Equity","NUMBER_OF_CONTRACTORS","FY 2021","FY 2021","Currency=USD","Period=FY","BEST_FPERIOD_OVERRIDE=FY","FILING_STATUS=MR","Sort=A","Dates=H","DateFormat=P","Fill=—","Direction=H","UseDPDF=Y")</f>
        <v>15000</v>
      </c>
      <c r="H104" s="13" t="str">
        <f>_xll.BDH("DD US Equity","NUMBER_OF_CONTRACTORS","FY 2022","FY 2022","Currency=USD","Period=FY","BEST_FPERIOD_OVERRIDE=FY","FILING_STATUS=MR","Sort=A","Dates=H","DateFormat=P","Fill=—","Direction=H","UseDPDF=Y")</f>
        <v>—</v>
      </c>
    </row>
    <row r="105" spans="1:8">
      <c r="A105" s="10" t="s">
        <v>173</v>
      </c>
      <c r="B105" s="10" t="s">
        <v>174</v>
      </c>
      <c r="C105" s="13" t="str">
        <f>_xll.BDH("DD US Equity","PCT_EMPLOYEES_UNIONIZED","FY 2017","FY 2017","Currency=USD","Period=FY","BEST_FPERIOD_OVERRIDE=FY","FILING_STATUS=MR","Sort=A","Dates=H","DateFormat=P","Fill=—","Direction=H","UseDPDF=Y")</f>
        <v>—</v>
      </c>
      <c r="D105" s="13" t="str">
        <f>_xll.BDH("DD US Equity","PCT_EMPLOYEES_UNIONIZED","FY 2018","FY 2018","Currency=USD","Period=FY","BEST_FPERIOD_OVERRIDE=FY","FILING_STATUS=MR","Sort=A","Dates=H","DateFormat=P","Fill=—","Direction=H","UseDPDF=Y")</f>
        <v>—</v>
      </c>
      <c r="E105" s="13" t="str">
        <f>_xll.BDH("DD US Equity","PCT_EMPLOYEES_UNIONIZED","FY 2019","FY 2019","Currency=USD","Period=FY","BEST_FPERIOD_OVERRIDE=FY","FILING_STATUS=MR","Sort=A","Dates=H","DateFormat=P","Fill=—","Direction=H","UseDPDF=Y")</f>
        <v>—</v>
      </c>
      <c r="F105" s="13">
        <f>_xll.BDH("DD US Equity","PCT_EMPLOYEES_UNIONIZED","FY 2020","FY 2020","Currency=USD","Period=FY","BEST_FPERIOD_OVERRIDE=FY","FILING_STATUS=MR","Sort=A","Dates=H","DateFormat=P","Fill=—","Direction=H","UseDPDF=Y")</f>
        <v>5</v>
      </c>
      <c r="G105" s="13" t="str">
        <f>_xll.BDH("DD US Equity","PCT_EMPLOYEES_UNIONIZED","FY 2021","FY 2021","Currency=USD","Period=FY","BEST_FPERIOD_OVERRIDE=FY","FILING_STATUS=MR","Sort=A","Dates=H","DateFormat=P","Fill=—","Direction=H","UseDPDF=Y")</f>
        <v>—</v>
      </c>
      <c r="H105" s="13" t="str">
        <f>_xll.BDH("DD US Equity","PCT_EMPLOYEES_UNIONIZED","FY 2022","FY 2022","Currency=USD","Period=FY","BEST_FPERIOD_OVERRIDE=FY","FILING_STATUS=MR","Sort=A","Dates=H","DateFormat=P","Fill=—","Direction=H","UseDPDF=Y")</f>
        <v>—</v>
      </c>
    </row>
    <row r="106" spans="1:8">
      <c r="A106" s="10" t="s">
        <v>175</v>
      </c>
      <c r="B106" s="10" t="s">
        <v>176</v>
      </c>
      <c r="C106" s="13" t="str">
        <f>_xll.BDH("DD US Equity","TOT_HRS_SPENT_BY_FIRM_EMP_TRAIN","FY 2017","FY 2017","Currency=USD","Period=FY","BEST_FPERIOD_OVERRIDE=FY","FILING_STATUS=MR","Sort=A","Dates=H","DateFormat=P","Fill=—","Direction=H","UseDPDF=Y")</f>
        <v>—</v>
      </c>
      <c r="D106" s="13" t="str">
        <f>_xll.BDH("DD US Equity","TOT_HRS_SPENT_BY_FIRM_EMP_TRAIN","FY 2018","FY 2018","Currency=USD","Period=FY","BEST_FPERIOD_OVERRIDE=FY","FILING_STATUS=MR","Sort=A","Dates=H","DateFormat=P","Fill=—","Direction=H","UseDPDF=Y")</f>
        <v>—</v>
      </c>
      <c r="E106" s="13" t="str">
        <f>_xll.BDH("DD US Equity","TOT_HRS_SPENT_BY_FIRM_EMP_TRAIN","FY 2019","FY 2019","Currency=USD","Period=FY","BEST_FPERIOD_OVERRIDE=FY","FILING_STATUS=MR","Sort=A","Dates=H","DateFormat=P","Fill=—","Direction=H","UseDPDF=Y")</f>
        <v>—</v>
      </c>
      <c r="F106" s="13" t="str">
        <f>_xll.BDH("DD US Equity","TOT_HRS_SPENT_BY_FIRM_EMP_TRAIN","FY 2020","FY 2020","Currency=USD","Period=FY","BEST_FPERIOD_OVERRIDE=FY","FILING_STATUS=MR","Sort=A","Dates=H","DateFormat=P","Fill=—","Direction=H","UseDPDF=Y")</f>
        <v>—</v>
      </c>
      <c r="G106" s="13">
        <f>_xll.BDH("DD US Equity","TOT_HRS_SPENT_BY_FIRM_EMP_TRAIN","FY 2021","FY 2021","Currency=USD","Period=FY","BEST_FPERIOD_OVERRIDE=FY","FILING_STATUS=MR","Sort=A","Dates=H","DateFormat=P","Fill=—","Direction=H","UseDPDF=Y")</f>
        <v>851200</v>
      </c>
      <c r="H106" s="13">
        <f>_xll.BDH("DD US Equity","TOT_HRS_SPENT_BY_FIRM_EMP_TRAIN","FY 2022","FY 2022","Currency=USD","Period=FY","BEST_FPERIOD_OVERRIDE=FY","FILING_STATUS=MR","Sort=A","Dates=H","DateFormat=P","Fill=—","Direction=H","UseDPDF=Y")</f>
        <v>575000</v>
      </c>
    </row>
    <row r="107" spans="1:8">
      <c r="A107" s="10"/>
      <c r="B107" s="11"/>
      <c r="C107" s="11"/>
      <c r="D107" s="11"/>
      <c r="E107" s="11"/>
      <c r="F107" s="11"/>
      <c r="G107" s="11"/>
      <c r="H107" s="11"/>
    </row>
    <row r="108" spans="1:8">
      <c r="A108" s="10" t="s">
        <v>99</v>
      </c>
      <c r="B108" s="11"/>
      <c r="C108" s="11"/>
      <c r="D108" s="11"/>
      <c r="E108" s="11"/>
      <c r="F108" s="11"/>
      <c r="G108" s="11"/>
      <c r="H108" s="11"/>
    </row>
    <row r="109" spans="1:8">
      <c r="A109" s="10" t="s">
        <v>177</v>
      </c>
      <c r="B109" s="10" t="s">
        <v>178</v>
      </c>
      <c r="C109" s="11" t="s">
        <v>46</v>
      </c>
      <c r="D109" s="11" t="s">
        <v>46</v>
      </c>
      <c r="E109" s="11" t="s">
        <v>46</v>
      </c>
      <c r="F109" s="11" t="s">
        <v>46</v>
      </c>
      <c r="G109" s="11" t="s">
        <v>46</v>
      </c>
      <c r="H109" s="11" t="s">
        <v>46</v>
      </c>
    </row>
    <row r="110" spans="1:8">
      <c r="A110" s="10"/>
      <c r="B110" s="11"/>
      <c r="C110" s="11"/>
      <c r="D110" s="11"/>
      <c r="E110" s="11"/>
      <c r="F110" s="11"/>
      <c r="G110" s="11"/>
      <c r="H110" s="11"/>
    </row>
    <row r="111" spans="1:8">
      <c r="A111" s="10" t="s">
        <v>179</v>
      </c>
      <c r="B111" s="11"/>
      <c r="C111" s="11"/>
      <c r="D111" s="11"/>
      <c r="E111" s="11"/>
      <c r="F111" s="11"/>
      <c r="G111" s="11"/>
      <c r="H111" s="11"/>
    </row>
    <row r="112" spans="1:8">
      <c r="A112" s="10" t="s">
        <v>180</v>
      </c>
      <c r="B112" s="11"/>
      <c r="C112" s="11"/>
      <c r="D112" s="11"/>
      <c r="E112" s="11"/>
      <c r="F112" s="11"/>
      <c r="G112" s="11"/>
      <c r="H112" s="11"/>
    </row>
    <row r="113" spans="1:8">
      <c r="A113" s="10" t="s">
        <v>181</v>
      </c>
      <c r="B113" s="10" t="s">
        <v>182</v>
      </c>
      <c r="C113" s="13">
        <f>_xll.BDH("DD US Equity","YEARS_AUDITOR_EMPLOYED","FY 2017","FY 2017","Currency=USD","Period=FY","BEST_FPERIOD_OVERRIDE=FY","FILING_STATUS=MR","Sort=A","Dates=H","DateFormat=P","Fill=—","Direction=H","UseDPDF=Y")</f>
        <v>113</v>
      </c>
      <c r="D113" s="13">
        <f>_xll.BDH("DD US Equity","YEARS_AUDITOR_EMPLOYED","FY 2018","FY 2018","Currency=USD","Period=FY","BEST_FPERIOD_OVERRIDE=FY","FILING_STATUS=MR","Sort=A","Dates=H","DateFormat=P","Fill=—","Direction=H","UseDPDF=Y")</f>
        <v>114</v>
      </c>
      <c r="E113" s="13">
        <f>_xll.BDH("DD US Equity","YEARS_AUDITOR_EMPLOYED","FY 2019","FY 2019","Currency=USD","Period=FY","BEST_FPERIOD_OVERRIDE=FY","FILING_STATUS=MR","Sort=A","Dates=H","DateFormat=P","Fill=—","Direction=H","UseDPDF=Y")</f>
        <v>1</v>
      </c>
      <c r="F113" s="13">
        <f>_xll.BDH("DD US Equity","YEARS_AUDITOR_EMPLOYED","FY 2020","FY 2020","Currency=USD","Period=FY","BEST_FPERIOD_OVERRIDE=FY","FILING_STATUS=MR","Sort=A","Dates=H","DateFormat=P","Fill=—","Direction=H","UseDPDF=Y")</f>
        <v>2</v>
      </c>
      <c r="G113" s="13">
        <f>_xll.BDH("DD US Equity","YEARS_AUDITOR_EMPLOYED","FY 2021","FY 2021","Currency=USD","Period=FY","BEST_FPERIOD_OVERRIDE=FY","FILING_STATUS=MR","Sort=A","Dates=H","DateFormat=P","Fill=—","Direction=H","UseDPDF=Y")</f>
        <v>3</v>
      </c>
      <c r="H113" s="13">
        <f>_xll.BDH("DD US Equity","YEARS_AUDITOR_EMPLOYED","FY 2022","FY 2022","Currency=USD","Period=FY","BEST_FPERIOD_OVERRIDE=FY","FILING_STATUS=MR","Sort=A","Dates=H","DateFormat=P","Fill=—","Direction=H","UseDPDF=Y")</f>
        <v>4</v>
      </c>
    </row>
    <row r="114" spans="1:8">
      <c r="A114" s="10" t="s">
        <v>183</v>
      </c>
      <c r="B114" s="10" t="s">
        <v>184</v>
      </c>
      <c r="C114" s="13">
        <f>_xll.BDH("DD US Equity","SIZE_OF_AUDIT_COMMITTEE","FY 2017","FY 2017","Currency=USD","Period=FY","BEST_FPERIOD_OVERRIDE=FY","FILING_STATUS=MR","Sort=A","Dates=H","DateFormat=P","Fill=—","Direction=H","UseDPDF=Y")</f>
        <v>4</v>
      </c>
      <c r="D114" s="13">
        <f>_xll.BDH("DD US Equity","SIZE_OF_AUDIT_COMMITTEE","FY 2018","FY 2018","Currency=USD","Period=FY","BEST_FPERIOD_OVERRIDE=FY","FILING_STATUS=MR","Sort=A","Dates=H","DateFormat=P","Fill=—","Direction=H","UseDPDF=Y")</f>
        <v>3</v>
      </c>
      <c r="E114" s="13">
        <f>_xll.BDH("DD US Equity","SIZE_OF_AUDIT_COMMITTEE","FY 2019","FY 2019","Currency=USD","Period=FY","BEST_FPERIOD_OVERRIDE=FY","FILING_STATUS=MR","Sort=A","Dates=H","DateFormat=P","Fill=—","Direction=H","UseDPDF=Y")</f>
        <v>6</v>
      </c>
      <c r="F114" s="13">
        <f>_xll.BDH("DD US Equity","SIZE_OF_AUDIT_COMMITTEE","FY 2020","FY 2020","Currency=USD","Period=FY","BEST_FPERIOD_OVERRIDE=FY","FILING_STATUS=MR","Sort=A","Dates=H","DateFormat=P","Fill=—","Direction=H","UseDPDF=Y")</f>
        <v>6</v>
      </c>
      <c r="G114" s="13">
        <f>_xll.BDH("DD US Equity","SIZE_OF_AUDIT_COMMITTEE","FY 2021","FY 2021","Currency=USD","Period=FY","BEST_FPERIOD_OVERRIDE=FY","FILING_STATUS=MR","Sort=A","Dates=H","DateFormat=P","Fill=—","Direction=H","UseDPDF=Y")</f>
        <v>6</v>
      </c>
      <c r="H114" s="13">
        <f>_xll.BDH("DD US Equity","SIZE_OF_AUDIT_COMMITTEE","FY 2022","FY 2022","Currency=USD","Period=FY","BEST_FPERIOD_OVERRIDE=FY","FILING_STATUS=MR","Sort=A","Dates=H","DateFormat=P","Fill=—","Direction=H","UseDPDF=Y")</f>
        <v>6</v>
      </c>
    </row>
    <row r="115" spans="1:8">
      <c r="A115" s="10" t="s">
        <v>185</v>
      </c>
      <c r="B115" s="10" t="s">
        <v>186</v>
      </c>
      <c r="C115" s="13">
        <f>_xll.BDH("DD US Equity","NUM_IND_DIR_ON_AUD_CMTE","FY 2017","FY 2017","Currency=USD","Period=FY","BEST_FPERIOD_OVERRIDE=FY","FILING_STATUS=MR","Sort=A","Dates=H","DateFormat=P","Fill=—","Direction=H","UseDPDF=Y")</f>
        <v>4</v>
      </c>
      <c r="D115" s="13">
        <f>_xll.BDH("DD US Equity","NUM_IND_DIR_ON_AUD_CMTE","FY 2018","FY 2018","Currency=USD","Period=FY","BEST_FPERIOD_OVERRIDE=FY","FILING_STATUS=MR","Sort=A","Dates=H","DateFormat=P","Fill=—","Direction=H","UseDPDF=Y")</f>
        <v>3</v>
      </c>
      <c r="E115" s="13">
        <f>_xll.BDH("DD US Equity","NUM_IND_DIR_ON_AUD_CMTE","FY 2019","FY 2019","Currency=USD","Period=FY","BEST_FPERIOD_OVERRIDE=FY","FILING_STATUS=MR","Sort=A","Dates=H","DateFormat=P","Fill=—","Direction=H","UseDPDF=Y")</f>
        <v>6</v>
      </c>
      <c r="F115" s="13">
        <f>_xll.BDH("DD US Equity","NUM_IND_DIR_ON_AUD_CMTE","FY 2020","FY 2020","Currency=USD","Period=FY","BEST_FPERIOD_OVERRIDE=FY","FILING_STATUS=MR","Sort=A","Dates=H","DateFormat=P","Fill=—","Direction=H","UseDPDF=Y")</f>
        <v>6</v>
      </c>
      <c r="G115" s="13">
        <f>_xll.BDH("DD US Equity","NUM_IND_DIR_ON_AUD_CMTE","FY 2021","FY 2021","Currency=USD","Period=FY","BEST_FPERIOD_OVERRIDE=FY","FILING_STATUS=MR","Sort=A","Dates=H","DateFormat=P","Fill=—","Direction=H","UseDPDF=Y")</f>
        <v>6</v>
      </c>
      <c r="H115" s="13">
        <f>_xll.BDH("DD US Equity","NUM_IND_DIR_ON_AUD_CMTE","FY 2022","FY 2022","Currency=USD","Period=FY","BEST_FPERIOD_OVERRIDE=FY","FILING_STATUS=MR","Sort=A","Dates=H","DateFormat=P","Fill=—","Direction=H","UseDPDF=Y")</f>
        <v>6</v>
      </c>
    </row>
    <row r="116" spans="1:8">
      <c r="A116" s="10" t="s">
        <v>187</v>
      </c>
      <c r="B116" s="10" t="s">
        <v>188</v>
      </c>
      <c r="C116" s="13">
        <f>_xll.BDH("DD US Equity","AUDIT_COMMITTEE_MEETINGS","FY 2017","FY 2017","Currency=USD","Period=FY","BEST_FPERIOD_OVERRIDE=FY","FILING_STATUS=MR","Sort=A","Dates=H","DateFormat=P","Fill=—","Direction=H","UseDPDF=Y")</f>
        <v>3</v>
      </c>
      <c r="D116" s="13">
        <f>_xll.BDH("DD US Equity","AUDIT_COMMITTEE_MEETINGS","FY 2018","FY 2018","Currency=USD","Period=FY","BEST_FPERIOD_OVERRIDE=FY","FILING_STATUS=MR","Sort=A","Dates=H","DateFormat=P","Fill=—","Direction=H","UseDPDF=Y")</f>
        <v>11</v>
      </c>
      <c r="E116" s="13">
        <f>_xll.BDH("DD US Equity","AUDIT_COMMITTEE_MEETINGS","FY 2019","FY 2019","Currency=USD","Period=FY","BEST_FPERIOD_OVERRIDE=FY","FILING_STATUS=MR","Sort=A","Dates=H","DateFormat=P","Fill=—","Direction=H","UseDPDF=Y")</f>
        <v>7</v>
      </c>
      <c r="F116" s="13">
        <f>_xll.BDH("DD US Equity","AUDIT_COMMITTEE_MEETINGS","FY 2020","FY 2020","Currency=USD","Period=FY","BEST_FPERIOD_OVERRIDE=FY","FILING_STATUS=MR","Sort=A","Dates=H","DateFormat=P","Fill=—","Direction=H","UseDPDF=Y")</f>
        <v>9</v>
      </c>
      <c r="G116" s="13">
        <f>_xll.BDH("DD US Equity","AUDIT_COMMITTEE_MEETINGS","FY 2021","FY 2021","Currency=USD","Period=FY","BEST_FPERIOD_OVERRIDE=FY","FILING_STATUS=MR","Sort=A","Dates=H","DateFormat=P","Fill=—","Direction=H","UseDPDF=Y")</f>
        <v>8</v>
      </c>
      <c r="H116" s="13">
        <f>_xll.BDH("DD US Equity","AUDIT_COMMITTEE_MEETINGS","FY 2022","FY 2022","Currency=USD","Period=FY","BEST_FPERIOD_OVERRIDE=FY","FILING_STATUS=MR","Sort=A","Dates=H","DateFormat=P","Fill=—","Direction=H","UseDPDF=Y")</f>
        <v>9</v>
      </c>
    </row>
    <row r="117" spans="1:8">
      <c r="A117" s="10" t="s">
        <v>189</v>
      </c>
      <c r="B117" s="10" t="s">
        <v>190</v>
      </c>
      <c r="C117" s="13">
        <f>_xll.BDH("DD US Equity","AUDIT_COMMITTEE_MTG_ATTEND_PCT","FY 2017","FY 2017","Currency=USD","Period=FY","BEST_FPERIOD_OVERRIDE=FY","FILING_STATUS=MR","Sort=A","Dates=H","DateFormat=P","Fill=—","Direction=H","UseDPDF=Y")</f>
        <v>75</v>
      </c>
      <c r="D117" s="13">
        <f>_xll.BDH("DD US Equity","AUDIT_COMMITTEE_MTG_ATTEND_PCT","FY 2018","FY 2018","Currency=USD","Period=FY","BEST_FPERIOD_OVERRIDE=FY","FILING_STATUS=MR","Sort=A","Dates=H","DateFormat=P","Fill=—","Direction=H","UseDPDF=Y")</f>
        <v>75</v>
      </c>
      <c r="E117" s="13">
        <f>_xll.BDH("DD US Equity","AUDIT_COMMITTEE_MTG_ATTEND_PCT","FY 2019","FY 2019","Currency=USD","Period=FY","BEST_FPERIOD_OVERRIDE=FY","FILING_STATUS=MR","Sort=A","Dates=H","DateFormat=P","Fill=—","Direction=H","UseDPDF=Y")</f>
        <v>75</v>
      </c>
      <c r="F117" s="13">
        <f>_xll.BDH("DD US Equity","AUDIT_COMMITTEE_MTG_ATTEND_PCT","FY 2020","FY 2020","Currency=USD","Period=FY","BEST_FPERIOD_OVERRIDE=FY","FILING_STATUS=MR","Sort=A","Dates=H","DateFormat=P","Fill=—","Direction=H","UseDPDF=Y")</f>
        <v>75</v>
      </c>
      <c r="G117" s="13">
        <f>_xll.BDH("DD US Equity","AUDIT_COMMITTEE_MTG_ATTEND_PCT","FY 2021","FY 2021","Currency=USD","Period=FY","BEST_FPERIOD_OVERRIDE=FY","FILING_STATUS=MR","Sort=A","Dates=H","DateFormat=P","Fill=—","Direction=H","UseDPDF=Y")</f>
        <v>75</v>
      </c>
      <c r="H117" s="13">
        <f>_xll.BDH("DD US Equity","AUDIT_COMMITTEE_MTG_ATTEND_PCT","FY 2022","FY 2022","Currency=USD","Period=FY","BEST_FPERIOD_OVERRIDE=FY","FILING_STATUS=MR","Sort=A","Dates=H","DateFormat=P","Fill=—","Direction=H","UseDPDF=Y")</f>
        <v>75</v>
      </c>
    </row>
    <row r="118" spans="1:8">
      <c r="A118" s="10"/>
      <c r="B118" s="11"/>
      <c r="C118" s="11"/>
      <c r="D118" s="11"/>
      <c r="E118" s="11"/>
      <c r="F118" s="11"/>
      <c r="G118" s="11"/>
      <c r="H118" s="11"/>
    </row>
    <row r="119" spans="1:8">
      <c r="A119" s="10" t="s">
        <v>191</v>
      </c>
      <c r="B119" s="11"/>
      <c r="C119" s="11"/>
      <c r="D119" s="11"/>
      <c r="E119" s="11"/>
      <c r="F119" s="11"/>
      <c r="G119" s="11"/>
      <c r="H119" s="11"/>
    </row>
    <row r="120" spans="1:8">
      <c r="A120" s="10" t="s">
        <v>192</v>
      </c>
      <c r="B120" s="10" t="s">
        <v>193</v>
      </c>
      <c r="C120" s="11" t="s">
        <v>46</v>
      </c>
      <c r="D120" s="11" t="s">
        <v>46</v>
      </c>
      <c r="E120" s="11" t="s">
        <v>46</v>
      </c>
      <c r="F120" s="11" t="s">
        <v>46</v>
      </c>
      <c r="G120" s="11" t="s">
        <v>46</v>
      </c>
      <c r="H120" s="11" t="s">
        <v>46</v>
      </c>
    </row>
    <row r="121" spans="1:8">
      <c r="A121" s="10" t="s">
        <v>194</v>
      </c>
      <c r="B121" s="10" t="s">
        <v>195</v>
      </c>
      <c r="C121" s="13">
        <f>_xll.BDH("DD US Equity","BOARD_SIZE","FY 2017","FY 2017","Currency=USD","Period=FY","BEST_FPERIOD_OVERRIDE=FY","FILING_STATUS=MR","Sort=A","Dates=H","DateFormat=P","Fill=—","Direction=H","UseDPDF=Y")</f>
        <v>16</v>
      </c>
      <c r="D121" s="13">
        <f>_xll.BDH("DD US Equity","BOARD_SIZE","FY 2018","FY 2018","Currency=USD","Period=FY","BEST_FPERIOD_OVERRIDE=FY","FILING_STATUS=MR","Sort=A","Dates=H","DateFormat=P","Fill=—","Direction=H","UseDPDF=Y")</f>
        <v>16</v>
      </c>
      <c r="E121" s="13">
        <f>_xll.BDH("DD US Equity","BOARD_SIZE","FY 2019","FY 2019","Currency=USD","Period=FY","BEST_FPERIOD_OVERRIDE=FY","FILING_STATUS=MR","Sort=A","Dates=H","DateFormat=P","Fill=—","Direction=H","UseDPDF=Y")</f>
        <v>13</v>
      </c>
      <c r="F121" s="13">
        <f>_xll.BDH("DD US Equity","BOARD_SIZE","FY 2020","FY 2020","Currency=USD","Period=FY","BEST_FPERIOD_OVERRIDE=FY","FILING_STATUS=MR","Sort=A","Dates=H","DateFormat=P","Fill=—","Direction=H","UseDPDF=Y")</f>
        <v>12</v>
      </c>
      <c r="G121" s="13">
        <f>_xll.BDH("DD US Equity","BOARD_SIZE","FY 2021","FY 2021","Currency=USD","Period=FY","BEST_FPERIOD_OVERRIDE=FY","FILING_STATUS=MR","Sort=A","Dates=H","DateFormat=P","Fill=—","Direction=H","UseDPDF=Y")</f>
        <v>12</v>
      </c>
      <c r="H121" s="13">
        <f>_xll.BDH("DD US Equity","BOARD_SIZE","FY 2022","FY 2022","Currency=USD","Period=FY","BEST_FPERIOD_OVERRIDE=FY","FILING_STATUS=MR","Sort=A","Dates=H","DateFormat=P","Fill=—","Direction=H","UseDPDF=Y")</f>
        <v>12</v>
      </c>
    </row>
    <row r="122" spans="1:8">
      <c r="A122" s="10" t="s">
        <v>196</v>
      </c>
      <c r="B122" s="10" t="s">
        <v>197</v>
      </c>
      <c r="C122" s="13">
        <f>_xll.BDH("DD US Equity","NUM_EXECUTIVES_COMP_MANAGERS","FY 2017","FY 2017","Currency=USD","Period=FY","BEST_FPERIOD_OVERRIDE=FY","FILING_STATUS=MR","Sort=A","Dates=H","DateFormat=P","Fill=—","Direction=H","UseDPDF=Y")</f>
        <v>10</v>
      </c>
      <c r="D122" s="13">
        <f>_xll.BDH("DD US Equity","NUM_EXECUTIVES_COMP_MANAGERS","FY 2018","FY 2018","Currency=USD","Period=FY","BEST_FPERIOD_OVERRIDE=FY","FILING_STATUS=MR","Sort=A","Dates=H","DateFormat=P","Fill=—","Direction=H","UseDPDF=Y")</f>
        <v>8</v>
      </c>
      <c r="E122" s="13">
        <f>_xll.BDH("DD US Equity","NUM_EXECUTIVES_COMP_MANAGERS","FY 2019","FY 2019","Currency=USD","Period=FY","BEST_FPERIOD_OVERRIDE=FY","FILING_STATUS=MR","Sort=A","Dates=H","DateFormat=P","Fill=—","Direction=H","UseDPDF=Y")</f>
        <v>11</v>
      </c>
      <c r="F122" s="13">
        <f>_xll.BDH("DD US Equity","NUM_EXECUTIVES_COMP_MANAGERS","FY 2020","FY 2020","Currency=USD","Period=FY","BEST_FPERIOD_OVERRIDE=FY","FILING_STATUS=MR","Sort=A","Dates=H","DateFormat=P","Fill=—","Direction=H","UseDPDF=Y")</f>
        <v>11</v>
      </c>
      <c r="G122" s="13">
        <f>_xll.BDH("DD US Equity","NUM_EXECUTIVES_COMP_MANAGERS","FY 2021","FY 2021","Currency=USD","Period=FY","BEST_FPERIOD_OVERRIDE=FY","FILING_STATUS=MR","Sort=A","Dates=H","DateFormat=P","Fill=—","Direction=H","UseDPDF=Y")</f>
        <v>9</v>
      </c>
      <c r="H122" s="13">
        <f>_xll.BDH("DD US Equity","NUM_EXECUTIVES_COMP_MANAGERS","FY 2022","FY 2022","Currency=USD","Period=FY","BEST_FPERIOD_OVERRIDE=FY","FILING_STATUS=MR","Sort=A","Dates=H","DateFormat=P","Fill=—","Direction=H","UseDPDF=Y")</f>
        <v>8</v>
      </c>
    </row>
    <row r="123" spans="1:8">
      <c r="A123" s="10" t="s">
        <v>198</v>
      </c>
      <c r="B123" s="10" t="s">
        <v>199</v>
      </c>
      <c r="C123" s="13">
        <f>_xll.BDH("DD US Equity","NUM_OF_NONEXEC_DIR_ON_BRD","FY 2017","FY 2017","Currency=USD","Period=FY","BEST_FPERIOD_OVERRIDE=FY","FILING_STATUS=MR","Sort=A","Dates=H","DateFormat=P","Fill=—","Direction=H","UseDPDF=Y")</f>
        <v>14</v>
      </c>
      <c r="D123" s="13">
        <f>_xll.BDH("DD US Equity","NUM_OF_NONEXEC_DIR_ON_BRD","FY 2018","FY 2018","Currency=USD","Period=FY","BEST_FPERIOD_OVERRIDE=FY","FILING_STATUS=MR","Sort=A","Dates=H","DateFormat=P","Fill=—","Direction=H","UseDPDF=Y")</f>
        <v>14</v>
      </c>
      <c r="E123" s="13">
        <f>_xll.BDH("DD US Equity","NUM_OF_NONEXEC_DIR_ON_BRD","FY 2019","FY 2019","Currency=USD","Period=FY","BEST_FPERIOD_OVERRIDE=FY","FILING_STATUS=MR","Sort=A","Dates=H","DateFormat=P","Fill=—","Direction=H","UseDPDF=Y")</f>
        <v>11</v>
      </c>
      <c r="F123" s="13">
        <f>_xll.BDH("DD US Equity","NUM_OF_NONEXEC_DIR_ON_BRD","FY 2020","FY 2020","Currency=USD","Period=FY","BEST_FPERIOD_OVERRIDE=FY","FILING_STATUS=MR","Sort=A","Dates=H","DateFormat=P","Fill=—","Direction=H","UseDPDF=Y")</f>
        <v>11</v>
      </c>
      <c r="G123" s="13">
        <f>_xll.BDH("DD US Equity","NUM_OF_NONEXEC_DIR_ON_BRD","FY 2021","FY 2021","Currency=USD","Period=FY","BEST_FPERIOD_OVERRIDE=FY","FILING_STATUS=MR","Sort=A","Dates=H","DateFormat=P","Fill=—","Direction=H","UseDPDF=Y")</f>
        <v>11</v>
      </c>
      <c r="H123" s="13">
        <f>_xll.BDH("DD US Equity","NUM_OF_NONEXEC_DIR_ON_BRD","FY 2022","FY 2022","Currency=USD","Period=FY","BEST_FPERIOD_OVERRIDE=FY","FILING_STATUS=MR","Sort=A","Dates=H","DateFormat=P","Fill=—","Direction=H","UseDPDF=Y")</f>
        <v>11</v>
      </c>
    </row>
    <row r="124" spans="1:8">
      <c r="A124" s="10" t="s">
        <v>200</v>
      </c>
      <c r="B124" s="10" t="s">
        <v>201</v>
      </c>
      <c r="C124" s="13">
        <f>_xll.BDH("DD US Equity","BOARD_MEETINGS_PER_YR","FY 2017","FY 2017","Currency=USD","Period=FY","BEST_FPERIOD_OVERRIDE=FY","FILING_STATUS=MR","Sort=A","Dates=H","DateFormat=P","Fill=—","Direction=H","UseDPDF=Y")</f>
        <v>3</v>
      </c>
      <c r="D124" s="13">
        <f>_xll.BDH("DD US Equity","BOARD_MEETINGS_PER_YR","FY 2018","FY 2018","Currency=USD","Period=FY","BEST_FPERIOD_OVERRIDE=FY","FILING_STATUS=MR","Sort=A","Dates=H","DateFormat=P","Fill=—","Direction=H","UseDPDF=Y")</f>
        <v>7</v>
      </c>
      <c r="E124" s="13">
        <f>_xll.BDH("DD US Equity","BOARD_MEETINGS_PER_YR","FY 2019","FY 2019","Currency=USD","Period=FY","BEST_FPERIOD_OVERRIDE=FY","FILING_STATUS=MR","Sort=A","Dates=H","DateFormat=P","Fill=—","Direction=H","UseDPDF=Y")</f>
        <v>13</v>
      </c>
      <c r="F124" s="13">
        <f>_xll.BDH("DD US Equity","BOARD_MEETINGS_PER_YR","FY 2020","FY 2020","Currency=USD","Period=FY","BEST_FPERIOD_OVERRIDE=FY","FILING_STATUS=MR","Sort=A","Dates=H","DateFormat=P","Fill=—","Direction=H","UseDPDF=Y")</f>
        <v>15</v>
      </c>
      <c r="G124" s="13">
        <f>_xll.BDH("DD US Equity","BOARD_MEETINGS_PER_YR","FY 2021","FY 2021","Currency=USD","Period=FY","BEST_FPERIOD_OVERRIDE=FY","FILING_STATUS=MR","Sort=A","Dates=H","DateFormat=P","Fill=—","Direction=H","UseDPDF=Y")</f>
        <v>12</v>
      </c>
      <c r="H124" s="13">
        <f>_xll.BDH("DD US Equity","BOARD_MEETINGS_PER_YR","FY 2022","FY 2022","Currency=USD","Period=FY","BEST_FPERIOD_OVERRIDE=FY","FILING_STATUS=MR","Sort=A","Dates=H","DateFormat=P","Fill=—","Direction=H","UseDPDF=Y")</f>
        <v>10</v>
      </c>
    </row>
    <row r="125" spans="1:8">
      <c r="A125" s="10" t="s">
        <v>202</v>
      </c>
      <c r="B125" s="10" t="s">
        <v>203</v>
      </c>
      <c r="C125" s="13">
        <f>_xll.BDH("DD US Equity","BOARD_MEETING_ATTENDANCE_PCT","FY 2017","FY 2017","Currency=USD","Period=FY","BEST_FPERIOD_OVERRIDE=FY","FILING_STATUS=MR","Sort=A","Dates=H","DateFormat=P","Fill=—","Direction=H","UseDPDF=Y")</f>
        <v>75</v>
      </c>
      <c r="D125" s="13">
        <f>_xll.BDH("DD US Equity","BOARD_MEETING_ATTENDANCE_PCT","FY 2018","FY 2018","Currency=USD","Period=FY","BEST_FPERIOD_OVERRIDE=FY","FILING_STATUS=MR","Sort=A","Dates=H","DateFormat=P","Fill=—","Direction=H","UseDPDF=Y")</f>
        <v>75</v>
      </c>
      <c r="E125" s="13">
        <f>_xll.BDH("DD US Equity","BOARD_MEETING_ATTENDANCE_PCT","FY 2019","FY 2019","Currency=USD","Period=FY","BEST_FPERIOD_OVERRIDE=FY","FILING_STATUS=MR","Sort=A","Dates=H","DateFormat=P","Fill=—","Direction=H","UseDPDF=Y")</f>
        <v>75</v>
      </c>
      <c r="F125" s="13">
        <f>_xll.BDH("DD US Equity","BOARD_MEETING_ATTENDANCE_PCT","FY 2020","FY 2020","Currency=USD","Period=FY","BEST_FPERIOD_OVERRIDE=FY","FILING_STATUS=MR","Sort=A","Dates=H","DateFormat=P","Fill=—","Direction=H","UseDPDF=Y")</f>
        <v>75</v>
      </c>
      <c r="G125" s="13">
        <f>_xll.BDH("DD US Equity","BOARD_MEETING_ATTENDANCE_PCT","FY 2021","FY 2021","Currency=USD","Period=FY","BEST_FPERIOD_OVERRIDE=FY","FILING_STATUS=MR","Sort=A","Dates=H","DateFormat=P","Fill=—","Direction=H","UseDPDF=Y")</f>
        <v>75</v>
      </c>
      <c r="H125" s="13">
        <f>_xll.BDH("DD US Equity","BOARD_MEETING_ATTENDANCE_PCT","FY 2022","FY 2022","Currency=USD","Period=FY","BEST_FPERIOD_OVERRIDE=FY","FILING_STATUS=MR","Sort=A","Dates=H","DateFormat=P","Fill=—","Direction=H","UseDPDF=Y")</f>
        <v>75</v>
      </c>
    </row>
    <row r="126" spans="1:8">
      <c r="A126" s="10"/>
      <c r="B126" s="11"/>
      <c r="C126" s="11"/>
      <c r="D126" s="11"/>
      <c r="E126" s="11"/>
      <c r="F126" s="11"/>
      <c r="G126" s="11"/>
      <c r="H126" s="11"/>
    </row>
    <row r="127" spans="1:8">
      <c r="A127" s="10" t="s">
        <v>204</v>
      </c>
      <c r="B127" s="11"/>
      <c r="C127" s="11"/>
      <c r="D127" s="11"/>
      <c r="E127" s="11"/>
      <c r="F127" s="11"/>
      <c r="G127" s="11"/>
      <c r="H127" s="11"/>
    </row>
    <row r="128" spans="1:8">
      <c r="A128" s="10" t="s">
        <v>205</v>
      </c>
      <c r="B128" s="10" t="s">
        <v>206</v>
      </c>
      <c r="C128" s="11" t="s">
        <v>46</v>
      </c>
      <c r="D128" s="11" t="s">
        <v>46</v>
      </c>
      <c r="E128" s="11" t="s">
        <v>46</v>
      </c>
      <c r="F128" s="11" t="s">
        <v>46</v>
      </c>
      <c r="G128" s="11" t="s">
        <v>46</v>
      </c>
      <c r="H128" s="11" t="s">
        <v>46</v>
      </c>
    </row>
    <row r="129" spans="1:8">
      <c r="A129" s="10" t="s">
        <v>207</v>
      </c>
      <c r="B129" s="10" t="s">
        <v>208</v>
      </c>
      <c r="C129" s="11" t="s">
        <v>46</v>
      </c>
      <c r="D129" s="11" t="s">
        <v>46</v>
      </c>
      <c r="E129" s="11" t="s">
        <v>46</v>
      </c>
      <c r="F129" s="11" t="s">
        <v>46</v>
      </c>
      <c r="G129" s="11" t="s">
        <v>46</v>
      </c>
      <c r="H129" s="11" t="s">
        <v>46</v>
      </c>
    </row>
    <row r="130" spans="1:8">
      <c r="A130" s="10" t="s">
        <v>209</v>
      </c>
      <c r="B130" s="10" t="s">
        <v>210</v>
      </c>
      <c r="C130" s="13">
        <f>_xll.BDH("DD US Equity","SIZE_OF_COMPENSATION_COMMITTEE","FY 2017","FY 2017","Currency=USD","Period=FY","BEST_FPERIOD_OVERRIDE=FY","FILING_STATUS=MR","Sort=A","Dates=H","DateFormat=P","Fill=—","Direction=H","UseDPDF=Y")</f>
        <v>4</v>
      </c>
      <c r="D130" s="13">
        <f>_xll.BDH("DD US Equity","SIZE_OF_COMPENSATION_COMMITTEE","FY 2018","FY 2018","Currency=USD","Period=FY","BEST_FPERIOD_OVERRIDE=FY","FILING_STATUS=MR","Sort=A","Dates=H","DateFormat=P","Fill=—","Direction=H","UseDPDF=Y")</f>
        <v>2</v>
      </c>
      <c r="E130" s="13">
        <f>_xll.BDH("DD US Equity","SIZE_OF_COMPENSATION_COMMITTEE","FY 2019","FY 2019","Currency=USD","Period=FY","BEST_FPERIOD_OVERRIDE=FY","FILING_STATUS=MR","Sort=A","Dates=H","DateFormat=P","Fill=—","Direction=H","UseDPDF=Y")</f>
        <v>5</v>
      </c>
      <c r="F130" s="13">
        <f>_xll.BDH("DD US Equity","SIZE_OF_COMPENSATION_COMMITTEE","FY 2020","FY 2020","Currency=USD","Period=FY","BEST_FPERIOD_OVERRIDE=FY","FILING_STATUS=MR","Sort=A","Dates=H","DateFormat=P","Fill=—","Direction=H","UseDPDF=Y")</f>
        <v>5</v>
      </c>
      <c r="G130" s="13">
        <f>_xll.BDH("DD US Equity","SIZE_OF_COMPENSATION_COMMITTEE","FY 2021","FY 2021","Currency=USD","Period=FY","BEST_FPERIOD_OVERRIDE=FY","FILING_STATUS=MR","Sort=A","Dates=H","DateFormat=P","Fill=—","Direction=H","UseDPDF=Y")</f>
        <v>5</v>
      </c>
      <c r="H130" s="13">
        <f>_xll.BDH("DD US Equity","SIZE_OF_COMPENSATION_COMMITTEE","FY 2022","FY 2022","Currency=USD","Period=FY","BEST_FPERIOD_OVERRIDE=FY","FILING_STATUS=MR","Sort=A","Dates=H","DateFormat=P","Fill=—","Direction=H","UseDPDF=Y")</f>
        <v>5</v>
      </c>
    </row>
    <row r="131" spans="1:8">
      <c r="A131" s="10" t="s">
        <v>211</v>
      </c>
      <c r="B131" s="10" t="s">
        <v>212</v>
      </c>
      <c r="C131" s="13">
        <f>_xll.BDH("DD US Equity","NUM_IND_DIR_ON_CMPNSTN_CMTE","FY 2017","FY 2017","Currency=USD","Period=FY","BEST_FPERIOD_OVERRIDE=FY","FILING_STATUS=MR","Sort=A","Dates=H","DateFormat=P","Fill=—","Direction=H","UseDPDF=Y")</f>
        <v>4</v>
      </c>
      <c r="D131" s="13">
        <f>_xll.BDH("DD US Equity","NUM_IND_DIR_ON_CMPNSTN_CMTE","FY 2018","FY 2018","Currency=USD","Period=FY","BEST_FPERIOD_OVERRIDE=FY","FILING_STATUS=MR","Sort=A","Dates=H","DateFormat=P","Fill=—","Direction=H","UseDPDF=Y")</f>
        <v>2</v>
      </c>
      <c r="E131" s="13">
        <f>_xll.BDH("DD US Equity","NUM_IND_DIR_ON_CMPNSTN_CMTE","FY 2019","FY 2019","Currency=USD","Period=FY","BEST_FPERIOD_OVERRIDE=FY","FILING_STATUS=MR","Sort=A","Dates=H","DateFormat=P","Fill=—","Direction=H","UseDPDF=Y")</f>
        <v>5</v>
      </c>
      <c r="F131" s="13">
        <f>_xll.BDH("DD US Equity","NUM_IND_DIR_ON_CMPNSTN_CMTE","FY 2020","FY 2020","Currency=USD","Period=FY","BEST_FPERIOD_OVERRIDE=FY","FILING_STATUS=MR","Sort=A","Dates=H","DateFormat=P","Fill=—","Direction=H","UseDPDF=Y")</f>
        <v>5</v>
      </c>
      <c r="G131" s="13">
        <f>_xll.BDH("DD US Equity","NUM_IND_DIR_ON_CMPNSTN_CMTE","FY 2021","FY 2021","Currency=USD","Period=FY","BEST_FPERIOD_OVERRIDE=FY","FILING_STATUS=MR","Sort=A","Dates=H","DateFormat=P","Fill=—","Direction=H","UseDPDF=Y")</f>
        <v>5</v>
      </c>
      <c r="H131" s="13">
        <f>_xll.BDH("DD US Equity","NUM_IND_DIR_ON_CMPNSTN_CMTE","FY 2022","FY 2022","Currency=USD","Period=FY","BEST_FPERIOD_OVERRIDE=FY","FILING_STATUS=MR","Sort=A","Dates=H","DateFormat=P","Fill=—","Direction=H","UseDPDF=Y")</f>
        <v>5</v>
      </c>
    </row>
    <row r="132" spans="1:8">
      <c r="A132" s="10" t="s">
        <v>213</v>
      </c>
      <c r="B132" s="10" t="s">
        <v>214</v>
      </c>
      <c r="C132" s="13">
        <f>_xll.BDH("DD US Equity","NUM_COMPENSATION_CMTE_MTG","FY 2017","FY 2017","Currency=USD","Period=FY","BEST_FPERIOD_OVERRIDE=FY","FILING_STATUS=MR","Sort=A","Dates=H","DateFormat=P","Fill=—","Direction=H","UseDPDF=Y")</f>
        <v>2</v>
      </c>
      <c r="D132" s="13">
        <f>_xll.BDH("DD US Equity","NUM_COMPENSATION_CMTE_MTG","FY 2018","FY 2018","Currency=USD","Period=FY","BEST_FPERIOD_OVERRIDE=FY","FILING_STATUS=MR","Sort=A","Dates=H","DateFormat=P","Fill=—","Direction=H","UseDPDF=Y")</f>
        <v>5</v>
      </c>
      <c r="E132" s="13">
        <f>_xll.BDH("DD US Equity","NUM_COMPENSATION_CMTE_MTG","FY 2019","FY 2019","Currency=USD","Period=FY","BEST_FPERIOD_OVERRIDE=FY","FILING_STATUS=MR","Sort=A","Dates=H","DateFormat=P","Fill=—","Direction=H","UseDPDF=Y")</f>
        <v>8</v>
      </c>
      <c r="F132" s="13">
        <f>_xll.BDH("DD US Equity","NUM_COMPENSATION_CMTE_MTG","FY 2020","FY 2020","Currency=USD","Period=FY","BEST_FPERIOD_OVERRIDE=FY","FILING_STATUS=MR","Sort=A","Dates=H","DateFormat=P","Fill=—","Direction=H","UseDPDF=Y")</f>
        <v>8</v>
      </c>
      <c r="G132" s="13">
        <f>_xll.BDH("DD US Equity","NUM_COMPENSATION_CMTE_MTG","FY 2021","FY 2021","Currency=USD","Period=FY","BEST_FPERIOD_OVERRIDE=FY","FILING_STATUS=MR","Sort=A","Dates=H","DateFormat=P","Fill=—","Direction=H","UseDPDF=Y")</f>
        <v>7</v>
      </c>
      <c r="H132" s="13">
        <f>_xll.BDH("DD US Equity","NUM_COMPENSATION_CMTE_MTG","FY 2022","FY 2022","Currency=USD","Period=FY","BEST_FPERIOD_OVERRIDE=FY","FILING_STATUS=MR","Sort=A","Dates=H","DateFormat=P","Fill=—","Direction=H","UseDPDF=Y")</f>
        <v>6</v>
      </c>
    </row>
    <row r="133" spans="1:8">
      <c r="A133" s="10" t="s">
        <v>215</v>
      </c>
      <c r="B133" s="10" t="s">
        <v>216</v>
      </c>
      <c r="C133" s="13">
        <f>_xll.BDH("DD US Equity","COMPENSATION_CMTE_MTG_ATTEND_PCT","FY 2017","FY 2017","Currency=USD","Period=FY","BEST_FPERIOD_OVERRIDE=FY","FILING_STATUS=MR","Sort=A","Dates=H","DateFormat=P","Fill=—","Direction=H","UseDPDF=Y")</f>
        <v>75</v>
      </c>
      <c r="D133" s="13">
        <f>_xll.BDH("DD US Equity","COMPENSATION_CMTE_MTG_ATTEND_PCT","FY 2018","FY 2018","Currency=USD","Period=FY","BEST_FPERIOD_OVERRIDE=FY","FILING_STATUS=MR","Sort=A","Dates=H","DateFormat=P","Fill=—","Direction=H","UseDPDF=Y")</f>
        <v>75</v>
      </c>
      <c r="E133" s="13">
        <f>_xll.BDH("DD US Equity","COMPENSATION_CMTE_MTG_ATTEND_PCT","FY 2019","FY 2019","Currency=USD","Period=FY","BEST_FPERIOD_OVERRIDE=FY","FILING_STATUS=MR","Sort=A","Dates=H","DateFormat=P","Fill=—","Direction=H","UseDPDF=Y")</f>
        <v>75</v>
      </c>
      <c r="F133" s="13">
        <f>_xll.BDH("DD US Equity","COMPENSATION_CMTE_MTG_ATTEND_PCT","FY 2020","FY 2020","Currency=USD","Period=FY","BEST_FPERIOD_OVERRIDE=FY","FILING_STATUS=MR","Sort=A","Dates=H","DateFormat=P","Fill=—","Direction=H","UseDPDF=Y")</f>
        <v>75</v>
      </c>
      <c r="G133" s="13">
        <f>_xll.BDH("DD US Equity","COMPENSATION_CMTE_MTG_ATTEND_PCT","FY 2021","FY 2021","Currency=USD","Period=FY","BEST_FPERIOD_OVERRIDE=FY","FILING_STATUS=MR","Sort=A","Dates=H","DateFormat=P","Fill=—","Direction=H","UseDPDF=Y")</f>
        <v>75</v>
      </c>
      <c r="H133" s="13">
        <f>_xll.BDH("DD US Equity","COMPENSATION_CMTE_MTG_ATTEND_PCT","FY 2022","FY 2022","Currency=USD","Period=FY","BEST_FPERIOD_OVERRIDE=FY","FILING_STATUS=MR","Sort=A","Dates=H","DateFormat=P","Fill=—","Direction=H","UseDPDF=Y")</f>
        <v>75</v>
      </c>
    </row>
    <row r="134" spans="1:8">
      <c r="A134" s="10"/>
      <c r="B134" s="11"/>
      <c r="C134" s="11"/>
      <c r="D134" s="11"/>
      <c r="E134" s="11"/>
      <c r="F134" s="11"/>
      <c r="G134" s="11"/>
      <c r="H134" s="11"/>
    </row>
    <row r="135" spans="1:8">
      <c r="A135" s="10" t="s">
        <v>121</v>
      </c>
      <c r="B135" s="11"/>
      <c r="C135" s="11"/>
      <c r="D135" s="11"/>
      <c r="E135" s="11"/>
      <c r="F135" s="11"/>
      <c r="G135" s="11"/>
      <c r="H135" s="11"/>
    </row>
    <row r="136" spans="1:8">
      <c r="A136" s="10" t="s">
        <v>217</v>
      </c>
      <c r="B136" s="10" t="s">
        <v>218</v>
      </c>
      <c r="C136" s="13">
        <f>_xll.BDH("DD US Equity","NUMBER_OF_FEMALE_EXECUTIVES","FY 2017","FY 2017","Currency=USD","Period=FY","BEST_FPERIOD_OVERRIDE=FY","FILING_STATUS=MR","Sort=A","Dates=H","DateFormat=P","Fill=—","Direction=H","UseDPDF=Y")</f>
        <v>2</v>
      </c>
      <c r="D136" s="13">
        <f>_xll.BDH("DD US Equity","NUMBER_OF_FEMALE_EXECUTIVES","FY 2018","FY 2018","Currency=USD","Period=FY","BEST_FPERIOD_OVERRIDE=FY","FILING_STATUS=MR","Sort=A","Dates=H","DateFormat=P","Fill=—","Direction=H","UseDPDF=Y")</f>
        <v>2</v>
      </c>
      <c r="E136" s="13">
        <f>_xll.BDH("DD US Equity","NUMBER_OF_FEMALE_EXECUTIVES","FY 2019","FY 2019","Currency=USD","Period=FY","BEST_FPERIOD_OVERRIDE=FY","FILING_STATUS=MR","Sort=A","Dates=H","DateFormat=P","Fill=—","Direction=H","UseDPDF=Y")</f>
        <v>2</v>
      </c>
      <c r="F136" s="13">
        <f>_xll.BDH("DD US Equity","NUMBER_OF_FEMALE_EXECUTIVES","FY 2020","FY 2020","Currency=USD","Period=FY","BEST_FPERIOD_OVERRIDE=FY","FILING_STATUS=MR","Sort=A","Dates=H","DateFormat=P","Fill=—","Direction=H","UseDPDF=Y")</f>
        <v>3</v>
      </c>
      <c r="G136" s="13">
        <f>_xll.BDH("DD US Equity","NUMBER_OF_FEMALE_EXECUTIVES","FY 2021","FY 2021","Currency=USD","Period=FY","BEST_FPERIOD_OVERRIDE=FY","FILING_STATUS=MR","Sort=A","Dates=H","DateFormat=P","Fill=—","Direction=H","UseDPDF=Y")</f>
        <v>1</v>
      </c>
      <c r="H136" s="13">
        <f>_xll.BDH("DD US Equity","NUMBER_OF_FEMALE_EXECUTIVES","FY 2022","FY 2022","Currency=USD","Period=FY","BEST_FPERIOD_OVERRIDE=FY","FILING_STATUS=MR","Sort=A","Dates=H","DateFormat=P","Fill=—","Direction=H","UseDPDF=Y")</f>
        <v>1</v>
      </c>
    </row>
    <row r="137" spans="1:8">
      <c r="A137" s="10" t="s">
        <v>219</v>
      </c>
      <c r="B137" s="10" t="s">
        <v>220</v>
      </c>
      <c r="C137" s="13">
        <f>_xll.BDH("DD US Equity","NUMBER_OF_WOMEN_ON_BOARD","FY 2017","FY 2017","Currency=USD","Period=FY","BEST_FPERIOD_OVERRIDE=FY","FILING_STATUS=MR","Sort=A","Dates=H","DateFormat=P","Fill=—","Direction=H","UseDPDF=Y")</f>
        <v>3</v>
      </c>
      <c r="D137" s="13">
        <f>_xll.BDH("DD US Equity","NUMBER_OF_WOMEN_ON_BOARD","FY 2018","FY 2018","Currency=USD","Period=FY","BEST_FPERIOD_OVERRIDE=FY","FILING_STATUS=MR","Sort=A","Dates=H","DateFormat=P","Fill=—","Direction=H","UseDPDF=Y")</f>
        <v>4</v>
      </c>
      <c r="E137" s="13">
        <f>_xll.BDH("DD US Equity","NUMBER_OF_WOMEN_ON_BOARD","FY 2019","FY 2019","Currency=USD","Period=FY","BEST_FPERIOD_OVERRIDE=FY","FILING_STATUS=MR","Sort=A","Dates=H","DateFormat=P","Fill=—","Direction=H","UseDPDF=Y")</f>
        <v>2</v>
      </c>
      <c r="F137" s="13">
        <f>_xll.BDH("DD US Equity","NUMBER_OF_WOMEN_ON_BOARD","FY 2020","FY 2020","Currency=USD","Period=FY","BEST_FPERIOD_OVERRIDE=FY","FILING_STATUS=MR","Sort=A","Dates=H","DateFormat=P","Fill=—","Direction=H","UseDPDF=Y")</f>
        <v>2</v>
      </c>
      <c r="G137" s="13">
        <f>_xll.BDH("DD US Equity","NUMBER_OF_WOMEN_ON_BOARD","FY 2021","FY 2021","Currency=USD","Period=FY","BEST_FPERIOD_OVERRIDE=FY","FILING_STATUS=MR","Sort=A","Dates=H","DateFormat=P","Fill=—","Direction=H","UseDPDF=Y")</f>
        <v>3</v>
      </c>
      <c r="H137" s="13">
        <f>_xll.BDH("DD US Equity","NUMBER_OF_WOMEN_ON_BOARD","FY 2022","FY 2022","Currency=USD","Period=FY","BEST_FPERIOD_OVERRIDE=FY","FILING_STATUS=MR","Sort=A","Dates=H","DateFormat=P","Fill=—","Direction=H","UseDPDF=Y")</f>
        <v>4</v>
      </c>
    </row>
    <row r="138" spans="1:8">
      <c r="A138" s="10" t="s">
        <v>221</v>
      </c>
      <c r="B138" s="10" t="s">
        <v>222</v>
      </c>
      <c r="C138" s="13">
        <f>_xll.BDH("DD US Equity","BOARD_AGE_LIMIT","FY 2017","FY 2017","Currency=USD","Period=FY","BEST_FPERIOD_OVERRIDE=FY","FILING_STATUS=MR","Sort=A","Dates=H","DateFormat=P","Fill=—","Direction=H","UseDPDF=Y")</f>
        <v>72</v>
      </c>
      <c r="D138" s="13">
        <f>_xll.BDH("DD US Equity","BOARD_AGE_LIMIT","FY 2018","FY 2018","Currency=USD","Period=FY","BEST_FPERIOD_OVERRIDE=FY","FILING_STATUS=MR","Sort=A","Dates=H","DateFormat=P","Fill=—","Direction=H","UseDPDF=Y")</f>
        <v>75</v>
      </c>
      <c r="E138" s="13">
        <f>_xll.BDH("DD US Equity","BOARD_AGE_LIMIT","FY 2019","FY 2019","Currency=USD","Period=FY","BEST_FPERIOD_OVERRIDE=FY","FILING_STATUS=MR","Sort=A","Dates=H","DateFormat=P","Fill=—","Direction=H","UseDPDF=Y")</f>
        <v>75</v>
      </c>
      <c r="F138" s="13">
        <f>_xll.BDH("DD US Equity","BOARD_AGE_LIMIT","FY 2020","FY 2020","Currency=USD","Period=FY","BEST_FPERIOD_OVERRIDE=FY","FILING_STATUS=MR","Sort=A","Dates=H","DateFormat=P","Fill=—","Direction=H","UseDPDF=Y")</f>
        <v>75</v>
      </c>
      <c r="G138" s="13">
        <f>_xll.BDH("DD US Equity","BOARD_AGE_LIMIT","FY 2021","FY 2021","Currency=USD","Period=FY","BEST_FPERIOD_OVERRIDE=FY","FILING_STATUS=MR","Sort=A","Dates=H","DateFormat=P","Fill=—","Direction=H","UseDPDF=Y")</f>
        <v>75</v>
      </c>
      <c r="H138" s="13">
        <f>_xll.BDH("DD US Equity","BOARD_AGE_LIMIT","FY 2022","FY 2022","Currency=USD","Period=FY","BEST_FPERIOD_OVERRIDE=FY","FILING_STATUS=MR","Sort=A","Dates=H","DateFormat=P","Fill=—","Direction=H","UseDPDF=Y")</f>
        <v>75</v>
      </c>
    </row>
    <row r="139" spans="1:8">
      <c r="A139" s="10" t="s">
        <v>223</v>
      </c>
      <c r="B139" s="10" t="s">
        <v>224</v>
      </c>
      <c r="C139" s="13">
        <f>_xll.BDH("DD US Equity","AGE_OF_YOUNGEST_DIRECTOR","FY 2017","FY 2017","Currency=USD","Period=FY","BEST_FPERIOD_OVERRIDE=FY","FILING_STATUS=MR","Sort=A","Dates=H","DateFormat=P","Fill=—","Direction=H","UseDPDF=Y")</f>
        <v>54</v>
      </c>
      <c r="D139" s="13" t="str">
        <f>_xll.BDH("DD US Equity","AGE_OF_YOUNGEST_DIRECTOR","FY 2018","FY 2018","Currency=USD","Period=FY","BEST_FPERIOD_OVERRIDE=FY","FILING_STATUS=MR","Sort=A","Dates=H","DateFormat=P","Fill=—","Direction=H","UseDPDF=Y")</f>
        <v>—</v>
      </c>
      <c r="E139" s="13">
        <f>_xll.BDH("DD US Equity","AGE_OF_YOUNGEST_DIRECTOR","FY 2019","FY 2019","Currency=USD","Period=FY","BEST_FPERIOD_OVERRIDE=FY","FILING_STATUS=MR","Sort=A","Dates=H","DateFormat=P","Fill=—","Direction=H","UseDPDF=Y")</f>
        <v>48</v>
      </c>
      <c r="F139" s="13">
        <f>_xll.BDH("DD US Equity","AGE_OF_YOUNGEST_DIRECTOR","FY 2020","FY 2020","Currency=USD","Period=FY","BEST_FPERIOD_OVERRIDE=FY","FILING_STATUS=MR","Sort=A","Dates=H","DateFormat=P","Fill=—","Direction=H","UseDPDF=Y")</f>
        <v>49</v>
      </c>
      <c r="G139" s="13">
        <f>_xll.BDH("DD US Equity","AGE_OF_YOUNGEST_DIRECTOR","FY 2021","FY 2021","Currency=USD","Period=FY","BEST_FPERIOD_OVERRIDE=FY","FILING_STATUS=MR","Sort=A","Dates=H","DateFormat=P","Fill=—","Direction=H","UseDPDF=Y")</f>
        <v>50</v>
      </c>
      <c r="H139" s="13">
        <f>_xll.BDH("DD US Equity","AGE_OF_YOUNGEST_DIRECTOR","FY 2022","FY 2022","Currency=USD","Period=FY","BEST_FPERIOD_OVERRIDE=FY","FILING_STATUS=MR","Sort=A","Dates=H","DateFormat=P","Fill=—","Direction=H","UseDPDF=Y")</f>
        <v>51</v>
      </c>
    </row>
    <row r="140" spans="1:8">
      <c r="A140" s="10" t="s">
        <v>225</v>
      </c>
      <c r="B140" s="10" t="s">
        <v>226</v>
      </c>
      <c r="C140" s="13">
        <f>_xll.BDH("DD US Equity","AGE_OF_OLDEST_DIRECTOR","FY 2017","FY 2017","Currency=USD","Period=FY","BEST_FPERIOD_OVERRIDE=FY","FILING_STATUS=MR","Sort=A","Dates=H","DateFormat=P","Fill=—","Direction=H","UseDPDF=Y")</f>
        <v>72</v>
      </c>
      <c r="D140" s="13" t="str">
        <f>_xll.BDH("DD US Equity","AGE_OF_OLDEST_DIRECTOR","FY 2018","FY 2018","Currency=USD","Period=FY","BEST_FPERIOD_OVERRIDE=FY","FILING_STATUS=MR","Sort=A","Dates=H","DateFormat=P","Fill=—","Direction=H","UseDPDF=Y")</f>
        <v>—</v>
      </c>
      <c r="E140" s="13">
        <f>_xll.BDH("DD US Equity","AGE_OF_OLDEST_DIRECTOR","FY 2019","FY 2019","Currency=USD","Period=FY","BEST_FPERIOD_OVERRIDE=FY","FILING_STATUS=MR","Sort=A","Dates=H","DateFormat=P","Fill=—","Direction=H","UseDPDF=Y")</f>
        <v>74</v>
      </c>
      <c r="F140" s="13">
        <f>_xll.BDH("DD US Equity","AGE_OF_OLDEST_DIRECTOR","FY 2020","FY 2020","Currency=USD","Period=FY","BEST_FPERIOD_OVERRIDE=FY","FILING_STATUS=MR","Sort=A","Dates=H","DateFormat=P","Fill=—","Direction=H","UseDPDF=Y")</f>
        <v>75</v>
      </c>
      <c r="G140" s="13">
        <f>_xll.BDH("DD US Equity","AGE_OF_OLDEST_DIRECTOR","FY 2021","FY 2021","Currency=USD","Period=FY","BEST_FPERIOD_OVERRIDE=FY","FILING_STATUS=MR","Sort=A","Dates=H","DateFormat=P","Fill=—","Direction=H","UseDPDF=Y")</f>
        <v>72</v>
      </c>
      <c r="H140" s="13">
        <f>_xll.BDH("DD US Equity","AGE_OF_OLDEST_DIRECTOR","FY 2022","FY 2022","Currency=USD","Period=FY","BEST_FPERIOD_OVERRIDE=FY","FILING_STATUS=MR","Sort=A","Dates=H","DateFormat=P","Fill=—","Direction=H","UseDPDF=Y")</f>
        <v>73</v>
      </c>
    </row>
    <row r="141" spans="1:8">
      <c r="A141" s="10"/>
      <c r="B141" s="11"/>
      <c r="C141" s="11"/>
      <c r="D141" s="11"/>
      <c r="E141" s="11"/>
      <c r="F141" s="11"/>
      <c r="G141" s="11"/>
      <c r="H141" s="11"/>
    </row>
    <row r="142" spans="1:8">
      <c r="A142" s="10" t="s">
        <v>227</v>
      </c>
      <c r="B142" s="11"/>
      <c r="C142" s="11"/>
      <c r="D142" s="11"/>
      <c r="E142" s="11"/>
      <c r="F142" s="11"/>
      <c r="G142" s="11"/>
      <c r="H142" s="11"/>
    </row>
    <row r="143" spans="1:8">
      <c r="A143" s="10" t="s">
        <v>228</v>
      </c>
      <c r="B143" s="10" t="s">
        <v>229</v>
      </c>
      <c r="C143" s="13">
        <f>_xll.BDH("DD US Equity","INDEPENDENT_DIRECTORS","FY 2017","FY 2017","Currency=USD","Period=FY","BEST_FPERIOD_OVERRIDE=FY","FILING_STATUS=MR","Sort=A","Dates=H","DateFormat=P","Fill=—","Direction=H","UseDPDF=Y")</f>
        <v>14</v>
      </c>
      <c r="D143" s="13">
        <f>_xll.BDH("DD US Equity","INDEPENDENT_DIRECTORS","FY 2018","FY 2018","Currency=USD","Period=FY","BEST_FPERIOD_OVERRIDE=FY","FILING_STATUS=MR","Sort=A","Dates=H","DateFormat=P","Fill=—","Direction=H","UseDPDF=Y")</f>
        <v>14</v>
      </c>
      <c r="E143" s="13">
        <f>_xll.BDH("DD US Equity","INDEPENDENT_DIRECTORS","FY 2019","FY 2019","Currency=USD","Period=FY","BEST_FPERIOD_OVERRIDE=FY","FILING_STATUS=MR","Sort=A","Dates=H","DateFormat=P","Fill=—","Direction=H","UseDPDF=Y")</f>
        <v>11</v>
      </c>
      <c r="F143" s="13">
        <f>_xll.BDH("DD US Equity","INDEPENDENT_DIRECTORS","FY 2020","FY 2020","Currency=USD","Period=FY","BEST_FPERIOD_OVERRIDE=FY","FILING_STATUS=MR","Sort=A","Dates=H","DateFormat=P","Fill=—","Direction=H","UseDPDF=Y")</f>
        <v>11</v>
      </c>
      <c r="G143" s="13">
        <f>_xll.BDH("DD US Equity","INDEPENDENT_DIRECTORS","FY 2021","FY 2021","Currency=USD","Period=FY","BEST_FPERIOD_OVERRIDE=FY","FILING_STATUS=MR","Sort=A","Dates=H","DateFormat=P","Fill=—","Direction=H","UseDPDF=Y")</f>
        <v>11</v>
      </c>
      <c r="H143" s="13">
        <f>_xll.BDH("DD US Equity","INDEPENDENT_DIRECTORS","FY 2022","FY 2022","Currency=USD","Period=FY","BEST_FPERIOD_OVERRIDE=FY","FILING_STATUS=MR","Sort=A","Dates=H","DateFormat=P","Fill=—","Direction=H","UseDPDF=Y")</f>
        <v>11</v>
      </c>
    </row>
    <row r="144" spans="1:8">
      <c r="A144" s="10"/>
      <c r="B144" s="11"/>
      <c r="C144" s="11"/>
      <c r="D144" s="11"/>
      <c r="E144" s="11"/>
      <c r="F144" s="11"/>
      <c r="G144" s="11"/>
      <c r="H144" s="11"/>
    </row>
    <row r="145" spans="1:8">
      <c r="A145" s="10" t="s">
        <v>230</v>
      </c>
      <c r="B145" s="11"/>
      <c r="C145" s="11"/>
      <c r="D145" s="11"/>
      <c r="E145" s="11"/>
      <c r="F145" s="11"/>
      <c r="G145" s="11"/>
      <c r="H145" s="11"/>
    </row>
    <row r="146" spans="1:8">
      <c r="A146" s="10" t="s">
        <v>231</v>
      </c>
      <c r="B146" s="10" t="s">
        <v>232</v>
      </c>
      <c r="C146" s="13">
        <f>_xll.BDH("DD US Equity","SIZE_OF_NOMINATION_COMMITTEE","FY 2017","FY 2017","Currency=USD","Period=FY","BEST_FPERIOD_OVERRIDE=FY","FILING_STATUS=MR","Sort=A","Dates=H","DateFormat=P","Fill=—","Direction=H","UseDPDF=Y")</f>
        <v>4</v>
      </c>
      <c r="D146" s="13">
        <f>_xll.BDH("DD US Equity","SIZE_OF_NOMINATION_COMMITTEE","FY 2018","FY 2018","Currency=USD","Period=FY","BEST_FPERIOD_OVERRIDE=FY","FILING_STATUS=MR","Sort=A","Dates=H","DateFormat=P","Fill=—","Direction=H","UseDPDF=Y")</f>
        <v>5</v>
      </c>
      <c r="E146" s="13">
        <f>_xll.BDH("DD US Equity","SIZE_OF_NOMINATION_COMMITTEE","FY 2019","FY 2019","Currency=USD","Period=FY","BEST_FPERIOD_OVERRIDE=FY","FILING_STATUS=MR","Sort=A","Dates=H","DateFormat=P","Fill=—","Direction=H","UseDPDF=Y")</f>
        <v>5</v>
      </c>
      <c r="F146" s="13">
        <f>_xll.BDH("DD US Equity","SIZE_OF_NOMINATION_COMMITTEE","FY 2020","FY 2020","Currency=USD","Period=FY","BEST_FPERIOD_OVERRIDE=FY","FILING_STATUS=MR","Sort=A","Dates=H","DateFormat=P","Fill=—","Direction=H","UseDPDF=Y")</f>
        <v>5</v>
      </c>
      <c r="G146" s="13">
        <f>_xll.BDH("DD US Equity","SIZE_OF_NOMINATION_COMMITTEE","FY 2021","FY 2021","Currency=USD","Period=FY","BEST_FPERIOD_OVERRIDE=FY","FILING_STATUS=MR","Sort=A","Dates=H","DateFormat=P","Fill=—","Direction=H","UseDPDF=Y")</f>
        <v>4</v>
      </c>
      <c r="H146" s="13">
        <f>_xll.BDH("DD US Equity","SIZE_OF_NOMINATION_COMMITTEE","FY 2022","FY 2022","Currency=USD","Period=FY","BEST_FPERIOD_OVERRIDE=FY","FILING_STATUS=MR","Sort=A","Dates=H","DateFormat=P","Fill=—","Direction=H","UseDPDF=Y")</f>
        <v>5</v>
      </c>
    </row>
    <row r="147" spans="1:8">
      <c r="A147" s="10" t="s">
        <v>233</v>
      </c>
      <c r="B147" s="10" t="s">
        <v>234</v>
      </c>
      <c r="C147" s="13">
        <f>_xll.BDH("DD US Equity","NUM_IND_DIR_ON_NOM_CMTE","FY 2017","FY 2017","Currency=USD","Period=FY","BEST_FPERIOD_OVERRIDE=FY","FILING_STATUS=MR","Sort=A","Dates=H","DateFormat=P","Fill=—","Direction=H","UseDPDF=Y")</f>
        <v>4</v>
      </c>
      <c r="D147" s="13">
        <f>_xll.BDH("DD US Equity","NUM_IND_DIR_ON_NOM_CMTE","FY 2018","FY 2018","Currency=USD","Period=FY","BEST_FPERIOD_OVERRIDE=FY","FILING_STATUS=MR","Sort=A","Dates=H","DateFormat=P","Fill=—","Direction=H","UseDPDF=Y")</f>
        <v>5</v>
      </c>
      <c r="E147" s="13">
        <f>_xll.BDH("DD US Equity","NUM_IND_DIR_ON_NOM_CMTE","FY 2019","FY 2019","Currency=USD","Period=FY","BEST_FPERIOD_OVERRIDE=FY","FILING_STATUS=MR","Sort=A","Dates=H","DateFormat=P","Fill=—","Direction=H","UseDPDF=Y")</f>
        <v>5</v>
      </c>
      <c r="F147" s="13">
        <f>_xll.BDH("DD US Equity","NUM_IND_DIR_ON_NOM_CMTE","FY 2020","FY 2020","Currency=USD","Period=FY","BEST_FPERIOD_OVERRIDE=FY","FILING_STATUS=MR","Sort=A","Dates=H","DateFormat=P","Fill=—","Direction=H","UseDPDF=Y")</f>
        <v>5</v>
      </c>
      <c r="G147" s="13">
        <f>_xll.BDH("DD US Equity","NUM_IND_DIR_ON_NOM_CMTE","FY 2021","FY 2021","Currency=USD","Period=FY","BEST_FPERIOD_OVERRIDE=FY","FILING_STATUS=MR","Sort=A","Dates=H","DateFormat=P","Fill=—","Direction=H","UseDPDF=Y")</f>
        <v>4</v>
      </c>
      <c r="H147" s="13">
        <f>_xll.BDH("DD US Equity","NUM_IND_DIR_ON_NOM_CMTE","FY 2022","FY 2022","Currency=USD","Period=FY","BEST_FPERIOD_OVERRIDE=FY","FILING_STATUS=MR","Sort=A","Dates=H","DateFormat=P","Fill=—","Direction=H","UseDPDF=Y")</f>
        <v>5</v>
      </c>
    </row>
    <row r="148" spans="1:8">
      <c r="A148" s="10" t="s">
        <v>235</v>
      </c>
      <c r="B148" s="10" t="s">
        <v>236</v>
      </c>
      <c r="C148" s="13">
        <f>_xll.BDH("DD US Equity","NUM_OF_NOMINATION_CMTE_MTG","FY 2017","FY 2017","Currency=USD","Period=FY","BEST_FPERIOD_OVERRIDE=FY","FILING_STATUS=MR","Sort=A","Dates=H","DateFormat=P","Fill=—","Direction=H","UseDPDF=Y")</f>
        <v>2</v>
      </c>
      <c r="D148" s="13">
        <f>_xll.BDH("DD US Equity","NUM_OF_NOMINATION_CMTE_MTG","FY 2018","FY 2018","Currency=USD","Period=FY","BEST_FPERIOD_OVERRIDE=FY","FILING_STATUS=MR","Sort=A","Dates=H","DateFormat=P","Fill=—","Direction=H","UseDPDF=Y")</f>
        <v>4</v>
      </c>
      <c r="E148" s="13">
        <f>_xll.BDH("DD US Equity","NUM_OF_NOMINATION_CMTE_MTG","FY 2019","FY 2019","Currency=USD","Period=FY","BEST_FPERIOD_OVERRIDE=FY","FILING_STATUS=MR","Sort=A","Dates=H","DateFormat=P","Fill=—","Direction=H","UseDPDF=Y")</f>
        <v>5</v>
      </c>
      <c r="F148" s="13">
        <f>_xll.BDH("DD US Equity","NUM_OF_NOMINATION_CMTE_MTG","FY 2020","FY 2020","Currency=USD","Period=FY","BEST_FPERIOD_OVERRIDE=FY","FILING_STATUS=MR","Sort=A","Dates=H","DateFormat=P","Fill=—","Direction=H","UseDPDF=Y")</f>
        <v>6</v>
      </c>
      <c r="G148" s="13">
        <f>_xll.BDH("DD US Equity","NUM_OF_NOMINATION_CMTE_MTG","FY 2021","FY 2021","Currency=USD","Period=FY","BEST_FPERIOD_OVERRIDE=FY","FILING_STATUS=MR","Sort=A","Dates=H","DateFormat=P","Fill=—","Direction=H","UseDPDF=Y")</f>
        <v>5</v>
      </c>
      <c r="H148" s="13">
        <f>_xll.BDH("DD US Equity","NUM_OF_NOMINATION_CMTE_MTG","FY 2022","FY 2022","Currency=USD","Period=FY","BEST_FPERIOD_OVERRIDE=FY","FILING_STATUS=MR","Sort=A","Dates=H","DateFormat=P","Fill=—","Direction=H","UseDPDF=Y")</f>
        <v>5</v>
      </c>
    </row>
    <row r="149" spans="1:8">
      <c r="A149" s="10" t="s">
        <v>237</v>
      </c>
      <c r="B149" s="10" t="s">
        <v>238</v>
      </c>
      <c r="C149" s="13">
        <f>_xll.BDH("DD US Equity","NOMINATION_CMTE_MTG_ATTEND_PCT","FY 2017","FY 2017","Currency=USD","Period=FY","BEST_FPERIOD_OVERRIDE=FY","FILING_STATUS=MR","Sort=A","Dates=H","DateFormat=P","Fill=—","Direction=H","UseDPDF=Y")</f>
        <v>75</v>
      </c>
      <c r="D149" s="13">
        <f>_xll.BDH("DD US Equity","NOMINATION_CMTE_MTG_ATTEND_PCT","FY 2018","FY 2018","Currency=USD","Period=FY","BEST_FPERIOD_OVERRIDE=FY","FILING_STATUS=MR","Sort=A","Dates=H","DateFormat=P","Fill=—","Direction=H","UseDPDF=Y")</f>
        <v>75</v>
      </c>
      <c r="E149" s="13">
        <f>_xll.BDH("DD US Equity","NOMINATION_CMTE_MTG_ATTEND_PCT","FY 2019","FY 2019","Currency=USD","Period=FY","BEST_FPERIOD_OVERRIDE=FY","FILING_STATUS=MR","Sort=A","Dates=H","DateFormat=P","Fill=—","Direction=H","UseDPDF=Y")</f>
        <v>75</v>
      </c>
      <c r="F149" s="13">
        <f>_xll.BDH("DD US Equity","NOMINATION_CMTE_MTG_ATTEND_PCT","FY 2020","FY 2020","Currency=USD","Period=FY","BEST_FPERIOD_OVERRIDE=FY","FILING_STATUS=MR","Sort=A","Dates=H","DateFormat=P","Fill=—","Direction=H","UseDPDF=Y")</f>
        <v>75</v>
      </c>
      <c r="G149" s="13">
        <f>_xll.BDH("DD US Equity","NOMINATION_CMTE_MTG_ATTEND_PCT","FY 2021","FY 2021","Currency=USD","Period=FY","BEST_FPERIOD_OVERRIDE=FY","FILING_STATUS=MR","Sort=A","Dates=H","DateFormat=P","Fill=—","Direction=H","UseDPDF=Y")</f>
        <v>75</v>
      </c>
      <c r="H149" s="13">
        <f>_xll.BDH("DD US Equity","NOMINATION_CMTE_MTG_ATTEND_PCT","FY 2022","FY 2022","Currency=USD","Period=FY","BEST_FPERIOD_OVERRIDE=FY","FILING_STATUS=MR","Sort=A","Dates=H","DateFormat=P","Fill=—","Direction=H","UseDPDF=Y")</f>
        <v>75</v>
      </c>
    </row>
    <row r="150" spans="1:8">
      <c r="A150" s="10"/>
      <c r="B150" s="11"/>
      <c r="C150" s="11"/>
      <c r="D150" s="11"/>
      <c r="E150" s="11"/>
      <c r="F150" s="11"/>
      <c r="G150" s="11"/>
      <c r="H150" s="11"/>
    </row>
    <row r="151" spans="1:8">
      <c r="A151" s="10" t="s">
        <v>239</v>
      </c>
      <c r="B151" s="11"/>
      <c r="C151" s="11"/>
      <c r="D151" s="11"/>
      <c r="E151" s="11"/>
      <c r="F151" s="11"/>
      <c r="G151" s="11"/>
      <c r="H151" s="11"/>
    </row>
    <row r="152" spans="1:8">
      <c r="A152" s="10" t="s">
        <v>240</v>
      </c>
      <c r="B152" s="10" t="s">
        <v>241</v>
      </c>
      <c r="C152" s="11" t="s">
        <v>51</v>
      </c>
      <c r="D152" s="11" t="s">
        <v>51</v>
      </c>
      <c r="E152" s="11" t="s">
        <v>46</v>
      </c>
      <c r="F152" s="11" t="s">
        <v>46</v>
      </c>
      <c r="G152" s="11" t="s">
        <v>46</v>
      </c>
      <c r="H152" s="11" t="s">
        <v>46</v>
      </c>
    </row>
    <row r="153" spans="1:8">
      <c r="A153" s="10" t="s">
        <v>242</v>
      </c>
      <c r="B153" s="10" t="s">
        <v>243</v>
      </c>
      <c r="C153" s="11" t="s">
        <v>51</v>
      </c>
      <c r="D153" s="11" t="s">
        <v>51</v>
      </c>
      <c r="E153" s="11" t="s">
        <v>51</v>
      </c>
      <c r="F153" s="11" t="s">
        <v>51</v>
      </c>
      <c r="G153" s="11" t="s">
        <v>46</v>
      </c>
      <c r="H153" s="11" t="s">
        <v>46</v>
      </c>
    </row>
    <row r="154" spans="1:8">
      <c r="A154" s="10"/>
      <c r="B154" s="11"/>
      <c r="C154" s="11"/>
      <c r="D154" s="11"/>
      <c r="E154" s="11"/>
      <c r="F154" s="11"/>
      <c r="G154" s="11"/>
      <c r="H154" s="11"/>
    </row>
    <row r="155" spans="1:8">
      <c r="A155" s="10" t="s">
        <v>244</v>
      </c>
      <c r="B155" s="11"/>
      <c r="C155" s="11"/>
      <c r="D155" s="11"/>
      <c r="E155" s="11"/>
      <c r="F155" s="11"/>
      <c r="G155" s="11"/>
      <c r="H155" s="11"/>
    </row>
    <row r="156" spans="1:8">
      <c r="A156" s="10" t="s">
        <v>245</v>
      </c>
      <c r="B156" s="10" t="s">
        <v>246</v>
      </c>
      <c r="C156" s="13">
        <f>_xll.BDH("DD US Equity","BOARD_DURATION","FY 2017","FY 2017","Currency=USD","Period=FY","BEST_FPERIOD_OVERRIDE=FY","FILING_STATUS=MR","Sort=A","Dates=H","DateFormat=P","Fill=—","Direction=H","UseDPDF=Y")</f>
        <v>1</v>
      </c>
      <c r="D156" s="13">
        <f>_xll.BDH("DD US Equity","BOARD_DURATION","FY 2018","FY 2018","Currency=USD","Period=FY","BEST_FPERIOD_OVERRIDE=FY","FILING_STATUS=MR","Sort=A","Dates=H","DateFormat=P","Fill=—","Direction=H","UseDPDF=Y")</f>
        <v>1</v>
      </c>
      <c r="E156" s="13">
        <f>_xll.BDH("DD US Equity","BOARD_DURATION","FY 2019","FY 2019","Currency=USD","Period=FY","BEST_FPERIOD_OVERRIDE=FY","FILING_STATUS=MR","Sort=A","Dates=H","DateFormat=P","Fill=—","Direction=H","UseDPDF=Y")</f>
        <v>1</v>
      </c>
      <c r="F156" s="13">
        <f>_xll.BDH("DD US Equity","BOARD_DURATION","FY 2020","FY 2020","Currency=USD","Period=FY","BEST_FPERIOD_OVERRIDE=FY","FILING_STATUS=MR","Sort=A","Dates=H","DateFormat=P","Fill=—","Direction=H","UseDPDF=Y")</f>
        <v>1</v>
      </c>
      <c r="G156" s="13">
        <f>_xll.BDH("DD US Equity","BOARD_DURATION","FY 2021","FY 2021","Currency=USD","Period=FY","BEST_FPERIOD_OVERRIDE=FY","FILING_STATUS=MR","Sort=A","Dates=H","DateFormat=P","Fill=—","Direction=H","UseDPDF=Y")</f>
        <v>1</v>
      </c>
      <c r="H156" s="13">
        <f>_xll.BDH("DD US Equity","BOARD_DURATION","FY 2022","FY 2022","Currency=USD","Period=FY","BEST_FPERIOD_OVERRIDE=FY","FILING_STATUS=MR","Sort=A","Dates=H","DateFormat=P","Fill=—","Direction=H","UseDPDF=Y")</f>
        <v>1</v>
      </c>
    </row>
    <row r="157" spans="1:8">
      <c r="A157" s="7" t="s">
        <v>247</v>
      </c>
      <c r="B157" s="7"/>
      <c r="C157" s="7" t="s">
        <v>248</v>
      </c>
      <c r="D157" s="7"/>
      <c r="E157" s="7"/>
      <c r="F157" s="7"/>
      <c r="G157" s="7"/>
      <c r="H15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/>
  <cp:revision/>
  <dcterms:created xsi:type="dcterms:W3CDTF">2013-04-03T15:49:21Z</dcterms:created>
  <dcterms:modified xsi:type="dcterms:W3CDTF">2023-12-04T20:07:27Z</dcterms:modified>
  <cp:category/>
  <cp:contentStatus/>
</cp:coreProperties>
</file>