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712BEB94-F162-41AF-A93A-9515F493B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G - Overview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9" i="2" l="1"/>
  <c r="I47" i="2"/>
  <c r="L9" i="2"/>
  <c r="H108" i="2"/>
  <c r="G87" i="2"/>
  <c r="C74" i="2"/>
  <c r="C107" i="2"/>
  <c r="E125" i="2"/>
  <c r="E139" i="2"/>
  <c r="F35" i="2"/>
  <c r="F21" i="2"/>
  <c r="D132" i="2"/>
  <c r="D10" i="2"/>
  <c r="J30" i="2"/>
  <c r="J75" i="2"/>
  <c r="D122" i="2"/>
  <c r="F122" i="2"/>
  <c r="D107" i="2"/>
  <c r="G35" i="2"/>
  <c r="D125" i="2"/>
  <c r="L108" i="2"/>
  <c r="F107" i="2"/>
  <c r="I8" i="2"/>
  <c r="D129" i="2"/>
  <c r="G21" i="2"/>
  <c r="D115" i="2"/>
  <c r="C7" i="2"/>
  <c r="J130" i="2"/>
  <c r="L13" i="2"/>
  <c r="G15" i="2"/>
  <c r="E10" i="2"/>
  <c r="G32" i="2"/>
  <c r="I21" i="2"/>
  <c r="F10" i="2"/>
  <c r="D7" i="2"/>
  <c r="J21" i="2"/>
  <c r="H32" i="2"/>
  <c r="E7" i="2"/>
  <c r="H125" i="2"/>
  <c r="I32" i="2"/>
  <c r="H15" i="2"/>
  <c r="E20" i="2"/>
  <c r="K8" i="2"/>
  <c r="F43" i="2"/>
  <c r="D34" i="2"/>
  <c r="I15" i="2"/>
  <c r="C14" i="2"/>
  <c r="K21" i="2"/>
  <c r="G10" i="2"/>
  <c r="G29" i="2"/>
  <c r="C31" i="2"/>
  <c r="F29" i="2"/>
  <c r="E34" i="2"/>
  <c r="G43" i="2"/>
  <c r="C45" i="2"/>
  <c r="K35" i="2"/>
  <c r="I46" i="2"/>
  <c r="E80" i="2"/>
  <c r="E95" i="2"/>
  <c r="C73" i="2"/>
  <c r="E48" i="2"/>
  <c r="I74" i="2"/>
  <c r="G60" i="2"/>
  <c r="K49" i="2"/>
  <c r="I89" i="2"/>
  <c r="K84" i="2"/>
  <c r="C88" i="2"/>
  <c r="E124" i="2"/>
  <c r="C106" i="2"/>
  <c r="E109" i="2"/>
  <c r="G101" i="2"/>
  <c r="I107" i="2"/>
  <c r="K96" i="2"/>
  <c r="K113" i="2"/>
  <c r="I122" i="2"/>
  <c r="E21" i="2"/>
  <c r="G115" i="2"/>
  <c r="G129" i="2"/>
  <c r="G86" i="2"/>
  <c r="C117" i="2"/>
  <c r="L31" i="2"/>
  <c r="I132" i="2"/>
  <c r="K125" i="2"/>
  <c r="K139" i="2"/>
  <c r="E138" i="2"/>
  <c r="G141" i="2"/>
  <c r="D8" i="2"/>
  <c r="L45" i="2"/>
  <c r="J114" i="2"/>
  <c r="I33" i="2"/>
  <c r="E49" i="2"/>
  <c r="C131" i="2"/>
  <c r="J97" i="2"/>
  <c r="E84" i="2"/>
  <c r="D84" i="2"/>
  <c r="H135" i="2"/>
  <c r="C122" i="2"/>
  <c r="K39" i="2"/>
  <c r="H30" i="2"/>
  <c r="I135" i="2"/>
  <c r="L39" i="2"/>
  <c r="J44" i="2"/>
  <c r="F49" i="2"/>
  <c r="F125" i="2"/>
  <c r="L140" i="2"/>
  <c r="D29" i="2"/>
  <c r="I13" i="2"/>
  <c r="H49" i="2"/>
  <c r="K33" i="2"/>
  <c r="H13" i="2"/>
  <c r="E46" i="2"/>
  <c r="D131" i="2"/>
  <c r="H35" i="2"/>
  <c r="D86" i="2"/>
  <c r="J61" i="2"/>
  <c r="H141" i="2"/>
  <c r="H86" i="2"/>
  <c r="E14" i="2"/>
  <c r="J132" i="2"/>
  <c r="J32" i="2"/>
  <c r="H10" i="2"/>
  <c r="L139" i="2"/>
  <c r="J13" i="2"/>
  <c r="L35" i="2"/>
  <c r="F124" i="2"/>
  <c r="F138" i="2"/>
  <c r="F48" i="2"/>
  <c r="F80" i="2"/>
  <c r="J89" i="2"/>
  <c r="D21" i="2"/>
  <c r="L96" i="2"/>
  <c r="F20" i="2"/>
  <c r="H129" i="2"/>
  <c r="L125" i="2"/>
  <c r="G20" i="2"/>
  <c r="D106" i="2"/>
  <c r="L113" i="2"/>
  <c r="J107" i="2"/>
  <c r="C9" i="2"/>
  <c r="D117" i="2"/>
  <c r="G7" i="2"/>
  <c r="K15" i="2"/>
  <c r="J74" i="2"/>
  <c r="J46" i="2"/>
  <c r="K32" i="2"/>
  <c r="I29" i="2"/>
  <c r="G34" i="2"/>
  <c r="K74" i="2"/>
  <c r="G48" i="2"/>
  <c r="K46" i="2"/>
  <c r="I43" i="2"/>
  <c r="C59" i="2"/>
  <c r="K89" i="2"/>
  <c r="I60" i="2"/>
  <c r="E88" i="2"/>
  <c r="E73" i="2"/>
  <c r="I86" i="2"/>
  <c r="G95" i="2"/>
  <c r="C85" i="2"/>
  <c r="G80" i="2"/>
  <c r="I101" i="2"/>
  <c r="G109" i="2"/>
  <c r="C97" i="2"/>
  <c r="E106" i="2"/>
  <c r="K107" i="2"/>
  <c r="C114" i="2"/>
  <c r="H47" i="2"/>
  <c r="K122" i="2"/>
  <c r="C128" i="2"/>
  <c r="E117" i="2"/>
  <c r="I129" i="2"/>
  <c r="E131" i="2"/>
  <c r="G124" i="2"/>
  <c r="G138" i="2"/>
  <c r="K132" i="2"/>
  <c r="C140" i="2"/>
  <c r="L117" i="2"/>
  <c r="H16" i="2"/>
  <c r="J39" i="2"/>
  <c r="I108" i="2"/>
  <c r="I141" i="2"/>
  <c r="I115" i="2"/>
  <c r="D96" i="2"/>
  <c r="D31" i="2"/>
  <c r="J85" i="2"/>
  <c r="C46" i="2"/>
  <c r="I94" i="2"/>
  <c r="K128" i="2"/>
  <c r="E35" i="2"/>
  <c r="F7" i="2"/>
  <c r="G61" i="2"/>
  <c r="H84" i="2"/>
  <c r="F89" i="2"/>
  <c r="I16" i="2"/>
  <c r="H43" i="2"/>
  <c r="J15" i="2"/>
  <c r="H29" i="2"/>
  <c r="D73" i="2"/>
  <c r="C39" i="2"/>
  <c r="E31" i="2"/>
  <c r="D88" i="2"/>
  <c r="J29" i="2"/>
  <c r="H7" i="2"/>
  <c r="D9" i="2"/>
  <c r="E45" i="2"/>
  <c r="J10" i="2"/>
  <c r="C22" i="2"/>
  <c r="F14" i="2"/>
  <c r="L15" i="2"/>
  <c r="D22" i="2"/>
  <c r="H115" i="2"/>
  <c r="L32" i="2"/>
  <c r="H20" i="2"/>
  <c r="F31" i="2"/>
  <c r="L46" i="2"/>
  <c r="J43" i="2"/>
  <c r="J60" i="2"/>
  <c r="F73" i="2"/>
  <c r="H48" i="2"/>
  <c r="D39" i="2"/>
  <c r="F45" i="2"/>
  <c r="D59" i="2"/>
  <c r="H34" i="2"/>
  <c r="L74" i="2"/>
  <c r="H80" i="2"/>
  <c r="D85" i="2"/>
  <c r="J86" i="2"/>
  <c r="L132" i="2"/>
  <c r="F88" i="2"/>
  <c r="L89" i="2"/>
  <c r="H95" i="2"/>
  <c r="L107" i="2"/>
  <c r="J115" i="2"/>
  <c r="H109" i="2"/>
  <c r="J101" i="2"/>
  <c r="F106" i="2"/>
  <c r="L122" i="2"/>
  <c r="D114" i="2"/>
  <c r="F117" i="2"/>
  <c r="H124" i="2"/>
  <c r="F46" i="2"/>
  <c r="D128" i="2"/>
  <c r="J129" i="2"/>
  <c r="D97" i="2"/>
  <c r="F131" i="2"/>
  <c r="D140" i="2"/>
  <c r="I75" i="2"/>
  <c r="J141" i="2"/>
  <c r="D14" i="2"/>
  <c r="K140" i="2"/>
  <c r="H138" i="2"/>
  <c r="J47" i="2"/>
  <c r="C15" i="2"/>
  <c r="L8" i="2"/>
  <c r="E96" i="2"/>
  <c r="L85" i="2"/>
  <c r="F74" i="2"/>
  <c r="D60" i="2"/>
  <c r="L22" i="2"/>
  <c r="L97" i="2"/>
  <c r="J123" i="2"/>
  <c r="H96" i="2"/>
  <c r="D45" i="2"/>
  <c r="L21" i="2"/>
  <c r="F34" i="2"/>
  <c r="F95" i="2"/>
  <c r="L49" i="2"/>
  <c r="H60" i="2"/>
  <c r="L84" i="2"/>
  <c r="F109" i="2"/>
  <c r="E9" i="2"/>
  <c r="K10" i="2"/>
  <c r="I7" i="2"/>
  <c r="E59" i="2"/>
  <c r="I10" i="2"/>
  <c r="H101" i="2"/>
  <c r="J122" i="2"/>
  <c r="C16" i="2"/>
  <c r="G14" i="2"/>
  <c r="K43" i="2"/>
  <c r="C47" i="2"/>
  <c r="E22" i="2"/>
  <c r="G31" i="2"/>
  <c r="I34" i="2"/>
  <c r="K29" i="2"/>
  <c r="E39" i="2"/>
  <c r="C33" i="2"/>
  <c r="G45" i="2"/>
  <c r="I95" i="2"/>
  <c r="K60" i="2"/>
  <c r="I20" i="2"/>
  <c r="G73" i="2"/>
  <c r="I48" i="2"/>
  <c r="I80" i="2"/>
  <c r="C75" i="2"/>
  <c r="G88" i="2"/>
  <c r="E85" i="2"/>
  <c r="K86" i="2"/>
  <c r="C94" i="2"/>
  <c r="I109" i="2"/>
  <c r="E97" i="2"/>
  <c r="G106" i="2"/>
  <c r="C123" i="2"/>
  <c r="K101" i="2"/>
  <c r="C108" i="2"/>
  <c r="G117" i="2"/>
  <c r="K115" i="2"/>
  <c r="F116" i="2"/>
  <c r="K129" i="2"/>
  <c r="I124" i="2"/>
  <c r="E128" i="2"/>
  <c r="I138" i="2"/>
  <c r="G13" i="2"/>
  <c r="G131" i="2"/>
  <c r="J108" i="2"/>
  <c r="D139" i="2"/>
  <c r="E140" i="2"/>
  <c r="E114" i="2"/>
  <c r="C135" i="2"/>
  <c r="D15" i="2"/>
  <c r="G44" i="2"/>
  <c r="G30" i="2"/>
  <c r="H61" i="2"/>
  <c r="I123" i="2"/>
  <c r="K97" i="2"/>
  <c r="J94" i="2"/>
  <c r="J33" i="2"/>
  <c r="F114" i="2"/>
  <c r="H116" i="2"/>
  <c r="H130" i="2"/>
  <c r="K141" i="2"/>
  <c r="C29" i="2"/>
  <c r="H8" i="2"/>
  <c r="C43" i="2"/>
  <c r="J7" i="2"/>
  <c r="E15" i="2"/>
  <c r="L101" i="2"/>
  <c r="F39" i="2"/>
  <c r="F128" i="2"/>
  <c r="L73" i="2"/>
  <c r="H45" i="2"/>
  <c r="H106" i="2"/>
  <c r="G8" i="2"/>
  <c r="L115" i="2"/>
  <c r="D108" i="2"/>
  <c r="H117" i="2"/>
  <c r="J109" i="2"/>
  <c r="J20" i="2"/>
  <c r="J124" i="2"/>
  <c r="D135" i="2"/>
  <c r="L16" i="2"/>
  <c r="L129" i="2"/>
  <c r="D123" i="2"/>
  <c r="K80" i="2"/>
  <c r="F140" i="2"/>
  <c r="J138" i="2"/>
  <c r="L33" i="2"/>
  <c r="K22" i="2"/>
  <c r="L141" i="2"/>
  <c r="D16" i="2"/>
  <c r="F22" i="2"/>
  <c r="L10" i="2"/>
  <c r="F9" i="2"/>
  <c r="H21" i="2"/>
  <c r="H14" i="2"/>
  <c r="H131" i="2"/>
  <c r="J34" i="2"/>
  <c r="D33" i="2"/>
  <c r="H31" i="2"/>
  <c r="L29" i="2"/>
  <c r="L43" i="2"/>
  <c r="F59" i="2"/>
  <c r="K20" i="2"/>
  <c r="D47" i="2"/>
  <c r="L60" i="2"/>
  <c r="L86" i="2"/>
  <c r="J48" i="2"/>
  <c r="H73" i="2"/>
  <c r="F85" i="2"/>
  <c r="K7" i="2"/>
  <c r="J80" i="2"/>
  <c r="I14" i="2"/>
  <c r="J95" i="2"/>
  <c r="E16" i="2"/>
  <c r="H88" i="2"/>
  <c r="D94" i="2"/>
  <c r="F97" i="2"/>
  <c r="E47" i="2"/>
  <c r="I88" i="2"/>
  <c r="C13" i="2"/>
  <c r="D75" i="2"/>
  <c r="E33" i="2"/>
  <c r="I45" i="2"/>
  <c r="K34" i="2"/>
  <c r="C30" i="2"/>
  <c r="G22" i="2"/>
  <c r="I31" i="2"/>
  <c r="C44" i="2"/>
  <c r="I73" i="2"/>
  <c r="G9" i="2"/>
  <c r="C61" i="2"/>
  <c r="K48" i="2"/>
  <c r="E75" i="2"/>
  <c r="G39" i="2"/>
  <c r="G85" i="2"/>
  <c r="G59" i="2"/>
  <c r="C87" i="2"/>
  <c r="K95" i="2"/>
  <c r="E94" i="2"/>
  <c r="E123" i="2"/>
  <c r="I106" i="2"/>
  <c r="C105" i="2"/>
  <c r="G97" i="2"/>
  <c r="K109" i="2"/>
  <c r="G140" i="2"/>
  <c r="G114" i="2"/>
  <c r="I117" i="2"/>
  <c r="E108" i="2"/>
  <c r="F30" i="2"/>
  <c r="G128" i="2"/>
  <c r="I131" i="2"/>
  <c r="D89" i="2"/>
  <c r="K124" i="2"/>
  <c r="C148" i="2"/>
  <c r="F16" i="2"/>
  <c r="C130" i="2"/>
  <c r="K138" i="2"/>
  <c r="F44" i="2"/>
  <c r="C116" i="2"/>
  <c r="F61" i="2"/>
  <c r="F13" i="2"/>
  <c r="K9" i="2"/>
  <c r="L131" i="2"/>
  <c r="H94" i="2"/>
  <c r="F113" i="2"/>
  <c r="K114" i="2"/>
  <c r="C10" i="2"/>
  <c r="E135" i="2"/>
  <c r="J128" i="2"/>
  <c r="D148" i="2"/>
  <c r="F33" i="2"/>
  <c r="H39" i="2"/>
  <c r="E8" i="2"/>
  <c r="L48" i="2"/>
  <c r="F75" i="2"/>
  <c r="H85" i="2"/>
  <c r="C89" i="2"/>
  <c r="K59" i="2"/>
  <c r="D61" i="2"/>
  <c r="J14" i="2"/>
  <c r="L106" i="2"/>
  <c r="J88" i="2"/>
  <c r="L7" i="2"/>
  <c r="C32" i="2"/>
  <c r="L20" i="2"/>
  <c r="J135" i="2"/>
  <c r="J16" i="2"/>
  <c r="L80" i="2"/>
  <c r="J31" i="2"/>
  <c r="C132" i="2"/>
  <c r="H105" i="2"/>
  <c r="D74" i="2"/>
  <c r="H87" i="2"/>
  <c r="D13" i="2"/>
  <c r="G116" i="2"/>
  <c r="L128" i="2"/>
  <c r="G105" i="2"/>
  <c r="E32" i="2"/>
  <c r="K16" i="2"/>
  <c r="D30" i="2"/>
  <c r="F15" i="2"/>
  <c r="H59" i="2"/>
  <c r="F94" i="2"/>
  <c r="H22" i="2"/>
  <c r="H9" i="2"/>
  <c r="J73" i="2"/>
  <c r="H44" i="2"/>
  <c r="I9" i="2"/>
  <c r="L95" i="2"/>
  <c r="F47" i="2"/>
  <c r="L34" i="2"/>
  <c r="J106" i="2"/>
  <c r="D44" i="2"/>
  <c r="C8" i="2"/>
  <c r="D87" i="2"/>
  <c r="C35" i="2"/>
  <c r="J45" i="2"/>
  <c r="H97" i="2"/>
  <c r="F108" i="2"/>
  <c r="E30" i="2"/>
  <c r="J117" i="2"/>
  <c r="D116" i="2"/>
  <c r="F123" i="2"/>
  <c r="F135" i="2"/>
  <c r="L124" i="2"/>
  <c r="D130" i="2"/>
  <c r="I59" i="2"/>
  <c r="J131" i="2"/>
  <c r="D105" i="2"/>
  <c r="H114" i="2"/>
  <c r="E13" i="2"/>
  <c r="H140" i="2"/>
  <c r="L109" i="2"/>
  <c r="G16" i="2"/>
  <c r="H128" i="2"/>
  <c r="E44" i="2"/>
  <c r="C49" i="2"/>
  <c r="K31" i="2"/>
  <c r="G33" i="2"/>
  <c r="I22" i="2"/>
  <c r="C21" i="2"/>
  <c r="G75" i="2"/>
  <c r="L138" i="2"/>
  <c r="I39" i="2"/>
  <c r="K14" i="2"/>
  <c r="K45" i="2"/>
  <c r="K73" i="2"/>
  <c r="I85" i="2"/>
  <c r="I97" i="2"/>
  <c r="G47" i="2"/>
  <c r="E61" i="2"/>
  <c r="G94" i="2"/>
  <c r="C84" i="2"/>
  <c r="C96" i="2"/>
  <c r="E87" i="2"/>
  <c r="E105" i="2"/>
  <c r="K88" i="2"/>
  <c r="C113" i="2"/>
  <c r="G108" i="2"/>
  <c r="K106" i="2"/>
  <c r="G123" i="2"/>
  <c r="I114" i="2"/>
  <c r="K117" i="2"/>
  <c r="I128" i="2"/>
  <c r="C139" i="2"/>
  <c r="E116" i="2"/>
  <c r="E148" i="2"/>
  <c r="C125" i="2"/>
  <c r="K131" i="2"/>
  <c r="E130" i="2"/>
  <c r="D113" i="2"/>
  <c r="F148" i="2"/>
  <c r="G135" i="2"/>
  <c r="J9" i="2"/>
  <c r="I140" i="2"/>
  <c r="H148" i="2"/>
  <c r="G148" i="2"/>
  <c r="D49" i="2"/>
  <c r="J140" i="2"/>
  <c r="J22" i="2"/>
  <c r="H33" i="2"/>
  <c r="I61" i="2"/>
  <c r="H123" i="2"/>
  <c r="K47" i="2"/>
  <c r="F87" i="2"/>
  <c r="K75" i="2"/>
  <c r="C60" i="2"/>
  <c r="E74" i="2"/>
  <c r="G125" i="2"/>
  <c r="G49" i="2"/>
  <c r="G84" i="2"/>
  <c r="K123" i="2"/>
  <c r="K94" i="2"/>
  <c r="E89" i="2"/>
  <c r="G96" i="2"/>
  <c r="E122" i="2"/>
  <c r="I116" i="2"/>
  <c r="I130" i="2"/>
  <c r="C115" i="2"/>
  <c r="E60" i="2"/>
  <c r="I148" i="2"/>
  <c r="C101" i="2"/>
  <c r="E107" i="2"/>
  <c r="K135" i="2"/>
  <c r="K108" i="2"/>
  <c r="G113" i="2"/>
  <c r="E29" i="2"/>
  <c r="C48" i="2"/>
  <c r="C129" i="2"/>
  <c r="C86" i="2"/>
  <c r="J148" i="2"/>
  <c r="I87" i="2"/>
  <c r="C141" i="2"/>
  <c r="I105" i="2"/>
  <c r="K30" i="2"/>
  <c r="E132" i="2"/>
  <c r="G139" i="2"/>
  <c r="I35" i="2"/>
  <c r="E43" i="2"/>
  <c r="K61" i="2"/>
  <c r="I49" i="2"/>
  <c r="G46" i="2"/>
  <c r="K44" i="2"/>
  <c r="G74" i="2"/>
  <c r="C95" i="2"/>
  <c r="K87" i="2"/>
  <c r="C80" i="2"/>
  <c r="G89" i="2"/>
  <c r="E129" i="2"/>
  <c r="I84" i="2"/>
  <c r="C109" i="2"/>
  <c r="E101" i="2"/>
  <c r="E86" i="2"/>
  <c r="K130" i="2"/>
  <c r="I96" i="2"/>
  <c r="L14" i="2"/>
  <c r="K105" i="2"/>
  <c r="K85" i="2"/>
  <c r="G107" i="2"/>
  <c r="K116" i="2"/>
  <c r="I125" i="2"/>
  <c r="J59" i="2"/>
  <c r="I113" i="2"/>
  <c r="G122" i="2"/>
  <c r="L88" i="2"/>
  <c r="E115" i="2"/>
  <c r="K148" i="2"/>
  <c r="D35" i="2"/>
  <c r="H75" i="2"/>
  <c r="E141" i="2"/>
  <c r="C124" i="2"/>
  <c r="I139" i="2"/>
  <c r="G132" i="2"/>
  <c r="C138" i="2"/>
  <c r="F130" i="2"/>
  <c r="F105" i="2"/>
  <c r="F8" i="2"/>
  <c r="E113" i="2"/>
  <c r="F84" i="2"/>
  <c r="J8" i="2"/>
  <c r="F139" i="2"/>
  <c r="L59" i="2"/>
  <c r="D101" i="2"/>
  <c r="D46" i="2"/>
  <c r="G130" i="2"/>
  <c r="J105" i="2"/>
  <c r="C20" i="2"/>
  <c r="D141" i="2"/>
  <c r="F96" i="2"/>
  <c r="L114" i="2"/>
  <c r="F132" i="2"/>
  <c r="D43" i="2"/>
  <c r="L47" i="2"/>
  <c r="J116" i="2"/>
  <c r="D20" i="2"/>
  <c r="K13" i="2"/>
  <c r="D32" i="2"/>
  <c r="H113" i="2"/>
  <c r="L94" i="2"/>
  <c r="L123" i="2"/>
  <c r="J49" i="2"/>
  <c r="F86" i="2"/>
  <c r="I44" i="2"/>
  <c r="L75" i="2"/>
  <c r="J87" i="2"/>
  <c r="I30" i="2"/>
  <c r="F32" i="2"/>
  <c r="J35" i="2"/>
  <c r="D124" i="2"/>
  <c r="D95" i="2"/>
  <c r="H132" i="2"/>
  <c r="F129" i="2"/>
  <c r="H74" i="2"/>
  <c r="J113" i="2"/>
  <c r="H89" i="2"/>
  <c r="H107" i="2"/>
  <c r="F60" i="2"/>
  <c r="D138" i="2"/>
  <c r="J139" i="2"/>
  <c r="D48" i="2"/>
  <c r="J96" i="2"/>
  <c r="F101" i="2"/>
  <c r="H122" i="2"/>
  <c r="L87" i="2"/>
  <c r="D109" i="2"/>
  <c r="J125" i="2"/>
  <c r="L44" i="2"/>
  <c r="H46" i="2"/>
  <c r="L135" i="2"/>
  <c r="F141" i="2"/>
  <c r="L116" i="2"/>
  <c r="L148" i="2"/>
  <c r="J84" i="2"/>
  <c r="L130" i="2"/>
  <c r="L105" i="2"/>
  <c r="C34" i="2"/>
  <c r="F115" i="2"/>
  <c r="L30" i="2"/>
  <c r="D80" i="2"/>
  <c r="L61" i="2"/>
</calcChain>
</file>

<file path=xl/sharedStrings.xml><?xml version="1.0" encoding="utf-8"?>
<sst xmlns="http://schemas.openxmlformats.org/spreadsheetml/2006/main" count="501" uniqueCount="242">
  <si>
    <t>Eastman Chemical Co (EMN US) - Overview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</si>
  <si>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</si>
  <si>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</si>
  <si>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</si>
  <si>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</si>
  <si>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</si>
  <si>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</si>
  <si>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</si>
  <si>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</si>
  <si>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</si>
  <si>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</si>
  <si>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</si>
  <si>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</si>
  <si>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</si>
  <si>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</si>
  <si>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</si>
  <si>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</si>
  <si>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</si>
  <si>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</si>
  <si>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</si>
  <si>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</si>
  <si>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</si>
  <si>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</si>
  <si>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</si>
  <si>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</si>
  <si>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</si>
  <si>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</si>
  <si>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</si>
  <si>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</si>
  <si>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</si>
  <si>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</si>
  <si>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</si>
  <si>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</si>
  <si>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</si>
  <si>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</si>
  <si>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</si>
  <si>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</si>
  <si>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</si>
  <si>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</si>
  <si>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</si>
  <si>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</si>
  <si>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</si>
  <si>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</si>
  <si>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</si>
  <si>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</si>
  <si>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</si>
  <si>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</si>
  <si>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</si>
  <si>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</si>
  <si>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</si>
  <si>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</si>
  <si>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</si>
  <si>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Yes</t>
  </si>
  <si>
    <t>n/a</t>
  </si>
  <si>
    <t>Climate Change Policy</t>
  </si>
  <si>
    <t>CLIMATE_CHG_POLICY</t>
  </si>
  <si>
    <t>No</t>
  </si>
  <si>
    <t>Climate Change Opportunities Discussed</t>
  </si>
  <si>
    <t>CLIMATE_CHG_OPPORTUNITIES</t>
  </si>
  <si>
    <t>Risks of Climate Change Discussed</t>
  </si>
  <si>
    <t>CLIMATE_RISKS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</si>
  <si>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</si>
  <si>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</si>
  <si>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</si>
  <si>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</si>
  <si>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</si>
  <si>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</si>
  <si>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</si>
  <si>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</si>
  <si>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</si>
  <si>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</si>
  <si>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</si>
  <si>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</si>
  <si>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</si>
  <si>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</si>
  <si>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Ecological &amp; Biodiversity Impacts</t>
  </si>
  <si>
    <t>Biodiversity Policy</t>
  </si>
  <si>
    <t>BIODIVERSITY_POLICY</t>
  </si>
  <si>
    <t>Amount of Environmental Fines</t>
  </si>
  <si>
    <t>ENVIRON_FINES_AMT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</si>
  <si>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</si>
  <si>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</si>
  <si>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</si>
  <si>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</si>
  <si>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</si>
  <si>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</si>
  <si>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</si>
  <si>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</si>
  <si>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</si>
  <si>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Self Generated Renewable Electricity</t>
  </si>
  <si>
    <t>SELF_GEN_RENEWABLE_ELECTRICITY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</si>
  <si>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</si>
  <si>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</si>
  <si>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</si>
  <si>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</si>
  <si>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</si>
  <si>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</si>
  <si>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</si>
  <si>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</si>
  <si>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</si>
  <si>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</si>
  <si>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</si>
  <si>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</si>
  <si>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</si>
  <si>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</si>
  <si>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</si>
  <si>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</si>
  <si>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</si>
  <si>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</si>
  <si>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</si>
  <si>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Water Consumption</t>
  </si>
  <si>
    <t>WATER_CONSMPTN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</si>
  <si>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</si>
  <si>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</si>
  <si>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</si>
  <si>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</si>
  <si>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</si>
  <si>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</si>
  <si>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</si>
  <si>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</si>
  <si>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</si>
  <si>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</si>
  <si>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</si>
  <si>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</si>
  <si>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</si>
  <si>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</si>
  <si>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</si>
  <si>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</si>
  <si>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</si>
  <si>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</si>
  <si>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</si>
  <si>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</si>
  <si>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</si>
  <si>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</si>
  <si>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</si>
  <si>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</si>
  <si>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</si>
  <si>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</si>
  <si>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</si>
  <si>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</si>
  <si>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</si>
  <si>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</si>
  <si>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</si>
  <si>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</si>
  <si>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</si>
  <si>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Contractors</t>
  </si>
  <si>
    <t>FATALITIES_CONTRACTORS</t>
  </si>
  <si>
    <t>Fatalities - Total</t>
  </si>
  <si>
    <t>FATALITIES_TOTAL</t>
  </si>
  <si>
    <t>Lost Time Incident Rate - Employees</t>
  </si>
  <si>
    <t>LOST_TIME_INCIDENT_RATE</t>
  </si>
  <si>
    <t>Total Recordable Incident Rate - Employees</t>
  </si>
  <si>
    <t>TOTAL_RECORDABLE_INCIDENT_RATE</t>
  </si>
  <si>
    <t>Total Recordable Incident Rate - Contractors</t>
  </si>
  <si>
    <t>TOT_RECORDABLE_INCID_RT_CNTRCTR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</si>
  <si>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</si>
  <si>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</si>
  <si>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</si>
  <si>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</si>
  <si>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</si>
  <si>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</si>
  <si>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</si>
  <si>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</si>
  <si>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</si>
  <si>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</si>
  <si>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</si>
  <si>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</si>
  <si>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</si>
  <si>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Social Supply Chain Management</t>
  </si>
  <si>
    <t>SOCIAL_SUPPLY_CHAIN_MGMT</t>
  </si>
  <si>
    <t>Number of Suppliers Audited</t>
  </si>
  <si>
    <t>SUPPLIERS_AUDITED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</si>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</sst>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7" fillId="34" borderId="2" xfId="55">
      <alignment horizontal="right"/>
    </xf>
    <xf numFmtId="4" fontId="7" fillId="34" borderId="2" xfId="56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bold_2_grouped" xfId="56" xr:uid="{00000000-0005-0000-0000-000024000000}"/>
    <cellStyle name="fa_data_standard_0_grouped" xfId="52" xr:uid="{00000000-0005-0000-0000-000025000000}"/>
    <cellStyle name="fa_data_standard_1_grouped" xfId="53" xr:uid="{00000000-0005-0000-0000-000026000000}"/>
    <cellStyle name="fa_data_standard_2_grouped" xfId="54" xr:uid="{00000000-0005-0000-0000-000027000000}"/>
    <cellStyle name="fa_footer_italic" xfId="34" xr:uid="{00000000-0005-0000-0000-000028000000}"/>
    <cellStyle name="fa_row_header_bold" xfId="35" xr:uid="{00000000-0005-0000-0000-000029000000}"/>
    <cellStyle name="fa_row_header_standard" xfId="36" xr:uid="{00000000-0005-0000-0000-00002A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10" t="s">
        <v>23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>
      <c r="A7" s="10" t="s">
        <v>24</v>
      </c>
      <c r="B7" s="10" t="s">
        <v>25</v>
      </c>
      <c r="C7" s="13" t="str">
        <f>_xll.BDH("EMN US Equity","ESG_SCORE","FY 2013","FY 2013","Currency=USD","Period=FY","BEST_FPERIOD_OVERRIDE=FY","FILING_STATUS=MR","Sort=A","Dates=H","DateFormat=P","Fill=—","Direction=H","UseDPDF=Y")</f>
        <v>—</v>
      </c>
      <c r="D7" s="13" t="str">
        <f>_xll.BDH("EMN US Equity","ESG_SCORE","FY 2014","FY 2014","Currency=USD","Period=FY","BEST_FPERIOD_OVERRIDE=FY","FILING_STATUS=MR","Sort=A","Dates=H","DateFormat=P","Fill=—","Direction=H","UseDPDF=Y")</f>
        <v>—</v>
      </c>
      <c r="E7" s="13">
        <f>_xll.BDH("EMN US Equity","ESG_SCORE","FY 2015","FY 2015","Currency=USD","Period=FY","BEST_FPERIOD_OVERRIDE=FY","FILING_STATUS=MR","Sort=A","Dates=H","DateFormat=P","Fill=—","Direction=H","UseDPDF=Y")</f>
        <v>4.4800000000000004</v>
      </c>
      <c r="F7" s="13">
        <f>_xll.BDH("EMN US Equity","ESG_SCORE","FY 2016","FY 2016","Currency=USD","Period=FY","BEST_FPERIOD_OVERRIDE=FY","FILING_STATUS=MR","Sort=A","Dates=H","DateFormat=P","Fill=—","Direction=H","UseDPDF=Y")</f>
        <v>4.58</v>
      </c>
      <c r="G7" s="13">
        <f>_xll.BDH("EMN US Equity","ESG_SCORE","FY 2017","FY 2017","Currency=USD","Period=FY","BEST_FPERIOD_OVERRIDE=FY","FILING_STATUS=MR","Sort=A","Dates=H","DateFormat=P","Fill=—","Direction=H","UseDPDF=Y")</f>
        <v>4.7300000000000004</v>
      </c>
      <c r="H7" s="13">
        <f>_xll.BDH("EMN US Equity","ESG_SCORE","FY 2018","FY 2018","Currency=USD","Period=FY","BEST_FPERIOD_OVERRIDE=FY","FILING_STATUS=MR","Sort=A","Dates=H","DateFormat=P","Fill=—","Direction=H","UseDPDF=Y")</f>
        <v>4.91</v>
      </c>
      <c r="I7" s="13">
        <f>_xll.BDH("EMN US Equity","ESG_SCORE","FY 2019","FY 2019","Currency=USD","Period=FY","BEST_FPERIOD_OVERRIDE=FY","FILING_STATUS=MR","Sort=A","Dates=H","DateFormat=P","Fill=—","Direction=H","UseDPDF=Y")</f>
        <v>4.88</v>
      </c>
      <c r="J7" s="13">
        <f>_xll.BDH("EMN US Equity","ESG_SCORE","FY 2020","FY 2020","Currency=USD","Period=FY","BEST_FPERIOD_OVERRIDE=FY","FILING_STATUS=MR","Sort=A","Dates=H","DateFormat=P","Fill=—","Direction=H","UseDPDF=Y")</f>
        <v>4.79</v>
      </c>
      <c r="K7" s="13">
        <f>_xll.BDH("EMN US Equity","ESG_SCORE","FY 2021","FY 2021","Currency=USD","Period=FY","BEST_FPERIOD_OVERRIDE=FY","FILING_STATUS=MR","Sort=A","Dates=H","DateFormat=P","Fill=—","Direction=H","UseDPDF=Y")</f>
        <v>4.0599999999999996</v>
      </c>
      <c r="L7" s="13" t="str">
        <f>_xll.BDH("EMN US Equity","ESG_SCORE","FY 2022","FY 2022","Currency=USD","Period=FY","BEST_FPERIOD_OVERRIDE=FY","FILING_STATUS=MR","Sort=A","Dates=H","DateFormat=P","Fill=—","Direction=H","UseDPDF=Y")</f>
        <v>—</v>
      </c>
    </row>
    <row r="8" spans="1:12">
      <c r="A8" s="10" t="s">
        <v>26</v>
      </c>
      <c r="B8" s="10" t="s">
        <v>27</v>
      </c>
      <c r="C8" s="13" t="str">
        <f>_xll.BDH("EMN US Equity","ENVIRONMENTAL_SCORE","FY 2013","FY 2013","Currency=USD","Period=FY","BEST_FPERIOD_OVERRIDE=FY","FILING_STATUS=MR","Sort=A","Dates=H","DateFormat=P","Fill=—","Direction=H","UseDPDF=Y")</f>
        <v>—</v>
      </c>
      <c r="D8" s="13" t="str">
        <f>_xll.BDH("EMN US Equity","ENVIRONMENTAL_SCORE","FY 2014","FY 2014","Currency=USD","Period=FY","BEST_FPERIOD_OVERRIDE=FY","FILING_STATUS=MR","Sort=A","Dates=H","DateFormat=P","Fill=—","Direction=H","UseDPDF=Y")</f>
        <v>—</v>
      </c>
      <c r="E8" s="13">
        <f>_xll.BDH("EMN US Equity","ENVIRONMENTAL_SCORE","FY 2015","FY 2015","Currency=USD","Period=FY","BEST_FPERIOD_OVERRIDE=FY","FILING_STATUS=MR","Sort=A","Dates=H","DateFormat=P","Fill=—","Direction=H","UseDPDF=Y")</f>
        <v>2.68</v>
      </c>
      <c r="F8" s="13">
        <f>_xll.BDH("EMN US Equity","ENVIRONMENTAL_SCORE","FY 2016","FY 2016","Currency=USD","Period=FY","BEST_FPERIOD_OVERRIDE=FY","FILING_STATUS=MR","Sort=A","Dates=H","DateFormat=P","Fill=—","Direction=H","UseDPDF=Y")</f>
        <v>2.44</v>
      </c>
      <c r="G8" s="13">
        <f>_xll.BDH("EMN US Equity","ENVIRONMENTAL_SCORE","FY 2017","FY 2017","Currency=USD","Period=FY","BEST_FPERIOD_OVERRIDE=FY","FILING_STATUS=MR","Sort=A","Dates=H","DateFormat=P","Fill=—","Direction=H","UseDPDF=Y")</f>
        <v>2.76</v>
      </c>
      <c r="H8" s="13">
        <f>_xll.BDH("EMN US Equity","ENVIRONMENTAL_SCORE","FY 2018","FY 2018","Currency=USD","Period=FY","BEST_FPERIOD_OVERRIDE=FY","FILING_STATUS=MR","Sort=A","Dates=H","DateFormat=P","Fill=—","Direction=H","UseDPDF=Y")</f>
        <v>3.09</v>
      </c>
      <c r="I8" s="13">
        <f>_xll.BDH("EMN US Equity","ENVIRONMENTAL_SCORE","FY 2019","FY 2019","Currency=USD","Period=FY","BEST_FPERIOD_OVERRIDE=FY","FILING_STATUS=MR","Sort=A","Dates=H","DateFormat=P","Fill=—","Direction=H","UseDPDF=Y")</f>
        <v>2.99</v>
      </c>
      <c r="J8" s="13">
        <f>_xll.BDH("EMN US Equity","ENVIRONMENTAL_SCORE","FY 2020","FY 2020","Currency=USD","Period=FY","BEST_FPERIOD_OVERRIDE=FY","FILING_STATUS=MR","Sort=A","Dates=H","DateFormat=P","Fill=—","Direction=H","UseDPDF=Y")</f>
        <v>3.13</v>
      </c>
      <c r="K8" s="13">
        <f>_xll.BDH("EMN US Equity","ENVIRONMENTAL_SCORE","FY 2021","FY 2021","Currency=USD","Period=FY","BEST_FPERIOD_OVERRIDE=FY","FILING_STATUS=MR","Sort=A","Dates=H","DateFormat=P","Fill=—","Direction=H","UseDPDF=Y")</f>
        <v>3.27</v>
      </c>
      <c r="L8" s="13" t="str">
        <f>_xll.BDH("EMN US Equity","ENVIRONMENTAL_SCORE","FY 2022","FY 2022","Currency=USD","Period=FY","BEST_FPERIOD_OVERRIDE=FY","FILING_STATUS=MR","Sort=A","Dates=H","DateFormat=P","Fill=—","Direction=H","UseDPDF=Y")</f>
        <v>—</v>
      </c>
    </row>
    <row r="9" spans="1:12">
      <c r="A9" s="10" t="s">
        <v>28</v>
      </c>
      <c r="B9" s="10" t="s">
        <v>29</v>
      </c>
      <c r="C9" s="13" t="str">
        <f>_xll.BDH("EMN US Equity","SOCIAL_SCORE","FY 2013","FY 2013","Currency=USD","Period=FY","BEST_FPERIOD_OVERRIDE=FY","FILING_STATUS=MR","Sort=A","Dates=H","DateFormat=P","Fill=—","Direction=H","UseDPDF=Y")</f>
        <v>—</v>
      </c>
      <c r="D9" s="13" t="str">
        <f>_xll.BDH("EMN US Equity","SOCIAL_SCORE","FY 2014","FY 2014","Currency=USD","Period=FY","BEST_FPERIOD_OVERRIDE=FY","FILING_STATUS=MR","Sort=A","Dates=H","DateFormat=P","Fill=—","Direction=H","UseDPDF=Y")</f>
        <v>—</v>
      </c>
      <c r="E9" s="13">
        <f>_xll.BDH("EMN US Equity","SOCIAL_SCORE","FY 2015","FY 2015","Currency=USD","Period=FY","BEST_FPERIOD_OVERRIDE=FY","FILING_STATUS=MR","Sort=A","Dates=H","DateFormat=P","Fill=—","Direction=H","UseDPDF=Y")</f>
        <v>5.03</v>
      </c>
      <c r="F9" s="13">
        <f>_xll.BDH("EMN US Equity","SOCIAL_SCORE","FY 2016","FY 2016","Currency=USD","Period=FY","BEST_FPERIOD_OVERRIDE=FY","FILING_STATUS=MR","Sort=A","Dates=H","DateFormat=P","Fill=—","Direction=H","UseDPDF=Y")</f>
        <v>6.16</v>
      </c>
      <c r="G9" s="13">
        <f>_xll.BDH("EMN US Equity","SOCIAL_SCORE","FY 2017","FY 2017","Currency=USD","Period=FY","BEST_FPERIOD_OVERRIDE=FY","FILING_STATUS=MR","Sort=A","Dates=H","DateFormat=P","Fill=—","Direction=H","UseDPDF=Y")</f>
        <v>6.1</v>
      </c>
      <c r="H9" s="13">
        <f>_xll.BDH("EMN US Equity","SOCIAL_SCORE","FY 2018","FY 2018","Currency=USD","Period=FY","BEST_FPERIOD_OVERRIDE=FY","FILING_STATUS=MR","Sort=A","Dates=H","DateFormat=P","Fill=—","Direction=H","UseDPDF=Y")</f>
        <v>6.22</v>
      </c>
      <c r="I9" s="13">
        <f>_xll.BDH("EMN US Equity","SOCIAL_SCORE","FY 2019","FY 2019","Currency=USD","Period=FY","BEST_FPERIOD_OVERRIDE=FY","FILING_STATUS=MR","Sort=A","Dates=H","DateFormat=P","Fill=—","Direction=H","UseDPDF=Y")</f>
        <v>6.03</v>
      </c>
      <c r="J9" s="13">
        <f>_xll.BDH("EMN US Equity","SOCIAL_SCORE","FY 2020","FY 2020","Currency=USD","Period=FY","BEST_FPERIOD_OVERRIDE=FY","FILING_STATUS=MR","Sort=A","Dates=H","DateFormat=P","Fill=—","Direction=H","UseDPDF=Y")</f>
        <v>5.22</v>
      </c>
      <c r="K9" s="13">
        <f>_xll.BDH("EMN US Equity","SOCIAL_SCORE","FY 2021","FY 2021","Currency=USD","Period=FY","BEST_FPERIOD_OVERRIDE=FY","FILING_STATUS=MR","Sort=A","Dates=H","DateFormat=P","Fill=—","Direction=H","UseDPDF=Y")</f>
        <v>2.81</v>
      </c>
      <c r="L9" s="13" t="str">
        <f>_xll.BDH("EMN US Equity","SOCIAL_SCORE","FY 2022","FY 2022","Currency=USD","Period=FY","BEST_FPERIOD_OVERRIDE=FY","FILING_STATUS=MR","Sort=A","Dates=H","DateFormat=P","Fill=—","Direction=H","UseDPDF=Y")</f>
        <v>—</v>
      </c>
    </row>
    <row r="10" spans="1:12">
      <c r="A10" s="10" t="s">
        <v>30</v>
      </c>
      <c r="B10" s="10" t="s">
        <v>31</v>
      </c>
      <c r="C10" s="13" t="str">
        <f>_xll.BDH("EMN US Equity","GOVERNANCE_SCORE","FY 2013","FY 2013","Currency=USD","Period=FY","BEST_FPERIOD_OVERRIDE=FY","FILING_STATUS=MR","Sort=A","Dates=H","DateFormat=P","Fill=—","Direction=H","UseDPDF=Y")</f>
        <v>—</v>
      </c>
      <c r="D10" s="13" t="str">
        <f>_xll.BDH("EMN US Equity","GOVERNANCE_SCORE","FY 2014","FY 2014","Currency=USD","Period=FY","BEST_FPERIOD_OVERRIDE=FY","FILING_STATUS=MR","Sort=A","Dates=H","DateFormat=P","Fill=—","Direction=H","UseDPDF=Y")</f>
        <v>—</v>
      </c>
      <c r="E10" s="13">
        <f>_xll.BDH("EMN US Equity","GOVERNANCE_SCORE","FY 2015","FY 2015","Currency=USD","Period=FY","BEST_FPERIOD_OVERRIDE=FY","FILING_STATUS=MR","Sort=A","Dates=H","DateFormat=P","Fill=—","Direction=H","UseDPDF=Y")</f>
        <v>7.59</v>
      </c>
      <c r="F10" s="13">
        <f>_xll.BDH("EMN US Equity","GOVERNANCE_SCORE","FY 2016","FY 2016","Currency=USD","Period=FY","BEST_FPERIOD_OVERRIDE=FY","FILING_STATUS=MR","Sort=A","Dates=H","DateFormat=P","Fill=—","Direction=H","UseDPDF=Y")</f>
        <v>7.4</v>
      </c>
      <c r="G10" s="13">
        <f>_xll.BDH("EMN US Equity","GOVERNANCE_SCORE","FY 2017","FY 2017","Currency=USD","Period=FY","BEST_FPERIOD_OVERRIDE=FY","FILING_STATUS=MR","Sort=A","Dates=H","DateFormat=P","Fill=—","Direction=H","UseDPDF=Y")</f>
        <v>7.31</v>
      </c>
      <c r="H10" s="13">
        <f>_xll.BDH("EMN US Equity","GOVERNANCE_SCORE","FY 2018","FY 2018","Currency=USD","Period=FY","BEST_FPERIOD_OVERRIDE=FY","FILING_STATUS=MR","Sort=A","Dates=H","DateFormat=P","Fill=—","Direction=H","UseDPDF=Y")</f>
        <v>7.16</v>
      </c>
      <c r="I10" s="13">
        <f>_xll.BDH("EMN US Equity","GOVERNANCE_SCORE","FY 2019","FY 2019","Currency=USD","Period=FY","BEST_FPERIOD_OVERRIDE=FY","FILING_STATUS=MR","Sort=A","Dates=H","DateFormat=P","Fill=—","Direction=H","UseDPDF=Y")</f>
        <v>7.49</v>
      </c>
      <c r="J10" s="13">
        <f>_xll.BDH("EMN US Equity","GOVERNANCE_SCORE","FY 2020","FY 2020","Currency=USD","Period=FY","BEST_FPERIOD_OVERRIDE=FY","FILING_STATUS=MR","Sort=A","Dates=H","DateFormat=P","Fill=—","Direction=H","UseDPDF=Y")</f>
        <v>7.63</v>
      </c>
      <c r="K10" s="13">
        <f>_xll.BDH("EMN US Equity","GOVERNANCE_SCORE","FY 2021","FY 2021","Currency=USD","Period=FY","BEST_FPERIOD_OVERRIDE=FY","FILING_STATUS=MR","Sort=A","Dates=H","DateFormat=P","Fill=—","Direction=H","UseDPDF=Y")</f>
        <v>7.13</v>
      </c>
      <c r="L10" s="13" t="str">
        <f>_xll.BDH("EMN US Equity","GOVERNANCE_SCORE","FY 2022","FY 2022","Currency=USD","Period=FY","BEST_FPERIOD_OVERRIDE=FY","FILING_STATUS=MR","Sort=A","Dates=H","DateFormat=P","Fill=—","Direction=H","UseDPDF=Y")</f>
        <v>—</v>
      </c>
    </row>
    <row r="11" spans="1:1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0" t="s">
        <v>32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6" t="s">
        <v>33</v>
      </c>
      <c r="B13" s="6" t="s">
        <v>34</v>
      </c>
      <c r="C13" s="15">
        <f>_xll.BDH("EMN US Equity","ESG_DISCLOSURE_SCORE","FY 2013","FY 2013","Currency=USD","Period=FY","BEST_FPERIOD_OVERRIDE=FY","FILING_STATUS=MR","Sort=A","Dates=H","DateFormat=P","Fill=—","Direction=H","UseDPDF=Y")</f>
        <v>52.3992</v>
      </c>
      <c r="D13" s="15">
        <f>_xll.BDH("EMN US Equity","ESG_DISCLOSURE_SCORE","FY 2014","FY 2014","Currency=USD","Period=FY","BEST_FPERIOD_OVERRIDE=FY","FILING_STATUS=MR","Sort=A","Dates=H","DateFormat=P","Fill=—","Direction=H","UseDPDF=Y")</f>
        <v>56.090899999999998</v>
      </c>
      <c r="E13" s="15">
        <f>_xll.BDH("EMN US Equity","ESG_DISCLOSURE_SCORE","FY 2015","FY 2015","Currency=USD","Period=FY","BEST_FPERIOD_OVERRIDE=FY","FILING_STATUS=MR","Sort=A","Dates=H","DateFormat=P","Fill=—","Direction=H","UseDPDF=Y")</f>
        <v>62.921199999999999</v>
      </c>
      <c r="F13" s="15">
        <f>_xll.BDH("EMN US Equity","ESG_DISCLOSURE_SCORE","FY 2016","FY 2016","Currency=USD","Period=FY","BEST_FPERIOD_OVERRIDE=FY","FILING_STATUS=MR","Sort=A","Dates=H","DateFormat=P","Fill=—","Direction=H","UseDPDF=Y")</f>
        <v>62.116500000000002</v>
      </c>
      <c r="G13" s="15">
        <f>_xll.BDH("EMN US Equity","ESG_DISCLOSURE_SCORE","FY 2017","FY 2017","Currency=USD","Period=FY","BEST_FPERIOD_OVERRIDE=FY","FILING_STATUS=MR","Sort=A","Dates=H","DateFormat=P","Fill=—","Direction=H","UseDPDF=Y")</f>
        <v>67.156199999999998</v>
      </c>
      <c r="H13" s="15">
        <f>_xll.BDH("EMN US Equity","ESG_DISCLOSURE_SCORE","FY 2018","FY 2018","Currency=USD","Period=FY","BEST_FPERIOD_OVERRIDE=FY","FILING_STATUS=MR","Sort=A","Dates=H","DateFormat=P","Fill=—","Direction=H","UseDPDF=Y")</f>
        <v>67.8</v>
      </c>
      <c r="I13" s="15">
        <f>_xll.BDH("EMN US Equity","ESG_DISCLOSURE_SCORE","FY 2019","FY 2019","Currency=USD","Period=FY","BEST_FPERIOD_OVERRIDE=FY","FILING_STATUS=MR","Sort=A","Dates=H","DateFormat=P","Fill=—","Direction=H","UseDPDF=Y")</f>
        <v>68.644999999999996</v>
      </c>
      <c r="J13" s="15">
        <f>_xll.BDH("EMN US Equity","ESG_DISCLOSURE_SCORE","FY 2020","FY 2020","Currency=USD","Period=FY","BEST_FPERIOD_OVERRIDE=FY","FILING_STATUS=MR","Sort=A","Dates=H","DateFormat=P","Fill=—","Direction=H","UseDPDF=Y")</f>
        <v>67.900599999999997</v>
      </c>
      <c r="K13" s="15">
        <f>_xll.BDH("EMN US Equity","ESG_DISCLOSURE_SCORE","FY 2021","FY 2021","Currency=USD","Period=FY","BEST_FPERIOD_OVERRIDE=FY","FILING_STATUS=MR","Sort=A","Dates=H","DateFormat=P","Fill=—","Direction=H","UseDPDF=Y")</f>
        <v>69.831999999999994</v>
      </c>
      <c r="L13" s="15" t="str">
        <f>_xll.BDH("EMN US Equity","ESG_DISCLOSURE_SCORE","FY 2022","FY 2022","Currency=USD","Period=FY","BEST_FPERIOD_OVERRIDE=FY","FILING_STATUS=MR","Sort=A","Dates=H","DateFormat=P","Fill=—","Direction=H","UseDPDF=Y")</f>
        <v>—</v>
      </c>
    </row>
    <row r="14" spans="1:12">
      <c r="A14" s="10" t="s">
        <v>35</v>
      </c>
      <c r="B14" s="10" t="s">
        <v>36</v>
      </c>
      <c r="C14" s="13">
        <f>_xll.BDH("EMN US Equity","ENVIRON_DISCLOSURE_SCORE","FY 2013","FY 2013","Currency=USD","Period=FY","BEST_FPERIOD_OVERRIDE=FY","FILING_STATUS=MR","Sort=A","Dates=H","DateFormat=P","Fill=—","Direction=H","UseDPDF=Y")</f>
        <v>34.158900000000003</v>
      </c>
      <c r="D14" s="13">
        <f>_xll.BDH("EMN US Equity","ENVIRON_DISCLOSURE_SCORE","FY 2014","FY 2014","Currency=USD","Period=FY","BEST_FPERIOD_OVERRIDE=FY","FILING_STATUS=MR","Sort=A","Dates=H","DateFormat=P","Fill=—","Direction=H","UseDPDF=Y")</f>
        <v>38.960999999999999</v>
      </c>
      <c r="E14" s="13">
        <f>_xll.BDH("EMN US Equity","ENVIRON_DISCLOSURE_SCORE","FY 2015","FY 2015","Currency=USD","Period=FY","BEST_FPERIOD_OVERRIDE=FY","FILING_STATUS=MR","Sort=A","Dates=H","DateFormat=P","Fill=—","Direction=H","UseDPDF=Y")</f>
        <v>46.662599999999998</v>
      </c>
      <c r="F14" s="13">
        <f>_xll.BDH("EMN US Equity","ENVIRON_DISCLOSURE_SCORE","FY 2016","FY 2016","Currency=USD","Period=FY","BEST_FPERIOD_OVERRIDE=FY","FILING_STATUS=MR","Sort=A","Dates=H","DateFormat=P","Fill=—","Direction=H","UseDPDF=Y")</f>
        <v>46.662599999999998</v>
      </c>
      <c r="G14" s="13">
        <f>_xll.BDH("EMN US Equity","ENVIRON_DISCLOSURE_SCORE","FY 2017","FY 2017","Currency=USD","Period=FY","BEST_FPERIOD_OVERRIDE=FY","FILING_STATUS=MR","Sort=A","Dates=H","DateFormat=P","Fill=—","Direction=H","UseDPDF=Y")</f>
        <v>58.622799999999998</v>
      </c>
      <c r="H14" s="13">
        <f>_xll.BDH("EMN US Equity","ENVIRON_DISCLOSURE_SCORE","FY 2018","FY 2018","Currency=USD","Period=FY","BEST_FPERIOD_OVERRIDE=FY","FILING_STATUS=MR","Sort=A","Dates=H","DateFormat=P","Fill=—","Direction=H","UseDPDF=Y")</f>
        <v>60.344299999999997</v>
      </c>
      <c r="I14" s="13">
        <f>_xll.BDH("EMN US Equity","ENVIRON_DISCLOSURE_SCORE","FY 2019","FY 2019","Currency=USD","Period=FY","BEST_FPERIOD_OVERRIDE=FY","FILING_STATUS=MR","Sort=A","Dates=H","DateFormat=P","Fill=—","Direction=H","UseDPDF=Y")</f>
        <v>61.763800000000003</v>
      </c>
      <c r="J14" s="13">
        <f>_xll.BDH("EMN US Equity","ENVIRON_DISCLOSURE_SCORE","FY 2020","FY 2020","Currency=USD","Period=FY","BEST_FPERIOD_OVERRIDE=FY","FILING_STATUS=MR","Sort=A","Dates=H","DateFormat=P","Fill=—","Direction=H","UseDPDF=Y")</f>
        <v>62.095999999999997</v>
      </c>
      <c r="K14" s="13">
        <f>_xll.BDH("EMN US Equity","ENVIRON_DISCLOSURE_SCORE","FY 2021","FY 2021","Currency=USD","Period=FY","BEST_FPERIOD_OVERRIDE=FY","FILING_STATUS=MR","Sort=A","Dates=H","DateFormat=P","Fill=—","Direction=H","UseDPDF=Y")</f>
        <v>59.0456</v>
      </c>
      <c r="L14" s="13" t="str">
        <f>_xll.BDH("EMN US Equity","ENVIRON_DISCLOSURE_SCORE","FY 2022","FY 2022","Currency=USD","Period=FY","BEST_FPERIOD_OVERRIDE=FY","FILING_STATUS=MR","Sort=A","Dates=H","DateFormat=P","Fill=—","Direction=H","UseDPDF=Y")</f>
        <v>—</v>
      </c>
    </row>
    <row r="15" spans="1:12">
      <c r="A15" s="10" t="s">
        <v>37</v>
      </c>
      <c r="B15" s="10" t="s">
        <v>38</v>
      </c>
      <c r="C15" s="13">
        <f>_xll.BDH("EMN US Equity","SOCIAL_DISCLOSURE_SCORE","FY 2013","FY 2013","Currency=USD","Period=FY","BEST_FPERIOD_OVERRIDE=FY","FILING_STATUS=MR","Sort=A","Dates=H","DateFormat=P","Fill=—","Direction=H","UseDPDF=Y")</f>
        <v>31.106400000000001</v>
      </c>
      <c r="D15" s="13">
        <f>_xll.BDH("EMN US Equity","SOCIAL_DISCLOSURE_SCORE","FY 2014","FY 2014","Currency=USD","Period=FY","BEST_FPERIOD_OVERRIDE=FY","FILING_STATUS=MR","Sort=A","Dates=H","DateFormat=P","Fill=—","Direction=H","UseDPDF=Y")</f>
        <v>31.106400000000001</v>
      </c>
      <c r="E15" s="13">
        <f>_xll.BDH("EMN US Equity","SOCIAL_DISCLOSURE_SCORE","FY 2015","FY 2015","Currency=USD","Period=FY","BEST_FPERIOD_OVERRIDE=FY","FILING_STATUS=MR","Sort=A","Dates=H","DateFormat=P","Fill=—","Direction=H","UseDPDF=Y")</f>
        <v>42.533299999999997</v>
      </c>
      <c r="F15" s="13">
        <f>_xll.BDH("EMN US Equity","SOCIAL_DISCLOSURE_SCORE","FY 2016","FY 2016","Currency=USD","Period=FY","BEST_FPERIOD_OVERRIDE=FY","FILING_STATUS=MR","Sort=A","Dates=H","DateFormat=P","Fill=—","Direction=H","UseDPDF=Y")</f>
        <v>46.402700000000003</v>
      </c>
      <c r="G15" s="13">
        <f>_xll.BDH("EMN US Equity","SOCIAL_DISCLOSURE_SCORE","FY 2017","FY 2017","Currency=USD","Period=FY","BEST_FPERIOD_OVERRIDE=FY","FILING_STATUS=MR","Sort=A","Dates=H","DateFormat=P","Fill=—","Direction=H","UseDPDF=Y")</f>
        <v>49.576799999999999</v>
      </c>
      <c r="H15" s="13">
        <f>_xll.BDH("EMN US Equity","SOCIAL_DISCLOSURE_SCORE","FY 2018","FY 2018","Currency=USD","Period=FY","BEST_FPERIOD_OVERRIDE=FY","FILING_STATUS=MR","Sort=A","Dates=H","DateFormat=P","Fill=—","Direction=H","UseDPDF=Y")</f>
        <v>49.788400000000003</v>
      </c>
      <c r="I15" s="13">
        <f>_xll.BDH("EMN US Equity","SOCIAL_DISCLOSURE_SCORE","FY 2019","FY 2019","Currency=USD","Period=FY","BEST_FPERIOD_OVERRIDE=FY","FILING_STATUS=MR","Sort=A","Dates=H","DateFormat=P","Fill=—","Direction=H","UseDPDF=Y")</f>
        <v>50.332500000000003</v>
      </c>
      <c r="J15" s="13">
        <f>_xll.BDH("EMN US Equity","SOCIAL_DISCLOSURE_SCORE","FY 2020","FY 2020","Currency=USD","Period=FY","BEST_FPERIOD_OVERRIDE=FY","FILING_STATUS=MR","Sort=A","Dates=H","DateFormat=P","Fill=—","Direction=H","UseDPDF=Y")</f>
        <v>47.762999999999998</v>
      </c>
      <c r="K15" s="13">
        <f>_xll.BDH("EMN US Equity","SOCIAL_DISCLOSURE_SCORE","FY 2021","FY 2021","Currency=USD","Period=FY","BEST_FPERIOD_OVERRIDE=FY","FILING_STATUS=MR","Sort=A","Dates=H","DateFormat=P","Fill=—","Direction=H","UseDPDF=Y")</f>
        <v>50.332500000000003</v>
      </c>
      <c r="L15" s="13" t="str">
        <f>_xll.BDH("EMN US Equity","SOCIAL_DISCLOSURE_SCORE","FY 2022","FY 2022","Currency=USD","Period=FY","BEST_FPERIOD_OVERRIDE=FY","FILING_STATUS=MR","Sort=A","Dates=H","DateFormat=P","Fill=—","Direction=H","UseDPDF=Y")</f>
        <v>—</v>
      </c>
    </row>
    <row r="16" spans="1:12">
      <c r="A16" s="10" t="s">
        <v>39</v>
      </c>
      <c r="B16" s="10" t="s">
        <v>40</v>
      </c>
      <c r="C16" s="13">
        <f>_xll.BDH("EMN US Equity","GOVNCE_DISCLOSURE_SCORE","FY 2013","FY 2013","Currency=USD","Period=FY","BEST_FPERIOD_OVERRIDE=FY","FILING_STATUS=MR","Sort=A","Dates=H","DateFormat=P","Fill=—","Direction=H","UseDPDF=Y")</f>
        <v>91.7821</v>
      </c>
      <c r="D16" s="13">
        <f>_xll.BDH("EMN US Equity","GOVNCE_DISCLOSURE_SCORE","FY 2014","FY 2014","Currency=USD","Period=FY","BEST_FPERIOD_OVERRIDE=FY","FILING_STATUS=MR","Sort=A","Dates=H","DateFormat=P","Fill=—","Direction=H","UseDPDF=Y")</f>
        <v>98.043300000000002</v>
      </c>
      <c r="E16" s="13">
        <f>_xll.BDH("EMN US Equity","GOVNCE_DISCLOSURE_SCORE","FY 2015","FY 2015","Currency=USD","Period=FY","BEST_FPERIOD_OVERRIDE=FY","FILING_STATUS=MR","Sort=A","Dates=H","DateFormat=P","Fill=—","Direction=H","UseDPDF=Y")</f>
        <v>99.428100000000001</v>
      </c>
      <c r="F16" s="13">
        <f>_xll.BDH("EMN US Equity","GOVNCE_DISCLOSURE_SCORE","FY 2016","FY 2016","Currency=USD","Period=FY","BEST_FPERIOD_OVERRIDE=FY","FILING_STATUS=MR","Sort=A","Dates=H","DateFormat=P","Fill=—","Direction=H","UseDPDF=Y")</f>
        <v>93.166799999999995</v>
      </c>
      <c r="G16" s="13">
        <f>_xll.BDH("EMN US Equity","GOVNCE_DISCLOSURE_SCORE","FY 2017","FY 2017","Currency=USD","Period=FY","BEST_FPERIOD_OVERRIDE=FY","FILING_STATUS=MR","Sort=A","Dates=H","DateFormat=P","Fill=—","Direction=H","UseDPDF=Y")</f>
        <v>93.166799999999995</v>
      </c>
      <c r="H16" s="13">
        <f>_xll.BDH("EMN US Equity","GOVNCE_DISCLOSURE_SCORE","FY 2018","FY 2018","Currency=USD","Period=FY","BEST_FPERIOD_OVERRIDE=FY","FILING_STATUS=MR","Sort=A","Dates=H","DateFormat=P","Fill=—","Direction=H","UseDPDF=Y")</f>
        <v>93.166799999999995</v>
      </c>
      <c r="I16" s="13">
        <f>_xll.BDH("EMN US Equity","GOVNCE_DISCLOSURE_SCORE","FY 2019","FY 2019","Currency=USD","Period=FY","BEST_FPERIOD_OVERRIDE=FY","FILING_STATUS=MR","Sort=A","Dates=H","DateFormat=P","Fill=—","Direction=H","UseDPDF=Y")</f>
        <v>93.738699999999994</v>
      </c>
      <c r="J16" s="13">
        <f>_xll.BDH("EMN US Equity","GOVNCE_DISCLOSURE_SCORE","FY 2020","FY 2020","Currency=USD","Period=FY","BEST_FPERIOD_OVERRIDE=FY","FILING_STATUS=MR","Sort=A","Dates=H","DateFormat=P","Fill=—","Direction=H","UseDPDF=Y")</f>
        <v>93.738699999999994</v>
      </c>
      <c r="K16" s="13">
        <f>_xll.BDH("EMN US Equity","GOVNCE_DISCLOSURE_SCORE","FY 2021","FY 2021","Currency=USD","Period=FY","BEST_FPERIOD_OVERRIDE=FY","FILING_STATUS=MR","Sort=A","Dates=H","DateFormat=P","Fill=—","Direction=H","UseDPDF=Y")</f>
        <v>100</v>
      </c>
      <c r="L16" s="13" t="str">
        <f>_xll.BDH("EMN US Equity","GOVNCE_DISCLOSURE_SCORE","FY 2022","FY 2022","Currency=USD","Period=FY","BEST_FPERIOD_OVERRIDE=FY","FILING_STATUS=MR","Sort=A","Dates=H","DateFormat=P","Fill=—","Direction=H","UseDPDF=Y")</f>
        <v>—</v>
      </c>
    </row>
    <row r="17" spans="1:1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6" t="s">
        <v>41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0" t="s">
        <v>42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0" t="s">
        <v>43</v>
      </c>
      <c r="B20" s="10" t="s">
        <v>44</v>
      </c>
      <c r="C20" s="12">
        <f>_xll.BDH("EMN US Equity","NOX_EMISSIONS","FY 2013","FY 2013","Currency=USD","Period=FY","BEST_FPERIOD_OVERRIDE=FY","FILING_STATUS=MR","Sort=A","Dates=H","DateFormat=P","Fill=—","Direction=H","UseDPDF=Y")</f>
        <v>11.265000000000001</v>
      </c>
      <c r="D20" s="12">
        <f>_xll.BDH("EMN US Equity","NOX_EMISSIONS","FY 2014","FY 2014","Currency=USD","Period=FY","BEST_FPERIOD_OVERRIDE=FY","FILING_STATUS=MR","Sort=A","Dates=H","DateFormat=P","Fill=—","Direction=H","UseDPDF=Y")</f>
        <v>11.452</v>
      </c>
      <c r="E20" s="12">
        <f>_xll.BDH("EMN US Equity","NOX_EMISSIONS","FY 2015","FY 2015","Currency=USD","Period=FY","BEST_FPERIOD_OVERRIDE=FY","FILING_STATUS=MR","Sort=A","Dates=H","DateFormat=P","Fill=—","Direction=H","UseDPDF=Y")</f>
        <v>10.922000000000001</v>
      </c>
      <c r="F20" s="12">
        <f>_xll.BDH("EMN US Equity","NOX_EMISSIONS","FY 2016","FY 2016","Currency=USD","Period=FY","BEST_FPERIOD_OVERRIDE=FY","FILING_STATUS=MR","Sort=A","Dates=H","DateFormat=P","Fill=—","Direction=H","UseDPDF=Y")</f>
        <v>10.301</v>
      </c>
      <c r="G20" s="12">
        <f>_xll.BDH("EMN US Equity","NOX_EMISSIONS","FY 2017","FY 2017","Currency=USD","Period=FY","BEST_FPERIOD_OVERRIDE=FY","FILING_STATUS=MR","Sort=A","Dates=H","DateFormat=P","Fill=—","Direction=H","UseDPDF=Y")</f>
        <v>8.3960000000000008</v>
      </c>
      <c r="H20" s="12">
        <f>_xll.BDH("EMN US Equity","NOX_EMISSIONS","FY 2018","FY 2018","Currency=USD","Period=FY","BEST_FPERIOD_OVERRIDE=FY","FILING_STATUS=MR","Sort=A","Dates=H","DateFormat=P","Fill=—","Direction=H","UseDPDF=Y")</f>
        <v>7.335</v>
      </c>
      <c r="I20" s="12">
        <f>_xll.BDH("EMN US Equity","NOX_EMISSIONS","FY 2019","FY 2019","Currency=USD","Period=FY","BEST_FPERIOD_OVERRIDE=FY","FILING_STATUS=MR","Sort=A","Dates=H","DateFormat=P","Fill=—","Direction=H","UseDPDF=Y")</f>
        <v>6.2039999999999997</v>
      </c>
      <c r="J20" s="12">
        <f>_xll.BDH("EMN US Equity","NOX_EMISSIONS","FY 2020","FY 2020","Currency=USD","Period=FY","BEST_FPERIOD_OVERRIDE=FY","FILING_STATUS=MR","Sort=A","Dates=H","DateFormat=P","Fill=—","Direction=H","UseDPDF=Y")</f>
        <v>5.7350000000000003</v>
      </c>
      <c r="K20" s="12">
        <f>_xll.BDH("EMN US Equity","NOX_EMISSIONS","FY 2021","FY 2021","Currency=USD","Period=FY","BEST_FPERIOD_OVERRIDE=FY","FILING_STATUS=MR","Sort=A","Dates=H","DateFormat=P","Fill=—","Direction=H","UseDPDF=Y")</f>
        <v>6.516</v>
      </c>
      <c r="L20" s="12" t="str">
        <f>_xll.BDH("EMN US Equity","NOX_EMISSIONS","FY 2022","FY 2022","Currency=USD","Period=FY","BEST_FPERIOD_OVERRIDE=FY","FILING_STATUS=MR","Sort=A","Dates=H","DateFormat=P","Fill=—","Direction=H","UseDPDF=Y")</f>
        <v>—</v>
      </c>
    </row>
    <row r="21" spans="1:12">
      <c r="A21" s="10" t="s">
        <v>45</v>
      </c>
      <c r="B21" s="10" t="s">
        <v>46</v>
      </c>
      <c r="C21" s="12">
        <f>_xll.BDH("EMN US Equity","VOC_EMISSIONS","FY 2013","FY 2013","Currency=USD","Period=FY","BEST_FPERIOD_OVERRIDE=FY","FILING_STATUS=MR","Sort=A","Dates=H","DateFormat=P","Fill=—","Direction=H","UseDPDF=Y")</f>
        <v>7.38</v>
      </c>
      <c r="D21" s="12">
        <f>_xll.BDH("EMN US Equity","VOC_EMISSIONS","FY 2014","FY 2014","Currency=USD","Period=FY","BEST_FPERIOD_OVERRIDE=FY","FILING_STATUS=MR","Sort=A","Dates=H","DateFormat=P","Fill=—","Direction=H","UseDPDF=Y")</f>
        <v>7.5979999999999999</v>
      </c>
      <c r="E21" s="12">
        <f>_xll.BDH("EMN US Equity","VOC_EMISSIONS","FY 2015","FY 2015","Currency=USD","Period=FY","BEST_FPERIOD_OVERRIDE=FY","FILING_STATUS=MR","Sort=A","Dates=H","DateFormat=P","Fill=—","Direction=H","UseDPDF=Y")</f>
        <v>7.8650000000000002</v>
      </c>
      <c r="F21" s="12">
        <f>_xll.BDH("EMN US Equity","VOC_EMISSIONS","FY 2016","FY 2016","Currency=USD","Period=FY","BEST_FPERIOD_OVERRIDE=FY","FILING_STATUS=MR","Sort=A","Dates=H","DateFormat=P","Fill=—","Direction=H","UseDPDF=Y")</f>
        <v>7.4820000000000002</v>
      </c>
      <c r="G21" s="12">
        <f>_xll.BDH("EMN US Equity","VOC_EMISSIONS","FY 2017","FY 2017","Currency=USD","Period=FY","BEST_FPERIOD_OVERRIDE=FY","FILING_STATUS=MR","Sort=A","Dates=H","DateFormat=P","Fill=—","Direction=H","UseDPDF=Y")</f>
        <v>7.1449999999999996</v>
      </c>
      <c r="H21" s="12">
        <f>_xll.BDH("EMN US Equity","VOC_EMISSIONS","FY 2018","FY 2018","Currency=USD","Period=FY","BEST_FPERIOD_OVERRIDE=FY","FILING_STATUS=MR","Sort=A","Dates=H","DateFormat=P","Fill=—","Direction=H","UseDPDF=Y")</f>
        <v>6.1769999999999996</v>
      </c>
      <c r="I21" s="12">
        <f>_xll.BDH("EMN US Equity","VOC_EMISSIONS","FY 2019","FY 2019","Currency=USD","Period=FY","BEST_FPERIOD_OVERRIDE=FY","FILING_STATUS=MR","Sort=A","Dates=H","DateFormat=P","Fill=—","Direction=H","UseDPDF=Y")</f>
        <v>7.2539999999999996</v>
      </c>
      <c r="J21" s="12">
        <f>_xll.BDH("EMN US Equity","VOC_EMISSIONS","FY 2020","FY 2020","Currency=USD","Period=FY","BEST_FPERIOD_OVERRIDE=FY","FILING_STATUS=MR","Sort=A","Dates=H","DateFormat=P","Fill=—","Direction=H","UseDPDF=Y")</f>
        <v>6.1710000000000003</v>
      </c>
      <c r="K21" s="12">
        <f>_xll.BDH("EMN US Equity","VOC_EMISSIONS","FY 2021","FY 2021","Currency=USD","Period=FY","BEST_FPERIOD_OVERRIDE=FY","FILING_STATUS=MR","Sort=A","Dates=H","DateFormat=P","Fill=—","Direction=H","UseDPDF=Y")</f>
        <v>6.2670000000000003</v>
      </c>
      <c r="L21" s="12" t="str">
        <f>_xll.BDH("EMN US Equity","VOC_EMISSIONS","FY 2022","FY 2022","Currency=USD","Period=FY","BEST_FPERIOD_OVERRIDE=FY","FILING_STATUS=MR","Sort=A","Dates=H","DateFormat=P","Fill=—","Direction=H","UseDPDF=Y")</f>
        <v>—</v>
      </c>
    </row>
    <row r="22" spans="1:12">
      <c r="A22" s="10" t="s">
        <v>47</v>
      </c>
      <c r="B22" s="10" t="s">
        <v>48</v>
      </c>
      <c r="C22" s="12">
        <f>_xll.BDH("EMN US Equity","SULPHUR_DIOXIDE_SULPHUR_OXIDE_EM","FY 2013","FY 2013","Currency=USD","Period=FY","BEST_FPERIOD_OVERRIDE=FY","FILING_STATUS=MR","Sort=A","Dates=H","DateFormat=P","Fill=—","Direction=H","UseDPDF=Y")</f>
        <v>21.707000000000001</v>
      </c>
      <c r="D22" s="12">
        <f>_xll.BDH("EMN US Equity","SULPHUR_DIOXIDE_SULPHUR_OXIDE_EM","FY 2014","FY 2014","Currency=USD","Period=FY","BEST_FPERIOD_OVERRIDE=FY","FILING_STATUS=MR","Sort=A","Dates=H","DateFormat=P","Fill=—","Direction=H","UseDPDF=Y")</f>
        <v>20.27</v>
      </c>
      <c r="E22" s="12">
        <f>_xll.BDH("EMN US Equity","SULPHUR_DIOXIDE_SULPHUR_OXIDE_EM","FY 2015","FY 2015","Currency=USD","Period=FY","BEST_FPERIOD_OVERRIDE=FY","FILING_STATUS=MR","Sort=A","Dates=H","DateFormat=P","Fill=—","Direction=H","UseDPDF=Y")</f>
        <v>18.663</v>
      </c>
      <c r="F22" s="12">
        <f>_xll.BDH("EMN US Equity","SULPHUR_DIOXIDE_SULPHUR_OXIDE_EM","FY 2016","FY 2016","Currency=USD","Period=FY","BEST_FPERIOD_OVERRIDE=FY","FILING_STATUS=MR","Sort=A","Dates=H","DateFormat=P","Fill=—","Direction=H","UseDPDF=Y")</f>
        <v>14.382999999999999</v>
      </c>
      <c r="G22" s="12">
        <f>_xll.BDH("EMN US Equity","SULPHUR_DIOXIDE_SULPHUR_OXIDE_EM","FY 2017","FY 2017","Currency=USD","Period=FY","BEST_FPERIOD_OVERRIDE=FY","FILING_STATUS=MR","Sort=A","Dates=H","DateFormat=P","Fill=—","Direction=H","UseDPDF=Y")</f>
        <v>10.923</v>
      </c>
      <c r="H22" s="12">
        <f>_xll.BDH("EMN US Equity","SULPHUR_DIOXIDE_SULPHUR_OXIDE_EM","FY 2018","FY 2018","Currency=USD","Period=FY","BEST_FPERIOD_OVERRIDE=FY","FILING_STATUS=MR","Sort=A","Dates=H","DateFormat=P","Fill=—","Direction=H","UseDPDF=Y")</f>
        <v>8.4984999999999999</v>
      </c>
      <c r="I22" s="12">
        <f>_xll.BDH("EMN US Equity","SULPHUR_DIOXIDE_SULPHUR_OXIDE_EM","FY 2019","FY 2019","Currency=USD","Period=FY","BEST_FPERIOD_OVERRIDE=FY","FILING_STATUS=MR","Sort=A","Dates=H","DateFormat=P","Fill=—","Direction=H","UseDPDF=Y")</f>
        <v>4.6710000000000003</v>
      </c>
      <c r="J22" s="12">
        <f>_xll.BDH("EMN US Equity","SULPHUR_DIOXIDE_SULPHUR_OXIDE_EM","FY 2020","FY 2020","Currency=USD","Period=FY","BEST_FPERIOD_OVERRIDE=FY","FILING_STATUS=MR","Sort=A","Dates=H","DateFormat=P","Fill=—","Direction=H","UseDPDF=Y")</f>
        <v>3.0329999999999999</v>
      </c>
      <c r="K22" s="12">
        <f>_xll.BDH("EMN US Equity","SULPHUR_DIOXIDE_SULPHUR_OXIDE_EM","FY 2021","FY 2021","Currency=USD","Period=FY","BEST_FPERIOD_OVERRIDE=FY","FILING_STATUS=MR","Sort=A","Dates=H","DateFormat=P","Fill=—","Direction=H","UseDPDF=Y")</f>
        <v>3.802</v>
      </c>
      <c r="L22" s="12" t="str">
        <f>_xll.BDH("EMN US Equity","SULPHUR_DIOXIDE_SULPHUR_OXIDE_EM","FY 2022","FY 2022","Currency=USD","Period=FY","BEST_FPERIOD_OVERRIDE=FY","FILING_STATUS=MR","Sort=A","Dates=H","DateFormat=P","Fill=—","Direction=H","UseDPDF=Y")</f>
        <v>—</v>
      </c>
    </row>
    <row r="23" spans="1:1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0" t="s">
        <v>49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0" t="s">
        <v>50</v>
      </c>
      <c r="B25" s="10" t="s">
        <v>51</v>
      </c>
      <c r="C25" s="11" t="s">
        <v>52</v>
      </c>
      <c r="D25" s="11" t="s">
        <v>52</v>
      </c>
      <c r="E25" s="11" t="s">
        <v>52</v>
      </c>
      <c r="F25" s="11" t="s">
        <v>52</v>
      </c>
      <c r="G25" s="11" t="s">
        <v>52</v>
      </c>
      <c r="H25" s="11" t="s">
        <v>52</v>
      </c>
      <c r="I25" s="11" t="s">
        <v>52</v>
      </c>
      <c r="J25" s="11" t="s">
        <v>52</v>
      </c>
      <c r="K25" s="11" t="s">
        <v>52</v>
      </c>
      <c r="L25" s="11" t="s">
        <v>53</v>
      </c>
    </row>
    <row r="26" spans="1:12">
      <c r="A26" s="10" t="s">
        <v>54</v>
      </c>
      <c r="B26" s="10" t="s">
        <v>55</v>
      </c>
      <c r="C26" s="11" t="s">
        <v>56</v>
      </c>
      <c r="D26" s="11" t="s">
        <v>56</v>
      </c>
      <c r="E26" s="11" t="s">
        <v>56</v>
      </c>
      <c r="F26" s="11" t="s">
        <v>56</v>
      </c>
      <c r="G26" s="11" t="s">
        <v>52</v>
      </c>
      <c r="H26" s="11" t="s">
        <v>52</v>
      </c>
      <c r="I26" s="11" t="s">
        <v>52</v>
      </c>
      <c r="J26" s="11" t="s">
        <v>52</v>
      </c>
      <c r="K26" s="11" t="s">
        <v>52</v>
      </c>
      <c r="L26" s="11" t="s">
        <v>53</v>
      </c>
    </row>
    <row r="27" spans="1:12">
      <c r="A27" s="10" t="s">
        <v>57</v>
      </c>
      <c r="B27" s="10" t="s">
        <v>58</v>
      </c>
      <c r="C27" s="11" t="s">
        <v>56</v>
      </c>
      <c r="D27" s="11" t="s">
        <v>56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52</v>
      </c>
      <c r="L27" s="11" t="s">
        <v>53</v>
      </c>
    </row>
    <row r="28" spans="1:12">
      <c r="A28" s="10" t="s">
        <v>59</v>
      </c>
      <c r="B28" s="10" t="s">
        <v>60</v>
      </c>
      <c r="C28" s="11" t="s">
        <v>56</v>
      </c>
      <c r="D28" s="11" t="s">
        <v>56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52</v>
      </c>
      <c r="K28" s="11" t="s">
        <v>52</v>
      </c>
      <c r="L28" s="11" t="s">
        <v>52</v>
      </c>
    </row>
    <row r="29" spans="1:12">
      <c r="A29" s="10" t="s">
        <v>61</v>
      </c>
      <c r="B29" s="10" t="s">
        <v>62</v>
      </c>
      <c r="C29" s="12" t="str">
        <f>_xll.BDH("EMN US Equity","CO2_SCOPE_1","FY 2013","FY 2013","Currency=USD","Period=FY","BEST_FPERIOD_OVERRIDE=FY","FILING_STATUS=MR","Sort=A","Dates=H","DateFormat=P","Fill=—","Direction=H","UseDPDF=Y")</f>
        <v>—</v>
      </c>
      <c r="D29" s="12" t="str">
        <f>_xll.BDH("EMN US Equity","CO2_SCOPE_1","FY 2014","FY 2014","Currency=USD","Period=FY","BEST_FPERIOD_OVERRIDE=FY","FILING_STATUS=MR","Sort=A","Dates=H","DateFormat=P","Fill=—","Direction=H","UseDPDF=Y")</f>
        <v>—</v>
      </c>
      <c r="E29" s="12" t="str">
        <f>_xll.BDH("EMN US Equity","CO2_SCOPE_1","FY 2015","FY 2015","Currency=USD","Period=FY","BEST_FPERIOD_OVERRIDE=FY","FILING_STATUS=MR","Sort=A","Dates=H","DateFormat=P","Fill=—","Direction=H","UseDPDF=Y")</f>
        <v>—</v>
      </c>
      <c r="F29" s="12" t="str">
        <f>_xll.BDH("EMN US Equity","CO2_SCOPE_1","FY 2016","FY 2016","Currency=USD","Period=FY","BEST_FPERIOD_OVERRIDE=FY","FILING_STATUS=MR","Sort=A","Dates=H","DateFormat=P","Fill=—","Direction=H","UseDPDF=Y")</f>
        <v>—</v>
      </c>
      <c r="G29" s="12">
        <f>_xll.BDH("EMN US Equity","CO2_SCOPE_1","FY 2017","FY 2017","Currency=USD","Period=FY","BEST_FPERIOD_OVERRIDE=FY","FILING_STATUS=MR","Sort=A","Dates=H","DateFormat=P","Fill=—","Direction=H","UseDPDF=Y")</f>
        <v>6029.58</v>
      </c>
      <c r="H29" s="12">
        <f>_xll.BDH("EMN US Equity","CO2_SCOPE_1","FY 2018","FY 2018","Currency=USD","Period=FY","BEST_FPERIOD_OVERRIDE=FY","FILING_STATUS=MR","Sort=A","Dates=H","DateFormat=P","Fill=—","Direction=H","UseDPDF=Y")</f>
        <v>5740.26</v>
      </c>
      <c r="I29" s="12">
        <f>_xll.BDH("EMN US Equity","CO2_SCOPE_1","FY 2019","FY 2019","Currency=USD","Period=FY","BEST_FPERIOD_OVERRIDE=FY","FILING_STATUS=MR","Sort=A","Dates=H","DateFormat=P","Fill=—","Direction=H","UseDPDF=Y")</f>
        <v>5086.0600000000004</v>
      </c>
      <c r="J29" s="12">
        <f>_xll.BDH("EMN US Equity","CO2_SCOPE_1","FY 2020","FY 2020","Currency=USD","Period=FY","BEST_FPERIOD_OVERRIDE=FY","FILING_STATUS=MR","Sort=A","Dates=H","DateFormat=P","Fill=—","Direction=H","UseDPDF=Y")</f>
        <v>4925.6899999999996</v>
      </c>
      <c r="K29" s="12">
        <f>_xll.BDH("EMN US Equity","CO2_SCOPE_1","FY 2021","FY 2021","Currency=USD","Period=FY","BEST_FPERIOD_OVERRIDE=FY","FILING_STATUS=MR","Sort=A","Dates=H","DateFormat=P","Fill=—","Direction=H","UseDPDF=Y")</f>
        <v>6163.62</v>
      </c>
      <c r="L29" s="12" t="str">
        <f>_xll.BDH("EMN US Equity","CO2_SCOPE_1","FY 2022","FY 2022","Currency=USD","Period=FY","BEST_FPERIOD_OVERRIDE=FY","FILING_STATUS=MR","Sort=A","Dates=H","DateFormat=P","Fill=—","Direction=H","UseDPDF=Y")</f>
        <v>—</v>
      </c>
    </row>
    <row r="30" spans="1:12">
      <c r="A30" s="10" t="s">
        <v>63</v>
      </c>
      <c r="B30" s="10" t="s">
        <v>64</v>
      </c>
      <c r="C30" s="12" t="str">
        <f>_xll.BDH("EMN US Equity","GHG_SCOPE_1","FY 2013","FY 2013","Currency=USD","Period=FY","BEST_FPERIOD_OVERRIDE=FY","FILING_STATUS=MR","Sort=A","Dates=H","DateFormat=P","Fill=—","Direction=H","UseDPDF=Y")</f>
        <v>—</v>
      </c>
      <c r="D30" s="12" t="str">
        <f>_xll.BDH("EMN US Equity","GHG_SCOPE_1","FY 2014","FY 2014","Currency=USD","Period=FY","BEST_FPERIOD_OVERRIDE=FY","FILING_STATUS=MR","Sort=A","Dates=H","DateFormat=P","Fill=—","Direction=H","UseDPDF=Y")</f>
        <v>—</v>
      </c>
      <c r="E30" s="12">
        <f>_xll.BDH("EMN US Equity","GHG_SCOPE_1","FY 2015","FY 2015","Currency=USD","Period=FY","BEST_FPERIOD_OVERRIDE=FY","FILING_STATUS=MR","Sort=A","Dates=H","DateFormat=P","Fill=—","Direction=H","UseDPDF=Y")</f>
        <v>5940.92</v>
      </c>
      <c r="F30" s="12">
        <f>_xll.BDH("EMN US Equity","GHG_SCOPE_1","FY 2016","FY 2016","Currency=USD","Period=FY","BEST_FPERIOD_OVERRIDE=FY","FILING_STATUS=MR","Sort=A","Dates=H","DateFormat=P","Fill=—","Direction=H","UseDPDF=Y")</f>
        <v>5600</v>
      </c>
      <c r="G30" s="12">
        <f>_xll.BDH("EMN US Equity","GHG_SCOPE_1","FY 2017","FY 2017","Currency=USD","Period=FY","BEST_FPERIOD_OVERRIDE=FY","FILING_STATUS=MR","Sort=A","Dates=H","DateFormat=P","Fill=—","Direction=H","UseDPDF=Y")</f>
        <v>6100</v>
      </c>
      <c r="H30" s="12">
        <f>_xll.BDH("EMN US Equity","GHG_SCOPE_1","FY 2018","FY 2018","Currency=USD","Period=FY","BEST_FPERIOD_OVERRIDE=FY","FILING_STATUS=MR","Sort=A","Dates=H","DateFormat=P","Fill=—","Direction=H","UseDPDF=Y")</f>
        <v>5800</v>
      </c>
      <c r="I30" s="12">
        <f>_xll.BDH("EMN US Equity","GHG_SCOPE_1","FY 2019","FY 2019","Currency=USD","Period=FY","BEST_FPERIOD_OVERRIDE=FY","FILING_STATUS=MR","Sort=A","Dates=H","DateFormat=P","Fill=—","Direction=H","UseDPDF=Y")</f>
        <v>5130.07</v>
      </c>
      <c r="J30" s="12">
        <f>_xll.BDH("EMN US Equity","GHG_SCOPE_1","FY 2020","FY 2020","Currency=USD","Period=FY","BEST_FPERIOD_OVERRIDE=FY","FILING_STATUS=MR","Sort=A","Dates=H","DateFormat=P","Fill=—","Direction=H","UseDPDF=Y")</f>
        <v>6270.07</v>
      </c>
      <c r="K30" s="12">
        <f>_xll.BDH("EMN US Equity","GHG_SCOPE_1","FY 2021","FY 2021","Currency=USD","Period=FY","BEST_FPERIOD_OVERRIDE=FY","FILING_STATUS=MR","Sort=A","Dates=H","DateFormat=P","Fill=—","Direction=H","UseDPDF=Y")</f>
        <v>6206.6</v>
      </c>
      <c r="L30" s="12" t="str">
        <f>_xll.BDH("EMN US Equity","GHG_SCOPE_1","FY 2022","FY 2022","Currency=USD","Period=FY","BEST_FPERIOD_OVERRIDE=FY","FILING_STATUS=MR","Sort=A","Dates=H","DateFormat=P","Fill=—","Direction=H","UseDPDF=Y")</f>
        <v>—</v>
      </c>
    </row>
    <row r="31" spans="1:12">
      <c r="A31" s="10" t="s">
        <v>65</v>
      </c>
      <c r="B31" s="10" t="s">
        <v>66</v>
      </c>
      <c r="C31" s="12" t="str">
        <f>_xll.BDH("EMN US Equity","GHG_SCOPE_2_LOCATION_BASED","FY 2013","FY 2013","Currency=USD","Period=FY","BEST_FPERIOD_OVERRIDE=FY","FILING_STATUS=MR","Sort=A","Dates=H","DateFormat=P","Fill=—","Direction=H","UseDPDF=Y")</f>
        <v>—</v>
      </c>
      <c r="D31" s="12" t="str">
        <f>_xll.BDH("EMN US Equity","GHG_SCOPE_2_LOCATION_BASED","FY 2014","FY 2014","Currency=USD","Period=FY","BEST_FPERIOD_OVERRIDE=FY","FILING_STATUS=MR","Sort=A","Dates=H","DateFormat=P","Fill=—","Direction=H","UseDPDF=Y")</f>
        <v>—</v>
      </c>
      <c r="E31" s="12">
        <f>_xll.BDH("EMN US Equity","GHG_SCOPE_2_LOCATION_BASED","FY 2015","FY 2015","Currency=USD","Period=FY","BEST_FPERIOD_OVERRIDE=FY","FILING_STATUS=MR","Sort=A","Dates=H","DateFormat=P","Fill=—","Direction=H","UseDPDF=Y")</f>
        <v>786.57100000000003</v>
      </c>
      <c r="F31" s="12">
        <f>_xll.BDH("EMN US Equity","GHG_SCOPE_2_LOCATION_BASED","FY 2016","FY 2016","Currency=USD","Period=FY","BEST_FPERIOD_OVERRIDE=FY","FILING_STATUS=MR","Sort=A","Dates=H","DateFormat=P","Fill=—","Direction=H","UseDPDF=Y")</f>
        <v>2000</v>
      </c>
      <c r="G31" s="12">
        <f>_xll.BDH("EMN US Equity","GHG_SCOPE_2_LOCATION_BASED","FY 2017","FY 2017","Currency=USD","Period=FY","BEST_FPERIOD_OVERRIDE=FY","FILING_STATUS=MR","Sort=A","Dates=H","DateFormat=P","Fill=—","Direction=H","UseDPDF=Y")</f>
        <v>1400</v>
      </c>
      <c r="H31" s="12">
        <f>_xll.BDH("EMN US Equity","GHG_SCOPE_2_LOCATION_BASED","FY 2018","FY 2018","Currency=USD","Period=FY","BEST_FPERIOD_OVERRIDE=FY","FILING_STATUS=MR","Sort=A","Dates=H","DateFormat=P","Fill=—","Direction=H","UseDPDF=Y")</f>
        <v>1600</v>
      </c>
      <c r="I31" s="12">
        <f>_xll.BDH("EMN US Equity","GHG_SCOPE_2_LOCATION_BASED","FY 2019","FY 2019","Currency=USD","Period=FY","BEST_FPERIOD_OVERRIDE=FY","FILING_STATUS=MR","Sort=A","Dates=H","DateFormat=P","Fill=—","Direction=H","UseDPDF=Y")</f>
        <v>1600</v>
      </c>
      <c r="J31" s="12">
        <f>_xll.BDH("EMN US Equity","GHG_SCOPE_2_LOCATION_BASED","FY 2020","FY 2020","Currency=USD","Period=FY","BEST_FPERIOD_OVERRIDE=FY","FILING_STATUS=MR","Sort=A","Dates=H","DateFormat=P","Fill=—","Direction=H","UseDPDF=Y")</f>
        <v>1371.73</v>
      </c>
      <c r="K31" s="12">
        <f>_xll.BDH("EMN US Equity","GHG_SCOPE_2_LOCATION_BASED","FY 2021","FY 2021","Currency=USD","Period=FY","BEST_FPERIOD_OVERRIDE=FY","FILING_STATUS=MR","Sort=A","Dates=H","DateFormat=P","Fill=—","Direction=H","UseDPDF=Y")</f>
        <v>736.12</v>
      </c>
      <c r="L31" s="12" t="str">
        <f>_xll.BDH("EMN US Equity","GHG_SCOPE_2_LOCATION_BASED","FY 2022","FY 2022","Currency=USD","Period=FY","BEST_FPERIOD_OVERRIDE=FY","FILING_STATUS=MR","Sort=A","Dates=H","DateFormat=P","Fill=—","Direction=H","UseDPDF=Y")</f>
        <v>—</v>
      </c>
    </row>
    <row r="32" spans="1:12">
      <c r="A32" s="10" t="s">
        <v>67</v>
      </c>
      <c r="B32" s="10" t="s">
        <v>68</v>
      </c>
      <c r="C32" s="12" t="str">
        <f>_xll.BDH("EMN US Equity","GHG_SCOPE_2_MARKET_BASED","FY 2013","FY 2013","Currency=USD","Period=FY","BEST_FPERIOD_OVERRIDE=FY","FILING_STATUS=MR","Sort=A","Dates=H","DateFormat=P","Fill=—","Direction=H","UseDPDF=Y")</f>
        <v>—</v>
      </c>
      <c r="D32" s="12" t="str">
        <f>_xll.BDH("EMN US Equity","GHG_SCOPE_2_MARKET_BASED","FY 2014","FY 2014","Currency=USD","Period=FY","BEST_FPERIOD_OVERRIDE=FY","FILING_STATUS=MR","Sort=A","Dates=H","DateFormat=P","Fill=—","Direction=H","UseDPDF=Y")</f>
        <v>—</v>
      </c>
      <c r="E32" s="12" t="str">
        <f>_xll.BDH("EMN US Equity","GHG_SCOPE_2_MARKET_BASED","FY 2015","FY 2015","Currency=USD","Period=FY","BEST_FPERIOD_OVERRIDE=FY","FILING_STATUS=MR","Sort=A","Dates=H","DateFormat=P","Fill=—","Direction=H","UseDPDF=Y")</f>
        <v>—</v>
      </c>
      <c r="F32" s="12" t="str">
        <f>_xll.BDH("EMN US Equity","GHG_SCOPE_2_MARKET_BASED","FY 2016","FY 2016","Currency=USD","Period=FY","BEST_FPERIOD_OVERRIDE=FY","FILING_STATUS=MR","Sort=A","Dates=H","DateFormat=P","Fill=—","Direction=H","UseDPDF=Y")</f>
        <v>—</v>
      </c>
      <c r="G32" s="12" t="str">
        <f>_xll.BDH("EMN US Equity","GHG_SCOPE_2_MARKET_BASED","FY 2017","FY 2017","Currency=USD","Period=FY","BEST_FPERIOD_OVERRIDE=FY","FILING_STATUS=MR","Sort=A","Dates=H","DateFormat=P","Fill=—","Direction=H","UseDPDF=Y")</f>
        <v>—</v>
      </c>
      <c r="H32" s="12" t="str">
        <f>_xll.BDH("EMN US Equity","GHG_SCOPE_2_MARKET_BASED","FY 2018","FY 2018","Currency=USD","Period=FY","BEST_FPERIOD_OVERRIDE=FY","FILING_STATUS=MR","Sort=A","Dates=H","DateFormat=P","Fill=—","Direction=H","UseDPDF=Y")</f>
        <v>—</v>
      </c>
      <c r="I32" s="12">
        <f>_xll.BDH("EMN US Equity","GHG_SCOPE_2_MARKET_BASED","FY 2019","FY 2019","Currency=USD","Period=FY","BEST_FPERIOD_OVERRIDE=FY","FILING_STATUS=MR","Sort=A","Dates=H","DateFormat=P","Fill=—","Direction=H","UseDPDF=Y")</f>
        <v>1636.23</v>
      </c>
      <c r="J32" s="12">
        <f>_xll.BDH("EMN US Equity","GHG_SCOPE_2_MARKET_BASED","FY 2020","FY 2020","Currency=USD","Period=FY","BEST_FPERIOD_OVERRIDE=FY","FILING_STATUS=MR","Sort=A","Dates=H","DateFormat=P","Fill=—","Direction=H","UseDPDF=Y")</f>
        <v>974.46500000000003</v>
      </c>
      <c r="K32" s="12">
        <f>_xll.BDH("EMN US Equity","GHG_SCOPE_2_MARKET_BASED","FY 2021","FY 2021","Currency=USD","Period=FY","BEST_FPERIOD_OVERRIDE=FY","FILING_STATUS=MR","Sort=A","Dates=H","DateFormat=P","Fill=—","Direction=H","UseDPDF=Y")</f>
        <v>746.24</v>
      </c>
      <c r="L32" s="12" t="str">
        <f>_xll.BDH("EMN US Equity","GHG_SCOPE_2_MARKET_BASED","FY 2022","FY 2022","Currency=USD","Period=FY","BEST_FPERIOD_OVERRIDE=FY","FILING_STATUS=MR","Sort=A","Dates=H","DateFormat=P","Fill=—","Direction=H","UseDPDF=Y")</f>
        <v>—</v>
      </c>
    </row>
    <row r="33" spans="1:12">
      <c r="A33" s="10" t="s">
        <v>69</v>
      </c>
      <c r="B33" s="10" t="s">
        <v>70</v>
      </c>
      <c r="C33" s="12" t="str">
        <f>_xll.BDH("EMN US Equity","GHG_SCOPE_3","FY 2013","FY 2013","Currency=USD","Period=FY","BEST_FPERIOD_OVERRIDE=FY","FILING_STATUS=MR","Sort=A","Dates=H","DateFormat=P","Fill=—","Direction=H","UseDPDF=Y")</f>
        <v>—</v>
      </c>
      <c r="D33" s="12" t="str">
        <f>_xll.BDH("EMN US Equity","GHG_SCOPE_3","FY 2014","FY 2014","Currency=USD","Period=FY","BEST_FPERIOD_OVERRIDE=FY","FILING_STATUS=MR","Sort=A","Dates=H","DateFormat=P","Fill=—","Direction=H","UseDPDF=Y")</f>
        <v>—</v>
      </c>
      <c r="E33" s="12">
        <f>_xll.BDH("EMN US Equity","GHG_SCOPE_3","FY 2015","FY 2015","Currency=USD","Period=FY","BEST_FPERIOD_OVERRIDE=FY","FILING_STATUS=MR","Sort=A","Dates=H","DateFormat=P","Fill=—","Direction=H","UseDPDF=Y")</f>
        <v>8979.07</v>
      </c>
      <c r="F33" s="12">
        <f>_xll.BDH("EMN US Equity","GHG_SCOPE_3","FY 2016","FY 2016","Currency=USD","Period=FY","BEST_FPERIOD_OVERRIDE=FY","FILING_STATUS=MR","Sort=A","Dates=H","DateFormat=P","Fill=—","Direction=H","UseDPDF=Y")</f>
        <v>8411.42</v>
      </c>
      <c r="G33" s="12">
        <f>_xll.BDH("EMN US Equity","GHG_SCOPE_3","FY 2017","FY 2017","Currency=USD","Period=FY","BEST_FPERIOD_OVERRIDE=FY","FILING_STATUS=MR","Sort=A","Dates=H","DateFormat=P","Fill=—","Direction=H","UseDPDF=Y")</f>
        <v>9874.08</v>
      </c>
      <c r="H33" s="12">
        <f>_xll.BDH("EMN US Equity","GHG_SCOPE_3","FY 2018","FY 2018","Currency=USD","Period=FY","BEST_FPERIOD_OVERRIDE=FY","FILING_STATUS=MR","Sort=A","Dates=H","DateFormat=P","Fill=—","Direction=H","UseDPDF=Y")</f>
        <v>9029.85</v>
      </c>
      <c r="I33" s="12">
        <f>_xll.BDH("EMN US Equity","GHG_SCOPE_3","FY 2019","FY 2019","Currency=USD","Period=FY","BEST_FPERIOD_OVERRIDE=FY","FILING_STATUS=MR","Sort=A","Dates=H","DateFormat=P","Fill=—","Direction=H","UseDPDF=Y")</f>
        <v>7424.75</v>
      </c>
      <c r="J33" s="12">
        <f>_xll.BDH("EMN US Equity","GHG_SCOPE_3","FY 2020","FY 2020","Currency=USD","Period=FY","BEST_FPERIOD_OVERRIDE=FY","FILING_STATUS=MR","Sort=A","Dates=H","DateFormat=P","Fill=—","Direction=H","UseDPDF=Y")</f>
        <v>21398.9</v>
      </c>
      <c r="K33" s="12">
        <f>_xll.BDH("EMN US Equity","GHG_SCOPE_3","FY 2021","FY 2021","Currency=USD","Period=FY","BEST_FPERIOD_OVERRIDE=FY","FILING_STATUS=MR","Sort=A","Dates=H","DateFormat=P","Fill=—","Direction=H","UseDPDF=Y")</f>
        <v>18040.599999999999</v>
      </c>
      <c r="L33" s="12" t="str">
        <f>_xll.BDH("EMN US Equity","GHG_SCOPE_3","FY 2022","FY 2022","Currency=USD","Period=FY","BEST_FPERIOD_OVERRIDE=FY","FILING_STATUS=MR","Sort=A","Dates=H","DateFormat=P","Fill=—","Direction=H","UseDPDF=Y")</f>
        <v>—</v>
      </c>
    </row>
    <row r="34" spans="1:12">
      <c r="A34" s="10" t="s">
        <v>71</v>
      </c>
      <c r="B34" s="10" t="s">
        <v>72</v>
      </c>
      <c r="C34" s="13">
        <f>_xll.BDH("EMN US Equity","SCOPE_OF_DISCLOSURE","FY 2013","FY 2013","Currency=USD","Period=FY","BEST_FPERIOD_OVERRIDE=FY","FILING_STATUS=MR","Sort=A","Dates=H","DateFormat=P","Fill=—","Direction=H","UseDPDF=Y")</f>
        <v>2</v>
      </c>
      <c r="D34" s="13">
        <f>_xll.BDH("EMN US Equity","SCOPE_OF_DISCLOSURE","FY 2014","FY 2014","Currency=USD","Period=FY","BEST_FPERIOD_OVERRIDE=FY","FILING_STATUS=MR","Sort=A","Dates=H","DateFormat=P","Fill=—","Direction=H","UseDPDF=Y")</f>
        <v>2</v>
      </c>
      <c r="E34" s="13">
        <f>_xll.BDH("EMN US Equity","SCOPE_OF_DISCLOSURE","FY 2015","FY 2015","Currency=USD","Period=FY","BEST_FPERIOD_OVERRIDE=FY","FILING_STATUS=MR","Sort=A","Dates=H","DateFormat=P","Fill=—","Direction=H","UseDPDF=Y")</f>
        <v>2</v>
      </c>
      <c r="F34" s="13">
        <f>_xll.BDH("EMN US Equity","SCOPE_OF_DISCLOSURE","FY 2016","FY 2016","Currency=USD","Period=FY","BEST_FPERIOD_OVERRIDE=FY","FILING_STATUS=MR","Sort=A","Dates=H","DateFormat=P","Fill=—","Direction=H","UseDPDF=Y")</f>
        <v>2</v>
      </c>
      <c r="G34" s="13">
        <f>_xll.BDH("EMN US Equity","SCOPE_OF_DISCLOSURE","FY 2017","FY 2017","Currency=USD","Period=FY","BEST_FPERIOD_OVERRIDE=FY","FILING_STATUS=MR","Sort=A","Dates=H","DateFormat=P","Fill=—","Direction=H","UseDPDF=Y")</f>
        <v>2</v>
      </c>
      <c r="H34" s="13">
        <f>_xll.BDH("EMN US Equity","SCOPE_OF_DISCLOSURE","FY 2018","FY 2018","Currency=USD","Period=FY","BEST_FPERIOD_OVERRIDE=FY","FILING_STATUS=MR","Sort=A","Dates=H","DateFormat=P","Fill=—","Direction=H","UseDPDF=Y")</f>
        <v>2</v>
      </c>
      <c r="I34" s="13">
        <f>_xll.BDH("EMN US Equity","SCOPE_OF_DISCLOSURE","FY 2019","FY 2019","Currency=USD","Period=FY","BEST_FPERIOD_OVERRIDE=FY","FILING_STATUS=MR","Sort=A","Dates=H","DateFormat=P","Fill=—","Direction=H","UseDPDF=Y")</f>
        <v>2</v>
      </c>
      <c r="J34" s="13">
        <f>_xll.BDH("EMN US Equity","SCOPE_OF_DISCLOSURE","FY 2020","FY 2020","Currency=USD","Period=FY","BEST_FPERIOD_OVERRIDE=FY","FILING_STATUS=MR","Sort=A","Dates=H","DateFormat=P","Fill=—","Direction=H","UseDPDF=Y")</f>
        <v>2</v>
      </c>
      <c r="K34" s="13">
        <f>_xll.BDH("EMN US Equity","SCOPE_OF_DISCLOSURE","FY 2021","FY 2021","Currency=USD","Period=FY","BEST_FPERIOD_OVERRIDE=FY","FILING_STATUS=MR","Sort=A","Dates=H","DateFormat=P","Fill=—","Direction=H","UseDPDF=Y")</f>
        <v>2</v>
      </c>
      <c r="L34" s="13" t="str">
        <f>_xll.BDH("EMN US Equity","SCOPE_OF_DISCLOSURE","FY 2022","FY 2022","Currency=USD","Period=FY","BEST_FPERIOD_OVERRIDE=FY","FILING_STATUS=MR","Sort=A","Dates=H","DateFormat=P","Fill=—","Direction=H","UseDPDF=Y")</f>
        <v>—</v>
      </c>
    </row>
    <row r="35" spans="1:12">
      <c r="A35" s="10" t="s">
        <v>73</v>
      </c>
      <c r="B35" s="10" t="s">
        <v>74</v>
      </c>
      <c r="C35" s="13" t="str">
        <f>_xll.BDH("EMN US Equity","CARBON_PER_UNIT_OF_PROD","FY 2013","FY 2013","Currency=USD","Period=FY","BEST_FPERIOD_OVERRIDE=FY","FILING_STATUS=MR","Sort=A","Dates=H","DateFormat=P","Fill=—","Direction=H","UseDPDF=Y")</f>
        <v>—</v>
      </c>
      <c r="D35" s="13">
        <f>_xll.BDH("EMN US Equity","CARBON_PER_UNIT_OF_PROD","FY 2014","FY 2014","Currency=USD","Period=FY","BEST_FPERIOD_OVERRIDE=FY","FILING_STATUS=MR","Sort=A","Dates=H","DateFormat=P","Fill=—","Direction=H","UseDPDF=Y")</f>
        <v>0.99</v>
      </c>
      <c r="E35" s="13">
        <f>_xll.BDH("EMN US Equity","CARBON_PER_UNIT_OF_PROD","FY 2015","FY 2015","Currency=USD","Period=FY","BEST_FPERIOD_OVERRIDE=FY","FILING_STATUS=MR","Sort=A","Dates=H","DateFormat=P","Fill=—","Direction=H","UseDPDF=Y")</f>
        <v>0.9</v>
      </c>
      <c r="F35" s="13">
        <f>_xll.BDH("EMN US Equity","CARBON_PER_UNIT_OF_PROD","FY 2016","FY 2016","Currency=USD","Period=FY","BEST_FPERIOD_OVERRIDE=FY","FILING_STATUS=MR","Sort=A","Dates=H","DateFormat=P","Fill=—","Direction=H","UseDPDF=Y")</f>
        <v>0.88</v>
      </c>
      <c r="G35" s="13">
        <f>_xll.BDH("EMN US Equity","CARBON_PER_UNIT_OF_PROD","FY 2017","FY 2017","Currency=USD","Period=FY","BEST_FPERIOD_OVERRIDE=FY","FILING_STATUS=MR","Sort=A","Dates=H","DateFormat=P","Fill=—","Direction=H","UseDPDF=Y")</f>
        <v>0.85</v>
      </c>
      <c r="H35" s="13">
        <f>_xll.BDH("EMN US Equity","CARBON_PER_UNIT_OF_PROD","FY 2018","FY 2018","Currency=USD","Period=FY","BEST_FPERIOD_OVERRIDE=FY","FILING_STATUS=MR","Sort=A","Dates=H","DateFormat=P","Fill=—","Direction=H","UseDPDF=Y")</f>
        <v>0.79</v>
      </c>
      <c r="I35" s="13">
        <f>_xll.BDH("EMN US Equity","CARBON_PER_UNIT_OF_PROD","FY 2019","FY 2019","Currency=USD","Period=FY","BEST_FPERIOD_OVERRIDE=FY","FILING_STATUS=MR","Sort=A","Dates=H","DateFormat=P","Fill=—","Direction=H","UseDPDF=Y")</f>
        <v>0.75</v>
      </c>
      <c r="J35" s="13">
        <f>_xll.BDH("EMN US Equity","CARBON_PER_UNIT_OF_PROD","FY 2020","FY 2020","Currency=USD","Period=FY","BEST_FPERIOD_OVERRIDE=FY","FILING_STATUS=MR","Sort=A","Dates=H","DateFormat=P","Fill=—","Direction=H","UseDPDF=Y")</f>
        <v>0.78</v>
      </c>
      <c r="K35" s="13">
        <f>_xll.BDH("EMN US Equity","CARBON_PER_UNIT_OF_PROD","FY 2021","FY 2021","Currency=USD","Period=FY","BEST_FPERIOD_OVERRIDE=FY","FILING_STATUS=MR","Sort=A","Dates=H","DateFormat=P","Fill=—","Direction=H","UseDPDF=Y")</f>
        <v>1.67</v>
      </c>
      <c r="L35" s="13" t="str">
        <f>_xll.BDH("EMN US Equity","CARBON_PER_UNIT_OF_PROD","FY 2022","FY 2022","Currency=USD","Period=FY","BEST_FPERIOD_OVERRIDE=FY","FILING_STATUS=MR","Sort=A","Dates=H","DateFormat=P","Fill=—","Direction=H","UseDPDF=Y")</f>
        <v>—</v>
      </c>
    </row>
    <row r="36" spans="1:1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10" t="s">
        <v>75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10" t="s">
        <v>76</v>
      </c>
      <c r="B38" s="10" t="s">
        <v>77</v>
      </c>
      <c r="C38" s="11" t="s">
        <v>52</v>
      </c>
      <c r="D38" s="11" t="s">
        <v>52</v>
      </c>
      <c r="E38" s="11" t="s">
        <v>52</v>
      </c>
      <c r="F38" s="11" t="s">
        <v>52</v>
      </c>
      <c r="G38" s="11" t="s">
        <v>52</v>
      </c>
      <c r="H38" s="11" t="s">
        <v>52</v>
      </c>
      <c r="I38" s="11" t="s">
        <v>52</v>
      </c>
      <c r="J38" s="11" t="s">
        <v>52</v>
      </c>
      <c r="K38" s="11" t="s">
        <v>52</v>
      </c>
      <c r="L38" s="11" t="s">
        <v>53</v>
      </c>
    </row>
    <row r="39" spans="1:12">
      <c r="A39" s="10" t="s">
        <v>78</v>
      </c>
      <c r="B39" s="10" t="s">
        <v>79</v>
      </c>
      <c r="C39" s="12">
        <f>_xll.BDH("EMN US Equity","ENVIRON_FINES_AMT","FY 2013","FY 2013","Currency=USD","Period=FY","BEST_FPERIOD_OVERRIDE=FY","FILING_STATUS=MR","SCALING_FORMAT=MLN","Sort=A","Dates=H","DateFormat=P","Fill=—","Direction=H","UseDPDF=Y")</f>
        <v>0.64800000000000002</v>
      </c>
      <c r="D39" s="12">
        <f>_xll.BDH("EMN US Equity","ENVIRON_FINES_AMT","FY 2014","FY 2014","Currency=USD","Period=FY","BEST_FPERIOD_OVERRIDE=FY","FILING_STATUS=MR","SCALING_FORMAT=MLN","Sort=A","Dates=H","DateFormat=P","Fill=—","Direction=H","UseDPDF=Y")</f>
        <v>5.5E-2</v>
      </c>
      <c r="E39" s="12">
        <f>_xll.BDH("EMN US Equity","ENVIRON_FINES_AMT","FY 2015","FY 2015","Currency=USD","Period=FY","BEST_FPERIOD_OVERRIDE=FY","FILING_STATUS=MR","SCALING_FORMAT=MLN","Sort=A","Dates=H","DateFormat=P","Fill=—","Direction=H","UseDPDF=Y")</f>
        <v>0.09</v>
      </c>
      <c r="F39" s="12">
        <f>_xll.BDH("EMN US Equity","ENVIRON_FINES_AMT","FY 2016","FY 2016","Currency=USD","Period=FY","BEST_FPERIOD_OVERRIDE=FY","FILING_STATUS=MR","SCALING_FORMAT=MLN","Sort=A","Dates=H","DateFormat=P","Fill=—","Direction=H","UseDPDF=Y")</f>
        <v>8.5000000000000006E-2</v>
      </c>
      <c r="G39" s="12">
        <f>_xll.BDH("EMN US Equity","ENVIRON_FINES_AMT","FY 2017","FY 2017","Currency=USD","Period=FY","BEST_FPERIOD_OVERRIDE=FY","FILING_STATUS=MR","SCALING_FORMAT=MLN","Sort=A","Dates=H","DateFormat=P","Fill=—","Direction=H","UseDPDF=Y")</f>
        <v>6.6000000000000003E-2</v>
      </c>
      <c r="H39" s="12">
        <f>_xll.BDH("EMN US Equity","ENVIRON_FINES_AMT","FY 2018","FY 2018","Currency=USD","Period=FY","BEST_FPERIOD_OVERRIDE=FY","FILING_STATUS=MR","SCALING_FORMAT=MLN","Sort=A","Dates=H","DateFormat=P","Fill=—","Direction=H","UseDPDF=Y")</f>
        <v>0.18099999999999999</v>
      </c>
      <c r="I39" s="12">
        <f>_xll.BDH("EMN US Equity","ENVIRON_FINES_AMT","FY 2019","FY 2019","Currency=USD","Period=FY","BEST_FPERIOD_OVERRIDE=FY","FILING_STATUS=MR","SCALING_FORMAT=MLN","Sort=A","Dates=H","DateFormat=P","Fill=—","Direction=H","UseDPDF=Y")</f>
        <v>5.8000000000000003E-2</v>
      </c>
      <c r="J39" s="12">
        <f>_xll.BDH("EMN US Equity","ENVIRON_FINES_AMT","FY 2020","FY 2020","Currency=USD","Period=FY","BEST_FPERIOD_OVERRIDE=FY","FILING_STATUS=MR","SCALING_FORMAT=MLN","Sort=A","Dates=H","DateFormat=P","Fill=—","Direction=H","UseDPDF=Y")</f>
        <v>0.20499999999999999</v>
      </c>
      <c r="K39" s="12" t="str">
        <f>_xll.BDH("EMN US Equity","ENVIRON_FINES_AMT","FY 2021","FY 2021","Currency=USD","Period=FY","BEST_FPERIOD_OVERRIDE=FY","FILING_STATUS=MR","SCALING_FORMAT=MLN","Sort=A","Dates=H","DateFormat=P","Fill=—","Direction=H","UseDPDF=Y")</f>
        <v>—</v>
      </c>
      <c r="L39" s="12" t="str">
        <f>_xll.BDH("EMN US Equity","ENVIRON_FINES_AMT","FY 2022","FY 2022","Currency=USD","Period=FY","BEST_FPERIOD_OVERRIDE=FY","FILING_STATUS=MR","SCALING_FORMAT=MLN","Sort=A","Dates=H","DateFormat=P","Fill=—","Direction=H","UseDPDF=Y")</f>
        <v>—</v>
      </c>
    </row>
    <row r="40" spans="1:1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>
      <c r="A41" s="10" t="s">
        <v>80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>
      <c r="A42" s="10" t="s">
        <v>81</v>
      </c>
      <c r="B42" s="10" t="s">
        <v>82</v>
      </c>
      <c r="C42" s="11" t="s">
        <v>52</v>
      </c>
      <c r="D42" s="11" t="s">
        <v>52</v>
      </c>
      <c r="E42" s="11" t="s">
        <v>52</v>
      </c>
      <c r="F42" s="11" t="s">
        <v>52</v>
      </c>
      <c r="G42" s="11" t="s">
        <v>52</v>
      </c>
      <c r="H42" s="11" t="s">
        <v>52</v>
      </c>
      <c r="I42" s="11" t="s">
        <v>52</v>
      </c>
      <c r="J42" s="11" t="s">
        <v>52</v>
      </c>
      <c r="K42" s="11" t="s">
        <v>52</v>
      </c>
      <c r="L42" s="11" t="s">
        <v>53</v>
      </c>
    </row>
    <row r="43" spans="1:12">
      <c r="A43" s="10" t="s">
        <v>83</v>
      </c>
      <c r="B43" s="10" t="s">
        <v>84</v>
      </c>
      <c r="C43" s="12">
        <f>_xll.BDH("EMN US Equity","ENERGY_CONSUMPTION","FY 2013","FY 2013","Currency=USD","Period=FY","BEST_FPERIOD_OVERRIDE=FY","FILING_STATUS=MR","Sort=A","Dates=H","DateFormat=P","Fill=—","Direction=H","UseDPDF=Y")</f>
        <v>24108</v>
      </c>
      <c r="D43" s="12">
        <f>_xll.BDH("EMN US Equity","ENERGY_CONSUMPTION","FY 2014","FY 2014","Currency=USD","Period=FY","BEST_FPERIOD_OVERRIDE=FY","FILING_STATUS=MR","Sort=A","Dates=H","DateFormat=P","Fill=—","Direction=H","UseDPDF=Y")</f>
        <v>25284</v>
      </c>
      <c r="E43" s="12">
        <f>_xll.BDH("EMN US Equity","ENERGY_CONSUMPTION","FY 2015","FY 2015","Currency=USD","Period=FY","BEST_FPERIOD_OVERRIDE=FY","FILING_STATUS=MR","Sort=A","Dates=H","DateFormat=P","Fill=—","Direction=H","UseDPDF=Y")</f>
        <v>32928</v>
      </c>
      <c r="F43" s="12">
        <f>_xll.BDH("EMN US Equity","ENERGY_CONSUMPTION","FY 2016","FY 2016","Currency=USD","Period=FY","BEST_FPERIOD_OVERRIDE=FY","FILING_STATUS=MR","Sort=A","Dates=H","DateFormat=P","Fill=—","Direction=H","UseDPDF=Y")</f>
        <v>40833.300999999999</v>
      </c>
      <c r="G43" s="12">
        <f>_xll.BDH("EMN US Equity","ENERGY_CONSUMPTION","FY 2017","FY 2017","Currency=USD","Period=FY","BEST_FPERIOD_OVERRIDE=FY","FILING_STATUS=MR","Sort=A","Dates=H","DateFormat=P","Fill=—","Direction=H","UseDPDF=Y")</f>
        <v>27930</v>
      </c>
      <c r="H43" s="12">
        <f>_xll.BDH("EMN US Equity","ENERGY_CONSUMPTION","FY 2018","FY 2018","Currency=USD","Period=FY","BEST_FPERIOD_OVERRIDE=FY","FILING_STATUS=MR","Sort=A","Dates=H","DateFormat=P","Fill=—","Direction=H","UseDPDF=Y")</f>
        <v>31250.300999999999</v>
      </c>
      <c r="I43" s="12">
        <f>_xll.BDH("EMN US Equity","ENERGY_CONSUMPTION","FY 2019","FY 2019","Currency=USD","Period=FY","BEST_FPERIOD_OVERRIDE=FY","FILING_STATUS=MR","Sort=A","Dates=H","DateFormat=P","Fill=—","Direction=H","UseDPDF=Y")</f>
        <v>30173.300999999999</v>
      </c>
      <c r="J43" s="12">
        <f>_xll.BDH("EMN US Equity","ENERGY_CONSUMPTION","FY 2020","FY 2020","Currency=USD","Period=FY","BEST_FPERIOD_OVERRIDE=FY","FILING_STATUS=MR","Sort=A","Dates=H","DateFormat=P","Fill=—","Direction=H","UseDPDF=Y")</f>
        <v>30332</v>
      </c>
      <c r="K43" s="12">
        <f>_xll.BDH("EMN US Equity","ENERGY_CONSUMPTION","FY 2021","FY 2021","Currency=USD","Period=FY","BEST_FPERIOD_OVERRIDE=FY","FILING_STATUS=MR","Sort=A","Dates=H","DateFormat=P","Fill=—","Direction=H","UseDPDF=Y")</f>
        <v>32961.699000000001</v>
      </c>
      <c r="L43" s="12" t="str">
        <f>_xll.BDH("EMN US Equity","ENERGY_CONSUMPTION","FY 2022","FY 2022","Currency=USD","Period=FY","BEST_FPERIOD_OVERRIDE=FY","FILING_STATUS=MR","Sort=A","Dates=H","DateFormat=P","Fill=—","Direction=H","UseDPDF=Y")</f>
        <v>—</v>
      </c>
    </row>
    <row r="44" spans="1:12">
      <c r="A44" s="10" t="s">
        <v>85</v>
      </c>
      <c r="B44" s="10" t="s">
        <v>86</v>
      </c>
      <c r="C44" s="12" t="str">
        <f>_xll.BDH("EMN US Equity","RENEW_ENERGY_USE","FY 2013","FY 2013","Currency=USD","Period=FY","BEST_FPERIOD_OVERRIDE=FY","FILING_STATUS=MR","Sort=A","Dates=H","DateFormat=P","Fill=—","Direction=H","UseDPDF=Y")</f>
        <v>—</v>
      </c>
      <c r="D44" s="12" t="str">
        <f>_xll.BDH("EMN US Equity","RENEW_ENERGY_USE","FY 2014","FY 2014","Currency=USD","Period=FY","BEST_FPERIOD_OVERRIDE=FY","FILING_STATUS=MR","Sort=A","Dates=H","DateFormat=P","Fill=—","Direction=H","UseDPDF=Y")</f>
        <v>—</v>
      </c>
      <c r="E44" s="12" t="str">
        <f>_xll.BDH("EMN US Equity","RENEW_ENERGY_USE","FY 2015","FY 2015","Currency=USD","Period=FY","BEST_FPERIOD_OVERRIDE=FY","FILING_STATUS=MR","Sort=A","Dates=H","DateFormat=P","Fill=—","Direction=H","UseDPDF=Y")</f>
        <v>—</v>
      </c>
      <c r="F44" s="12" t="str">
        <f>_xll.BDH("EMN US Equity","RENEW_ENERGY_USE","FY 2016","FY 2016","Currency=USD","Period=FY","BEST_FPERIOD_OVERRIDE=FY","FILING_STATUS=MR","Sort=A","Dates=H","DateFormat=P","Fill=—","Direction=H","UseDPDF=Y")</f>
        <v>—</v>
      </c>
      <c r="G44" s="12">
        <f>_xll.BDH("EMN US Equity","RENEW_ENERGY_USE","FY 2017","FY 2017","Currency=USD","Period=FY","BEST_FPERIOD_OVERRIDE=FY","FILING_STATUS=MR","Sort=A","Dates=H","DateFormat=P","Fill=—","Direction=H","UseDPDF=Y")</f>
        <v>7.7960000000000003</v>
      </c>
      <c r="H44" s="12">
        <f>_xll.BDH("EMN US Equity","RENEW_ENERGY_USE","FY 2018","FY 2018","Currency=USD","Period=FY","BEST_FPERIOD_OVERRIDE=FY","FILING_STATUS=MR","Sort=A","Dates=H","DateFormat=P","Fill=—","Direction=H","UseDPDF=Y")</f>
        <v>7.4</v>
      </c>
      <c r="I44" s="12">
        <f>_xll.BDH("EMN US Equity","RENEW_ENERGY_USE","FY 2019","FY 2019","Currency=USD","Period=FY","BEST_FPERIOD_OVERRIDE=FY","FILING_STATUS=MR","Sort=A","Dates=H","DateFormat=P","Fill=—","Direction=H","UseDPDF=Y")</f>
        <v>0.86499999999999999</v>
      </c>
      <c r="J44" s="12">
        <f>_xll.BDH("EMN US Equity","RENEW_ENERGY_USE","FY 2020","FY 2020","Currency=USD","Period=FY","BEST_FPERIOD_OVERRIDE=FY","FILING_STATUS=MR","Sort=A","Dates=H","DateFormat=P","Fill=—","Direction=H","UseDPDF=Y")</f>
        <v>0</v>
      </c>
      <c r="K44" s="12">
        <f>_xll.BDH("EMN US Equity","RENEW_ENERGY_USE","FY 2021","FY 2021","Currency=USD","Period=FY","BEST_FPERIOD_OVERRIDE=FY","FILING_STATUS=MR","Sort=A","Dates=H","DateFormat=P","Fill=—","Direction=H","UseDPDF=Y")</f>
        <v>55.222000000000001</v>
      </c>
      <c r="L44" s="12" t="str">
        <f>_xll.BDH("EMN US Equity","RENEW_ENERGY_USE","FY 2022","FY 2022","Currency=USD","Period=FY","BEST_FPERIOD_OVERRIDE=FY","FILING_STATUS=MR","Sort=A","Dates=H","DateFormat=P","Fill=—","Direction=H","UseDPDF=Y")</f>
        <v>—</v>
      </c>
    </row>
    <row r="45" spans="1:12">
      <c r="A45" s="10" t="s">
        <v>87</v>
      </c>
      <c r="B45" s="10" t="s">
        <v>88</v>
      </c>
      <c r="C45" s="12">
        <f>_xll.BDH("EMN US Equity","ELECTRICITY_USED","FY 2013","FY 2013","Currency=USD","Period=FY","BEST_FPERIOD_OVERRIDE=FY","FILING_STATUS=MR","Sort=A","Dates=H","DateFormat=P","Fill=—","Direction=H","UseDPDF=Y")</f>
        <v>588</v>
      </c>
      <c r="D45" s="12">
        <f>_xll.BDH("EMN US Equity","ELECTRICITY_USED","FY 2014","FY 2014","Currency=USD","Period=FY","BEST_FPERIOD_OVERRIDE=FY","FILING_STATUS=MR","Sort=A","Dates=H","DateFormat=P","Fill=—","Direction=H","UseDPDF=Y")</f>
        <v>1764</v>
      </c>
      <c r="E45" s="12" t="str">
        <f>_xll.BDH("EMN US Equity","ELECTRICITY_USED","FY 2015","FY 2015","Currency=USD","Period=FY","BEST_FPERIOD_OVERRIDE=FY","FILING_STATUS=MR","Sort=A","Dates=H","DateFormat=P","Fill=—","Direction=H","UseDPDF=Y")</f>
        <v>—</v>
      </c>
      <c r="F45" s="12" t="str">
        <f>_xll.BDH("EMN US Equity","ELECTRICITY_USED","FY 2016","FY 2016","Currency=USD","Period=FY","BEST_FPERIOD_OVERRIDE=FY","FILING_STATUS=MR","Sort=A","Dates=H","DateFormat=P","Fill=—","Direction=H","UseDPDF=Y")</f>
        <v>—</v>
      </c>
      <c r="G45" s="12">
        <f>_xll.BDH("EMN US Equity","ELECTRICITY_USED","FY 2017","FY 2017","Currency=USD","Period=FY","BEST_FPERIOD_OVERRIDE=FY","FILING_STATUS=MR","Sort=A","Dates=H","DateFormat=P","Fill=—","Direction=H","UseDPDF=Y")</f>
        <v>4122.8599999999997</v>
      </c>
      <c r="H45" s="12">
        <f>_xll.BDH("EMN US Equity","ELECTRICITY_USED","FY 2018","FY 2018","Currency=USD","Period=FY","BEST_FPERIOD_OVERRIDE=FY","FILING_STATUS=MR","Sort=A","Dates=H","DateFormat=P","Fill=—","Direction=H","UseDPDF=Y")</f>
        <v>4973.83</v>
      </c>
      <c r="I45" s="12">
        <f>_xll.BDH("EMN US Equity","ELECTRICITY_USED","FY 2019","FY 2019","Currency=USD","Period=FY","BEST_FPERIOD_OVERRIDE=FY","FILING_STATUS=MR","Sort=A","Dates=H","DateFormat=P","Fill=—","Direction=H","UseDPDF=Y")</f>
        <v>4954.53</v>
      </c>
      <c r="J45" s="12">
        <f>_xll.BDH("EMN US Equity","ELECTRICITY_USED","FY 2020","FY 2020","Currency=USD","Period=FY","BEST_FPERIOD_OVERRIDE=FY","FILING_STATUS=MR","Sort=A","Dates=H","DateFormat=P","Fill=—","Direction=H","UseDPDF=Y")</f>
        <v>4760.25</v>
      </c>
      <c r="K45" s="12">
        <f>_xll.BDH("EMN US Equity","ELECTRICITY_USED","FY 2021","FY 2021","Currency=USD","Period=FY","BEST_FPERIOD_OVERRIDE=FY","FILING_STATUS=MR","Sort=A","Dates=H","DateFormat=P","Fill=—","Direction=H","UseDPDF=Y")</f>
        <v>12263.8</v>
      </c>
      <c r="L45" s="12" t="str">
        <f>_xll.BDH("EMN US Equity","ELECTRICITY_USED","FY 2022","FY 2022","Currency=USD","Period=FY","BEST_FPERIOD_OVERRIDE=FY","FILING_STATUS=MR","Sort=A","Dates=H","DateFormat=P","Fill=—","Direction=H","UseDPDF=Y")</f>
        <v>—</v>
      </c>
    </row>
    <row r="46" spans="1:12">
      <c r="A46" s="10" t="s">
        <v>89</v>
      </c>
      <c r="B46" s="10" t="s">
        <v>90</v>
      </c>
      <c r="C46" s="12" t="str">
        <f>_xll.BDH("EMN US Equity","SELF_GEN_RENEWABLE_ELECTRICITY","FY 2013","FY 2013","Currency=USD","Period=FY","BEST_FPERIOD_OVERRIDE=FY","FILING_STATUS=MR","Sort=A","Dates=H","DateFormat=P","Fill=—","Direction=H","UseDPDF=Y")</f>
        <v>—</v>
      </c>
      <c r="D46" s="12" t="str">
        <f>_xll.BDH("EMN US Equity","SELF_GEN_RENEWABLE_ELECTRICITY","FY 2014","FY 2014","Currency=USD","Period=FY","BEST_FPERIOD_OVERRIDE=FY","FILING_STATUS=MR","Sort=A","Dates=H","DateFormat=P","Fill=—","Direction=H","UseDPDF=Y")</f>
        <v>—</v>
      </c>
      <c r="E46" s="12" t="str">
        <f>_xll.BDH("EMN US Equity","SELF_GEN_RENEWABLE_ELECTRICITY","FY 2015","FY 2015","Currency=USD","Period=FY","BEST_FPERIOD_OVERRIDE=FY","FILING_STATUS=MR","Sort=A","Dates=H","DateFormat=P","Fill=—","Direction=H","UseDPDF=Y")</f>
        <v>—</v>
      </c>
      <c r="F46" s="12" t="str">
        <f>_xll.BDH("EMN US Equity","SELF_GEN_RENEWABLE_ELECTRICITY","FY 2016","FY 2016","Currency=USD","Period=FY","BEST_FPERIOD_OVERRIDE=FY","FILING_STATUS=MR","Sort=A","Dates=H","DateFormat=P","Fill=—","Direction=H","UseDPDF=Y")</f>
        <v>—</v>
      </c>
      <c r="G46" s="12" t="str">
        <f>_xll.BDH("EMN US Equity","SELF_GEN_RENEWABLE_ELECTRICITY","FY 2017","FY 2017","Currency=USD","Period=FY","BEST_FPERIOD_OVERRIDE=FY","FILING_STATUS=MR","Sort=A","Dates=H","DateFormat=P","Fill=—","Direction=H","UseDPDF=Y")</f>
        <v>—</v>
      </c>
      <c r="H46" s="12">
        <f>_xll.BDH("EMN US Equity","SELF_GEN_RENEWABLE_ELECTRICITY","FY 2018","FY 2018","Currency=USD","Period=FY","BEST_FPERIOD_OVERRIDE=FY","FILING_STATUS=MR","Sort=A","Dates=H","DateFormat=P","Fill=—","Direction=H","UseDPDF=Y")</f>
        <v>7.4</v>
      </c>
      <c r="I46" s="12">
        <f>_xll.BDH("EMN US Equity","SELF_GEN_RENEWABLE_ELECTRICITY","FY 2019","FY 2019","Currency=USD","Period=FY","BEST_FPERIOD_OVERRIDE=FY","FILING_STATUS=MR","Sort=A","Dates=H","DateFormat=P","Fill=—","Direction=H","UseDPDF=Y")</f>
        <v>0.86499999999999999</v>
      </c>
      <c r="J46" s="12">
        <f>_xll.BDH("EMN US Equity","SELF_GEN_RENEWABLE_ELECTRICITY","FY 2020","FY 2020","Currency=USD","Period=FY","BEST_FPERIOD_OVERRIDE=FY","FILING_STATUS=MR","Sort=A","Dates=H","DateFormat=P","Fill=—","Direction=H","UseDPDF=Y")</f>
        <v>0</v>
      </c>
      <c r="K46" s="12">
        <f>_xll.BDH("EMN US Equity","SELF_GEN_RENEWABLE_ELECTRICITY","FY 2021","FY 2021","Currency=USD","Period=FY","BEST_FPERIOD_OVERRIDE=FY","FILING_STATUS=MR","Sort=A","Dates=H","DateFormat=P","Fill=—","Direction=H","UseDPDF=Y")</f>
        <v>0</v>
      </c>
      <c r="L46" s="12" t="str">
        <f>_xll.BDH("EMN US Equity","SELF_GEN_RENEWABLE_ELECTRICITY","FY 2022","FY 2022","Currency=USD","Period=FY","BEST_FPERIOD_OVERRIDE=FY","FILING_STATUS=MR","Sort=A","Dates=H","DateFormat=P","Fill=—","Direction=H","UseDPDF=Y")</f>
        <v>—</v>
      </c>
    </row>
    <row r="47" spans="1:12">
      <c r="A47" s="10" t="s">
        <v>91</v>
      </c>
      <c r="B47" s="10" t="s">
        <v>92</v>
      </c>
      <c r="C47" s="12" t="str">
        <f>_xll.BDH("EMN US Equity","COAL_USED","FY 2013","FY 2013","Currency=USD","Period=FY","BEST_FPERIOD_OVERRIDE=FY","FILING_STATUS=MR","Sort=A","Dates=H","DateFormat=P","Fill=—","Direction=H","UseDPDF=Y")</f>
        <v>—</v>
      </c>
      <c r="D47" s="12" t="str">
        <f>_xll.BDH("EMN US Equity","COAL_USED","FY 2014","FY 2014","Currency=USD","Period=FY","BEST_FPERIOD_OVERRIDE=FY","FILING_STATUS=MR","Sort=A","Dates=H","DateFormat=P","Fill=—","Direction=H","UseDPDF=Y")</f>
        <v>—</v>
      </c>
      <c r="E47" s="12">
        <f>_xll.BDH("EMN US Equity","COAL_USED","FY 2015","FY 2015","Currency=USD","Period=FY","BEST_FPERIOD_OVERRIDE=FY","FILING_STATUS=MR","Sort=A","Dates=H","DateFormat=P","Fill=—","Direction=H","UseDPDF=Y")</f>
        <v>1512.33</v>
      </c>
      <c r="F47" s="12">
        <f>_xll.BDH("EMN US Equity","COAL_USED","FY 2016","FY 2016","Currency=USD","Period=FY","BEST_FPERIOD_OVERRIDE=FY","FILING_STATUS=MR","Sort=A","Dates=H","DateFormat=P","Fill=—","Direction=H","UseDPDF=Y")</f>
        <v>1232.7</v>
      </c>
      <c r="G47" s="12">
        <f>_xll.BDH("EMN US Equity","COAL_USED","FY 2017","FY 2017","Currency=USD","Period=FY","BEST_FPERIOD_OVERRIDE=FY","FILING_STATUS=MR","Sort=A","Dates=H","DateFormat=P","Fill=—","Direction=H","UseDPDF=Y")</f>
        <v>1095.3699999999999</v>
      </c>
      <c r="H47" s="12">
        <f>_xll.BDH("EMN US Equity","COAL_USED","FY 2018","FY 2018","Currency=USD","Period=FY","BEST_FPERIOD_OVERRIDE=FY","FILING_STATUS=MR","Sort=A","Dates=H","DateFormat=P","Fill=—","Direction=H","UseDPDF=Y")</f>
        <v>934.62300000000005</v>
      </c>
      <c r="I47" s="12">
        <f>_xll.BDH("EMN US Equity","COAL_USED","FY 2019","FY 2019","Currency=USD","Period=FY","BEST_FPERIOD_OVERRIDE=FY","FILING_STATUS=MR","Sort=A","Dates=H","DateFormat=P","Fill=—","Direction=H","UseDPDF=Y")</f>
        <v>673.12</v>
      </c>
      <c r="J47" s="12">
        <f>_xll.BDH("EMN US Equity","COAL_USED","FY 2020","FY 2020","Currency=USD","Period=FY","BEST_FPERIOD_OVERRIDE=FY","FILING_STATUS=MR","Sort=A","Dates=H","DateFormat=P","Fill=—","Direction=H","UseDPDF=Y")</f>
        <v>553.73800000000006</v>
      </c>
      <c r="K47" s="12">
        <f>_xll.BDH("EMN US Equity","COAL_USED","FY 2021","FY 2021","Currency=USD","Period=FY","BEST_FPERIOD_OVERRIDE=FY","FILING_STATUS=MR","Sort=A","Dates=H","DateFormat=P","Fill=—","Direction=H","UseDPDF=Y")</f>
        <v>639.255</v>
      </c>
      <c r="L47" s="12" t="str">
        <f>_xll.BDH("EMN US Equity","COAL_USED","FY 2022","FY 2022","Currency=USD","Period=FY","BEST_FPERIOD_OVERRIDE=FY","FILING_STATUS=MR","Sort=A","Dates=H","DateFormat=P","Fill=—","Direction=H","UseDPDF=Y")</f>
        <v>—</v>
      </c>
    </row>
    <row r="48" spans="1:12">
      <c r="A48" s="10" t="s">
        <v>93</v>
      </c>
      <c r="B48" s="10" t="s">
        <v>94</v>
      </c>
      <c r="C48" s="12" t="str">
        <f>_xll.BDH("EMN US Equity","NAT_GAS_USED","FY 2013","FY 2013","Currency=USD","Period=FY","BEST_FPERIOD_OVERRIDE=FY","FILING_STATUS=MR","Sort=A","Dates=H","DateFormat=P","Fill=—","Direction=H","UseDPDF=Y")</f>
        <v>—</v>
      </c>
      <c r="D48" s="12" t="str">
        <f>_xll.BDH("EMN US Equity","NAT_GAS_USED","FY 2014","FY 2014","Currency=USD","Period=FY","BEST_FPERIOD_OVERRIDE=FY","FILING_STATUS=MR","Sort=A","Dates=H","DateFormat=P","Fill=—","Direction=H","UseDPDF=Y")</f>
        <v>—</v>
      </c>
      <c r="E48" s="12">
        <f>_xll.BDH("EMN US Equity","NAT_GAS_USED","FY 2015","FY 2015","Currency=USD","Period=FY","BEST_FPERIOD_OVERRIDE=FY","FILING_STATUS=MR","Sort=A","Dates=H","DateFormat=P","Fill=—","Direction=H","UseDPDF=Y")</f>
        <v>468767</v>
      </c>
      <c r="F48" s="12">
        <f>_xll.BDH("EMN US Equity","NAT_GAS_USED","FY 2016","FY 2016","Currency=USD","Period=FY","BEST_FPERIOD_OVERRIDE=FY","FILING_STATUS=MR","Sort=A","Dates=H","DateFormat=P","Fill=—","Direction=H","UseDPDF=Y")</f>
        <v>652271</v>
      </c>
      <c r="G48" s="12">
        <f>_xll.BDH("EMN US Equity","NAT_GAS_USED","FY 2017","FY 2017","Currency=USD","Period=FY","BEST_FPERIOD_OVERRIDE=FY","FILING_STATUS=MR","Sort=A","Dates=H","DateFormat=P","Fill=—","Direction=H","UseDPDF=Y")</f>
        <v>916400</v>
      </c>
      <c r="H48" s="12">
        <f>_xll.BDH("EMN US Equity","NAT_GAS_USED","FY 2018","FY 2018","Currency=USD","Period=FY","BEST_FPERIOD_OVERRIDE=FY","FILING_STATUS=MR","Sort=A","Dates=H","DateFormat=P","Fill=—","Direction=H","UseDPDF=Y")</f>
        <v>1109450</v>
      </c>
      <c r="I48" s="12">
        <f>_xll.BDH("EMN US Equity","NAT_GAS_USED","FY 2019","FY 2019","Currency=USD","Period=FY","BEST_FPERIOD_OVERRIDE=FY","FILING_STATUS=MR","Sort=A","Dates=H","DateFormat=P","Fill=—","Direction=H","UseDPDF=Y")</f>
        <v>1220530</v>
      </c>
      <c r="J48" s="12">
        <f>_xll.BDH("EMN US Equity","NAT_GAS_USED","FY 2020","FY 2020","Currency=USD","Period=FY","BEST_FPERIOD_OVERRIDE=FY","FILING_STATUS=MR","Sort=A","Dates=H","DateFormat=P","Fill=—","Direction=H","UseDPDF=Y")</f>
        <v>1305980</v>
      </c>
      <c r="K48" s="12">
        <f>_xll.BDH("EMN US Equity","NAT_GAS_USED","FY 2021","FY 2021","Currency=USD","Period=FY","BEST_FPERIOD_OVERRIDE=FY","FILING_STATUS=MR","Sort=A","Dates=H","DateFormat=P","Fill=—","Direction=H","UseDPDF=Y")</f>
        <v>1920080</v>
      </c>
      <c r="L48" s="12" t="str">
        <f>_xll.BDH("EMN US Equity","NAT_GAS_USED","FY 2022","FY 2022","Currency=USD","Period=FY","BEST_FPERIOD_OVERRIDE=FY","FILING_STATUS=MR","Sort=A","Dates=H","DateFormat=P","Fill=—","Direction=H","UseDPDF=Y")</f>
        <v>—</v>
      </c>
    </row>
    <row r="49" spans="1:12">
      <c r="A49" s="10" t="s">
        <v>95</v>
      </c>
      <c r="B49" s="10" t="s">
        <v>96</v>
      </c>
      <c r="C49" s="12" t="str">
        <f>_xll.BDH("EMN US Equity","OIL_DIESEL_USED","FY 2013","FY 2013","Currency=USD","Period=FY","BEST_FPERIOD_OVERRIDE=FY","FILING_STATUS=MR","Sort=A","Dates=H","DateFormat=P","Fill=—","Direction=H","UseDPDF=Y")</f>
        <v>—</v>
      </c>
      <c r="D49" s="12" t="str">
        <f>_xll.BDH("EMN US Equity","OIL_DIESEL_USED","FY 2014","FY 2014","Currency=USD","Period=FY","BEST_FPERIOD_OVERRIDE=FY","FILING_STATUS=MR","Sort=A","Dates=H","DateFormat=P","Fill=—","Direction=H","UseDPDF=Y")</f>
        <v>—</v>
      </c>
      <c r="E49" s="12">
        <f>_xll.BDH("EMN US Equity","OIL_DIESEL_USED","FY 2015","FY 2015","Currency=USD","Period=FY","BEST_FPERIOD_OVERRIDE=FY","FILING_STATUS=MR","Sort=A","Dates=H","DateFormat=P","Fill=—","Direction=H","UseDPDF=Y")</f>
        <v>9.7949999999999999</v>
      </c>
      <c r="F49" s="12">
        <f>_xll.BDH("EMN US Equity","OIL_DIESEL_USED","FY 2016","FY 2016","Currency=USD","Period=FY","BEST_FPERIOD_OVERRIDE=FY","FILING_STATUS=MR","Sort=A","Dates=H","DateFormat=P","Fill=—","Direction=H","UseDPDF=Y")</f>
        <v>133.72</v>
      </c>
      <c r="G49" s="12">
        <f>_xll.BDH("EMN US Equity","OIL_DIESEL_USED","FY 2017","FY 2017","Currency=USD","Period=FY","BEST_FPERIOD_OVERRIDE=FY","FILING_STATUS=MR","Sort=A","Dates=H","DateFormat=P","Fill=—","Direction=H","UseDPDF=Y")</f>
        <v>2.0859999999999999</v>
      </c>
      <c r="H49" s="12">
        <f>_xll.BDH("EMN US Equity","OIL_DIESEL_USED","FY 2018","FY 2018","Currency=USD","Period=FY","BEST_FPERIOD_OVERRIDE=FY","FILING_STATUS=MR","Sort=A","Dates=H","DateFormat=P","Fill=—","Direction=H","UseDPDF=Y")</f>
        <v>6.29</v>
      </c>
      <c r="I49" s="12">
        <f>_xll.BDH("EMN US Equity","OIL_DIESEL_USED","FY 2019","FY 2019","Currency=USD","Period=FY","BEST_FPERIOD_OVERRIDE=FY","FILING_STATUS=MR","Sort=A","Dates=H","DateFormat=P","Fill=—","Direction=H","UseDPDF=Y")</f>
        <v>3.9369999999999998</v>
      </c>
      <c r="J49" s="12">
        <f>_xll.BDH("EMN US Equity","OIL_DIESEL_USED","FY 2020","FY 2020","Currency=USD","Period=FY","BEST_FPERIOD_OVERRIDE=FY","FILING_STATUS=MR","Sort=A","Dates=H","DateFormat=P","Fill=—","Direction=H","UseDPDF=Y")</f>
        <v>4.0780000000000003</v>
      </c>
      <c r="K49" s="12">
        <f>_xll.BDH("EMN US Equity","OIL_DIESEL_USED","FY 2021","FY 2021","Currency=USD","Period=FY","BEST_FPERIOD_OVERRIDE=FY","FILING_STATUS=MR","Sort=A","Dates=H","DateFormat=P","Fill=—","Direction=H","UseDPDF=Y")</f>
        <v>8.7289999999999992</v>
      </c>
      <c r="L49" s="12" t="str">
        <f>_xll.BDH("EMN US Equity","OIL_DIESEL_USED","FY 2022","FY 2022","Currency=USD","Period=FY","BEST_FPERIOD_OVERRIDE=FY","FILING_STATUS=MR","Sort=A","Dates=H","DateFormat=P","Fill=—","Direction=H","UseDPDF=Y")</f>
        <v>—</v>
      </c>
    </row>
    <row r="50" spans="1:1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10" t="s">
        <v>97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0" t="s">
        <v>98</v>
      </c>
      <c r="B52" s="10" t="s">
        <v>99</v>
      </c>
      <c r="C52" s="11" t="s">
        <v>52</v>
      </c>
      <c r="D52" s="11" t="s">
        <v>52</v>
      </c>
      <c r="E52" s="11" t="s">
        <v>52</v>
      </c>
      <c r="F52" s="11" t="s">
        <v>52</v>
      </c>
      <c r="G52" s="11" t="s">
        <v>52</v>
      </c>
      <c r="H52" s="11" t="s">
        <v>52</v>
      </c>
      <c r="I52" s="11" t="s">
        <v>52</v>
      </c>
      <c r="J52" s="11" t="s">
        <v>52</v>
      </c>
      <c r="K52" s="11" t="s">
        <v>52</v>
      </c>
      <c r="L52" s="11" t="s">
        <v>53</v>
      </c>
    </row>
    <row r="53" spans="1:1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0" t="s">
        <v>100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0" t="s">
        <v>101</v>
      </c>
      <c r="B55" s="10" t="s">
        <v>102</v>
      </c>
      <c r="C55" s="11" t="s">
        <v>52</v>
      </c>
      <c r="D55" s="11" t="s">
        <v>52</v>
      </c>
      <c r="E55" s="11" t="s">
        <v>52</v>
      </c>
      <c r="F55" s="11" t="s">
        <v>52</v>
      </c>
      <c r="G55" s="11" t="s">
        <v>52</v>
      </c>
      <c r="H55" s="11" t="s">
        <v>52</v>
      </c>
      <c r="I55" s="11" t="s">
        <v>52</v>
      </c>
      <c r="J55" s="11" t="s">
        <v>52</v>
      </c>
      <c r="K55" s="11" t="s">
        <v>52</v>
      </c>
      <c r="L55" s="11" t="s">
        <v>53</v>
      </c>
    </row>
    <row r="56" spans="1:1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0" t="s">
        <v>103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10" t="s">
        <v>104</v>
      </c>
      <c r="B58" s="10" t="s">
        <v>105</v>
      </c>
      <c r="C58" s="11" t="s">
        <v>52</v>
      </c>
      <c r="D58" s="11" t="s">
        <v>52</v>
      </c>
      <c r="E58" s="11" t="s">
        <v>52</v>
      </c>
      <c r="F58" s="11" t="s">
        <v>52</v>
      </c>
      <c r="G58" s="11" t="s">
        <v>52</v>
      </c>
      <c r="H58" s="11" t="s">
        <v>52</v>
      </c>
      <c r="I58" s="11" t="s">
        <v>52</v>
      </c>
      <c r="J58" s="11" t="s">
        <v>52</v>
      </c>
      <c r="K58" s="11" t="s">
        <v>52</v>
      </c>
      <c r="L58" s="11" t="s">
        <v>53</v>
      </c>
    </row>
    <row r="59" spans="1:12">
      <c r="A59" s="10" t="s">
        <v>106</v>
      </c>
      <c r="B59" s="10" t="s">
        <v>107</v>
      </c>
      <c r="C59" s="12" t="str">
        <f>_xll.BDH("EMN US Equity","TOTAL_WATER_WITHDRAWAL","FY 2013","FY 2013","Currency=USD","Period=FY","BEST_FPERIOD_OVERRIDE=FY","FILING_STATUS=MR","Sort=A","Dates=H","DateFormat=P","Fill=—","Direction=H","UseDPDF=Y")</f>
        <v>—</v>
      </c>
      <c r="D59" s="12">
        <f>_xll.BDH("EMN US Equity","TOTAL_WATER_WITHDRAWAL","FY 2014","FY 2014","Currency=USD","Period=FY","BEST_FPERIOD_OVERRIDE=FY","FILING_STATUS=MR","Sort=A","Dates=H","DateFormat=P","Fill=—","Direction=H","UseDPDF=Y")</f>
        <v>645000</v>
      </c>
      <c r="E59" s="12">
        <f>_xll.BDH("EMN US Equity","TOTAL_WATER_WITHDRAWAL","FY 2015","FY 2015","Currency=USD","Period=FY","BEST_FPERIOD_OVERRIDE=FY","FILING_STATUS=MR","Sort=A","Dates=H","DateFormat=P","Fill=—","Direction=H","UseDPDF=Y")</f>
        <v>647000</v>
      </c>
      <c r="F59" s="12">
        <f>_xll.BDH("EMN US Equity","TOTAL_WATER_WITHDRAWAL","FY 2016","FY 2016","Currency=USD","Period=FY","BEST_FPERIOD_OVERRIDE=FY","FILING_STATUS=MR","Sort=A","Dates=H","DateFormat=P","Fill=—","Direction=H","UseDPDF=Y")</f>
        <v>705000</v>
      </c>
      <c r="G59" s="12">
        <f>_xll.BDH("EMN US Equity","TOTAL_WATER_WITHDRAWAL","FY 2017","FY 2017","Currency=USD","Period=FY","BEST_FPERIOD_OVERRIDE=FY","FILING_STATUS=MR","Sort=A","Dates=H","DateFormat=P","Fill=—","Direction=H","UseDPDF=Y")</f>
        <v>763500</v>
      </c>
      <c r="H59" s="12">
        <f>_xll.BDH("EMN US Equity","TOTAL_WATER_WITHDRAWAL","FY 2018","FY 2018","Currency=USD","Period=FY","BEST_FPERIOD_OVERRIDE=FY","FILING_STATUS=MR","Sort=A","Dates=H","DateFormat=P","Fill=—","Direction=H","UseDPDF=Y")</f>
        <v>895380</v>
      </c>
      <c r="I59" s="12">
        <f>_xll.BDH("EMN US Equity","TOTAL_WATER_WITHDRAWAL","FY 2019","FY 2019","Currency=USD","Period=FY","BEST_FPERIOD_OVERRIDE=FY","FILING_STATUS=MR","Sort=A","Dates=H","DateFormat=P","Fill=—","Direction=H","UseDPDF=Y")</f>
        <v>946906</v>
      </c>
      <c r="J59" s="12">
        <f>_xll.BDH("EMN US Equity","TOTAL_WATER_WITHDRAWAL","FY 2020","FY 2020","Currency=USD","Period=FY","BEST_FPERIOD_OVERRIDE=FY","FILING_STATUS=MR","Sort=A","Dates=H","DateFormat=P","Fill=—","Direction=H","UseDPDF=Y")</f>
        <v>928414</v>
      </c>
      <c r="K59" s="12">
        <f>_xll.BDH("EMN US Equity","TOTAL_WATER_WITHDRAWAL","FY 2021","FY 2021","Currency=USD","Period=FY","BEST_FPERIOD_OVERRIDE=FY","FILING_STATUS=MR","Sort=A","Dates=H","DateFormat=P","Fill=—","Direction=H","UseDPDF=Y")</f>
        <v>849821</v>
      </c>
      <c r="L59" s="12" t="str">
        <f>_xll.BDH("EMN US Equity","TOTAL_WATER_WITHDRAWAL","FY 2022","FY 2022","Currency=USD","Period=FY","BEST_FPERIOD_OVERRIDE=FY","FILING_STATUS=MR","Sort=A","Dates=H","DateFormat=P","Fill=—","Direction=H","UseDPDF=Y")</f>
        <v>—</v>
      </c>
    </row>
    <row r="60" spans="1:12">
      <c r="A60" s="10" t="s">
        <v>108</v>
      </c>
      <c r="B60" s="10" t="s">
        <v>109</v>
      </c>
      <c r="C60" s="12" t="str">
        <f>_xll.BDH("EMN US Equity","TOTAL_WATER_DISCHARGED","FY 2013","FY 2013","Currency=USD","Period=FY","BEST_FPERIOD_OVERRIDE=FY","FILING_STATUS=MR","Sort=A","Dates=H","DateFormat=P","Fill=—","Direction=H","UseDPDF=Y")</f>
        <v>—</v>
      </c>
      <c r="D60" s="12" t="str">
        <f>_xll.BDH("EMN US Equity","TOTAL_WATER_DISCHARGED","FY 2014","FY 2014","Currency=USD","Period=FY","BEST_FPERIOD_OVERRIDE=FY","FILING_STATUS=MR","Sort=A","Dates=H","DateFormat=P","Fill=—","Direction=H","UseDPDF=Y")</f>
        <v>—</v>
      </c>
      <c r="E60" s="12" t="str">
        <f>_xll.BDH("EMN US Equity","TOTAL_WATER_DISCHARGED","FY 2015","FY 2015","Currency=USD","Period=FY","BEST_FPERIOD_OVERRIDE=FY","FILING_STATUS=MR","Sort=A","Dates=H","DateFormat=P","Fill=—","Direction=H","UseDPDF=Y")</f>
        <v>—</v>
      </c>
      <c r="F60" s="12" t="str">
        <f>_xll.BDH("EMN US Equity","TOTAL_WATER_DISCHARGED","FY 2016","FY 2016","Currency=USD","Period=FY","BEST_FPERIOD_OVERRIDE=FY","FILING_STATUS=MR","Sort=A","Dates=H","DateFormat=P","Fill=—","Direction=H","UseDPDF=Y")</f>
        <v>—</v>
      </c>
      <c r="G60" s="12">
        <f>_xll.BDH("EMN US Equity","TOTAL_WATER_DISCHARGED","FY 2017","FY 2017","Currency=USD","Period=FY","BEST_FPERIOD_OVERRIDE=FY","FILING_STATUS=MR","Sort=A","Dates=H","DateFormat=P","Fill=—","Direction=H","UseDPDF=Y")</f>
        <v>757700</v>
      </c>
      <c r="H60" s="12">
        <f>_xll.BDH("EMN US Equity","TOTAL_WATER_DISCHARGED","FY 2018","FY 2018","Currency=USD","Period=FY","BEST_FPERIOD_OVERRIDE=FY","FILING_STATUS=MR","Sort=A","Dates=H","DateFormat=P","Fill=—","Direction=H","UseDPDF=Y")</f>
        <v>812600</v>
      </c>
      <c r="I60" s="12">
        <f>_xll.BDH("EMN US Equity","TOTAL_WATER_DISCHARGED","FY 2019","FY 2019","Currency=USD","Period=FY","BEST_FPERIOD_OVERRIDE=FY","FILING_STATUS=MR","Sort=A","Dates=H","DateFormat=P","Fill=—","Direction=H","UseDPDF=Y")</f>
        <v>927351</v>
      </c>
      <c r="J60" s="12">
        <f>_xll.BDH("EMN US Equity","TOTAL_WATER_DISCHARGED","FY 2020","FY 2020","Currency=USD","Period=FY","BEST_FPERIOD_OVERRIDE=FY","FILING_STATUS=MR","Sort=A","Dates=H","DateFormat=P","Fill=—","Direction=H","UseDPDF=Y")</f>
        <v>900051</v>
      </c>
      <c r="K60" s="12">
        <f>_xll.BDH("EMN US Equity","TOTAL_WATER_DISCHARGED","FY 2021","FY 2021","Currency=USD","Period=FY","BEST_FPERIOD_OVERRIDE=FY","FILING_STATUS=MR","Sort=A","Dates=H","DateFormat=P","Fill=—","Direction=H","UseDPDF=Y")</f>
        <v>817446</v>
      </c>
      <c r="L60" s="12" t="str">
        <f>_xll.BDH("EMN US Equity","TOTAL_WATER_DISCHARGED","FY 2022","FY 2022","Currency=USD","Period=FY","BEST_FPERIOD_OVERRIDE=FY","FILING_STATUS=MR","Sort=A","Dates=H","DateFormat=P","Fill=—","Direction=H","UseDPDF=Y")</f>
        <v>—</v>
      </c>
    </row>
    <row r="61" spans="1:12">
      <c r="A61" s="10" t="s">
        <v>110</v>
      </c>
      <c r="B61" s="10" t="s">
        <v>111</v>
      </c>
      <c r="C61" s="12" t="str">
        <f>_xll.BDH("EMN US Equity","WATER_CONSMPTN","FY 2013","FY 2013","Currency=USD","Period=FY","BEST_FPERIOD_OVERRIDE=FY","FILING_STATUS=MR","Sort=A","Dates=H","DateFormat=P","Fill=—","Direction=H","UseDPDF=Y")</f>
        <v>—</v>
      </c>
      <c r="D61" s="12" t="str">
        <f>_xll.BDH("EMN US Equity","WATER_CONSMPTN","FY 2014","FY 2014","Currency=USD","Period=FY","BEST_FPERIOD_OVERRIDE=FY","FILING_STATUS=MR","Sort=A","Dates=H","DateFormat=P","Fill=—","Direction=H","UseDPDF=Y")</f>
        <v>—</v>
      </c>
      <c r="E61" s="12" t="str">
        <f>_xll.BDH("EMN US Equity","WATER_CONSMPTN","FY 2015","FY 2015","Currency=USD","Period=FY","BEST_FPERIOD_OVERRIDE=FY","FILING_STATUS=MR","Sort=A","Dates=H","DateFormat=P","Fill=—","Direction=H","UseDPDF=Y")</f>
        <v>—</v>
      </c>
      <c r="F61" s="12" t="str">
        <f>_xll.BDH("EMN US Equity","WATER_CONSMPTN","FY 2016","FY 2016","Currency=USD","Period=FY","BEST_FPERIOD_OVERRIDE=FY","FILING_STATUS=MR","Sort=A","Dates=H","DateFormat=P","Fill=—","Direction=H","UseDPDF=Y")</f>
        <v>—</v>
      </c>
      <c r="G61" s="12">
        <f>_xll.BDH("EMN US Equity","WATER_CONSMPTN","FY 2017","FY 2017","Currency=USD","Period=FY","BEST_FPERIOD_OVERRIDE=FY","FILING_STATUS=MR","Sort=A","Dates=H","DateFormat=P","Fill=—","Direction=H","UseDPDF=Y")</f>
        <v>5800</v>
      </c>
      <c r="H61" s="12">
        <f>_xll.BDH("EMN US Equity","WATER_CONSMPTN","FY 2018","FY 2018","Currency=USD","Period=FY","BEST_FPERIOD_OVERRIDE=FY","FILING_STATUS=MR","Sort=A","Dates=H","DateFormat=P","Fill=—","Direction=H","UseDPDF=Y")</f>
        <v>82780</v>
      </c>
      <c r="I61" s="12">
        <f>_xll.BDH("EMN US Equity","WATER_CONSMPTN","FY 2019","FY 2019","Currency=USD","Period=FY","BEST_FPERIOD_OVERRIDE=FY","FILING_STATUS=MR","Sort=A","Dates=H","DateFormat=P","Fill=—","Direction=H","UseDPDF=Y")</f>
        <v>19555</v>
      </c>
      <c r="J61" s="12">
        <f>_xll.BDH("EMN US Equity","WATER_CONSMPTN","FY 2020","FY 2020","Currency=USD","Period=FY","BEST_FPERIOD_OVERRIDE=FY","FILING_STATUS=MR","Sort=A","Dates=H","DateFormat=P","Fill=—","Direction=H","UseDPDF=Y")</f>
        <v>28363</v>
      </c>
      <c r="K61" s="12">
        <f>_xll.BDH("EMN US Equity","WATER_CONSMPTN","FY 2021","FY 2021","Currency=USD","Period=FY","BEST_FPERIOD_OVERRIDE=FY","FILING_STATUS=MR","Sort=A","Dates=H","DateFormat=P","Fill=—","Direction=H","UseDPDF=Y")</f>
        <v>32374</v>
      </c>
      <c r="L61" s="12" t="str">
        <f>_xll.BDH("EMN US Equity","WATER_CONSMPTN","FY 2022","FY 2022","Currency=USD","Period=FY","BEST_FPERIOD_OVERRIDE=FY","FILING_STATUS=MR","Sort=A","Dates=H","DateFormat=P","Fill=—","Direction=H","UseDPDF=Y")</f>
        <v>—</v>
      </c>
    </row>
    <row r="62" spans="1:1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0" t="s">
        <v>112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0" t="s">
        <v>113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0" t="s">
        <v>114</v>
      </c>
      <c r="B65" s="10" t="s">
        <v>115</v>
      </c>
      <c r="C65" s="11" t="s">
        <v>52</v>
      </c>
      <c r="D65" s="11" t="s">
        <v>52</v>
      </c>
      <c r="E65" s="11" t="s">
        <v>52</v>
      </c>
      <c r="F65" s="11" t="s">
        <v>52</v>
      </c>
      <c r="G65" s="11" t="s">
        <v>52</v>
      </c>
      <c r="H65" s="11" t="s">
        <v>52</v>
      </c>
      <c r="I65" s="11" t="s">
        <v>52</v>
      </c>
      <c r="J65" s="11" t="s">
        <v>52</v>
      </c>
      <c r="K65" s="11" t="s">
        <v>52</v>
      </c>
      <c r="L65" s="11" t="s">
        <v>52</v>
      </c>
    </row>
    <row r="66" spans="1:12">
      <c r="A66" s="10" t="s">
        <v>116</v>
      </c>
      <c r="B66" s="10" t="s">
        <v>117</v>
      </c>
      <c r="C66" s="11" t="s">
        <v>52</v>
      </c>
      <c r="D66" s="11" t="s">
        <v>52</v>
      </c>
      <c r="E66" s="11" t="s">
        <v>52</v>
      </c>
      <c r="F66" s="11" t="s">
        <v>52</v>
      </c>
      <c r="G66" s="11" t="s">
        <v>52</v>
      </c>
      <c r="H66" s="11" t="s">
        <v>52</v>
      </c>
      <c r="I66" s="11" t="s">
        <v>52</v>
      </c>
      <c r="J66" s="11" t="s">
        <v>52</v>
      </c>
      <c r="K66" s="11" t="s">
        <v>52</v>
      </c>
      <c r="L66" s="11" t="s">
        <v>52</v>
      </c>
    </row>
    <row r="67" spans="1:12">
      <c r="A67" s="10" t="s">
        <v>118</v>
      </c>
      <c r="B67" s="10" t="s">
        <v>119</v>
      </c>
      <c r="C67" s="11" t="s">
        <v>53</v>
      </c>
      <c r="D67" s="11" t="s">
        <v>53</v>
      </c>
      <c r="E67" s="11" t="s">
        <v>52</v>
      </c>
      <c r="F67" s="11" t="s">
        <v>52</v>
      </c>
      <c r="G67" s="11" t="s">
        <v>52</v>
      </c>
      <c r="H67" s="11" t="s">
        <v>52</v>
      </c>
      <c r="I67" s="11" t="s">
        <v>56</v>
      </c>
      <c r="J67" s="11" t="s">
        <v>56</v>
      </c>
      <c r="K67" s="11" t="s">
        <v>56</v>
      </c>
      <c r="L67" s="11" t="s">
        <v>53</v>
      </c>
    </row>
    <row r="68" spans="1:12">
      <c r="A68" s="10" t="s">
        <v>120</v>
      </c>
      <c r="B68" s="10" t="s">
        <v>121</v>
      </c>
      <c r="C68" s="11" t="s">
        <v>53</v>
      </c>
      <c r="D68" s="11" t="s">
        <v>53</v>
      </c>
      <c r="E68" s="11" t="s">
        <v>52</v>
      </c>
      <c r="F68" s="11" t="s">
        <v>52</v>
      </c>
      <c r="G68" s="11" t="s">
        <v>52</v>
      </c>
      <c r="H68" s="11" t="s">
        <v>52</v>
      </c>
      <c r="I68" s="11" t="s">
        <v>52</v>
      </c>
      <c r="J68" s="11" t="s">
        <v>52</v>
      </c>
      <c r="K68" s="11" t="s">
        <v>52</v>
      </c>
      <c r="L68" s="11" t="s">
        <v>53</v>
      </c>
    </row>
    <row r="69" spans="1:1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0" t="s">
        <v>122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0" t="s">
        <v>123</v>
      </c>
      <c r="B71" s="10" t="s">
        <v>124</v>
      </c>
      <c r="C71" s="11" t="s">
        <v>52</v>
      </c>
      <c r="D71" s="11" t="s">
        <v>52</v>
      </c>
      <c r="E71" s="11" t="s">
        <v>52</v>
      </c>
      <c r="F71" s="11" t="s">
        <v>52</v>
      </c>
      <c r="G71" s="11" t="s">
        <v>52</v>
      </c>
      <c r="H71" s="11" t="s">
        <v>52</v>
      </c>
      <c r="I71" s="11" t="s">
        <v>52</v>
      </c>
      <c r="J71" s="11" t="s">
        <v>52</v>
      </c>
      <c r="K71" s="11" t="s">
        <v>52</v>
      </c>
      <c r="L71" s="11" t="s">
        <v>52</v>
      </c>
    </row>
    <row r="72" spans="1:12">
      <c r="A72" s="10" t="s">
        <v>125</v>
      </c>
      <c r="B72" s="10" t="s">
        <v>126</v>
      </c>
      <c r="C72" s="11" t="s">
        <v>53</v>
      </c>
      <c r="D72" s="11" t="s">
        <v>56</v>
      </c>
      <c r="E72" s="11" t="s">
        <v>56</v>
      </c>
      <c r="F72" s="11" t="s">
        <v>56</v>
      </c>
      <c r="G72" s="11" t="s">
        <v>56</v>
      </c>
      <c r="H72" s="11" t="s">
        <v>56</v>
      </c>
      <c r="I72" s="11" t="s">
        <v>56</v>
      </c>
      <c r="J72" s="11" t="s">
        <v>56</v>
      </c>
      <c r="K72" s="11" t="s">
        <v>56</v>
      </c>
      <c r="L72" s="11" t="s">
        <v>53</v>
      </c>
    </row>
    <row r="73" spans="1:12">
      <c r="A73" s="10" t="s">
        <v>127</v>
      </c>
      <c r="B73" s="10" t="s">
        <v>128</v>
      </c>
      <c r="C73" s="13" t="str">
        <f>_xll.BDH("EMN US Equity","PCT_WOMEN_IN_MID_AND_OTHER_MGMT","FY 2013","FY 2013","Currency=USD","Period=FY","BEST_FPERIOD_OVERRIDE=FY","FILING_STATUS=MR","Sort=A","Dates=H","DateFormat=P","Fill=—","Direction=H","UseDPDF=Y")</f>
        <v>—</v>
      </c>
      <c r="D73" s="13" t="str">
        <f>_xll.BDH("EMN US Equity","PCT_WOMEN_IN_MID_AND_OTHER_MGMT","FY 2014","FY 2014","Currency=USD","Period=FY","BEST_FPERIOD_OVERRIDE=FY","FILING_STATUS=MR","Sort=A","Dates=H","DateFormat=P","Fill=—","Direction=H","UseDPDF=Y")</f>
        <v>—</v>
      </c>
      <c r="E73" s="13" t="str">
        <f>_xll.BDH("EMN US Equity","PCT_WOMEN_IN_MID_AND_OTHER_MGMT","FY 2015","FY 2015","Currency=USD","Period=FY","BEST_FPERIOD_OVERRIDE=FY","FILING_STATUS=MR","Sort=A","Dates=H","DateFormat=P","Fill=—","Direction=H","UseDPDF=Y")</f>
        <v>—</v>
      </c>
      <c r="F73" s="13" t="str">
        <f>_xll.BDH("EMN US Equity","PCT_WOMEN_IN_MID_AND_OTHER_MGMT","FY 2016","FY 2016","Currency=USD","Period=FY","BEST_FPERIOD_OVERRIDE=FY","FILING_STATUS=MR","Sort=A","Dates=H","DateFormat=P","Fill=—","Direction=H","UseDPDF=Y")</f>
        <v>—</v>
      </c>
      <c r="G73" s="13" t="str">
        <f>_xll.BDH("EMN US Equity","PCT_WOMEN_IN_MID_AND_OTHER_MGMT","FY 2017","FY 2017","Currency=USD","Period=FY","BEST_FPERIOD_OVERRIDE=FY","FILING_STATUS=MR","Sort=A","Dates=H","DateFormat=P","Fill=—","Direction=H","UseDPDF=Y")</f>
        <v>—</v>
      </c>
      <c r="H73" s="13" t="str">
        <f>_xll.BDH("EMN US Equity","PCT_WOMEN_IN_MID_AND_OTHER_MGMT","FY 2018","FY 2018","Currency=USD","Period=FY","BEST_FPERIOD_OVERRIDE=FY","FILING_STATUS=MR","Sort=A","Dates=H","DateFormat=P","Fill=—","Direction=H","UseDPDF=Y")</f>
        <v>—</v>
      </c>
      <c r="I73" s="13">
        <f>_xll.BDH("EMN US Equity","PCT_WOMEN_IN_MID_AND_OTHER_MGMT","FY 2019","FY 2019","Currency=USD","Period=FY","BEST_FPERIOD_OVERRIDE=FY","FILING_STATUS=MR","Sort=A","Dates=H","DateFormat=P","Fill=—","Direction=H","UseDPDF=Y")</f>
        <v>26</v>
      </c>
      <c r="J73" s="13">
        <f>_xll.BDH("EMN US Equity","PCT_WOMEN_IN_MID_AND_OTHER_MGMT","FY 2020","FY 2020","Currency=USD","Period=FY","BEST_FPERIOD_OVERRIDE=FY","FILING_STATUS=MR","Sort=A","Dates=H","DateFormat=P","Fill=—","Direction=H","UseDPDF=Y")</f>
        <v>25</v>
      </c>
      <c r="K73" s="13">
        <f>_xll.BDH("EMN US Equity","PCT_WOMEN_IN_MID_AND_OTHER_MGMT","FY 2021","FY 2021","Currency=USD","Period=FY","BEST_FPERIOD_OVERRIDE=FY","FILING_STATUS=MR","Sort=A","Dates=H","DateFormat=P","Fill=—","Direction=H","UseDPDF=Y")</f>
        <v>30</v>
      </c>
      <c r="L73" s="13" t="str">
        <f>_xll.BDH("EMN US Equity","PCT_WOMEN_IN_MID_AND_OTHER_MGMT","FY 2022","FY 2022","Currency=USD","Period=FY","BEST_FPERIOD_OVERRIDE=FY","FILING_STATUS=MR","Sort=A","Dates=H","DateFormat=P","Fill=—","Direction=H","UseDPDF=Y")</f>
        <v>—</v>
      </c>
    </row>
    <row r="74" spans="1:12">
      <c r="A74" s="10" t="s">
        <v>129</v>
      </c>
      <c r="B74" s="10" t="s">
        <v>130</v>
      </c>
      <c r="C74" s="13">
        <f>_xll.BDH("EMN US Equity","PCT_WOMEN_EMPLOYEES","FY 2013","FY 2013","Currency=USD","Period=FY","BEST_FPERIOD_OVERRIDE=FY","FILING_STATUS=MR","Sort=A","Dates=H","DateFormat=P","Fill=—","Direction=H","UseDPDF=Y")</f>
        <v>24.3</v>
      </c>
      <c r="D74" s="13">
        <f>_xll.BDH("EMN US Equity","PCT_WOMEN_EMPLOYEES","FY 2014","FY 2014","Currency=USD","Period=FY","BEST_FPERIOD_OVERRIDE=FY","FILING_STATUS=MR","Sort=A","Dates=H","DateFormat=P","Fill=—","Direction=H","UseDPDF=Y")</f>
        <v>24.5</v>
      </c>
      <c r="E74" s="13">
        <f>_xll.BDH("EMN US Equity","PCT_WOMEN_EMPLOYEES","FY 2015","FY 2015","Currency=USD","Period=FY","BEST_FPERIOD_OVERRIDE=FY","FILING_STATUS=MR","Sort=A","Dates=H","DateFormat=P","Fill=—","Direction=H","UseDPDF=Y")</f>
        <v>24.9</v>
      </c>
      <c r="F74" s="13">
        <f>_xll.BDH("EMN US Equity","PCT_WOMEN_EMPLOYEES","FY 2016","FY 2016","Currency=USD","Period=FY","BEST_FPERIOD_OVERRIDE=FY","FILING_STATUS=MR","Sort=A","Dates=H","DateFormat=P","Fill=—","Direction=H","UseDPDF=Y")</f>
        <v>24.7</v>
      </c>
      <c r="G74" s="13">
        <f>_xll.BDH("EMN US Equity","PCT_WOMEN_EMPLOYEES","FY 2017","FY 2017","Currency=USD","Period=FY","BEST_FPERIOD_OVERRIDE=FY","FILING_STATUS=MR","Sort=A","Dates=H","DateFormat=P","Fill=—","Direction=H","UseDPDF=Y")</f>
        <v>24.5</v>
      </c>
      <c r="H74" s="13">
        <f>_xll.BDH("EMN US Equity","PCT_WOMEN_EMPLOYEES","FY 2018","FY 2018","Currency=USD","Period=FY","BEST_FPERIOD_OVERRIDE=FY","FILING_STATUS=MR","Sort=A","Dates=H","DateFormat=P","Fill=—","Direction=H","UseDPDF=Y")</f>
        <v>24.5</v>
      </c>
      <c r="I74" s="13">
        <f>_xll.BDH("EMN US Equity","PCT_WOMEN_EMPLOYEES","FY 2019","FY 2019","Currency=USD","Period=FY","BEST_FPERIOD_OVERRIDE=FY","FILING_STATUS=MR","Sort=A","Dates=H","DateFormat=P","Fill=—","Direction=H","UseDPDF=Y")</f>
        <v>24</v>
      </c>
      <c r="J74" s="13">
        <f>_xll.BDH("EMN US Equity","PCT_WOMEN_EMPLOYEES","FY 2020","FY 2020","Currency=USD","Period=FY","BEST_FPERIOD_OVERRIDE=FY","FILING_STATUS=MR","Sort=A","Dates=H","DateFormat=P","Fill=—","Direction=H","UseDPDF=Y")</f>
        <v>24</v>
      </c>
      <c r="K74" s="13">
        <f>_xll.BDH("EMN US Equity","PCT_WOMEN_EMPLOYEES","FY 2021","FY 2021","Currency=USD","Period=FY","BEST_FPERIOD_OVERRIDE=FY","FILING_STATUS=MR","Sort=A","Dates=H","DateFormat=P","Fill=—","Direction=H","UseDPDF=Y")</f>
        <v>26.6</v>
      </c>
      <c r="L74" s="13" t="str">
        <f>_xll.BDH("EMN US Equity","PCT_WOMEN_EMPLOYEES","FY 2022","FY 2022","Currency=USD","Period=FY","BEST_FPERIOD_OVERRIDE=FY","FILING_STATUS=MR","Sort=A","Dates=H","DateFormat=P","Fill=—","Direction=H","UseDPDF=Y")</f>
        <v>—</v>
      </c>
    </row>
    <row r="75" spans="1:12">
      <c r="A75" s="10" t="s">
        <v>131</v>
      </c>
      <c r="B75" s="10" t="s">
        <v>132</v>
      </c>
      <c r="C75" s="13">
        <f>_xll.BDH("EMN US Equity","PCT_MINORITY_EMPLOYEES","FY 2013","FY 2013","Currency=USD","Period=FY","BEST_FPERIOD_OVERRIDE=FY","FILING_STATUS=MR","Sort=A","Dates=H","DateFormat=P","Fill=—","Direction=H","UseDPDF=Y")</f>
        <v>11</v>
      </c>
      <c r="D75" s="13">
        <f>_xll.BDH("EMN US Equity","PCT_MINORITY_EMPLOYEES","FY 2014","FY 2014","Currency=USD","Period=FY","BEST_FPERIOD_OVERRIDE=FY","FILING_STATUS=MR","Sort=A","Dates=H","DateFormat=P","Fill=—","Direction=H","UseDPDF=Y")</f>
        <v>11</v>
      </c>
      <c r="E75" s="13">
        <f>_xll.BDH("EMN US Equity","PCT_MINORITY_EMPLOYEES","FY 2015","FY 2015","Currency=USD","Period=FY","BEST_FPERIOD_OVERRIDE=FY","FILING_STATUS=MR","Sort=A","Dates=H","DateFormat=P","Fill=—","Direction=H","UseDPDF=Y")</f>
        <v>12</v>
      </c>
      <c r="F75" s="13" t="str">
        <f>_xll.BDH("EMN US Equity","PCT_MINORITY_EMPLOYEES","FY 2016","FY 2016","Currency=USD","Period=FY","BEST_FPERIOD_OVERRIDE=FY","FILING_STATUS=MR","Sort=A","Dates=H","DateFormat=P","Fill=—","Direction=H","UseDPDF=Y")</f>
        <v>—</v>
      </c>
      <c r="G75" s="13" t="str">
        <f>_xll.BDH("EMN US Equity","PCT_MINORITY_EMPLOYEES","FY 2017","FY 2017","Currency=USD","Period=FY","BEST_FPERIOD_OVERRIDE=FY","FILING_STATUS=MR","Sort=A","Dates=H","DateFormat=P","Fill=—","Direction=H","UseDPDF=Y")</f>
        <v>—</v>
      </c>
      <c r="H75" s="13">
        <f>_xll.BDH("EMN US Equity","PCT_MINORITY_EMPLOYEES","FY 2018","FY 2018","Currency=USD","Period=FY","BEST_FPERIOD_OVERRIDE=FY","FILING_STATUS=MR","Sort=A","Dates=H","DateFormat=P","Fill=—","Direction=H","UseDPDF=Y")</f>
        <v>12</v>
      </c>
      <c r="I75" s="13">
        <f>_xll.BDH("EMN US Equity","PCT_MINORITY_EMPLOYEES","FY 2019","FY 2019","Currency=USD","Period=FY","BEST_FPERIOD_OVERRIDE=FY","FILING_STATUS=MR","Sort=A","Dates=H","DateFormat=P","Fill=—","Direction=H","UseDPDF=Y")</f>
        <v>13</v>
      </c>
      <c r="J75" s="13">
        <f>_xll.BDH("EMN US Equity","PCT_MINORITY_EMPLOYEES","FY 2020","FY 2020","Currency=USD","Period=FY","BEST_FPERIOD_OVERRIDE=FY","FILING_STATUS=MR","Sort=A","Dates=H","DateFormat=P","Fill=—","Direction=H","UseDPDF=Y")</f>
        <v>12</v>
      </c>
      <c r="K75" s="13">
        <f>_xll.BDH("EMN US Equity","PCT_MINORITY_EMPLOYEES","FY 2021","FY 2021","Currency=USD","Period=FY","BEST_FPERIOD_OVERRIDE=FY","FILING_STATUS=MR","Sort=A","Dates=H","DateFormat=P","Fill=—","Direction=H","UseDPDF=Y")</f>
        <v>12</v>
      </c>
      <c r="L75" s="13" t="str">
        <f>_xll.BDH("EMN US Equity","PCT_MINORITY_EMPLOYEES","FY 2022","FY 2022","Currency=USD","Period=FY","BEST_FPERIOD_OVERRIDE=FY","FILING_STATUS=MR","Sort=A","Dates=H","DateFormat=P","Fill=—","Direction=H","UseDPDF=Y")</f>
        <v>—</v>
      </c>
    </row>
    <row r="76" spans="1:1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10" t="s">
        <v>133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>
      <c r="A78" s="10" t="s">
        <v>134</v>
      </c>
      <c r="B78" s="10" t="s">
        <v>135</v>
      </c>
      <c r="C78" s="11" t="s">
        <v>52</v>
      </c>
      <c r="D78" s="11" t="s">
        <v>52</v>
      </c>
      <c r="E78" s="11" t="s">
        <v>52</v>
      </c>
      <c r="F78" s="11" t="s">
        <v>52</v>
      </c>
      <c r="G78" s="11" t="s">
        <v>52</v>
      </c>
      <c r="H78" s="11" t="s">
        <v>52</v>
      </c>
      <c r="I78" s="11" t="s">
        <v>52</v>
      </c>
      <c r="J78" s="11" t="s">
        <v>52</v>
      </c>
      <c r="K78" s="11" t="s">
        <v>52</v>
      </c>
      <c r="L78" s="11" t="s">
        <v>52</v>
      </c>
    </row>
    <row r="79" spans="1:12">
      <c r="A79" s="10" t="s">
        <v>136</v>
      </c>
      <c r="B79" s="10" t="s">
        <v>137</v>
      </c>
      <c r="C79" s="11" t="s">
        <v>52</v>
      </c>
      <c r="D79" s="11" t="s">
        <v>52</v>
      </c>
      <c r="E79" s="11" t="s">
        <v>52</v>
      </c>
      <c r="F79" s="11" t="s">
        <v>52</v>
      </c>
      <c r="G79" s="11" t="s">
        <v>52</v>
      </c>
      <c r="H79" s="11" t="s">
        <v>52</v>
      </c>
      <c r="I79" s="11" t="s">
        <v>52</v>
      </c>
      <c r="J79" s="11" t="s">
        <v>52</v>
      </c>
      <c r="K79" s="11" t="s">
        <v>52</v>
      </c>
      <c r="L79" s="11" t="s">
        <v>52</v>
      </c>
    </row>
    <row r="80" spans="1:12">
      <c r="A80" s="10" t="s">
        <v>138</v>
      </c>
      <c r="B80" s="10" t="s">
        <v>139</v>
      </c>
      <c r="C80" s="12" t="str">
        <f>_xll.BDH("EMN US Equity","POLITICAL_DONATIONS","FY 2013","FY 2013","Currency=USD","Period=FY","BEST_FPERIOD_OVERRIDE=FY","FILING_STATUS=MR","SCALING_FORMAT=MLN","Sort=A","Dates=H","DateFormat=P","Fill=—","Direction=H","UseDPDF=Y")</f>
        <v>—</v>
      </c>
      <c r="D80" s="12" t="str">
        <f>_xll.BDH("EMN US Equity","POLITICAL_DONATIONS","FY 2014","FY 2014","Currency=USD","Period=FY","BEST_FPERIOD_OVERRIDE=FY","FILING_STATUS=MR","SCALING_FORMAT=MLN","Sort=A","Dates=H","DateFormat=P","Fill=—","Direction=H","UseDPDF=Y")</f>
        <v>—</v>
      </c>
      <c r="E80" s="12">
        <f>_xll.BDH("EMN US Equity","POLITICAL_DONATIONS","FY 2015","FY 2015","Currency=USD","Period=FY","BEST_FPERIOD_OVERRIDE=FY","FILING_STATUS=MR","SCALING_FORMAT=MLN","Sort=A","Dates=H","DateFormat=P","Fill=—","Direction=H","UseDPDF=Y")</f>
        <v>3.2000000000000001E-2</v>
      </c>
      <c r="F80" s="12">
        <f>_xll.BDH("EMN US Equity","POLITICAL_DONATIONS","FY 2016","FY 2016","Currency=USD","Period=FY","BEST_FPERIOD_OVERRIDE=FY","FILING_STATUS=MR","SCALING_FORMAT=MLN","Sort=A","Dates=H","DateFormat=P","Fill=—","Direction=H","UseDPDF=Y")</f>
        <v>3.9E-2</v>
      </c>
      <c r="G80" s="12">
        <f>_xll.BDH("EMN US Equity","POLITICAL_DONATIONS","FY 2017","FY 2017","Currency=USD","Period=FY","BEST_FPERIOD_OVERRIDE=FY","FILING_STATUS=MR","SCALING_FORMAT=MLN","Sort=A","Dates=H","DateFormat=P","Fill=—","Direction=H","UseDPDF=Y")</f>
        <v>2E-3</v>
      </c>
      <c r="H80" s="12">
        <f>_xll.BDH("EMN US Equity","POLITICAL_DONATIONS","FY 2018","FY 2018","Currency=USD","Period=FY","BEST_FPERIOD_OVERRIDE=FY","FILING_STATUS=MR","SCALING_FORMAT=MLN","Sort=A","Dates=H","DateFormat=P","Fill=—","Direction=H","UseDPDF=Y")</f>
        <v>5.3999999999999999E-2</v>
      </c>
      <c r="I80" s="12">
        <f>_xll.BDH("EMN US Equity","POLITICAL_DONATIONS","FY 2019","FY 2019","Currency=USD","Period=FY","BEST_FPERIOD_OVERRIDE=FY","FILING_STATUS=MR","SCALING_FORMAT=MLN","Sort=A","Dates=H","DateFormat=P","Fill=—","Direction=H","UseDPDF=Y")</f>
        <v>2.9000000000000001E-2</v>
      </c>
      <c r="J80" s="12">
        <f>_xll.BDH("EMN US Equity","POLITICAL_DONATIONS","FY 2020","FY 2020","Currency=USD","Period=FY","BEST_FPERIOD_OVERRIDE=FY","FILING_STATUS=MR","SCALING_FORMAT=MLN","Sort=A","Dates=H","DateFormat=P","Fill=—","Direction=H","UseDPDF=Y")</f>
        <v>1.7999999999999999E-2</v>
      </c>
      <c r="K80" s="12">
        <f>_xll.BDH("EMN US Equity","POLITICAL_DONATIONS","FY 2021","FY 2021","Currency=USD","Period=FY","BEST_FPERIOD_OVERRIDE=FY","FILING_STATUS=MR","SCALING_FORMAT=MLN","Sort=A","Dates=H","DateFormat=P","Fill=—","Direction=H","UseDPDF=Y")</f>
        <v>8.7999999999999995E-2</v>
      </c>
      <c r="L80" s="12" t="str">
        <f>_xll.BDH("EMN US Equity","POLITICAL_DONATIONS","FY 2022","FY 2022","Currency=USD","Period=FY","BEST_FPERIOD_OVERRIDE=FY","FILING_STATUS=MR","SCALING_FORMAT=MLN","Sort=A","Dates=H","DateFormat=P","Fill=—","Direction=H","UseDPDF=Y")</f>
        <v>—</v>
      </c>
    </row>
    <row r="81" spans="1:1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0" t="s">
        <v>140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>
      <c r="A83" s="10" t="s">
        <v>141</v>
      </c>
      <c r="B83" s="10" t="s">
        <v>142</v>
      </c>
      <c r="C83" s="11" t="s">
        <v>52</v>
      </c>
      <c r="D83" s="11" t="s">
        <v>52</v>
      </c>
      <c r="E83" s="11" t="s">
        <v>52</v>
      </c>
      <c r="F83" s="11" t="s">
        <v>52</v>
      </c>
      <c r="G83" s="11" t="s">
        <v>52</v>
      </c>
      <c r="H83" s="11" t="s">
        <v>52</v>
      </c>
      <c r="I83" s="11" t="s">
        <v>52</v>
      </c>
      <c r="J83" s="11" t="s">
        <v>52</v>
      </c>
      <c r="K83" s="11" t="s">
        <v>52</v>
      </c>
      <c r="L83" s="11" t="s">
        <v>52</v>
      </c>
    </row>
    <row r="84" spans="1:12">
      <c r="A84" s="10" t="s">
        <v>143</v>
      </c>
      <c r="B84" s="10" t="s">
        <v>144</v>
      </c>
      <c r="C84" s="13" t="str">
        <f>_xll.BDH("EMN US Equity","FATALITIES_EMPLOYEES","FY 2013","FY 2013","Currency=USD","Period=FY","BEST_FPERIOD_OVERRIDE=FY","FILING_STATUS=MR","Sort=A","Dates=H","DateFormat=P","Fill=—","Direction=H","UseDPDF=Y")</f>
        <v>—</v>
      </c>
      <c r="D84" s="13" t="str">
        <f>_xll.BDH("EMN US Equity","FATALITIES_EMPLOYEES","FY 2014","FY 2014","Currency=USD","Period=FY","BEST_FPERIOD_OVERRIDE=FY","FILING_STATUS=MR","Sort=A","Dates=H","DateFormat=P","Fill=—","Direction=H","UseDPDF=Y")</f>
        <v>—</v>
      </c>
      <c r="E84" s="13" t="str">
        <f>_xll.BDH("EMN US Equity","FATALITIES_EMPLOYEES","FY 2015","FY 2015","Currency=USD","Period=FY","BEST_FPERIOD_OVERRIDE=FY","FILING_STATUS=MR","Sort=A","Dates=H","DateFormat=P","Fill=—","Direction=H","UseDPDF=Y")</f>
        <v>—</v>
      </c>
      <c r="F84" s="13">
        <f>_xll.BDH("EMN US Equity","FATALITIES_EMPLOYEES","FY 2016","FY 2016","Currency=USD","Period=FY","BEST_FPERIOD_OVERRIDE=FY","FILING_STATUS=MR","Sort=A","Dates=H","DateFormat=P","Fill=—","Direction=H","UseDPDF=Y")</f>
        <v>0</v>
      </c>
      <c r="G84" s="13">
        <f>_xll.BDH("EMN US Equity","FATALITIES_EMPLOYEES","FY 2017","FY 2017","Currency=USD","Period=FY","BEST_FPERIOD_OVERRIDE=FY","FILING_STATUS=MR","Sort=A","Dates=H","DateFormat=P","Fill=—","Direction=H","UseDPDF=Y")</f>
        <v>0</v>
      </c>
      <c r="H84" s="13">
        <f>_xll.BDH("EMN US Equity","FATALITIES_EMPLOYEES","FY 2018","FY 2018","Currency=USD","Period=FY","BEST_FPERIOD_OVERRIDE=FY","FILING_STATUS=MR","Sort=A","Dates=H","DateFormat=P","Fill=—","Direction=H","UseDPDF=Y")</f>
        <v>0</v>
      </c>
      <c r="I84" s="13">
        <f>_xll.BDH("EMN US Equity","FATALITIES_EMPLOYEES","FY 2019","FY 2019","Currency=USD","Period=FY","BEST_FPERIOD_OVERRIDE=FY","FILING_STATUS=MR","Sort=A","Dates=H","DateFormat=P","Fill=—","Direction=H","UseDPDF=Y")</f>
        <v>0</v>
      </c>
      <c r="J84" s="13">
        <f>_xll.BDH("EMN US Equity","FATALITIES_EMPLOYEES","FY 2020","FY 2020","Currency=USD","Period=FY","BEST_FPERIOD_OVERRIDE=FY","FILING_STATUS=MR","Sort=A","Dates=H","DateFormat=P","Fill=—","Direction=H","UseDPDF=Y")</f>
        <v>0</v>
      </c>
      <c r="K84" s="13">
        <f>_xll.BDH("EMN US Equity","FATALITIES_EMPLOYEES","FY 2021","FY 2021","Currency=USD","Period=FY","BEST_FPERIOD_OVERRIDE=FY","FILING_STATUS=MR","Sort=A","Dates=H","DateFormat=P","Fill=—","Direction=H","UseDPDF=Y")</f>
        <v>0</v>
      </c>
      <c r="L84" s="13" t="str">
        <f>_xll.BDH("EMN US Equity","FATALITIES_EMPLOYEES","FY 2022","FY 2022","Currency=USD","Period=FY","BEST_FPERIOD_OVERRIDE=FY","FILING_STATUS=MR","Sort=A","Dates=H","DateFormat=P","Fill=—","Direction=H","UseDPDF=Y")</f>
        <v>—</v>
      </c>
    </row>
    <row r="85" spans="1:12">
      <c r="A85" s="10" t="s">
        <v>145</v>
      </c>
      <c r="B85" s="10" t="s">
        <v>146</v>
      </c>
      <c r="C85" s="13" t="str">
        <f>_xll.BDH("EMN US Equity","FATALITIES_CONTRACTORS","FY 2013","FY 2013","Currency=USD","Period=FY","BEST_FPERIOD_OVERRIDE=FY","FILING_STATUS=MR","Sort=A","Dates=H","DateFormat=P","Fill=—","Direction=H","UseDPDF=Y")</f>
        <v>—</v>
      </c>
      <c r="D85" s="13" t="str">
        <f>_xll.BDH("EMN US Equity","FATALITIES_CONTRACTORS","FY 2014","FY 2014","Currency=USD","Period=FY","BEST_FPERIOD_OVERRIDE=FY","FILING_STATUS=MR","Sort=A","Dates=H","DateFormat=P","Fill=—","Direction=H","UseDPDF=Y")</f>
        <v>—</v>
      </c>
      <c r="E85" s="13" t="str">
        <f>_xll.BDH("EMN US Equity","FATALITIES_CONTRACTORS","FY 2015","FY 2015","Currency=USD","Period=FY","BEST_FPERIOD_OVERRIDE=FY","FILING_STATUS=MR","Sort=A","Dates=H","DateFormat=P","Fill=—","Direction=H","UseDPDF=Y")</f>
        <v>—</v>
      </c>
      <c r="F85" s="13">
        <f>_xll.BDH("EMN US Equity","FATALITIES_CONTRACTORS","FY 2016","FY 2016","Currency=USD","Period=FY","BEST_FPERIOD_OVERRIDE=FY","FILING_STATUS=MR","Sort=A","Dates=H","DateFormat=P","Fill=—","Direction=H","UseDPDF=Y")</f>
        <v>0</v>
      </c>
      <c r="G85" s="13">
        <f>_xll.BDH("EMN US Equity","FATALITIES_CONTRACTORS","FY 2017","FY 2017","Currency=USD","Period=FY","BEST_FPERIOD_OVERRIDE=FY","FILING_STATUS=MR","Sort=A","Dates=H","DateFormat=P","Fill=—","Direction=H","UseDPDF=Y")</f>
        <v>0</v>
      </c>
      <c r="H85" s="13">
        <f>_xll.BDH("EMN US Equity","FATALITIES_CONTRACTORS","FY 2018","FY 2018","Currency=USD","Period=FY","BEST_FPERIOD_OVERRIDE=FY","FILING_STATUS=MR","Sort=A","Dates=H","DateFormat=P","Fill=—","Direction=H","UseDPDF=Y")</f>
        <v>0</v>
      </c>
      <c r="I85" s="13">
        <f>_xll.BDH("EMN US Equity","FATALITIES_CONTRACTORS","FY 2019","FY 2019","Currency=USD","Period=FY","BEST_FPERIOD_OVERRIDE=FY","FILING_STATUS=MR","Sort=A","Dates=H","DateFormat=P","Fill=—","Direction=H","UseDPDF=Y")</f>
        <v>0</v>
      </c>
      <c r="J85" s="13">
        <f>_xll.BDH("EMN US Equity","FATALITIES_CONTRACTORS","FY 2020","FY 2020","Currency=USD","Period=FY","BEST_FPERIOD_OVERRIDE=FY","FILING_STATUS=MR","Sort=A","Dates=H","DateFormat=P","Fill=—","Direction=H","UseDPDF=Y")</f>
        <v>1</v>
      </c>
      <c r="K85" s="13">
        <f>_xll.BDH("EMN US Equity","FATALITIES_CONTRACTORS","FY 2021","FY 2021","Currency=USD","Period=FY","BEST_FPERIOD_OVERRIDE=FY","FILING_STATUS=MR","Sort=A","Dates=H","DateFormat=P","Fill=—","Direction=H","UseDPDF=Y")</f>
        <v>0</v>
      </c>
      <c r="L85" s="13" t="str">
        <f>_xll.BDH("EMN US Equity","FATALITIES_CONTRACTORS","FY 2022","FY 2022","Currency=USD","Period=FY","BEST_FPERIOD_OVERRIDE=FY","FILING_STATUS=MR","Sort=A","Dates=H","DateFormat=P","Fill=—","Direction=H","UseDPDF=Y")</f>
        <v>—</v>
      </c>
    </row>
    <row r="86" spans="1:12">
      <c r="A86" s="10" t="s">
        <v>147</v>
      </c>
      <c r="B86" s="10" t="s">
        <v>148</v>
      </c>
      <c r="C86" s="13" t="str">
        <f>_xll.BDH("EMN US Equity","FATALITIES_TOTAL","FY 2013","FY 2013","Currency=USD","Period=FY","BEST_FPERIOD_OVERRIDE=FY","FILING_STATUS=MR","Sort=A","Dates=H","DateFormat=P","Fill=—","Direction=H","UseDPDF=Y")</f>
        <v>—</v>
      </c>
      <c r="D86" s="13" t="str">
        <f>_xll.BDH("EMN US Equity","FATALITIES_TOTAL","FY 2014","FY 2014","Currency=USD","Period=FY","BEST_FPERIOD_OVERRIDE=FY","FILING_STATUS=MR","Sort=A","Dates=H","DateFormat=P","Fill=—","Direction=H","UseDPDF=Y")</f>
        <v>—</v>
      </c>
      <c r="E86" s="13" t="str">
        <f>_xll.BDH("EMN US Equity","FATALITIES_TOTAL","FY 2015","FY 2015","Currency=USD","Period=FY","BEST_FPERIOD_OVERRIDE=FY","FILING_STATUS=MR","Sort=A","Dates=H","DateFormat=P","Fill=—","Direction=H","UseDPDF=Y")</f>
        <v>—</v>
      </c>
      <c r="F86" s="13">
        <f>_xll.BDH("EMN US Equity","FATALITIES_TOTAL","FY 2016","FY 2016","Currency=USD","Period=FY","BEST_FPERIOD_OVERRIDE=FY","FILING_STATUS=MR","Sort=A","Dates=H","DateFormat=P","Fill=—","Direction=H","UseDPDF=Y")</f>
        <v>0</v>
      </c>
      <c r="G86" s="13">
        <f>_xll.BDH("EMN US Equity","FATALITIES_TOTAL","FY 2017","FY 2017","Currency=USD","Period=FY","BEST_FPERIOD_OVERRIDE=FY","FILING_STATUS=MR","Sort=A","Dates=H","DateFormat=P","Fill=—","Direction=H","UseDPDF=Y")</f>
        <v>0</v>
      </c>
      <c r="H86" s="13">
        <f>_xll.BDH("EMN US Equity","FATALITIES_TOTAL","FY 2018","FY 2018","Currency=USD","Period=FY","BEST_FPERIOD_OVERRIDE=FY","FILING_STATUS=MR","Sort=A","Dates=H","DateFormat=P","Fill=—","Direction=H","UseDPDF=Y")</f>
        <v>0</v>
      </c>
      <c r="I86" s="13">
        <f>_xll.BDH("EMN US Equity","FATALITIES_TOTAL","FY 2019","FY 2019","Currency=USD","Period=FY","BEST_FPERIOD_OVERRIDE=FY","FILING_STATUS=MR","Sort=A","Dates=H","DateFormat=P","Fill=—","Direction=H","UseDPDF=Y")</f>
        <v>0</v>
      </c>
      <c r="J86" s="13">
        <f>_xll.BDH("EMN US Equity","FATALITIES_TOTAL","FY 2020","FY 2020","Currency=USD","Period=FY","BEST_FPERIOD_OVERRIDE=FY","FILING_STATUS=MR","Sort=A","Dates=H","DateFormat=P","Fill=—","Direction=H","UseDPDF=Y")</f>
        <v>1</v>
      </c>
      <c r="K86" s="13">
        <f>_xll.BDH("EMN US Equity","FATALITIES_TOTAL","FY 2021","FY 2021","Currency=USD","Period=FY","BEST_FPERIOD_OVERRIDE=FY","FILING_STATUS=MR","Sort=A","Dates=H","DateFormat=P","Fill=—","Direction=H","UseDPDF=Y")</f>
        <v>0</v>
      </c>
      <c r="L86" s="13" t="str">
        <f>_xll.BDH("EMN US Equity","FATALITIES_TOTAL","FY 2022","FY 2022","Currency=USD","Period=FY","BEST_FPERIOD_OVERRIDE=FY","FILING_STATUS=MR","Sort=A","Dates=H","DateFormat=P","Fill=—","Direction=H","UseDPDF=Y")</f>
        <v>—</v>
      </c>
    </row>
    <row r="87" spans="1:12">
      <c r="A87" s="10" t="s">
        <v>149</v>
      </c>
      <c r="B87" s="10" t="s">
        <v>150</v>
      </c>
      <c r="C87" s="13">
        <f>_xll.BDH("EMN US Equity","LOST_TIME_INCIDENT_RATE","FY 2013","FY 2013","Currency=USD","Period=FY","BEST_FPERIOD_OVERRIDE=FY","FILING_STATUS=MR","Sort=A","Dates=H","DateFormat=P","Fill=—","Direction=H","UseDPDF=Y")</f>
        <v>0.26</v>
      </c>
      <c r="D87" s="13">
        <f>_xll.BDH("EMN US Equity","LOST_TIME_INCIDENT_RATE","FY 2014","FY 2014","Currency=USD","Period=FY","BEST_FPERIOD_OVERRIDE=FY","FILING_STATUS=MR","Sort=A","Dates=H","DateFormat=P","Fill=—","Direction=H","UseDPDF=Y")</f>
        <v>0.17</v>
      </c>
      <c r="E87" s="13" t="str">
        <f>_xll.BDH("EMN US Equity","LOST_TIME_INCIDENT_RATE","FY 2015","FY 2015","Currency=USD","Period=FY","BEST_FPERIOD_OVERRIDE=FY","FILING_STATUS=MR","Sort=A","Dates=H","DateFormat=P","Fill=—","Direction=H","UseDPDF=Y")</f>
        <v>—</v>
      </c>
      <c r="F87" s="13" t="str">
        <f>_xll.BDH("EMN US Equity","LOST_TIME_INCIDENT_RATE","FY 2016","FY 2016","Currency=USD","Period=FY","BEST_FPERIOD_OVERRIDE=FY","FILING_STATUS=MR","Sort=A","Dates=H","DateFormat=P","Fill=—","Direction=H","UseDPDF=Y")</f>
        <v>—</v>
      </c>
      <c r="G87" s="13" t="str">
        <f>_xll.BDH("EMN US Equity","LOST_TIME_INCIDENT_RATE","FY 2017","FY 2017","Currency=USD","Period=FY","BEST_FPERIOD_OVERRIDE=FY","FILING_STATUS=MR","Sort=A","Dates=H","DateFormat=P","Fill=—","Direction=H","UseDPDF=Y")</f>
        <v>—</v>
      </c>
      <c r="H87" s="13" t="str">
        <f>_xll.BDH("EMN US Equity","LOST_TIME_INCIDENT_RATE","FY 2018","FY 2018","Currency=USD","Period=FY","BEST_FPERIOD_OVERRIDE=FY","FILING_STATUS=MR","Sort=A","Dates=H","DateFormat=P","Fill=—","Direction=H","UseDPDF=Y")</f>
        <v>—</v>
      </c>
      <c r="I87" s="13" t="str">
        <f>_xll.BDH("EMN US Equity","LOST_TIME_INCIDENT_RATE","FY 2019","FY 2019","Currency=USD","Period=FY","BEST_FPERIOD_OVERRIDE=FY","FILING_STATUS=MR","Sort=A","Dates=H","DateFormat=P","Fill=—","Direction=H","UseDPDF=Y")</f>
        <v>—</v>
      </c>
      <c r="J87" s="13" t="str">
        <f>_xll.BDH("EMN US Equity","LOST_TIME_INCIDENT_RATE","FY 2020","FY 2020","Currency=USD","Period=FY","BEST_FPERIOD_OVERRIDE=FY","FILING_STATUS=MR","Sort=A","Dates=H","DateFormat=P","Fill=—","Direction=H","UseDPDF=Y")</f>
        <v>—</v>
      </c>
      <c r="K87" s="13" t="str">
        <f>_xll.BDH("EMN US Equity","LOST_TIME_INCIDENT_RATE","FY 2021","FY 2021","Currency=USD","Period=FY","BEST_FPERIOD_OVERRIDE=FY","FILING_STATUS=MR","Sort=A","Dates=H","DateFormat=P","Fill=—","Direction=H","UseDPDF=Y")</f>
        <v>—</v>
      </c>
      <c r="L87" s="13" t="str">
        <f>_xll.BDH("EMN US Equity","LOST_TIME_INCIDENT_RATE","FY 2022","FY 2022","Currency=USD","Period=FY","BEST_FPERIOD_OVERRIDE=FY","FILING_STATUS=MR","Sort=A","Dates=H","DateFormat=P","Fill=—","Direction=H","UseDPDF=Y")</f>
        <v>—</v>
      </c>
    </row>
    <row r="88" spans="1:12">
      <c r="A88" s="10" t="s">
        <v>151</v>
      </c>
      <c r="B88" s="10" t="s">
        <v>152</v>
      </c>
      <c r="C88" s="13">
        <f>_xll.BDH("EMN US Equity","TOTAL_RECORDABLE_INCIDENT_RATE","FY 2013","FY 2013","Currency=USD","Period=FY","BEST_FPERIOD_OVERRIDE=FY","FILING_STATUS=MR","Sort=A","Dates=H","DateFormat=P","Fill=—","Direction=H","UseDPDF=Y")</f>
        <v>0.74</v>
      </c>
      <c r="D88" s="13">
        <f>_xll.BDH("EMN US Equity","TOTAL_RECORDABLE_INCIDENT_RATE","FY 2014","FY 2014","Currency=USD","Period=FY","BEST_FPERIOD_OVERRIDE=FY","FILING_STATUS=MR","Sort=A","Dates=H","DateFormat=P","Fill=—","Direction=H","UseDPDF=Y")</f>
        <v>0.63</v>
      </c>
      <c r="E88" s="13">
        <f>_xll.BDH("EMN US Equity","TOTAL_RECORDABLE_INCIDENT_RATE","FY 2015","FY 2015","Currency=USD","Period=FY","BEST_FPERIOD_OVERRIDE=FY","FILING_STATUS=MR","Sort=A","Dates=H","DateFormat=P","Fill=—","Direction=H","UseDPDF=Y")</f>
        <v>0.64</v>
      </c>
      <c r="F88" s="13">
        <f>_xll.BDH("EMN US Equity","TOTAL_RECORDABLE_INCIDENT_RATE","FY 2016","FY 2016","Currency=USD","Period=FY","BEST_FPERIOD_OVERRIDE=FY","FILING_STATUS=MR","Sort=A","Dates=H","DateFormat=P","Fill=—","Direction=H","UseDPDF=Y")</f>
        <v>0.8</v>
      </c>
      <c r="G88" s="13">
        <f>_xll.BDH("EMN US Equity","TOTAL_RECORDABLE_INCIDENT_RATE","FY 2017","FY 2017","Currency=USD","Period=FY","BEST_FPERIOD_OVERRIDE=FY","FILING_STATUS=MR","Sort=A","Dates=H","DateFormat=P","Fill=—","Direction=H","UseDPDF=Y")</f>
        <v>0.71</v>
      </c>
      <c r="H88" s="13">
        <f>_xll.BDH("EMN US Equity","TOTAL_RECORDABLE_INCIDENT_RATE","FY 2018","FY 2018","Currency=USD","Period=FY","BEST_FPERIOD_OVERRIDE=FY","FILING_STATUS=MR","Sort=A","Dates=H","DateFormat=P","Fill=—","Direction=H","UseDPDF=Y")</f>
        <v>0.73</v>
      </c>
      <c r="I88" s="13">
        <f>_xll.BDH("EMN US Equity","TOTAL_RECORDABLE_INCIDENT_RATE","FY 2019","FY 2019","Currency=USD","Period=FY","BEST_FPERIOD_OVERRIDE=FY","FILING_STATUS=MR","Sort=A","Dates=H","DateFormat=P","Fill=—","Direction=H","UseDPDF=Y")</f>
        <v>0.81</v>
      </c>
      <c r="J88" s="13">
        <f>_xll.BDH("EMN US Equity","TOTAL_RECORDABLE_INCIDENT_RATE","FY 2020","FY 2020","Currency=USD","Period=FY","BEST_FPERIOD_OVERRIDE=FY","FILING_STATUS=MR","Sort=A","Dates=H","DateFormat=P","Fill=—","Direction=H","UseDPDF=Y")</f>
        <v>0.81</v>
      </c>
      <c r="K88" s="13">
        <f>_xll.BDH("EMN US Equity","TOTAL_RECORDABLE_INCIDENT_RATE","FY 2021","FY 2021","Currency=USD","Period=FY","BEST_FPERIOD_OVERRIDE=FY","FILING_STATUS=MR","Sort=A","Dates=H","DateFormat=P","Fill=—","Direction=H","UseDPDF=Y")</f>
        <v>0.76</v>
      </c>
      <c r="L88" s="13" t="str">
        <f>_xll.BDH("EMN US Equity","TOTAL_RECORDABLE_INCIDENT_RATE","FY 2022","FY 2022","Currency=USD","Period=FY","BEST_FPERIOD_OVERRIDE=FY","FILING_STATUS=MR","Sort=A","Dates=H","DateFormat=P","Fill=—","Direction=H","UseDPDF=Y")</f>
        <v>—</v>
      </c>
    </row>
    <row r="89" spans="1:12">
      <c r="A89" s="10" t="s">
        <v>153</v>
      </c>
      <c r="B89" s="10" t="s">
        <v>154</v>
      </c>
      <c r="C89" s="13" t="str">
        <f>_xll.BDH("EMN US Equity","TOT_RECORDABLE_INCID_RT_CNTRCTR","FY 2013","FY 2013","Currency=USD","Period=FY","BEST_FPERIOD_OVERRIDE=FY","FILING_STATUS=MR","Sort=A","Dates=H","DateFormat=P","Fill=—","Direction=H","UseDPDF=Y")</f>
        <v>—</v>
      </c>
      <c r="D89" s="13" t="str">
        <f>_xll.BDH("EMN US Equity","TOT_RECORDABLE_INCID_RT_CNTRCTR","FY 2014","FY 2014","Currency=USD","Period=FY","BEST_FPERIOD_OVERRIDE=FY","FILING_STATUS=MR","Sort=A","Dates=H","DateFormat=P","Fill=—","Direction=H","UseDPDF=Y")</f>
        <v>—</v>
      </c>
      <c r="E89" s="13" t="str">
        <f>_xll.BDH("EMN US Equity","TOT_RECORDABLE_INCID_RT_CNTRCTR","FY 2015","FY 2015","Currency=USD","Period=FY","BEST_FPERIOD_OVERRIDE=FY","FILING_STATUS=MR","Sort=A","Dates=H","DateFormat=P","Fill=—","Direction=H","UseDPDF=Y")</f>
        <v>—</v>
      </c>
      <c r="F89" s="13" t="str">
        <f>_xll.BDH("EMN US Equity","TOT_RECORDABLE_INCID_RT_CNTRCTR","FY 2016","FY 2016","Currency=USD","Period=FY","BEST_FPERIOD_OVERRIDE=FY","FILING_STATUS=MR","Sort=A","Dates=H","DateFormat=P","Fill=—","Direction=H","UseDPDF=Y")</f>
        <v>—</v>
      </c>
      <c r="G89" s="13" t="str">
        <f>_xll.BDH("EMN US Equity","TOT_RECORDABLE_INCID_RT_CNTRCTR","FY 2017","FY 2017","Currency=USD","Period=FY","BEST_FPERIOD_OVERRIDE=FY","FILING_STATUS=MR","Sort=A","Dates=H","DateFormat=P","Fill=—","Direction=H","UseDPDF=Y")</f>
        <v>—</v>
      </c>
      <c r="H89" s="13">
        <f>_xll.BDH("EMN US Equity","TOT_RECORDABLE_INCID_RT_CNTRCTR","FY 2018","FY 2018","Currency=USD","Period=FY","BEST_FPERIOD_OVERRIDE=FY","FILING_STATUS=MR","Sort=A","Dates=H","DateFormat=P","Fill=—","Direction=H","UseDPDF=Y")</f>
        <v>0.48</v>
      </c>
      <c r="I89" s="13">
        <f>_xll.BDH("EMN US Equity","TOT_RECORDABLE_INCID_RT_CNTRCTR","FY 2019","FY 2019","Currency=USD","Period=FY","BEST_FPERIOD_OVERRIDE=FY","FILING_STATUS=MR","Sort=A","Dates=H","DateFormat=P","Fill=—","Direction=H","UseDPDF=Y")</f>
        <v>0.41</v>
      </c>
      <c r="J89" s="13">
        <f>_xll.BDH("EMN US Equity","TOT_RECORDABLE_INCID_RT_CNTRCTR","FY 2020","FY 2020","Currency=USD","Period=FY","BEST_FPERIOD_OVERRIDE=FY","FILING_STATUS=MR","Sort=A","Dates=H","DateFormat=P","Fill=—","Direction=H","UseDPDF=Y")</f>
        <v>0.44</v>
      </c>
      <c r="K89" s="13">
        <f>_xll.BDH("EMN US Equity","TOT_RECORDABLE_INCID_RT_CNTRCTR","FY 2021","FY 2021","Currency=USD","Period=FY","BEST_FPERIOD_OVERRIDE=FY","FILING_STATUS=MR","Sort=A","Dates=H","DateFormat=P","Fill=—","Direction=H","UseDPDF=Y")</f>
        <v>0.4</v>
      </c>
      <c r="L89" s="13" t="str">
        <f>_xll.BDH("EMN US Equity","TOT_RECORDABLE_INCID_RT_CNTRCTR","FY 2022","FY 2022","Currency=USD","Period=FY","BEST_FPERIOD_OVERRIDE=FY","FILING_STATUS=MR","Sort=A","Dates=H","DateFormat=P","Fill=—","Direction=H","UseDPDF=Y")</f>
        <v>—</v>
      </c>
    </row>
    <row r="90" spans="1:12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>
      <c r="A91" s="10" t="s">
        <v>155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0" t="s">
        <v>156</v>
      </c>
      <c r="B92" s="10" t="s">
        <v>157</v>
      </c>
      <c r="C92" s="11" t="s">
        <v>52</v>
      </c>
      <c r="D92" s="11" t="s">
        <v>52</v>
      </c>
      <c r="E92" s="11" t="s">
        <v>52</v>
      </c>
      <c r="F92" s="11" t="s">
        <v>52</v>
      </c>
      <c r="G92" s="11" t="s">
        <v>52</v>
      </c>
      <c r="H92" s="11" t="s">
        <v>52</v>
      </c>
      <c r="I92" s="11" t="s">
        <v>52</v>
      </c>
      <c r="J92" s="11" t="s">
        <v>52</v>
      </c>
      <c r="K92" s="11" t="s">
        <v>52</v>
      </c>
      <c r="L92" s="11" t="s">
        <v>53</v>
      </c>
    </row>
    <row r="93" spans="1:12">
      <c r="A93" s="10" t="s">
        <v>158</v>
      </c>
      <c r="B93" s="10" t="s">
        <v>159</v>
      </c>
      <c r="C93" s="11" t="s">
        <v>56</v>
      </c>
      <c r="D93" s="11" t="s">
        <v>56</v>
      </c>
      <c r="E93" s="11" t="s">
        <v>56</v>
      </c>
      <c r="F93" s="11" t="s">
        <v>56</v>
      </c>
      <c r="G93" s="11" t="s">
        <v>56</v>
      </c>
      <c r="H93" s="11" t="s">
        <v>56</v>
      </c>
      <c r="I93" s="11" t="s">
        <v>56</v>
      </c>
      <c r="J93" s="11" t="s">
        <v>56</v>
      </c>
      <c r="K93" s="11" t="s">
        <v>56</v>
      </c>
      <c r="L93" s="11" t="s">
        <v>53</v>
      </c>
    </row>
    <row r="94" spans="1:12">
      <c r="A94" s="10" t="s">
        <v>160</v>
      </c>
      <c r="B94" s="10" t="s">
        <v>161</v>
      </c>
      <c r="C94" s="13">
        <f>_xll.BDH("EMN US Equity","NUMBER_EMPLOYEES_CSR","FY 2013","FY 2013","Currency=USD","Period=FY","BEST_FPERIOD_OVERRIDE=FY","FILING_STATUS=MR","Sort=A","Dates=H","DateFormat=P","Fill=—","Direction=H","UseDPDF=Y")</f>
        <v>13695</v>
      </c>
      <c r="D94" s="13">
        <f>_xll.BDH("EMN US Equity","NUMBER_EMPLOYEES_CSR","FY 2014","FY 2014","Currency=USD","Period=FY","BEST_FPERIOD_OVERRIDE=FY","FILING_STATUS=MR","Sort=A","Dates=H","DateFormat=P","Fill=—","Direction=H","UseDPDF=Y")</f>
        <v>13981</v>
      </c>
      <c r="E94" s="13">
        <f>_xll.BDH("EMN US Equity","NUMBER_EMPLOYEES_CSR","FY 2015","FY 2015","Currency=USD","Period=FY","BEST_FPERIOD_OVERRIDE=FY","FILING_STATUS=MR","Sort=A","Dates=H","DateFormat=P","Fill=—","Direction=H","UseDPDF=Y")</f>
        <v>14939</v>
      </c>
      <c r="F94" s="13">
        <f>_xll.BDH("EMN US Equity","NUMBER_EMPLOYEES_CSR","FY 2016","FY 2016","Currency=USD","Period=FY","BEST_FPERIOD_OVERRIDE=FY","FILING_STATUS=MR","Sort=A","Dates=H","DateFormat=P","Fill=—","Direction=H","UseDPDF=Y")</f>
        <v>14388</v>
      </c>
      <c r="G94" s="13">
        <f>_xll.BDH("EMN US Equity","NUMBER_EMPLOYEES_CSR","FY 2017","FY 2017","Currency=USD","Period=FY","BEST_FPERIOD_OVERRIDE=FY","FILING_STATUS=MR","Sort=A","Dates=H","DateFormat=P","Fill=—","Direction=H","UseDPDF=Y")</f>
        <v>14474</v>
      </c>
      <c r="H94" s="13">
        <f>_xll.BDH("EMN US Equity","NUMBER_EMPLOYEES_CSR","FY 2018","FY 2018","Currency=USD","Period=FY","BEST_FPERIOD_OVERRIDE=FY","FILING_STATUS=MR","Sort=A","Dates=H","DateFormat=P","Fill=—","Direction=H","UseDPDF=Y")</f>
        <v>14819</v>
      </c>
      <c r="I94" s="13">
        <f>_xll.BDH("EMN US Equity","NUMBER_EMPLOYEES_CSR","FY 2019","FY 2019","Currency=USD","Period=FY","BEST_FPERIOD_OVERRIDE=FY","FILING_STATUS=MR","Sort=A","Dates=H","DateFormat=P","Fill=—","Direction=H","UseDPDF=Y")</f>
        <v>14820</v>
      </c>
      <c r="J94" s="13">
        <f>_xll.BDH("EMN US Equity","NUMBER_EMPLOYEES_CSR","FY 2020","FY 2020","Currency=USD","Period=FY","BEST_FPERIOD_OVERRIDE=FY","FILING_STATUS=MR","Sort=A","Dates=H","DateFormat=P","Fill=—","Direction=H","UseDPDF=Y")</f>
        <v>14500</v>
      </c>
      <c r="K94" s="13">
        <f>_xll.BDH("EMN US Equity","NUMBER_EMPLOYEES_CSR","FY 2021","FY 2021","Currency=USD","Period=FY","BEST_FPERIOD_OVERRIDE=FY","FILING_STATUS=MR","Sort=A","Dates=H","DateFormat=P","Fill=—","Direction=H","UseDPDF=Y")</f>
        <v>14414</v>
      </c>
      <c r="L94" s="13">
        <f>_xll.BDH("EMN US Equity","NUMBER_EMPLOYEES_CSR","FY 2022","FY 2022","Currency=USD","Period=FY","BEST_FPERIOD_OVERRIDE=FY","FILING_STATUS=MR","Sort=A","Dates=H","DateFormat=P","Fill=—","Direction=H","UseDPDF=Y")</f>
        <v>14500</v>
      </c>
    </row>
    <row r="95" spans="1:12">
      <c r="A95" s="10" t="s">
        <v>162</v>
      </c>
      <c r="B95" s="10" t="s">
        <v>163</v>
      </c>
      <c r="C95" s="13">
        <f>_xll.BDH("EMN US Equity","EMPLOYEE_TURNOVER_PCT","FY 2013","FY 2013","Currency=USD","Period=FY","BEST_FPERIOD_OVERRIDE=FY","FILING_STATUS=MR","Sort=A","Dates=H","DateFormat=P","Fill=—","Direction=H","UseDPDF=Y")</f>
        <v>6.7</v>
      </c>
      <c r="D95" s="13">
        <f>_xll.BDH("EMN US Equity","EMPLOYEE_TURNOVER_PCT","FY 2014","FY 2014","Currency=USD","Period=FY","BEST_FPERIOD_OVERRIDE=FY","FILING_STATUS=MR","Sort=A","Dates=H","DateFormat=P","Fill=—","Direction=H","UseDPDF=Y")</f>
        <v>7.8</v>
      </c>
      <c r="E95" s="13">
        <f>_xll.BDH("EMN US Equity","EMPLOYEE_TURNOVER_PCT","FY 2015","FY 2015","Currency=USD","Period=FY","BEST_FPERIOD_OVERRIDE=FY","FILING_STATUS=MR","Sort=A","Dates=H","DateFormat=P","Fill=—","Direction=H","UseDPDF=Y")</f>
        <v>7.8</v>
      </c>
      <c r="F95" s="13">
        <f>_xll.BDH("EMN US Equity","EMPLOYEE_TURNOVER_PCT","FY 2016","FY 2016","Currency=USD","Period=FY","BEST_FPERIOD_OVERRIDE=FY","FILING_STATUS=MR","Sort=A","Dates=H","DateFormat=P","Fill=—","Direction=H","UseDPDF=Y")</f>
        <v>9.8000000000000007</v>
      </c>
      <c r="G95" s="13">
        <f>_xll.BDH("EMN US Equity","EMPLOYEE_TURNOVER_PCT","FY 2017","FY 2017","Currency=USD","Period=FY","BEST_FPERIOD_OVERRIDE=FY","FILING_STATUS=MR","Sort=A","Dates=H","DateFormat=P","Fill=—","Direction=H","UseDPDF=Y")</f>
        <v>7.3</v>
      </c>
      <c r="H95" s="13">
        <f>_xll.BDH("EMN US Equity","EMPLOYEE_TURNOVER_PCT","FY 2018","FY 2018","Currency=USD","Period=FY","BEST_FPERIOD_OVERRIDE=FY","FILING_STATUS=MR","Sort=A","Dates=H","DateFormat=P","Fill=—","Direction=H","UseDPDF=Y")</f>
        <v>8.1999999999999993</v>
      </c>
      <c r="I95" s="13">
        <f>_xll.BDH("EMN US Equity","EMPLOYEE_TURNOVER_PCT","FY 2019","FY 2019","Currency=USD","Period=FY","BEST_FPERIOD_OVERRIDE=FY","FILING_STATUS=MR","Sort=A","Dates=H","DateFormat=P","Fill=—","Direction=H","UseDPDF=Y")</f>
        <v>10</v>
      </c>
      <c r="J95" s="13">
        <f>_xll.BDH("EMN US Equity","EMPLOYEE_TURNOVER_PCT","FY 2020","FY 2020","Currency=USD","Period=FY","BEST_FPERIOD_OVERRIDE=FY","FILING_STATUS=MR","Sort=A","Dates=H","DateFormat=P","Fill=—","Direction=H","UseDPDF=Y")</f>
        <v>9.1999999999999993</v>
      </c>
      <c r="K95" s="13">
        <f>_xll.BDH("EMN US Equity","EMPLOYEE_TURNOVER_PCT","FY 2021","FY 2021","Currency=USD","Period=FY","BEST_FPERIOD_OVERRIDE=FY","FILING_STATUS=MR","Sort=A","Dates=H","DateFormat=P","Fill=—","Direction=H","UseDPDF=Y")</f>
        <v>11.2</v>
      </c>
      <c r="L95" s="13" t="str">
        <f>_xll.BDH("EMN US Equity","EMPLOYEE_TURNOVER_PCT","FY 2022","FY 2022","Currency=USD","Period=FY","BEST_FPERIOD_OVERRIDE=FY","FILING_STATUS=MR","Sort=A","Dates=H","DateFormat=P","Fill=—","Direction=H","UseDPDF=Y")</f>
        <v>—</v>
      </c>
    </row>
    <row r="96" spans="1:12">
      <c r="A96" s="10" t="s">
        <v>164</v>
      </c>
      <c r="B96" s="10" t="s">
        <v>165</v>
      </c>
      <c r="C96" s="13">
        <f>_xll.BDH("EMN US Equity","PCT_EMPLOYEES_UNIONIZED","FY 2013","FY 2013","Currency=USD","Period=FY","BEST_FPERIOD_OVERRIDE=FY","FILING_STATUS=MR","Sort=A","Dates=H","DateFormat=P","Fill=—","Direction=H","UseDPDF=Y")</f>
        <v>10</v>
      </c>
      <c r="D96" s="13">
        <f>_xll.BDH("EMN US Equity","PCT_EMPLOYEES_UNIONIZED","FY 2014","FY 2014","Currency=USD","Period=FY","BEST_FPERIOD_OVERRIDE=FY","FILING_STATUS=MR","Sort=A","Dates=H","DateFormat=P","Fill=—","Direction=H","UseDPDF=Y")</f>
        <v>10</v>
      </c>
      <c r="E96" s="13">
        <f>_xll.BDH("EMN US Equity","PCT_EMPLOYEES_UNIONIZED","FY 2015","FY 2015","Currency=USD","Period=FY","BEST_FPERIOD_OVERRIDE=FY","FILING_STATUS=MR","Sort=A","Dates=H","DateFormat=P","Fill=—","Direction=H","UseDPDF=Y")</f>
        <v>9.4</v>
      </c>
      <c r="F96" s="13">
        <f>_xll.BDH("EMN US Equity","PCT_EMPLOYEES_UNIONIZED","FY 2016","FY 2016","Currency=USD","Period=FY","BEST_FPERIOD_OVERRIDE=FY","FILING_STATUS=MR","Sort=A","Dates=H","DateFormat=P","Fill=—","Direction=H","UseDPDF=Y")</f>
        <v>4</v>
      </c>
      <c r="G96" s="13">
        <f>_xll.BDH("EMN US Equity","PCT_EMPLOYEES_UNIONIZED","FY 2017","FY 2017","Currency=USD","Period=FY","BEST_FPERIOD_OVERRIDE=FY","FILING_STATUS=MR","Sort=A","Dates=H","DateFormat=P","Fill=—","Direction=H","UseDPDF=Y")</f>
        <v>10</v>
      </c>
      <c r="H96" s="13">
        <f>_xll.BDH("EMN US Equity","PCT_EMPLOYEES_UNIONIZED","FY 2018","FY 2018","Currency=USD","Period=FY","BEST_FPERIOD_OVERRIDE=FY","FILING_STATUS=MR","Sort=A","Dates=H","DateFormat=P","Fill=—","Direction=H","UseDPDF=Y")</f>
        <v>10</v>
      </c>
      <c r="I96" s="13">
        <f>_xll.BDH("EMN US Equity","PCT_EMPLOYEES_UNIONIZED","FY 2019","FY 2019","Currency=USD","Period=FY","BEST_FPERIOD_OVERRIDE=FY","FILING_STATUS=MR","Sort=A","Dates=H","DateFormat=P","Fill=—","Direction=H","UseDPDF=Y")</f>
        <v>10</v>
      </c>
      <c r="J96" s="13" t="str">
        <f>_xll.BDH("EMN US Equity","PCT_EMPLOYEES_UNIONIZED","FY 2020","FY 2020","Currency=USD","Period=FY","BEST_FPERIOD_OVERRIDE=FY","FILING_STATUS=MR","Sort=A","Dates=H","DateFormat=P","Fill=—","Direction=H","UseDPDF=Y")</f>
        <v>—</v>
      </c>
      <c r="K96" s="13">
        <f>_xll.BDH("EMN US Equity","PCT_EMPLOYEES_UNIONIZED","FY 2021","FY 2021","Currency=USD","Period=FY","BEST_FPERIOD_OVERRIDE=FY","FILING_STATUS=MR","Sort=A","Dates=H","DateFormat=P","Fill=—","Direction=H","UseDPDF=Y")</f>
        <v>5</v>
      </c>
      <c r="L96" s="13" t="str">
        <f>_xll.BDH("EMN US Equity","PCT_EMPLOYEES_UNIONIZED","FY 2022","FY 2022","Currency=USD","Period=FY","BEST_FPERIOD_OVERRIDE=FY","FILING_STATUS=MR","Sort=A","Dates=H","DateFormat=P","Fill=—","Direction=H","UseDPDF=Y")</f>
        <v>—</v>
      </c>
    </row>
    <row r="97" spans="1:12">
      <c r="A97" s="10" t="s">
        <v>166</v>
      </c>
      <c r="B97" s="10" t="s">
        <v>167</v>
      </c>
      <c r="C97" s="13">
        <f>_xll.BDH("EMN US Equity","TOT_HRS_SPENT_BY_FIRM_EMP_TRAIN","FY 2013","FY 2013","Currency=USD","Period=FY","BEST_FPERIOD_OVERRIDE=FY","FILING_STATUS=MR","Sort=A","Dates=H","DateFormat=P","Fill=—","Direction=H","UseDPDF=Y")</f>
        <v>616000</v>
      </c>
      <c r="D97" s="13">
        <f>_xll.BDH("EMN US Equity","TOT_HRS_SPENT_BY_FIRM_EMP_TRAIN","FY 2014","FY 2014","Currency=USD","Period=FY","BEST_FPERIOD_OVERRIDE=FY","FILING_STATUS=MR","Sort=A","Dates=H","DateFormat=P","Fill=—","Direction=H","UseDPDF=Y")</f>
        <v>660000</v>
      </c>
      <c r="E97" s="13">
        <f>_xll.BDH("EMN US Equity","TOT_HRS_SPENT_BY_FIRM_EMP_TRAIN","FY 2015","FY 2015","Currency=USD","Period=FY","BEST_FPERIOD_OVERRIDE=FY","FILING_STATUS=MR","Sort=A","Dates=H","DateFormat=P","Fill=—","Direction=H","UseDPDF=Y")</f>
        <v>403353</v>
      </c>
      <c r="F97" s="13">
        <f>_xll.BDH("EMN US Equity","TOT_HRS_SPENT_BY_FIRM_EMP_TRAIN","FY 2016","FY 2016","Currency=USD","Period=FY","BEST_FPERIOD_OVERRIDE=FY","FILING_STATUS=MR","Sort=A","Dates=H","DateFormat=P","Fill=—","Direction=H","UseDPDF=Y")</f>
        <v>633072</v>
      </c>
      <c r="G97" s="13">
        <f>_xll.BDH("EMN US Equity","TOT_HRS_SPENT_BY_FIRM_EMP_TRAIN","FY 2017","FY 2017","Currency=USD","Period=FY","BEST_FPERIOD_OVERRIDE=FY","FILING_STATUS=MR","Sort=A","Dates=H","DateFormat=P","Fill=—","Direction=H","UseDPDF=Y")</f>
        <v>607908</v>
      </c>
      <c r="H97" s="13">
        <f>_xll.BDH("EMN US Equity","TOT_HRS_SPENT_BY_FIRM_EMP_TRAIN","FY 2018","FY 2018","Currency=USD","Period=FY","BEST_FPERIOD_OVERRIDE=FY","FILING_STATUS=MR","Sort=A","Dates=H","DateFormat=P","Fill=—","Direction=H","UseDPDF=Y")</f>
        <v>992873</v>
      </c>
      <c r="I97" s="13">
        <f>_xll.BDH("EMN US Equity","TOT_HRS_SPENT_BY_FIRM_EMP_TRAIN","FY 2019","FY 2019","Currency=USD","Period=FY","BEST_FPERIOD_OVERRIDE=FY","FILING_STATUS=MR","Sort=A","Dates=H","DateFormat=P","Fill=—","Direction=H","UseDPDF=Y")</f>
        <v>607620</v>
      </c>
      <c r="J97" s="13">
        <f>_xll.BDH("EMN US Equity","TOT_HRS_SPENT_BY_FIRM_EMP_TRAIN","FY 2020","FY 2020","Currency=USD","Period=FY","BEST_FPERIOD_OVERRIDE=FY","FILING_STATUS=MR","Sort=A","Dates=H","DateFormat=P","Fill=—","Direction=H","UseDPDF=Y")</f>
        <v>478500</v>
      </c>
      <c r="K97" s="13">
        <f>_xll.BDH("EMN US Equity","TOT_HRS_SPENT_BY_FIRM_EMP_TRAIN","FY 2021","FY 2021","Currency=USD","Period=FY","BEST_FPERIOD_OVERRIDE=FY","FILING_STATUS=MR","Sort=A","Dates=H","DateFormat=P","Fill=—","Direction=H","UseDPDF=Y")</f>
        <v>360350</v>
      </c>
      <c r="L97" s="13" t="str">
        <f>_xll.BDH("EMN US Equity","TOT_HRS_SPENT_BY_FIRM_EMP_TRAIN","FY 2022","FY 2022","Currency=USD","Period=FY","BEST_FPERIOD_OVERRIDE=FY","FILING_STATUS=MR","Sort=A","Dates=H","DateFormat=P","Fill=—","Direction=H","UseDPDF=Y")</f>
        <v>—</v>
      </c>
    </row>
    <row r="98" spans="1:1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>
      <c r="A99" s="10" t="s">
        <v>100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0" t="s">
        <v>168</v>
      </c>
      <c r="B100" s="10" t="s">
        <v>169</v>
      </c>
      <c r="C100" s="11" t="s">
        <v>52</v>
      </c>
      <c r="D100" s="11" t="s">
        <v>52</v>
      </c>
      <c r="E100" s="11" t="s">
        <v>52</v>
      </c>
      <c r="F100" s="11" t="s">
        <v>52</v>
      </c>
      <c r="G100" s="11" t="s">
        <v>52</v>
      </c>
      <c r="H100" s="11" t="s">
        <v>52</v>
      </c>
      <c r="I100" s="11" t="s">
        <v>52</v>
      </c>
      <c r="J100" s="11" t="s">
        <v>52</v>
      </c>
      <c r="K100" s="11" t="s">
        <v>52</v>
      </c>
      <c r="L100" s="11" t="s">
        <v>52</v>
      </c>
    </row>
    <row r="101" spans="1:12">
      <c r="A101" s="10" t="s">
        <v>170</v>
      </c>
      <c r="B101" s="10" t="s">
        <v>171</v>
      </c>
      <c r="C101" s="13" t="str">
        <f>_xll.BDH("EMN US Equity","SUPPLIERS_AUDITED","FY 2013","FY 2013","Currency=USD","Period=FY","BEST_FPERIOD_OVERRIDE=FY","FILING_STATUS=MR","Sort=A","Dates=H","DateFormat=P","Fill=—","Direction=H","UseDPDF=Y")</f>
        <v>—</v>
      </c>
      <c r="D101" s="13" t="str">
        <f>_xll.BDH("EMN US Equity","SUPPLIERS_AUDITED","FY 2014","FY 2014","Currency=USD","Period=FY","BEST_FPERIOD_OVERRIDE=FY","FILING_STATUS=MR","Sort=A","Dates=H","DateFormat=P","Fill=—","Direction=H","UseDPDF=Y")</f>
        <v>—</v>
      </c>
      <c r="E101" s="13" t="str">
        <f>_xll.BDH("EMN US Equity","SUPPLIERS_AUDITED","FY 2015","FY 2015","Currency=USD","Period=FY","BEST_FPERIOD_OVERRIDE=FY","FILING_STATUS=MR","Sort=A","Dates=H","DateFormat=P","Fill=—","Direction=H","UseDPDF=Y")</f>
        <v>—</v>
      </c>
      <c r="F101" s="13" t="str">
        <f>_xll.BDH("EMN US Equity","SUPPLIERS_AUDITED","FY 2016","FY 2016","Currency=USD","Period=FY","BEST_FPERIOD_OVERRIDE=FY","FILING_STATUS=MR","Sort=A","Dates=H","DateFormat=P","Fill=—","Direction=H","UseDPDF=Y")</f>
        <v>—</v>
      </c>
      <c r="G101" s="13">
        <f>_xll.BDH("EMN US Equity","SUPPLIERS_AUDITED","FY 2017","FY 2017","Currency=USD","Period=FY","BEST_FPERIOD_OVERRIDE=FY","FILING_STATUS=MR","Sort=A","Dates=H","DateFormat=P","Fill=—","Direction=H","UseDPDF=Y")</f>
        <v>174</v>
      </c>
      <c r="H101" s="13" t="str">
        <f>_xll.BDH("EMN US Equity","SUPPLIERS_AUDITED","FY 2018","FY 2018","Currency=USD","Period=FY","BEST_FPERIOD_OVERRIDE=FY","FILING_STATUS=MR","Sort=A","Dates=H","DateFormat=P","Fill=—","Direction=H","UseDPDF=Y")</f>
        <v>—</v>
      </c>
      <c r="I101" s="13" t="str">
        <f>_xll.BDH("EMN US Equity","SUPPLIERS_AUDITED","FY 2019","FY 2019","Currency=USD","Period=FY","BEST_FPERIOD_OVERRIDE=FY","FILING_STATUS=MR","Sort=A","Dates=H","DateFormat=P","Fill=—","Direction=H","UseDPDF=Y")</f>
        <v>—</v>
      </c>
      <c r="J101" s="13" t="str">
        <f>_xll.BDH("EMN US Equity","SUPPLIERS_AUDITED","FY 2020","FY 2020","Currency=USD","Period=FY","BEST_FPERIOD_OVERRIDE=FY","FILING_STATUS=MR","Sort=A","Dates=H","DateFormat=P","Fill=—","Direction=H","UseDPDF=Y")</f>
        <v>—</v>
      </c>
      <c r="K101" s="13" t="str">
        <f>_xll.BDH("EMN US Equity","SUPPLIERS_AUDITED","FY 2021","FY 2021","Currency=USD","Period=FY","BEST_FPERIOD_OVERRIDE=FY","FILING_STATUS=MR","Sort=A","Dates=H","DateFormat=P","Fill=—","Direction=H","UseDPDF=Y")</f>
        <v>—</v>
      </c>
      <c r="L101" s="13" t="str">
        <f>_xll.BDH("EMN US Equity","SUPPLIERS_AUDITED","FY 2022","FY 2022","Currency=USD","Period=FY","BEST_FPERIOD_OVERRIDE=FY","FILING_STATUS=MR","Sort=A","Dates=H","DateFormat=P","Fill=—","Direction=H","UseDPDF=Y")</f>
        <v>—</v>
      </c>
    </row>
    <row r="102" spans="1:1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0" t="s">
        <v>172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>
      <c r="A104" s="10" t="s">
        <v>173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>
      <c r="A105" s="10" t="s">
        <v>174</v>
      </c>
      <c r="B105" s="10" t="s">
        <v>175</v>
      </c>
      <c r="C105" s="13">
        <f>_xll.BDH("EMN US Equity","YEARS_AUDITOR_EMPLOYED","FY 2013","FY 2013","Currency=USD","Period=FY","BEST_FPERIOD_OVERRIDE=FY","FILING_STATUS=MR","Sort=A","Dates=H","DateFormat=P","Fill=—","Direction=H","UseDPDF=Y")</f>
        <v>21</v>
      </c>
      <c r="D105" s="13">
        <f>_xll.BDH("EMN US Equity","YEARS_AUDITOR_EMPLOYED","FY 2014","FY 2014","Currency=USD","Period=FY","BEST_FPERIOD_OVERRIDE=FY","FILING_STATUS=MR","Sort=A","Dates=H","DateFormat=P","Fill=—","Direction=H","UseDPDF=Y")</f>
        <v>22</v>
      </c>
      <c r="E105" s="13">
        <f>_xll.BDH("EMN US Equity","YEARS_AUDITOR_EMPLOYED","FY 2015","FY 2015","Currency=USD","Period=FY","BEST_FPERIOD_OVERRIDE=FY","FILING_STATUS=MR","Sort=A","Dates=H","DateFormat=P","Fill=—","Direction=H","UseDPDF=Y")</f>
        <v>23</v>
      </c>
      <c r="F105" s="13">
        <f>_xll.BDH("EMN US Equity","YEARS_AUDITOR_EMPLOYED","FY 2016","FY 2016","Currency=USD","Period=FY","BEST_FPERIOD_OVERRIDE=FY","FILING_STATUS=MR","Sort=A","Dates=H","DateFormat=P","Fill=—","Direction=H","UseDPDF=Y")</f>
        <v>24</v>
      </c>
      <c r="G105" s="13">
        <f>_xll.BDH("EMN US Equity","YEARS_AUDITOR_EMPLOYED","FY 2017","FY 2017","Currency=USD","Period=FY","BEST_FPERIOD_OVERRIDE=FY","FILING_STATUS=MR","Sort=A","Dates=H","DateFormat=P","Fill=—","Direction=H","UseDPDF=Y")</f>
        <v>25</v>
      </c>
      <c r="H105" s="13">
        <f>_xll.BDH("EMN US Equity","YEARS_AUDITOR_EMPLOYED","FY 2018","FY 2018","Currency=USD","Period=FY","BEST_FPERIOD_OVERRIDE=FY","FILING_STATUS=MR","Sort=A","Dates=H","DateFormat=P","Fill=—","Direction=H","UseDPDF=Y")</f>
        <v>26</v>
      </c>
      <c r="I105" s="13">
        <f>_xll.BDH("EMN US Equity","YEARS_AUDITOR_EMPLOYED","FY 2019","FY 2019","Currency=USD","Period=FY","BEST_FPERIOD_OVERRIDE=FY","FILING_STATUS=MR","Sort=A","Dates=H","DateFormat=P","Fill=—","Direction=H","UseDPDF=Y")</f>
        <v>27</v>
      </c>
      <c r="J105" s="13">
        <f>_xll.BDH("EMN US Equity","YEARS_AUDITOR_EMPLOYED","FY 2020","FY 2020","Currency=USD","Period=FY","BEST_FPERIOD_OVERRIDE=FY","FILING_STATUS=MR","Sort=A","Dates=H","DateFormat=P","Fill=—","Direction=H","UseDPDF=Y")</f>
        <v>28</v>
      </c>
      <c r="K105" s="13">
        <f>_xll.BDH("EMN US Equity","YEARS_AUDITOR_EMPLOYED","FY 2021","FY 2021","Currency=USD","Period=FY","BEST_FPERIOD_OVERRIDE=FY","FILING_STATUS=MR","Sort=A","Dates=H","DateFormat=P","Fill=—","Direction=H","UseDPDF=Y")</f>
        <v>29</v>
      </c>
      <c r="L105" s="13">
        <f>_xll.BDH("EMN US Equity","YEARS_AUDITOR_EMPLOYED","FY 2022","FY 2022","Currency=USD","Period=FY","BEST_FPERIOD_OVERRIDE=FY","FILING_STATUS=MR","Sort=A","Dates=H","DateFormat=P","Fill=—","Direction=H","UseDPDF=Y")</f>
        <v>30</v>
      </c>
    </row>
    <row r="106" spans="1:12">
      <c r="A106" s="10" t="s">
        <v>176</v>
      </c>
      <c r="B106" s="10" t="s">
        <v>177</v>
      </c>
      <c r="C106" s="13">
        <f>_xll.BDH("EMN US Equity","SIZE_OF_AUDIT_COMMITTEE","FY 2013","FY 2013","Currency=USD","Period=FY","BEST_FPERIOD_OVERRIDE=FY","FILING_STATUS=MR","Sort=A","Dates=H","DateFormat=P","Fill=—","Direction=H","UseDPDF=Y")</f>
        <v>6</v>
      </c>
      <c r="D106" s="13">
        <f>_xll.BDH("EMN US Equity","SIZE_OF_AUDIT_COMMITTEE","FY 2014","FY 2014","Currency=USD","Period=FY","BEST_FPERIOD_OVERRIDE=FY","FILING_STATUS=MR","Sort=A","Dates=H","DateFormat=P","Fill=—","Direction=H","UseDPDF=Y")</f>
        <v>5</v>
      </c>
      <c r="E106" s="13">
        <f>_xll.BDH("EMN US Equity","SIZE_OF_AUDIT_COMMITTEE","FY 2015","FY 2015","Currency=USD","Period=FY","BEST_FPERIOD_OVERRIDE=FY","FILING_STATUS=MR","Sort=A","Dates=H","DateFormat=P","Fill=—","Direction=H","UseDPDF=Y")</f>
        <v>5</v>
      </c>
      <c r="F106" s="13">
        <f>_xll.BDH("EMN US Equity","SIZE_OF_AUDIT_COMMITTEE","FY 2016","FY 2016","Currency=USD","Period=FY","BEST_FPERIOD_OVERRIDE=FY","FILING_STATUS=MR","Sort=A","Dates=H","DateFormat=P","Fill=—","Direction=H","UseDPDF=Y")</f>
        <v>4</v>
      </c>
      <c r="G106" s="13">
        <f>_xll.BDH("EMN US Equity","SIZE_OF_AUDIT_COMMITTEE","FY 2017","FY 2017","Currency=USD","Period=FY","BEST_FPERIOD_OVERRIDE=FY","FILING_STATUS=MR","Sort=A","Dates=H","DateFormat=P","Fill=—","Direction=H","UseDPDF=Y")</f>
        <v>5</v>
      </c>
      <c r="H106" s="13">
        <f>_xll.BDH("EMN US Equity","SIZE_OF_AUDIT_COMMITTEE","FY 2018","FY 2018","Currency=USD","Period=FY","BEST_FPERIOD_OVERRIDE=FY","FILING_STATUS=MR","Sort=A","Dates=H","DateFormat=P","Fill=—","Direction=H","UseDPDF=Y")</f>
        <v>5</v>
      </c>
      <c r="I106" s="13">
        <f>_xll.BDH("EMN US Equity","SIZE_OF_AUDIT_COMMITTEE","FY 2019","FY 2019","Currency=USD","Period=FY","BEST_FPERIOD_OVERRIDE=FY","FILING_STATUS=MR","Sort=A","Dates=H","DateFormat=P","Fill=—","Direction=H","UseDPDF=Y")</f>
        <v>4</v>
      </c>
      <c r="J106" s="13">
        <f>_xll.BDH("EMN US Equity","SIZE_OF_AUDIT_COMMITTEE","FY 2020","FY 2020","Currency=USD","Period=FY","BEST_FPERIOD_OVERRIDE=FY","FILING_STATUS=MR","Sort=A","Dates=H","DateFormat=P","Fill=—","Direction=H","UseDPDF=Y")</f>
        <v>5</v>
      </c>
      <c r="K106" s="13">
        <f>_xll.BDH("EMN US Equity","SIZE_OF_AUDIT_COMMITTEE","FY 2021","FY 2021","Currency=USD","Period=FY","BEST_FPERIOD_OVERRIDE=FY","FILING_STATUS=MR","Sort=A","Dates=H","DateFormat=P","Fill=—","Direction=H","UseDPDF=Y")</f>
        <v>4</v>
      </c>
      <c r="L106" s="13">
        <f>_xll.BDH("EMN US Equity","SIZE_OF_AUDIT_COMMITTEE","FY 2022","FY 2022","Currency=USD","Period=FY","BEST_FPERIOD_OVERRIDE=FY","FILING_STATUS=MR","Sort=A","Dates=H","DateFormat=P","Fill=—","Direction=H","UseDPDF=Y")</f>
        <v>5</v>
      </c>
    </row>
    <row r="107" spans="1:12">
      <c r="A107" s="10" t="s">
        <v>178</v>
      </c>
      <c r="B107" s="10" t="s">
        <v>179</v>
      </c>
      <c r="C107" s="13">
        <f>_xll.BDH("EMN US Equity","NUM_IND_DIR_ON_AUD_CMTE","FY 2013","FY 2013","Currency=USD","Period=FY","BEST_FPERIOD_OVERRIDE=FY","FILING_STATUS=MR","Sort=A","Dates=H","DateFormat=P","Fill=—","Direction=H","UseDPDF=Y")</f>
        <v>6</v>
      </c>
      <c r="D107" s="13">
        <f>_xll.BDH("EMN US Equity","NUM_IND_DIR_ON_AUD_CMTE","FY 2014","FY 2014","Currency=USD","Period=FY","BEST_FPERIOD_OVERRIDE=FY","FILING_STATUS=MR","Sort=A","Dates=H","DateFormat=P","Fill=—","Direction=H","UseDPDF=Y")</f>
        <v>5</v>
      </c>
      <c r="E107" s="13">
        <f>_xll.BDH("EMN US Equity","NUM_IND_DIR_ON_AUD_CMTE","FY 2015","FY 2015","Currency=USD","Period=FY","BEST_FPERIOD_OVERRIDE=FY","FILING_STATUS=MR","Sort=A","Dates=H","DateFormat=P","Fill=—","Direction=H","UseDPDF=Y")</f>
        <v>5</v>
      </c>
      <c r="F107" s="13">
        <f>_xll.BDH("EMN US Equity","NUM_IND_DIR_ON_AUD_CMTE","FY 2016","FY 2016","Currency=USD","Period=FY","BEST_FPERIOD_OVERRIDE=FY","FILING_STATUS=MR","Sort=A","Dates=H","DateFormat=P","Fill=—","Direction=H","UseDPDF=Y")</f>
        <v>4</v>
      </c>
      <c r="G107" s="13">
        <f>_xll.BDH("EMN US Equity","NUM_IND_DIR_ON_AUD_CMTE","FY 2017","FY 2017","Currency=USD","Period=FY","BEST_FPERIOD_OVERRIDE=FY","FILING_STATUS=MR","Sort=A","Dates=H","DateFormat=P","Fill=—","Direction=H","UseDPDF=Y")</f>
        <v>5</v>
      </c>
      <c r="H107" s="13">
        <f>_xll.BDH("EMN US Equity","NUM_IND_DIR_ON_AUD_CMTE","FY 2018","FY 2018","Currency=USD","Period=FY","BEST_FPERIOD_OVERRIDE=FY","FILING_STATUS=MR","Sort=A","Dates=H","DateFormat=P","Fill=—","Direction=H","UseDPDF=Y")</f>
        <v>5</v>
      </c>
      <c r="I107" s="13">
        <f>_xll.BDH("EMN US Equity","NUM_IND_DIR_ON_AUD_CMTE","FY 2019","FY 2019","Currency=USD","Period=FY","BEST_FPERIOD_OVERRIDE=FY","FILING_STATUS=MR","Sort=A","Dates=H","DateFormat=P","Fill=—","Direction=H","UseDPDF=Y")</f>
        <v>4</v>
      </c>
      <c r="J107" s="13">
        <f>_xll.BDH("EMN US Equity","NUM_IND_DIR_ON_AUD_CMTE","FY 2020","FY 2020","Currency=USD","Period=FY","BEST_FPERIOD_OVERRIDE=FY","FILING_STATUS=MR","Sort=A","Dates=H","DateFormat=P","Fill=—","Direction=H","UseDPDF=Y")</f>
        <v>5</v>
      </c>
      <c r="K107" s="13">
        <f>_xll.BDH("EMN US Equity","NUM_IND_DIR_ON_AUD_CMTE","FY 2021","FY 2021","Currency=USD","Period=FY","BEST_FPERIOD_OVERRIDE=FY","FILING_STATUS=MR","Sort=A","Dates=H","DateFormat=P","Fill=—","Direction=H","UseDPDF=Y")</f>
        <v>4</v>
      </c>
      <c r="L107" s="13">
        <f>_xll.BDH("EMN US Equity","NUM_IND_DIR_ON_AUD_CMTE","FY 2022","FY 2022","Currency=USD","Period=FY","BEST_FPERIOD_OVERRIDE=FY","FILING_STATUS=MR","Sort=A","Dates=H","DateFormat=P","Fill=—","Direction=H","UseDPDF=Y")</f>
        <v>5</v>
      </c>
    </row>
    <row r="108" spans="1:12">
      <c r="A108" s="10" t="s">
        <v>180</v>
      </c>
      <c r="B108" s="10" t="s">
        <v>181</v>
      </c>
      <c r="C108" s="13">
        <f>_xll.BDH("EMN US Equity","AUDIT_COMMITTEE_MEETINGS","FY 2013","FY 2013","Currency=USD","Period=FY","BEST_FPERIOD_OVERRIDE=FY","FILING_STATUS=MR","Sort=A","Dates=H","DateFormat=P","Fill=—","Direction=H","UseDPDF=Y")</f>
        <v>9</v>
      </c>
      <c r="D108" s="13">
        <f>_xll.BDH("EMN US Equity","AUDIT_COMMITTEE_MEETINGS","FY 2014","FY 2014","Currency=USD","Period=FY","BEST_FPERIOD_OVERRIDE=FY","FILING_STATUS=MR","Sort=A","Dates=H","DateFormat=P","Fill=—","Direction=H","UseDPDF=Y")</f>
        <v>9</v>
      </c>
      <c r="E108" s="13">
        <f>_xll.BDH("EMN US Equity","AUDIT_COMMITTEE_MEETINGS","FY 2015","FY 2015","Currency=USD","Period=FY","BEST_FPERIOD_OVERRIDE=FY","FILING_STATUS=MR","Sort=A","Dates=H","DateFormat=P","Fill=—","Direction=H","UseDPDF=Y")</f>
        <v>9</v>
      </c>
      <c r="F108" s="13">
        <f>_xll.BDH("EMN US Equity","AUDIT_COMMITTEE_MEETINGS","FY 2016","FY 2016","Currency=USD","Period=FY","BEST_FPERIOD_OVERRIDE=FY","FILING_STATUS=MR","Sort=A","Dates=H","DateFormat=P","Fill=—","Direction=H","UseDPDF=Y")</f>
        <v>9</v>
      </c>
      <c r="G108" s="13">
        <f>_xll.BDH("EMN US Equity","AUDIT_COMMITTEE_MEETINGS","FY 2017","FY 2017","Currency=USD","Period=FY","BEST_FPERIOD_OVERRIDE=FY","FILING_STATUS=MR","Sort=A","Dates=H","DateFormat=P","Fill=—","Direction=H","UseDPDF=Y")</f>
        <v>9</v>
      </c>
      <c r="H108" s="13">
        <f>_xll.BDH("EMN US Equity","AUDIT_COMMITTEE_MEETINGS","FY 2018","FY 2018","Currency=USD","Period=FY","BEST_FPERIOD_OVERRIDE=FY","FILING_STATUS=MR","Sort=A","Dates=H","DateFormat=P","Fill=—","Direction=H","UseDPDF=Y")</f>
        <v>9</v>
      </c>
      <c r="I108" s="13">
        <f>_xll.BDH("EMN US Equity","AUDIT_COMMITTEE_MEETINGS","FY 2019","FY 2019","Currency=USD","Period=FY","BEST_FPERIOD_OVERRIDE=FY","FILING_STATUS=MR","Sort=A","Dates=H","DateFormat=P","Fill=—","Direction=H","UseDPDF=Y")</f>
        <v>10</v>
      </c>
      <c r="J108" s="13">
        <f>_xll.BDH("EMN US Equity","AUDIT_COMMITTEE_MEETINGS","FY 2020","FY 2020","Currency=USD","Period=FY","BEST_FPERIOD_OVERRIDE=FY","FILING_STATUS=MR","Sort=A","Dates=H","DateFormat=P","Fill=—","Direction=H","UseDPDF=Y")</f>
        <v>8</v>
      </c>
      <c r="K108" s="13">
        <f>_xll.BDH("EMN US Equity","AUDIT_COMMITTEE_MEETINGS","FY 2021","FY 2021","Currency=USD","Period=FY","BEST_FPERIOD_OVERRIDE=FY","FILING_STATUS=MR","Sort=A","Dates=H","DateFormat=P","Fill=—","Direction=H","UseDPDF=Y")</f>
        <v>9</v>
      </c>
      <c r="L108" s="13">
        <f>_xll.BDH("EMN US Equity","AUDIT_COMMITTEE_MEETINGS","FY 2022","FY 2022","Currency=USD","Period=FY","BEST_FPERIOD_OVERRIDE=FY","FILING_STATUS=MR","Sort=A","Dates=H","DateFormat=P","Fill=—","Direction=H","UseDPDF=Y")</f>
        <v>9</v>
      </c>
    </row>
    <row r="109" spans="1:12">
      <c r="A109" s="10" t="s">
        <v>182</v>
      </c>
      <c r="B109" s="10" t="s">
        <v>183</v>
      </c>
      <c r="C109" s="13">
        <f>_xll.BDH("EMN US Equity","AUDIT_COMMITTEE_MTG_ATTEND_PCT","FY 2013","FY 2013","Currency=USD","Period=FY","BEST_FPERIOD_OVERRIDE=FY","FILING_STATUS=MR","Sort=A","Dates=H","DateFormat=P","Fill=—","Direction=H","UseDPDF=Y")</f>
        <v>75</v>
      </c>
      <c r="D109" s="13">
        <f>_xll.BDH("EMN US Equity","AUDIT_COMMITTEE_MTG_ATTEND_PCT","FY 2014","FY 2014","Currency=USD","Period=FY","BEST_FPERIOD_OVERRIDE=FY","FILING_STATUS=MR","Sort=A","Dates=H","DateFormat=P","Fill=—","Direction=H","UseDPDF=Y")</f>
        <v>75</v>
      </c>
      <c r="E109" s="13">
        <f>_xll.BDH("EMN US Equity","AUDIT_COMMITTEE_MTG_ATTEND_PCT","FY 2015","FY 2015","Currency=USD","Period=FY","BEST_FPERIOD_OVERRIDE=FY","FILING_STATUS=MR","Sort=A","Dates=H","DateFormat=P","Fill=—","Direction=H","UseDPDF=Y")</f>
        <v>75</v>
      </c>
      <c r="F109" s="13">
        <f>_xll.BDH("EMN US Equity","AUDIT_COMMITTEE_MTG_ATTEND_PCT","FY 2016","FY 2016","Currency=USD","Period=FY","BEST_FPERIOD_OVERRIDE=FY","FILING_STATUS=MR","Sort=A","Dates=H","DateFormat=P","Fill=—","Direction=H","UseDPDF=Y")</f>
        <v>75</v>
      </c>
      <c r="G109" s="13">
        <f>_xll.BDH("EMN US Equity","AUDIT_COMMITTEE_MTG_ATTEND_PCT","FY 2017","FY 2017","Currency=USD","Period=FY","BEST_FPERIOD_OVERRIDE=FY","FILING_STATUS=MR","Sort=A","Dates=H","DateFormat=P","Fill=—","Direction=H","UseDPDF=Y")</f>
        <v>75</v>
      </c>
      <c r="H109" s="13">
        <f>_xll.BDH("EMN US Equity","AUDIT_COMMITTEE_MTG_ATTEND_PCT","FY 2018","FY 2018","Currency=USD","Period=FY","BEST_FPERIOD_OVERRIDE=FY","FILING_STATUS=MR","Sort=A","Dates=H","DateFormat=P","Fill=—","Direction=H","UseDPDF=Y")</f>
        <v>75</v>
      </c>
      <c r="I109" s="13">
        <f>_xll.BDH("EMN US Equity","AUDIT_COMMITTEE_MTG_ATTEND_PCT","FY 2019","FY 2019","Currency=USD","Period=FY","BEST_FPERIOD_OVERRIDE=FY","FILING_STATUS=MR","Sort=A","Dates=H","DateFormat=P","Fill=—","Direction=H","UseDPDF=Y")</f>
        <v>75</v>
      </c>
      <c r="J109" s="13">
        <f>_xll.BDH("EMN US Equity","AUDIT_COMMITTEE_MTG_ATTEND_PCT","FY 2020","FY 2020","Currency=USD","Period=FY","BEST_FPERIOD_OVERRIDE=FY","FILING_STATUS=MR","Sort=A","Dates=H","DateFormat=P","Fill=—","Direction=H","UseDPDF=Y")</f>
        <v>75</v>
      </c>
      <c r="K109" s="13">
        <f>_xll.BDH("EMN US Equity","AUDIT_COMMITTEE_MTG_ATTEND_PCT","FY 2021","FY 2021","Currency=USD","Period=FY","BEST_FPERIOD_OVERRIDE=FY","FILING_STATUS=MR","Sort=A","Dates=H","DateFormat=P","Fill=—","Direction=H","UseDPDF=Y")</f>
        <v>75</v>
      </c>
      <c r="L109" s="13">
        <f>_xll.BDH("EMN US Equity","AUDIT_COMMITTEE_MTG_ATTEND_PCT","FY 2022","FY 2022","Currency=USD","Period=FY","BEST_FPERIOD_OVERRIDE=FY","FILING_STATUS=MR","Sort=A","Dates=H","DateFormat=P","Fill=—","Direction=H","UseDPDF=Y")</f>
        <v>75</v>
      </c>
    </row>
    <row r="110" spans="1:1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0" t="s">
        <v>184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10" t="s">
        <v>185</v>
      </c>
      <c r="B112" s="10" t="s">
        <v>186</v>
      </c>
      <c r="C112" s="11" t="s">
        <v>53</v>
      </c>
      <c r="D112" s="11" t="s">
        <v>53</v>
      </c>
      <c r="E112" s="11" t="s">
        <v>56</v>
      </c>
      <c r="F112" s="11" t="s">
        <v>56</v>
      </c>
      <c r="G112" s="11" t="s">
        <v>56</v>
      </c>
      <c r="H112" s="11" t="s">
        <v>56</v>
      </c>
      <c r="I112" s="11" t="s">
        <v>52</v>
      </c>
      <c r="J112" s="11" t="s">
        <v>52</v>
      </c>
      <c r="K112" s="11" t="s">
        <v>52</v>
      </c>
      <c r="L112" s="11" t="s">
        <v>52</v>
      </c>
    </row>
    <row r="113" spans="1:12">
      <c r="A113" s="10" t="s">
        <v>187</v>
      </c>
      <c r="B113" s="10" t="s">
        <v>188</v>
      </c>
      <c r="C113" s="13">
        <f>_xll.BDH("EMN US Equity","BOARD_SIZE","FY 2013","FY 2013","Currency=USD","Period=FY","BEST_FPERIOD_OVERRIDE=FY","FILING_STATUS=MR","Sort=A","Dates=H","DateFormat=P","Fill=—","Direction=H","UseDPDF=Y")</f>
        <v>13</v>
      </c>
      <c r="D113" s="13">
        <f>_xll.BDH("EMN US Equity","BOARD_SIZE","FY 2014","FY 2014","Currency=USD","Period=FY","BEST_FPERIOD_OVERRIDE=FY","FILING_STATUS=MR","Sort=A","Dates=H","DateFormat=P","Fill=—","Direction=H","UseDPDF=Y")</f>
        <v>11</v>
      </c>
      <c r="E113" s="13">
        <f>_xll.BDH("EMN US Equity","BOARD_SIZE","FY 2015","FY 2015","Currency=USD","Period=FY","BEST_FPERIOD_OVERRIDE=FY","FILING_STATUS=MR","Sort=A","Dates=H","DateFormat=P","Fill=—","Direction=H","UseDPDF=Y")</f>
        <v>11</v>
      </c>
      <c r="F113" s="13">
        <f>_xll.BDH("EMN US Equity","BOARD_SIZE","FY 2016","FY 2016","Currency=USD","Period=FY","BEST_FPERIOD_OVERRIDE=FY","FILING_STATUS=MR","Sort=A","Dates=H","DateFormat=P","Fill=—","Direction=H","UseDPDF=Y")</f>
        <v>12</v>
      </c>
      <c r="G113" s="13">
        <f>_xll.BDH("EMN US Equity","BOARD_SIZE","FY 2017","FY 2017","Currency=USD","Period=FY","BEST_FPERIOD_OVERRIDE=FY","FILING_STATUS=MR","Sort=A","Dates=H","DateFormat=P","Fill=—","Direction=H","UseDPDF=Y")</f>
        <v>12</v>
      </c>
      <c r="H113" s="13">
        <f>_xll.BDH("EMN US Equity","BOARD_SIZE","FY 2018","FY 2018","Currency=USD","Period=FY","BEST_FPERIOD_OVERRIDE=FY","FILING_STATUS=MR","Sort=A","Dates=H","DateFormat=P","Fill=—","Direction=H","UseDPDF=Y")</f>
        <v>12</v>
      </c>
      <c r="I113" s="13">
        <f>_xll.BDH("EMN US Equity","BOARD_SIZE","FY 2019","FY 2019","Currency=USD","Period=FY","BEST_FPERIOD_OVERRIDE=FY","FILING_STATUS=MR","Sort=A","Dates=H","DateFormat=P","Fill=—","Direction=H","UseDPDF=Y")</f>
        <v>11</v>
      </c>
      <c r="J113" s="13">
        <f>_xll.BDH("EMN US Equity","BOARD_SIZE","FY 2020","FY 2020","Currency=USD","Period=FY","BEST_FPERIOD_OVERRIDE=FY","FILING_STATUS=MR","Sort=A","Dates=H","DateFormat=P","Fill=—","Direction=H","UseDPDF=Y")</f>
        <v>10</v>
      </c>
      <c r="K113" s="13">
        <f>_xll.BDH("EMN US Equity","BOARD_SIZE","FY 2021","FY 2021","Currency=USD","Period=FY","BEST_FPERIOD_OVERRIDE=FY","FILING_STATUS=MR","Sort=A","Dates=H","DateFormat=P","Fill=—","Direction=H","UseDPDF=Y")</f>
        <v>10</v>
      </c>
      <c r="L113" s="13">
        <f>_xll.BDH("EMN US Equity","BOARD_SIZE","FY 2022","FY 2022","Currency=USD","Period=FY","BEST_FPERIOD_OVERRIDE=FY","FILING_STATUS=MR","Sort=A","Dates=H","DateFormat=P","Fill=—","Direction=H","UseDPDF=Y")</f>
        <v>11</v>
      </c>
    </row>
    <row r="114" spans="1:12">
      <c r="A114" s="10" t="s">
        <v>189</v>
      </c>
      <c r="B114" s="10" t="s">
        <v>190</v>
      </c>
      <c r="C114" s="13">
        <f>_xll.BDH("EMN US Equity","NUM_EXECUTIVES_COMP_MANAGERS","FY 2013","FY 2013","Currency=USD","Period=FY","BEST_FPERIOD_OVERRIDE=FY","FILING_STATUS=MR","Sort=A","Dates=H","DateFormat=P","Fill=—","Direction=H","UseDPDF=Y")</f>
        <v>12</v>
      </c>
      <c r="D114" s="13">
        <f>_xll.BDH("EMN US Equity","NUM_EXECUTIVES_COMP_MANAGERS","FY 2014","FY 2014","Currency=USD","Period=FY","BEST_FPERIOD_OVERRIDE=FY","FILING_STATUS=MR","Sort=A","Dates=H","DateFormat=P","Fill=—","Direction=H","UseDPDF=Y")</f>
        <v>11</v>
      </c>
      <c r="E114" s="13">
        <f>_xll.BDH("EMN US Equity","NUM_EXECUTIVES_COMP_MANAGERS","FY 2015","FY 2015","Currency=USD","Period=FY","BEST_FPERIOD_OVERRIDE=FY","FILING_STATUS=MR","Sort=A","Dates=H","DateFormat=P","Fill=—","Direction=H","UseDPDF=Y")</f>
        <v>11</v>
      </c>
      <c r="F114" s="13">
        <f>_xll.BDH("EMN US Equity","NUM_EXECUTIVES_COMP_MANAGERS","FY 2016","FY 2016","Currency=USD","Period=FY","BEST_FPERIOD_OVERRIDE=FY","FILING_STATUS=MR","Sort=A","Dates=H","DateFormat=P","Fill=—","Direction=H","UseDPDF=Y")</f>
        <v>11</v>
      </c>
      <c r="G114" s="13">
        <f>_xll.BDH("EMN US Equity","NUM_EXECUTIVES_COMP_MANAGERS","FY 2017","FY 2017","Currency=USD","Period=FY","BEST_FPERIOD_OVERRIDE=FY","FILING_STATUS=MR","Sort=A","Dates=H","DateFormat=P","Fill=—","Direction=H","UseDPDF=Y")</f>
        <v>10</v>
      </c>
      <c r="H114" s="13">
        <f>_xll.BDH("EMN US Equity","NUM_EXECUTIVES_COMP_MANAGERS","FY 2018","FY 2018","Currency=USD","Period=FY","BEST_FPERIOD_OVERRIDE=FY","FILING_STATUS=MR","Sort=A","Dates=H","DateFormat=P","Fill=—","Direction=H","UseDPDF=Y")</f>
        <v>10</v>
      </c>
      <c r="I114" s="13">
        <f>_xll.BDH("EMN US Equity","NUM_EXECUTIVES_COMP_MANAGERS","FY 2019","FY 2019","Currency=USD","Period=FY","BEST_FPERIOD_OVERRIDE=FY","FILING_STATUS=MR","Sort=A","Dates=H","DateFormat=P","Fill=—","Direction=H","UseDPDF=Y")</f>
        <v>9</v>
      </c>
      <c r="J114" s="13">
        <f>_xll.BDH("EMN US Equity","NUM_EXECUTIVES_COMP_MANAGERS","FY 2020","FY 2020","Currency=USD","Period=FY","BEST_FPERIOD_OVERRIDE=FY","FILING_STATUS=MR","Sort=A","Dates=H","DateFormat=P","Fill=—","Direction=H","UseDPDF=Y")</f>
        <v>6</v>
      </c>
      <c r="K114" s="13">
        <f>_xll.BDH("EMN US Equity","NUM_EXECUTIVES_COMP_MANAGERS","FY 2021","FY 2021","Currency=USD","Period=FY","BEST_FPERIOD_OVERRIDE=FY","FILING_STATUS=MR","Sort=A","Dates=H","DateFormat=P","Fill=—","Direction=H","UseDPDF=Y")</f>
        <v>5</v>
      </c>
      <c r="L114" s="13">
        <f>_xll.BDH("EMN US Equity","NUM_EXECUTIVES_COMP_MANAGERS","FY 2022","FY 2022","Currency=USD","Period=FY","BEST_FPERIOD_OVERRIDE=FY","FILING_STATUS=MR","Sort=A","Dates=H","DateFormat=P","Fill=—","Direction=H","UseDPDF=Y")</f>
        <v>5</v>
      </c>
    </row>
    <row r="115" spans="1:12">
      <c r="A115" s="10" t="s">
        <v>191</v>
      </c>
      <c r="B115" s="10" t="s">
        <v>192</v>
      </c>
      <c r="C115" s="13">
        <f>_xll.BDH("EMN US Equity","NUM_OF_NONEXEC_DIR_ON_BRD","FY 2013","FY 2013","Currency=USD","Period=FY","BEST_FPERIOD_OVERRIDE=FY","FILING_STATUS=MR","Sort=A","Dates=H","DateFormat=P","Fill=—","Direction=H","UseDPDF=Y")</f>
        <v>11</v>
      </c>
      <c r="D115" s="13">
        <f>_xll.BDH("EMN US Equity","NUM_OF_NONEXEC_DIR_ON_BRD","FY 2014","FY 2014","Currency=USD","Period=FY","BEST_FPERIOD_OVERRIDE=FY","FILING_STATUS=MR","Sort=A","Dates=H","DateFormat=P","Fill=—","Direction=H","UseDPDF=Y")</f>
        <v>10</v>
      </c>
      <c r="E115" s="13">
        <f>_xll.BDH("EMN US Equity","NUM_OF_NONEXEC_DIR_ON_BRD","FY 2015","FY 2015","Currency=USD","Period=FY","BEST_FPERIOD_OVERRIDE=FY","FILING_STATUS=MR","Sort=A","Dates=H","DateFormat=P","Fill=—","Direction=H","UseDPDF=Y")</f>
        <v>10</v>
      </c>
      <c r="F115" s="13">
        <f>_xll.BDH("EMN US Equity","NUM_OF_NONEXEC_DIR_ON_BRD","FY 2016","FY 2016","Currency=USD","Period=FY","BEST_FPERIOD_OVERRIDE=FY","FILING_STATUS=MR","Sort=A","Dates=H","DateFormat=P","Fill=—","Direction=H","UseDPDF=Y")</f>
        <v>11</v>
      </c>
      <c r="G115" s="13">
        <f>_xll.BDH("EMN US Equity","NUM_OF_NONEXEC_DIR_ON_BRD","FY 2017","FY 2017","Currency=USD","Period=FY","BEST_FPERIOD_OVERRIDE=FY","FILING_STATUS=MR","Sort=A","Dates=H","DateFormat=P","Fill=—","Direction=H","UseDPDF=Y")</f>
        <v>11</v>
      </c>
      <c r="H115" s="13">
        <f>_xll.BDH("EMN US Equity","NUM_OF_NONEXEC_DIR_ON_BRD","FY 2018","FY 2018","Currency=USD","Period=FY","BEST_FPERIOD_OVERRIDE=FY","FILING_STATUS=MR","Sort=A","Dates=H","DateFormat=P","Fill=—","Direction=H","UseDPDF=Y")</f>
        <v>11</v>
      </c>
      <c r="I115" s="13">
        <f>_xll.BDH("EMN US Equity","NUM_OF_NONEXEC_DIR_ON_BRD","FY 2019","FY 2019","Currency=USD","Period=FY","BEST_FPERIOD_OVERRIDE=FY","FILING_STATUS=MR","Sort=A","Dates=H","DateFormat=P","Fill=—","Direction=H","UseDPDF=Y")</f>
        <v>10</v>
      </c>
      <c r="J115" s="13">
        <f>_xll.BDH("EMN US Equity","NUM_OF_NONEXEC_DIR_ON_BRD","FY 2020","FY 2020","Currency=USD","Period=FY","BEST_FPERIOD_OVERRIDE=FY","FILING_STATUS=MR","Sort=A","Dates=H","DateFormat=P","Fill=—","Direction=H","UseDPDF=Y")</f>
        <v>9</v>
      </c>
      <c r="K115" s="13">
        <f>_xll.BDH("EMN US Equity","NUM_OF_NONEXEC_DIR_ON_BRD","FY 2021","FY 2021","Currency=USD","Period=FY","BEST_FPERIOD_OVERRIDE=FY","FILING_STATUS=MR","Sort=A","Dates=H","DateFormat=P","Fill=—","Direction=H","UseDPDF=Y")</f>
        <v>9</v>
      </c>
      <c r="L115" s="13">
        <f>_xll.BDH("EMN US Equity","NUM_OF_NONEXEC_DIR_ON_BRD","FY 2022","FY 2022","Currency=USD","Period=FY","BEST_FPERIOD_OVERRIDE=FY","FILING_STATUS=MR","Sort=A","Dates=H","DateFormat=P","Fill=—","Direction=H","UseDPDF=Y")</f>
        <v>10</v>
      </c>
    </row>
    <row r="116" spans="1:12">
      <c r="A116" s="10" t="s">
        <v>193</v>
      </c>
      <c r="B116" s="10" t="s">
        <v>194</v>
      </c>
      <c r="C116" s="13">
        <f>_xll.BDH("EMN US Equity","BOARD_MEETINGS_PER_YR","FY 2013","FY 2013","Currency=USD","Period=FY","BEST_FPERIOD_OVERRIDE=FY","FILING_STATUS=MR","Sort=A","Dates=H","DateFormat=P","Fill=—","Direction=H","UseDPDF=Y")</f>
        <v>6</v>
      </c>
      <c r="D116" s="13">
        <f>_xll.BDH("EMN US Equity","BOARD_MEETINGS_PER_YR","FY 2014","FY 2014","Currency=USD","Period=FY","BEST_FPERIOD_OVERRIDE=FY","FILING_STATUS=MR","Sort=A","Dates=H","DateFormat=P","Fill=—","Direction=H","UseDPDF=Y")</f>
        <v>8</v>
      </c>
      <c r="E116" s="13">
        <f>_xll.BDH("EMN US Equity","BOARD_MEETINGS_PER_YR","FY 2015","FY 2015","Currency=USD","Period=FY","BEST_FPERIOD_OVERRIDE=FY","FILING_STATUS=MR","Sort=A","Dates=H","DateFormat=P","Fill=—","Direction=H","UseDPDF=Y")</f>
        <v>5</v>
      </c>
      <c r="F116" s="13">
        <f>_xll.BDH("EMN US Equity","BOARD_MEETINGS_PER_YR","FY 2016","FY 2016","Currency=USD","Period=FY","BEST_FPERIOD_OVERRIDE=FY","FILING_STATUS=MR","Sort=A","Dates=H","DateFormat=P","Fill=—","Direction=H","UseDPDF=Y")</f>
        <v>5</v>
      </c>
      <c r="G116" s="13">
        <f>_xll.BDH("EMN US Equity","BOARD_MEETINGS_PER_YR","FY 2017","FY 2017","Currency=USD","Period=FY","BEST_FPERIOD_OVERRIDE=FY","FILING_STATUS=MR","Sort=A","Dates=H","DateFormat=P","Fill=—","Direction=H","UseDPDF=Y")</f>
        <v>5</v>
      </c>
      <c r="H116" s="13">
        <f>_xll.BDH("EMN US Equity","BOARD_MEETINGS_PER_YR","FY 2018","FY 2018","Currency=USD","Period=FY","BEST_FPERIOD_OVERRIDE=FY","FILING_STATUS=MR","Sort=A","Dates=H","DateFormat=P","Fill=—","Direction=H","UseDPDF=Y")</f>
        <v>6</v>
      </c>
      <c r="I116" s="13">
        <f>_xll.BDH("EMN US Equity","BOARD_MEETINGS_PER_YR","FY 2019","FY 2019","Currency=USD","Period=FY","BEST_FPERIOD_OVERRIDE=FY","FILING_STATUS=MR","Sort=A","Dates=H","DateFormat=P","Fill=—","Direction=H","UseDPDF=Y")</f>
        <v>7</v>
      </c>
      <c r="J116" s="13">
        <f>_xll.BDH("EMN US Equity","BOARD_MEETINGS_PER_YR","FY 2020","FY 2020","Currency=USD","Period=FY","BEST_FPERIOD_OVERRIDE=FY","FILING_STATUS=MR","Sort=A","Dates=H","DateFormat=P","Fill=—","Direction=H","UseDPDF=Y")</f>
        <v>8</v>
      </c>
      <c r="K116" s="13">
        <f>_xll.BDH("EMN US Equity","BOARD_MEETINGS_PER_YR","FY 2021","FY 2021","Currency=USD","Period=FY","BEST_FPERIOD_OVERRIDE=FY","FILING_STATUS=MR","Sort=A","Dates=H","DateFormat=P","Fill=—","Direction=H","UseDPDF=Y")</f>
        <v>8</v>
      </c>
      <c r="L116" s="13">
        <f>_xll.BDH("EMN US Equity","BOARD_MEETINGS_PER_YR","FY 2022","FY 2022","Currency=USD","Period=FY","BEST_FPERIOD_OVERRIDE=FY","FILING_STATUS=MR","Sort=A","Dates=H","DateFormat=P","Fill=—","Direction=H","UseDPDF=Y")</f>
        <v>7</v>
      </c>
    </row>
    <row r="117" spans="1:12">
      <c r="A117" s="10" t="s">
        <v>195</v>
      </c>
      <c r="B117" s="10" t="s">
        <v>196</v>
      </c>
      <c r="C117" s="13">
        <f>_xll.BDH("EMN US Equity","BOARD_MEETING_ATTENDANCE_PCT","FY 2013","FY 2013","Currency=USD","Period=FY","BEST_FPERIOD_OVERRIDE=FY","FILING_STATUS=MR","Sort=A","Dates=H","DateFormat=P","Fill=—","Direction=H","UseDPDF=Y")</f>
        <v>75</v>
      </c>
      <c r="D117" s="13">
        <f>_xll.BDH("EMN US Equity","BOARD_MEETING_ATTENDANCE_PCT","FY 2014","FY 2014","Currency=USD","Period=FY","BEST_FPERIOD_OVERRIDE=FY","FILING_STATUS=MR","Sort=A","Dates=H","DateFormat=P","Fill=—","Direction=H","UseDPDF=Y")</f>
        <v>75</v>
      </c>
      <c r="E117" s="13">
        <f>_xll.BDH("EMN US Equity","BOARD_MEETING_ATTENDANCE_PCT","FY 2015","FY 2015","Currency=USD","Period=FY","BEST_FPERIOD_OVERRIDE=FY","FILING_STATUS=MR","Sort=A","Dates=H","DateFormat=P","Fill=—","Direction=H","UseDPDF=Y")</f>
        <v>75</v>
      </c>
      <c r="F117" s="13">
        <f>_xll.BDH("EMN US Equity","BOARD_MEETING_ATTENDANCE_PCT","FY 2016","FY 2016","Currency=USD","Period=FY","BEST_FPERIOD_OVERRIDE=FY","FILING_STATUS=MR","Sort=A","Dates=H","DateFormat=P","Fill=—","Direction=H","UseDPDF=Y")</f>
        <v>75</v>
      </c>
      <c r="G117" s="13">
        <f>_xll.BDH("EMN US Equity","BOARD_MEETING_ATTENDANCE_PCT","FY 2017","FY 2017","Currency=USD","Period=FY","BEST_FPERIOD_OVERRIDE=FY","FILING_STATUS=MR","Sort=A","Dates=H","DateFormat=P","Fill=—","Direction=H","UseDPDF=Y")</f>
        <v>75</v>
      </c>
      <c r="H117" s="13">
        <f>_xll.BDH("EMN US Equity","BOARD_MEETING_ATTENDANCE_PCT","FY 2018","FY 2018","Currency=USD","Period=FY","BEST_FPERIOD_OVERRIDE=FY","FILING_STATUS=MR","Sort=A","Dates=H","DateFormat=P","Fill=—","Direction=H","UseDPDF=Y")</f>
        <v>75</v>
      </c>
      <c r="I117" s="13">
        <f>_xll.BDH("EMN US Equity","BOARD_MEETING_ATTENDANCE_PCT","FY 2019","FY 2019","Currency=USD","Period=FY","BEST_FPERIOD_OVERRIDE=FY","FILING_STATUS=MR","Sort=A","Dates=H","DateFormat=P","Fill=—","Direction=H","UseDPDF=Y")</f>
        <v>75</v>
      </c>
      <c r="J117" s="13">
        <f>_xll.BDH("EMN US Equity","BOARD_MEETING_ATTENDANCE_PCT","FY 2020","FY 2020","Currency=USD","Period=FY","BEST_FPERIOD_OVERRIDE=FY","FILING_STATUS=MR","Sort=A","Dates=H","DateFormat=P","Fill=—","Direction=H","UseDPDF=Y")</f>
        <v>75</v>
      </c>
      <c r="K117" s="13">
        <f>_xll.BDH("EMN US Equity","BOARD_MEETING_ATTENDANCE_PCT","FY 2021","FY 2021","Currency=USD","Period=FY","BEST_FPERIOD_OVERRIDE=FY","FILING_STATUS=MR","Sort=A","Dates=H","DateFormat=P","Fill=—","Direction=H","UseDPDF=Y")</f>
        <v>75</v>
      </c>
      <c r="L117" s="13">
        <f>_xll.BDH("EMN US Equity","BOARD_MEETING_ATTENDANCE_PCT","FY 2022","FY 2022","Currency=USD","Period=FY","BEST_FPERIOD_OVERRIDE=FY","FILING_STATUS=MR","Sort=A","Dates=H","DateFormat=P","Fill=—","Direction=H","UseDPDF=Y")</f>
        <v>75</v>
      </c>
    </row>
    <row r="118" spans="1:1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>
      <c r="A119" s="10" t="s">
        <v>197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>
      <c r="A120" s="10" t="s">
        <v>198</v>
      </c>
      <c r="B120" s="10" t="s">
        <v>199</v>
      </c>
      <c r="C120" s="11" t="s">
        <v>53</v>
      </c>
      <c r="D120" s="11" t="s">
        <v>53</v>
      </c>
      <c r="E120" s="11" t="s">
        <v>52</v>
      </c>
      <c r="F120" s="11" t="s">
        <v>52</v>
      </c>
      <c r="G120" s="11" t="s">
        <v>52</v>
      </c>
      <c r="H120" s="11" t="s">
        <v>52</v>
      </c>
      <c r="I120" s="11" t="s">
        <v>52</v>
      </c>
      <c r="J120" s="11" t="s">
        <v>52</v>
      </c>
      <c r="K120" s="11" t="s">
        <v>52</v>
      </c>
      <c r="L120" s="11" t="s">
        <v>52</v>
      </c>
    </row>
    <row r="121" spans="1:12">
      <c r="A121" s="10" t="s">
        <v>200</v>
      </c>
      <c r="B121" s="10" t="s">
        <v>201</v>
      </c>
      <c r="C121" s="11" t="s">
        <v>53</v>
      </c>
      <c r="D121" s="11" t="s">
        <v>53</v>
      </c>
      <c r="E121" s="11" t="s">
        <v>52</v>
      </c>
      <c r="F121" s="11" t="s">
        <v>52</v>
      </c>
      <c r="G121" s="11" t="s">
        <v>52</v>
      </c>
      <c r="H121" s="11" t="s">
        <v>52</v>
      </c>
      <c r="I121" s="11" t="s">
        <v>52</v>
      </c>
      <c r="J121" s="11" t="s">
        <v>52</v>
      </c>
      <c r="K121" s="11" t="s">
        <v>52</v>
      </c>
      <c r="L121" s="11" t="s">
        <v>52</v>
      </c>
    </row>
    <row r="122" spans="1:12">
      <c r="A122" s="10" t="s">
        <v>202</v>
      </c>
      <c r="B122" s="10" t="s">
        <v>203</v>
      </c>
      <c r="C122" s="13">
        <f>_xll.BDH("EMN US Equity","SIZE_OF_COMPENSATION_COMMITTEE","FY 2013","FY 2013","Currency=USD","Period=FY","BEST_FPERIOD_OVERRIDE=FY","FILING_STATUS=MR","Sort=A","Dates=H","DateFormat=P","Fill=—","Direction=H","UseDPDF=Y")</f>
        <v>5</v>
      </c>
      <c r="D122" s="13">
        <f>_xll.BDH("EMN US Equity","SIZE_OF_COMPENSATION_COMMITTEE","FY 2014","FY 2014","Currency=USD","Period=FY","BEST_FPERIOD_OVERRIDE=FY","FILING_STATUS=MR","Sort=A","Dates=H","DateFormat=P","Fill=—","Direction=H","UseDPDF=Y")</f>
        <v>5</v>
      </c>
      <c r="E122" s="13">
        <f>_xll.BDH("EMN US Equity","SIZE_OF_COMPENSATION_COMMITTEE","FY 2015","FY 2015","Currency=USD","Period=FY","BEST_FPERIOD_OVERRIDE=FY","FILING_STATUS=MR","Sort=A","Dates=H","DateFormat=P","Fill=—","Direction=H","UseDPDF=Y")</f>
        <v>5</v>
      </c>
      <c r="F122" s="13">
        <f>_xll.BDH("EMN US Equity","SIZE_OF_COMPENSATION_COMMITTEE","FY 2016","FY 2016","Currency=USD","Period=FY","BEST_FPERIOD_OVERRIDE=FY","FILING_STATUS=MR","Sort=A","Dates=H","DateFormat=P","Fill=—","Direction=H","UseDPDF=Y")</f>
        <v>6</v>
      </c>
      <c r="G122" s="13">
        <f>_xll.BDH("EMN US Equity","SIZE_OF_COMPENSATION_COMMITTEE","FY 2017","FY 2017","Currency=USD","Period=FY","BEST_FPERIOD_OVERRIDE=FY","FILING_STATUS=MR","Sort=A","Dates=H","DateFormat=P","Fill=—","Direction=H","UseDPDF=Y")</f>
        <v>6</v>
      </c>
      <c r="H122" s="13">
        <f>_xll.BDH("EMN US Equity","SIZE_OF_COMPENSATION_COMMITTEE","FY 2018","FY 2018","Currency=USD","Period=FY","BEST_FPERIOD_OVERRIDE=FY","FILING_STATUS=MR","Sort=A","Dates=H","DateFormat=P","Fill=—","Direction=H","UseDPDF=Y")</f>
        <v>6</v>
      </c>
      <c r="I122" s="13">
        <f>_xll.BDH("EMN US Equity","SIZE_OF_COMPENSATION_COMMITTEE","FY 2019","FY 2019","Currency=USD","Period=FY","BEST_FPERIOD_OVERRIDE=FY","FILING_STATUS=MR","Sort=A","Dates=H","DateFormat=P","Fill=—","Direction=H","UseDPDF=Y")</f>
        <v>6</v>
      </c>
      <c r="J122" s="13">
        <f>_xll.BDH("EMN US Equity","SIZE_OF_COMPENSATION_COMMITTEE","FY 2020","FY 2020","Currency=USD","Period=FY","BEST_FPERIOD_OVERRIDE=FY","FILING_STATUS=MR","Sort=A","Dates=H","DateFormat=P","Fill=—","Direction=H","UseDPDF=Y")</f>
        <v>4</v>
      </c>
      <c r="K122" s="13">
        <f>_xll.BDH("EMN US Equity","SIZE_OF_COMPENSATION_COMMITTEE","FY 2021","FY 2021","Currency=USD","Period=FY","BEST_FPERIOD_OVERRIDE=FY","FILING_STATUS=MR","Sort=A","Dates=H","DateFormat=P","Fill=—","Direction=H","UseDPDF=Y")</f>
        <v>5</v>
      </c>
      <c r="L122" s="13">
        <f>_xll.BDH("EMN US Equity","SIZE_OF_COMPENSATION_COMMITTEE","FY 2022","FY 2022","Currency=USD","Period=FY","BEST_FPERIOD_OVERRIDE=FY","FILING_STATUS=MR","Sort=A","Dates=H","DateFormat=P","Fill=—","Direction=H","UseDPDF=Y")</f>
        <v>5</v>
      </c>
    </row>
    <row r="123" spans="1:12">
      <c r="A123" s="10" t="s">
        <v>204</v>
      </c>
      <c r="B123" s="10" t="s">
        <v>205</v>
      </c>
      <c r="C123" s="13">
        <f>_xll.BDH("EMN US Equity","NUM_IND_DIR_ON_CMPNSTN_CMTE","FY 2013","FY 2013","Currency=USD","Period=FY","BEST_FPERIOD_OVERRIDE=FY","FILING_STATUS=MR","Sort=A","Dates=H","DateFormat=P","Fill=—","Direction=H","UseDPDF=Y")</f>
        <v>5</v>
      </c>
      <c r="D123" s="13">
        <f>_xll.BDH("EMN US Equity","NUM_IND_DIR_ON_CMPNSTN_CMTE","FY 2014","FY 2014","Currency=USD","Period=FY","BEST_FPERIOD_OVERRIDE=FY","FILING_STATUS=MR","Sort=A","Dates=H","DateFormat=P","Fill=—","Direction=H","UseDPDF=Y")</f>
        <v>5</v>
      </c>
      <c r="E123" s="13">
        <f>_xll.BDH("EMN US Equity","NUM_IND_DIR_ON_CMPNSTN_CMTE","FY 2015","FY 2015","Currency=USD","Period=FY","BEST_FPERIOD_OVERRIDE=FY","FILING_STATUS=MR","Sort=A","Dates=H","DateFormat=P","Fill=—","Direction=H","UseDPDF=Y")</f>
        <v>5</v>
      </c>
      <c r="F123" s="13">
        <f>_xll.BDH("EMN US Equity","NUM_IND_DIR_ON_CMPNSTN_CMTE","FY 2016","FY 2016","Currency=USD","Period=FY","BEST_FPERIOD_OVERRIDE=FY","FILING_STATUS=MR","Sort=A","Dates=H","DateFormat=P","Fill=—","Direction=H","UseDPDF=Y")</f>
        <v>6</v>
      </c>
      <c r="G123" s="13">
        <f>_xll.BDH("EMN US Equity","NUM_IND_DIR_ON_CMPNSTN_CMTE","FY 2017","FY 2017","Currency=USD","Period=FY","BEST_FPERIOD_OVERRIDE=FY","FILING_STATUS=MR","Sort=A","Dates=H","DateFormat=P","Fill=—","Direction=H","UseDPDF=Y")</f>
        <v>6</v>
      </c>
      <c r="H123" s="13">
        <f>_xll.BDH("EMN US Equity","NUM_IND_DIR_ON_CMPNSTN_CMTE","FY 2018","FY 2018","Currency=USD","Period=FY","BEST_FPERIOD_OVERRIDE=FY","FILING_STATUS=MR","Sort=A","Dates=H","DateFormat=P","Fill=—","Direction=H","UseDPDF=Y")</f>
        <v>6</v>
      </c>
      <c r="I123" s="13">
        <f>_xll.BDH("EMN US Equity","NUM_IND_DIR_ON_CMPNSTN_CMTE","FY 2019","FY 2019","Currency=USD","Period=FY","BEST_FPERIOD_OVERRIDE=FY","FILING_STATUS=MR","Sort=A","Dates=H","DateFormat=P","Fill=—","Direction=H","UseDPDF=Y")</f>
        <v>6</v>
      </c>
      <c r="J123" s="13">
        <f>_xll.BDH("EMN US Equity","NUM_IND_DIR_ON_CMPNSTN_CMTE","FY 2020","FY 2020","Currency=USD","Period=FY","BEST_FPERIOD_OVERRIDE=FY","FILING_STATUS=MR","Sort=A","Dates=H","DateFormat=P","Fill=—","Direction=H","UseDPDF=Y")</f>
        <v>4</v>
      </c>
      <c r="K123" s="13">
        <f>_xll.BDH("EMN US Equity","NUM_IND_DIR_ON_CMPNSTN_CMTE","FY 2021","FY 2021","Currency=USD","Period=FY","BEST_FPERIOD_OVERRIDE=FY","FILING_STATUS=MR","Sort=A","Dates=H","DateFormat=P","Fill=—","Direction=H","UseDPDF=Y")</f>
        <v>5</v>
      </c>
      <c r="L123" s="13">
        <f>_xll.BDH("EMN US Equity","NUM_IND_DIR_ON_CMPNSTN_CMTE","FY 2022","FY 2022","Currency=USD","Period=FY","BEST_FPERIOD_OVERRIDE=FY","FILING_STATUS=MR","Sort=A","Dates=H","DateFormat=P","Fill=—","Direction=H","UseDPDF=Y")</f>
        <v>5</v>
      </c>
    </row>
    <row r="124" spans="1:12">
      <c r="A124" s="10" t="s">
        <v>206</v>
      </c>
      <c r="B124" s="10" t="s">
        <v>207</v>
      </c>
      <c r="C124" s="13">
        <f>_xll.BDH("EMN US Equity","NUM_COMPENSATION_CMTE_MTG","FY 2013","FY 2013","Currency=USD","Period=FY","BEST_FPERIOD_OVERRIDE=FY","FILING_STATUS=MR","Sort=A","Dates=H","DateFormat=P","Fill=—","Direction=H","UseDPDF=Y")</f>
        <v>7</v>
      </c>
      <c r="D124" s="13">
        <f>_xll.BDH("EMN US Equity","NUM_COMPENSATION_CMTE_MTG","FY 2014","FY 2014","Currency=USD","Period=FY","BEST_FPERIOD_OVERRIDE=FY","FILING_STATUS=MR","Sort=A","Dates=H","DateFormat=P","Fill=—","Direction=H","UseDPDF=Y")</f>
        <v>6</v>
      </c>
      <c r="E124" s="13">
        <f>_xll.BDH("EMN US Equity","NUM_COMPENSATION_CMTE_MTG","FY 2015","FY 2015","Currency=USD","Period=FY","BEST_FPERIOD_OVERRIDE=FY","FILING_STATUS=MR","Sort=A","Dates=H","DateFormat=P","Fill=—","Direction=H","UseDPDF=Y")</f>
        <v>6</v>
      </c>
      <c r="F124" s="13">
        <f>_xll.BDH("EMN US Equity","NUM_COMPENSATION_CMTE_MTG","FY 2016","FY 2016","Currency=USD","Period=FY","BEST_FPERIOD_OVERRIDE=FY","FILING_STATUS=MR","Sort=A","Dates=H","DateFormat=P","Fill=—","Direction=H","UseDPDF=Y")</f>
        <v>6</v>
      </c>
      <c r="G124" s="13">
        <f>_xll.BDH("EMN US Equity","NUM_COMPENSATION_CMTE_MTG","FY 2017","FY 2017","Currency=USD","Period=FY","BEST_FPERIOD_OVERRIDE=FY","FILING_STATUS=MR","Sort=A","Dates=H","DateFormat=P","Fill=—","Direction=H","UseDPDF=Y")</f>
        <v>6</v>
      </c>
      <c r="H124" s="13">
        <f>_xll.BDH("EMN US Equity","NUM_COMPENSATION_CMTE_MTG","FY 2018","FY 2018","Currency=USD","Period=FY","BEST_FPERIOD_OVERRIDE=FY","FILING_STATUS=MR","Sort=A","Dates=H","DateFormat=P","Fill=—","Direction=H","UseDPDF=Y")</f>
        <v>6</v>
      </c>
      <c r="I124" s="13">
        <f>_xll.BDH("EMN US Equity","NUM_COMPENSATION_CMTE_MTG","FY 2019","FY 2019","Currency=USD","Period=FY","BEST_FPERIOD_OVERRIDE=FY","FILING_STATUS=MR","Sort=A","Dates=H","DateFormat=P","Fill=—","Direction=H","UseDPDF=Y")</f>
        <v>7</v>
      </c>
      <c r="J124" s="13">
        <f>_xll.BDH("EMN US Equity","NUM_COMPENSATION_CMTE_MTG","FY 2020","FY 2020","Currency=USD","Period=FY","BEST_FPERIOD_OVERRIDE=FY","FILING_STATUS=MR","Sort=A","Dates=H","DateFormat=P","Fill=—","Direction=H","UseDPDF=Y")</f>
        <v>6</v>
      </c>
      <c r="K124" s="13">
        <f>_xll.BDH("EMN US Equity","NUM_COMPENSATION_CMTE_MTG","FY 2021","FY 2021","Currency=USD","Period=FY","BEST_FPERIOD_OVERRIDE=FY","FILING_STATUS=MR","Sort=A","Dates=H","DateFormat=P","Fill=—","Direction=H","UseDPDF=Y")</f>
        <v>6</v>
      </c>
      <c r="L124" s="13">
        <f>_xll.BDH("EMN US Equity","NUM_COMPENSATION_CMTE_MTG","FY 2022","FY 2022","Currency=USD","Period=FY","BEST_FPERIOD_OVERRIDE=FY","FILING_STATUS=MR","Sort=A","Dates=H","DateFormat=P","Fill=—","Direction=H","UseDPDF=Y")</f>
        <v>6</v>
      </c>
    </row>
    <row r="125" spans="1:12">
      <c r="A125" s="10" t="s">
        <v>208</v>
      </c>
      <c r="B125" s="10" t="s">
        <v>209</v>
      </c>
      <c r="C125" s="13">
        <f>_xll.BDH("EMN US Equity","COMPENSATION_CMTE_MTG_ATTEND_PCT","FY 2013","FY 2013","Currency=USD","Period=FY","BEST_FPERIOD_OVERRIDE=FY","FILING_STATUS=MR","Sort=A","Dates=H","DateFormat=P","Fill=—","Direction=H","UseDPDF=Y")</f>
        <v>75</v>
      </c>
      <c r="D125" s="13">
        <f>_xll.BDH("EMN US Equity","COMPENSATION_CMTE_MTG_ATTEND_PCT","FY 2014","FY 2014","Currency=USD","Period=FY","BEST_FPERIOD_OVERRIDE=FY","FILING_STATUS=MR","Sort=A","Dates=H","DateFormat=P","Fill=—","Direction=H","UseDPDF=Y")</f>
        <v>75</v>
      </c>
      <c r="E125" s="13">
        <f>_xll.BDH("EMN US Equity","COMPENSATION_CMTE_MTG_ATTEND_PCT","FY 2015","FY 2015","Currency=USD","Period=FY","BEST_FPERIOD_OVERRIDE=FY","FILING_STATUS=MR","Sort=A","Dates=H","DateFormat=P","Fill=—","Direction=H","UseDPDF=Y")</f>
        <v>75</v>
      </c>
      <c r="F125" s="13">
        <f>_xll.BDH("EMN US Equity","COMPENSATION_CMTE_MTG_ATTEND_PCT","FY 2016","FY 2016","Currency=USD","Period=FY","BEST_FPERIOD_OVERRIDE=FY","FILING_STATUS=MR","Sort=A","Dates=H","DateFormat=P","Fill=—","Direction=H","UseDPDF=Y")</f>
        <v>75</v>
      </c>
      <c r="G125" s="13">
        <f>_xll.BDH("EMN US Equity","COMPENSATION_CMTE_MTG_ATTEND_PCT","FY 2017","FY 2017","Currency=USD","Period=FY","BEST_FPERIOD_OVERRIDE=FY","FILING_STATUS=MR","Sort=A","Dates=H","DateFormat=P","Fill=—","Direction=H","UseDPDF=Y")</f>
        <v>75</v>
      </c>
      <c r="H125" s="13">
        <f>_xll.BDH("EMN US Equity","COMPENSATION_CMTE_MTG_ATTEND_PCT","FY 2018","FY 2018","Currency=USD","Period=FY","BEST_FPERIOD_OVERRIDE=FY","FILING_STATUS=MR","Sort=A","Dates=H","DateFormat=P","Fill=—","Direction=H","UseDPDF=Y")</f>
        <v>75</v>
      </c>
      <c r="I125" s="13">
        <f>_xll.BDH("EMN US Equity","COMPENSATION_CMTE_MTG_ATTEND_PCT","FY 2019","FY 2019","Currency=USD","Period=FY","BEST_FPERIOD_OVERRIDE=FY","FILING_STATUS=MR","Sort=A","Dates=H","DateFormat=P","Fill=—","Direction=H","UseDPDF=Y")</f>
        <v>75</v>
      </c>
      <c r="J125" s="13">
        <f>_xll.BDH("EMN US Equity","COMPENSATION_CMTE_MTG_ATTEND_PCT","FY 2020","FY 2020","Currency=USD","Period=FY","BEST_FPERIOD_OVERRIDE=FY","FILING_STATUS=MR","Sort=A","Dates=H","DateFormat=P","Fill=—","Direction=H","UseDPDF=Y")</f>
        <v>75</v>
      </c>
      <c r="K125" s="13">
        <f>_xll.BDH("EMN US Equity","COMPENSATION_CMTE_MTG_ATTEND_PCT","FY 2021","FY 2021","Currency=USD","Period=FY","BEST_FPERIOD_OVERRIDE=FY","FILING_STATUS=MR","Sort=A","Dates=H","DateFormat=P","Fill=—","Direction=H","UseDPDF=Y")</f>
        <v>75</v>
      </c>
      <c r="L125" s="13">
        <f>_xll.BDH("EMN US Equity","COMPENSATION_CMTE_MTG_ATTEND_PCT","FY 2022","FY 2022","Currency=USD","Period=FY","BEST_FPERIOD_OVERRIDE=FY","FILING_STATUS=MR","Sort=A","Dates=H","DateFormat=P","Fill=—","Direction=H","UseDPDF=Y")</f>
        <v>75</v>
      </c>
    </row>
    <row r="126" spans="1:12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>
      <c r="A127" s="10" t="s">
        <v>122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>
      <c r="A128" s="10" t="s">
        <v>210</v>
      </c>
      <c r="B128" s="10" t="s">
        <v>211</v>
      </c>
      <c r="C128" s="13">
        <f>_xll.BDH("EMN US Equity","NUMBER_OF_FEMALE_EXECUTIVES","FY 2013","FY 2013","Currency=USD","Period=FY","BEST_FPERIOD_OVERRIDE=FY","FILING_STATUS=MR","Sort=A","Dates=H","DateFormat=P","Fill=—","Direction=H","UseDPDF=Y")</f>
        <v>0</v>
      </c>
      <c r="D128" s="13">
        <f>_xll.BDH("EMN US Equity","NUMBER_OF_FEMALE_EXECUTIVES","FY 2014","FY 2014","Currency=USD","Period=FY","BEST_FPERIOD_OVERRIDE=FY","FILING_STATUS=MR","Sort=A","Dates=H","DateFormat=P","Fill=—","Direction=H","UseDPDF=Y")</f>
        <v>0</v>
      </c>
      <c r="E128" s="13">
        <f>_xll.BDH("EMN US Equity","NUMBER_OF_FEMALE_EXECUTIVES","FY 2015","FY 2015","Currency=USD","Period=FY","BEST_FPERIOD_OVERRIDE=FY","FILING_STATUS=MR","Sort=A","Dates=H","DateFormat=P","Fill=—","Direction=H","UseDPDF=Y")</f>
        <v>0</v>
      </c>
      <c r="F128" s="13">
        <f>_xll.BDH("EMN US Equity","NUMBER_OF_FEMALE_EXECUTIVES","FY 2016","FY 2016","Currency=USD","Period=FY","BEST_FPERIOD_OVERRIDE=FY","FILING_STATUS=MR","Sort=A","Dates=H","DateFormat=P","Fill=—","Direction=H","UseDPDF=Y")</f>
        <v>0</v>
      </c>
      <c r="G128" s="13">
        <f>_xll.BDH("EMN US Equity","NUMBER_OF_FEMALE_EXECUTIVES","FY 2017","FY 2017","Currency=USD","Period=FY","BEST_FPERIOD_OVERRIDE=FY","FILING_STATUS=MR","Sort=A","Dates=H","DateFormat=P","Fill=—","Direction=H","UseDPDF=Y")</f>
        <v>0</v>
      </c>
      <c r="H128" s="13">
        <f>_xll.BDH("EMN US Equity","NUMBER_OF_FEMALE_EXECUTIVES","FY 2018","FY 2018","Currency=USD","Period=FY","BEST_FPERIOD_OVERRIDE=FY","FILING_STATUS=MR","Sort=A","Dates=H","DateFormat=P","Fill=—","Direction=H","UseDPDF=Y")</f>
        <v>0</v>
      </c>
      <c r="I128" s="13">
        <f>_xll.BDH("EMN US Equity","NUMBER_OF_FEMALE_EXECUTIVES","FY 2019","FY 2019","Currency=USD","Period=FY","BEST_FPERIOD_OVERRIDE=FY","FILING_STATUS=MR","Sort=A","Dates=H","DateFormat=P","Fill=—","Direction=H","UseDPDF=Y")</f>
        <v>0</v>
      </c>
      <c r="J128" s="13">
        <f>_xll.BDH("EMN US Equity","NUMBER_OF_FEMALE_EXECUTIVES","FY 2020","FY 2020","Currency=USD","Period=FY","BEST_FPERIOD_OVERRIDE=FY","FILING_STATUS=MR","Sort=A","Dates=H","DateFormat=P","Fill=—","Direction=H","UseDPDF=Y")</f>
        <v>0</v>
      </c>
      <c r="K128" s="13">
        <f>_xll.BDH("EMN US Equity","NUMBER_OF_FEMALE_EXECUTIVES","FY 2021","FY 2021","Currency=USD","Period=FY","BEST_FPERIOD_OVERRIDE=FY","FILING_STATUS=MR","Sort=A","Dates=H","DateFormat=P","Fill=—","Direction=H","UseDPDF=Y")</f>
        <v>0</v>
      </c>
      <c r="L128" s="13">
        <f>_xll.BDH("EMN US Equity","NUMBER_OF_FEMALE_EXECUTIVES","FY 2022","FY 2022","Currency=USD","Period=FY","BEST_FPERIOD_OVERRIDE=FY","FILING_STATUS=MR","Sort=A","Dates=H","DateFormat=P","Fill=—","Direction=H","UseDPDF=Y")</f>
        <v>0</v>
      </c>
    </row>
    <row r="129" spans="1:12">
      <c r="A129" s="10" t="s">
        <v>212</v>
      </c>
      <c r="B129" s="10" t="s">
        <v>213</v>
      </c>
      <c r="C129" s="13">
        <f>_xll.BDH("EMN US Equity","NUMBER_OF_WOMEN_ON_BOARD","FY 2013","FY 2013","Currency=USD","Period=FY","BEST_FPERIOD_OVERRIDE=FY","FILING_STATUS=MR","Sort=A","Dates=H","DateFormat=P","Fill=—","Direction=H","UseDPDF=Y")</f>
        <v>2</v>
      </c>
      <c r="D129" s="13">
        <f>_xll.BDH("EMN US Equity","NUMBER_OF_WOMEN_ON_BOARD","FY 2014","FY 2014","Currency=USD","Period=FY","BEST_FPERIOD_OVERRIDE=FY","FILING_STATUS=MR","Sort=A","Dates=H","DateFormat=P","Fill=—","Direction=H","UseDPDF=Y")</f>
        <v>2</v>
      </c>
      <c r="E129" s="13">
        <f>_xll.BDH("EMN US Equity","NUMBER_OF_WOMEN_ON_BOARD","FY 2015","FY 2015","Currency=USD","Period=FY","BEST_FPERIOD_OVERRIDE=FY","FILING_STATUS=MR","Sort=A","Dates=H","DateFormat=P","Fill=—","Direction=H","UseDPDF=Y")</f>
        <v>2</v>
      </c>
      <c r="F129" s="13">
        <f>_xll.BDH("EMN US Equity","NUMBER_OF_WOMEN_ON_BOARD","FY 2016","FY 2016","Currency=USD","Period=FY","BEST_FPERIOD_OVERRIDE=FY","FILING_STATUS=MR","Sort=A","Dates=H","DateFormat=P","Fill=—","Direction=H","UseDPDF=Y")</f>
        <v>2</v>
      </c>
      <c r="G129" s="13">
        <f>_xll.BDH("EMN US Equity","NUMBER_OF_WOMEN_ON_BOARD","FY 2017","FY 2017","Currency=USD","Period=FY","BEST_FPERIOD_OVERRIDE=FY","FILING_STATUS=MR","Sort=A","Dates=H","DateFormat=P","Fill=—","Direction=H","UseDPDF=Y")</f>
        <v>2</v>
      </c>
      <c r="H129" s="13">
        <f>_xll.BDH("EMN US Equity","NUMBER_OF_WOMEN_ON_BOARD","FY 2018","FY 2018","Currency=USD","Period=FY","BEST_FPERIOD_OVERRIDE=FY","FILING_STATUS=MR","Sort=A","Dates=H","DateFormat=P","Fill=—","Direction=H","UseDPDF=Y")</f>
        <v>3</v>
      </c>
      <c r="I129" s="13">
        <f>_xll.BDH("EMN US Equity","NUMBER_OF_WOMEN_ON_BOARD","FY 2019","FY 2019","Currency=USD","Period=FY","BEST_FPERIOD_OVERRIDE=FY","FILING_STATUS=MR","Sort=A","Dates=H","DateFormat=P","Fill=—","Direction=H","UseDPDF=Y")</f>
        <v>3</v>
      </c>
      <c r="J129" s="13">
        <f>_xll.BDH("EMN US Equity","NUMBER_OF_WOMEN_ON_BOARD","FY 2020","FY 2020","Currency=USD","Period=FY","BEST_FPERIOD_OVERRIDE=FY","FILING_STATUS=MR","Sort=A","Dates=H","DateFormat=P","Fill=—","Direction=H","UseDPDF=Y")</f>
        <v>3</v>
      </c>
      <c r="K129" s="13">
        <f>_xll.BDH("EMN US Equity","NUMBER_OF_WOMEN_ON_BOARD","FY 2021","FY 2021","Currency=USD","Period=FY","BEST_FPERIOD_OVERRIDE=FY","FILING_STATUS=MR","Sort=A","Dates=H","DateFormat=P","Fill=—","Direction=H","UseDPDF=Y")</f>
        <v>3</v>
      </c>
      <c r="L129" s="13">
        <f>_xll.BDH("EMN US Equity","NUMBER_OF_WOMEN_ON_BOARD","FY 2022","FY 2022","Currency=USD","Period=FY","BEST_FPERIOD_OVERRIDE=FY","FILING_STATUS=MR","Sort=A","Dates=H","DateFormat=P","Fill=—","Direction=H","UseDPDF=Y")</f>
        <v>3</v>
      </c>
    </row>
    <row r="130" spans="1:12">
      <c r="A130" s="10" t="s">
        <v>214</v>
      </c>
      <c r="B130" s="10" t="s">
        <v>215</v>
      </c>
      <c r="C130" s="13">
        <f>_xll.BDH("EMN US Equity","BOARD_AGE_LIMIT","FY 2013","FY 2013","Currency=USD","Period=FY","BEST_FPERIOD_OVERRIDE=FY","FILING_STATUS=MR","Sort=A","Dates=H","DateFormat=P","Fill=—","Direction=H","UseDPDF=Y")</f>
        <v>70</v>
      </c>
      <c r="D130" s="13">
        <f>_xll.BDH("EMN US Equity","BOARD_AGE_LIMIT","FY 2014","FY 2014","Currency=USD","Period=FY","BEST_FPERIOD_OVERRIDE=FY","FILING_STATUS=MR","Sort=A","Dates=H","DateFormat=P","Fill=—","Direction=H","UseDPDF=Y")</f>
        <v>75</v>
      </c>
      <c r="E130" s="13">
        <f>_xll.BDH("EMN US Equity","BOARD_AGE_LIMIT","FY 2015","FY 2015","Currency=USD","Period=FY","BEST_FPERIOD_OVERRIDE=FY","FILING_STATUS=MR","Sort=A","Dates=H","DateFormat=P","Fill=—","Direction=H","UseDPDF=Y")</f>
        <v>75</v>
      </c>
      <c r="F130" s="13">
        <f>_xll.BDH("EMN US Equity","BOARD_AGE_LIMIT","FY 2016","FY 2016","Currency=USD","Period=FY","BEST_FPERIOD_OVERRIDE=FY","FILING_STATUS=MR","Sort=A","Dates=H","DateFormat=P","Fill=—","Direction=H","UseDPDF=Y")</f>
        <v>75</v>
      </c>
      <c r="G130" s="13">
        <f>_xll.BDH("EMN US Equity","BOARD_AGE_LIMIT","FY 2017","FY 2017","Currency=USD","Period=FY","BEST_FPERIOD_OVERRIDE=FY","FILING_STATUS=MR","Sort=A","Dates=H","DateFormat=P","Fill=—","Direction=H","UseDPDF=Y")</f>
        <v>75</v>
      </c>
      <c r="H130" s="13">
        <f>_xll.BDH("EMN US Equity","BOARD_AGE_LIMIT","FY 2018","FY 2018","Currency=USD","Period=FY","BEST_FPERIOD_OVERRIDE=FY","FILING_STATUS=MR","Sort=A","Dates=H","DateFormat=P","Fill=—","Direction=H","UseDPDF=Y")</f>
        <v>75</v>
      </c>
      <c r="I130" s="13">
        <f>_xll.BDH("EMN US Equity","BOARD_AGE_LIMIT","FY 2019","FY 2019","Currency=USD","Period=FY","BEST_FPERIOD_OVERRIDE=FY","FILING_STATUS=MR","Sort=A","Dates=H","DateFormat=P","Fill=—","Direction=H","UseDPDF=Y")</f>
        <v>75</v>
      </c>
      <c r="J130" s="13">
        <f>_xll.BDH("EMN US Equity","BOARD_AGE_LIMIT","FY 2020","FY 2020","Currency=USD","Period=FY","BEST_FPERIOD_OVERRIDE=FY","FILING_STATUS=MR","Sort=A","Dates=H","DateFormat=P","Fill=—","Direction=H","UseDPDF=Y")</f>
        <v>75</v>
      </c>
      <c r="K130" s="13">
        <f>_xll.BDH("EMN US Equity","BOARD_AGE_LIMIT","FY 2021","FY 2021","Currency=USD","Period=FY","BEST_FPERIOD_OVERRIDE=FY","FILING_STATUS=MR","Sort=A","Dates=H","DateFormat=P","Fill=—","Direction=H","UseDPDF=Y")</f>
        <v>75</v>
      </c>
      <c r="L130" s="13">
        <f>_xll.BDH("EMN US Equity","BOARD_AGE_LIMIT","FY 2022","FY 2022","Currency=USD","Period=FY","BEST_FPERIOD_OVERRIDE=FY","FILING_STATUS=MR","Sort=A","Dates=H","DateFormat=P","Fill=—","Direction=H","UseDPDF=Y")</f>
        <v>75</v>
      </c>
    </row>
    <row r="131" spans="1:12">
      <c r="A131" s="10" t="s">
        <v>216</v>
      </c>
      <c r="B131" s="10" t="s">
        <v>217</v>
      </c>
      <c r="C131" s="13">
        <f>_xll.BDH("EMN US Equity","AGE_OF_YOUNGEST_DIRECTOR","FY 2013","FY 2013","Currency=USD","Period=FY","BEST_FPERIOD_OVERRIDE=FY","FILING_STATUS=MR","Sort=A","Dates=H","DateFormat=P","Fill=—","Direction=H","UseDPDF=Y")</f>
        <v>48</v>
      </c>
      <c r="D131" s="13">
        <f>_xll.BDH("EMN US Equity","AGE_OF_YOUNGEST_DIRECTOR","FY 2014","FY 2014","Currency=USD","Period=FY","BEST_FPERIOD_OVERRIDE=FY","FILING_STATUS=MR","Sort=A","Dates=H","DateFormat=P","Fill=—","Direction=H","UseDPDF=Y")</f>
        <v>49</v>
      </c>
      <c r="E131" s="13">
        <f>_xll.BDH("EMN US Equity","AGE_OF_YOUNGEST_DIRECTOR","FY 2015","FY 2015","Currency=USD","Period=FY","BEST_FPERIOD_OVERRIDE=FY","FILING_STATUS=MR","Sort=A","Dates=H","DateFormat=P","Fill=—","Direction=H","UseDPDF=Y")</f>
        <v>50</v>
      </c>
      <c r="F131" s="13">
        <f>_xll.BDH("EMN US Equity","AGE_OF_YOUNGEST_DIRECTOR","FY 2016","FY 2016","Currency=USD","Period=FY","BEST_FPERIOD_OVERRIDE=FY","FILING_STATUS=MR","Sort=A","Dates=H","DateFormat=P","Fill=—","Direction=H","UseDPDF=Y")</f>
        <v>51</v>
      </c>
      <c r="G131" s="13">
        <f>_xll.BDH("EMN US Equity","AGE_OF_YOUNGEST_DIRECTOR","FY 2017","FY 2017","Currency=USD","Period=FY","BEST_FPERIOD_OVERRIDE=FY","FILING_STATUS=MR","Sort=A","Dates=H","DateFormat=P","Fill=—","Direction=H","UseDPDF=Y")</f>
        <v>52</v>
      </c>
      <c r="H131" s="13">
        <f>_xll.BDH("EMN US Equity","AGE_OF_YOUNGEST_DIRECTOR","FY 2018","FY 2018","Currency=USD","Period=FY","BEST_FPERIOD_OVERRIDE=FY","FILING_STATUS=MR","Sort=A","Dates=H","DateFormat=P","Fill=—","Direction=H","UseDPDF=Y")</f>
        <v>53</v>
      </c>
      <c r="I131" s="13">
        <f>_xll.BDH("EMN US Equity","AGE_OF_YOUNGEST_DIRECTOR","FY 2019","FY 2019","Currency=USD","Period=FY","BEST_FPERIOD_OVERRIDE=FY","FILING_STATUS=MR","Sort=A","Dates=H","DateFormat=P","Fill=—","Direction=H","UseDPDF=Y")</f>
        <v>54</v>
      </c>
      <c r="J131" s="13">
        <f>_xll.BDH("EMN US Equity","AGE_OF_YOUNGEST_DIRECTOR","FY 2020","FY 2020","Currency=USD","Period=FY","BEST_FPERIOD_OVERRIDE=FY","FILING_STATUS=MR","Sort=A","Dates=H","DateFormat=P","Fill=—","Direction=H","UseDPDF=Y")</f>
        <v>55</v>
      </c>
      <c r="K131" s="13">
        <f>_xll.BDH("EMN US Equity","AGE_OF_YOUNGEST_DIRECTOR","FY 2021","FY 2021","Currency=USD","Period=FY","BEST_FPERIOD_OVERRIDE=FY","FILING_STATUS=MR","Sort=A","Dates=H","DateFormat=P","Fill=—","Direction=H","UseDPDF=Y")</f>
        <v>56</v>
      </c>
      <c r="L131" s="13">
        <f>_xll.BDH("EMN US Equity","AGE_OF_YOUNGEST_DIRECTOR","FY 2022","FY 2022","Currency=USD","Period=FY","BEST_FPERIOD_OVERRIDE=FY","FILING_STATUS=MR","Sort=A","Dates=H","DateFormat=P","Fill=—","Direction=H","UseDPDF=Y")</f>
        <v>57</v>
      </c>
    </row>
    <row r="132" spans="1:12">
      <c r="A132" s="10" t="s">
        <v>218</v>
      </c>
      <c r="B132" s="10" t="s">
        <v>219</v>
      </c>
      <c r="C132" s="13">
        <f>_xll.BDH("EMN US Equity","AGE_OF_OLDEST_DIRECTOR","FY 2013","FY 2013","Currency=USD","Period=FY","BEST_FPERIOD_OVERRIDE=FY","FILING_STATUS=MR","Sort=A","Dates=H","DateFormat=P","Fill=—","Direction=H","UseDPDF=Y")</f>
        <v>70</v>
      </c>
      <c r="D132" s="13">
        <f>_xll.BDH("EMN US Equity","AGE_OF_OLDEST_DIRECTOR","FY 2014","FY 2014","Currency=USD","Period=FY","BEST_FPERIOD_OVERRIDE=FY","FILING_STATUS=MR","Sort=A","Dates=H","DateFormat=P","Fill=—","Direction=H","UseDPDF=Y")</f>
        <v>71</v>
      </c>
      <c r="E132" s="13">
        <f>_xll.BDH("EMN US Equity","AGE_OF_OLDEST_DIRECTOR","FY 2015","FY 2015","Currency=USD","Period=FY","BEST_FPERIOD_OVERRIDE=FY","FILING_STATUS=MR","Sort=A","Dates=H","DateFormat=P","Fill=—","Direction=H","UseDPDF=Y")</f>
        <v>72</v>
      </c>
      <c r="F132" s="13">
        <f>_xll.BDH("EMN US Equity","AGE_OF_OLDEST_DIRECTOR","FY 2016","FY 2016","Currency=USD","Period=FY","BEST_FPERIOD_OVERRIDE=FY","FILING_STATUS=MR","Sort=A","Dates=H","DateFormat=P","Fill=—","Direction=H","UseDPDF=Y")</f>
        <v>73</v>
      </c>
      <c r="G132" s="13">
        <f>_xll.BDH("EMN US Equity","AGE_OF_OLDEST_DIRECTOR","FY 2017","FY 2017","Currency=USD","Period=FY","BEST_FPERIOD_OVERRIDE=FY","FILING_STATUS=MR","Sort=A","Dates=H","DateFormat=P","Fill=—","Direction=H","UseDPDF=Y")</f>
        <v>74</v>
      </c>
      <c r="H132" s="13">
        <f>_xll.BDH("EMN US Equity","AGE_OF_OLDEST_DIRECTOR","FY 2018","FY 2018","Currency=USD","Period=FY","BEST_FPERIOD_OVERRIDE=FY","FILING_STATUS=MR","Sort=A","Dates=H","DateFormat=P","Fill=—","Direction=H","UseDPDF=Y")</f>
        <v>75</v>
      </c>
      <c r="I132" s="13">
        <f>_xll.BDH("EMN US Equity","AGE_OF_OLDEST_DIRECTOR","FY 2019","FY 2019","Currency=USD","Period=FY","BEST_FPERIOD_OVERRIDE=FY","FILING_STATUS=MR","Sort=A","Dates=H","DateFormat=P","Fill=—","Direction=H","UseDPDF=Y")</f>
        <v>75</v>
      </c>
      <c r="J132" s="13">
        <f>_xll.BDH("EMN US Equity","AGE_OF_OLDEST_DIRECTOR","FY 2020","FY 2020","Currency=USD","Period=FY","BEST_FPERIOD_OVERRIDE=FY","FILING_STATUS=MR","Sort=A","Dates=H","DateFormat=P","Fill=—","Direction=H","UseDPDF=Y")</f>
        <v>71</v>
      </c>
      <c r="K132" s="13">
        <f>_xll.BDH("EMN US Equity","AGE_OF_OLDEST_DIRECTOR","FY 2021","FY 2021","Currency=USD","Period=FY","BEST_FPERIOD_OVERRIDE=FY","FILING_STATUS=MR","Sort=A","Dates=H","DateFormat=P","Fill=—","Direction=H","UseDPDF=Y")</f>
        <v>72</v>
      </c>
      <c r="L132" s="13">
        <f>_xll.BDH("EMN US Equity","AGE_OF_OLDEST_DIRECTOR","FY 2022","FY 2022","Currency=USD","Period=FY","BEST_FPERIOD_OVERRIDE=FY","FILING_STATUS=MR","Sort=A","Dates=H","DateFormat=P","Fill=—","Direction=H","UseDPDF=Y")</f>
        <v>73</v>
      </c>
    </row>
    <row r="133" spans="1:1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>
      <c r="A134" s="10" t="s">
        <v>220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>
      <c r="A135" s="10" t="s">
        <v>221</v>
      </c>
      <c r="B135" s="10" t="s">
        <v>222</v>
      </c>
      <c r="C135" s="13">
        <f>_xll.BDH("EMN US Equity","INDEPENDENT_DIRECTORS","FY 2013","FY 2013","Currency=USD","Period=FY","BEST_FPERIOD_OVERRIDE=FY","FILING_STATUS=MR","Sort=A","Dates=H","DateFormat=P","Fill=—","Direction=H","UseDPDF=Y")</f>
        <v>11</v>
      </c>
      <c r="D135" s="13">
        <f>_xll.BDH("EMN US Equity","INDEPENDENT_DIRECTORS","FY 2014","FY 2014","Currency=USD","Period=FY","BEST_FPERIOD_OVERRIDE=FY","FILING_STATUS=MR","Sort=A","Dates=H","DateFormat=P","Fill=—","Direction=H","UseDPDF=Y")</f>
        <v>10</v>
      </c>
      <c r="E135" s="13">
        <f>_xll.BDH("EMN US Equity","INDEPENDENT_DIRECTORS","FY 2015","FY 2015","Currency=USD","Period=FY","BEST_FPERIOD_OVERRIDE=FY","FILING_STATUS=MR","Sort=A","Dates=H","DateFormat=P","Fill=—","Direction=H","UseDPDF=Y")</f>
        <v>10</v>
      </c>
      <c r="F135" s="13">
        <f>_xll.BDH("EMN US Equity","INDEPENDENT_DIRECTORS","FY 2016","FY 2016","Currency=USD","Period=FY","BEST_FPERIOD_OVERRIDE=FY","FILING_STATUS=MR","Sort=A","Dates=H","DateFormat=P","Fill=—","Direction=H","UseDPDF=Y")</f>
        <v>11</v>
      </c>
      <c r="G135" s="13">
        <f>_xll.BDH("EMN US Equity","INDEPENDENT_DIRECTORS","FY 2017","FY 2017","Currency=USD","Period=FY","BEST_FPERIOD_OVERRIDE=FY","FILING_STATUS=MR","Sort=A","Dates=H","DateFormat=P","Fill=—","Direction=H","UseDPDF=Y")</f>
        <v>11</v>
      </c>
      <c r="H135" s="13">
        <f>_xll.BDH("EMN US Equity","INDEPENDENT_DIRECTORS","FY 2018","FY 2018","Currency=USD","Period=FY","BEST_FPERIOD_OVERRIDE=FY","FILING_STATUS=MR","Sort=A","Dates=H","DateFormat=P","Fill=—","Direction=H","UseDPDF=Y")</f>
        <v>11</v>
      </c>
      <c r="I135" s="13">
        <f>_xll.BDH("EMN US Equity","INDEPENDENT_DIRECTORS","FY 2019","FY 2019","Currency=USD","Period=FY","BEST_FPERIOD_OVERRIDE=FY","FILING_STATUS=MR","Sort=A","Dates=H","DateFormat=P","Fill=—","Direction=H","UseDPDF=Y")</f>
        <v>10</v>
      </c>
      <c r="J135" s="13">
        <f>_xll.BDH("EMN US Equity","INDEPENDENT_DIRECTORS","FY 2020","FY 2020","Currency=USD","Period=FY","BEST_FPERIOD_OVERRIDE=FY","FILING_STATUS=MR","Sort=A","Dates=H","DateFormat=P","Fill=—","Direction=H","UseDPDF=Y")</f>
        <v>9</v>
      </c>
      <c r="K135" s="13">
        <f>_xll.BDH("EMN US Equity","INDEPENDENT_DIRECTORS","FY 2021","FY 2021","Currency=USD","Period=FY","BEST_FPERIOD_OVERRIDE=FY","FILING_STATUS=MR","Sort=A","Dates=H","DateFormat=P","Fill=—","Direction=H","UseDPDF=Y")</f>
        <v>9</v>
      </c>
      <c r="L135" s="13">
        <f>_xll.BDH("EMN US Equity","INDEPENDENT_DIRECTORS","FY 2022","FY 2022","Currency=USD","Period=FY","BEST_FPERIOD_OVERRIDE=FY","FILING_STATUS=MR","Sort=A","Dates=H","DateFormat=P","Fill=—","Direction=H","UseDPDF=Y")</f>
        <v>10</v>
      </c>
    </row>
    <row r="136" spans="1:1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>
      <c r="A137" s="10" t="s">
        <v>223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>
      <c r="A138" s="10" t="s">
        <v>224</v>
      </c>
      <c r="B138" s="10" t="s">
        <v>225</v>
      </c>
      <c r="C138" s="13">
        <f>_xll.BDH("EMN US Equity","SIZE_OF_NOMINATION_COMMITTEE","FY 2013","FY 2013","Currency=USD","Period=FY","BEST_FPERIOD_OVERRIDE=FY","FILING_STATUS=MR","Sort=A","Dates=H","DateFormat=P","Fill=—","Direction=H","UseDPDF=Y")</f>
        <v>5</v>
      </c>
      <c r="D138" s="13">
        <f>_xll.BDH("EMN US Equity","SIZE_OF_NOMINATION_COMMITTEE","FY 2014","FY 2014","Currency=USD","Period=FY","BEST_FPERIOD_OVERRIDE=FY","FILING_STATUS=MR","Sort=A","Dates=H","DateFormat=P","Fill=—","Direction=H","UseDPDF=Y")</f>
        <v>5</v>
      </c>
      <c r="E138" s="13">
        <f>_xll.BDH("EMN US Equity","SIZE_OF_NOMINATION_COMMITTEE","FY 2015","FY 2015","Currency=USD","Period=FY","BEST_FPERIOD_OVERRIDE=FY","FILING_STATUS=MR","Sort=A","Dates=H","DateFormat=P","Fill=—","Direction=H","UseDPDF=Y")</f>
        <v>5</v>
      </c>
      <c r="F138" s="13">
        <f>_xll.BDH("EMN US Equity","SIZE_OF_NOMINATION_COMMITTEE","FY 2016","FY 2016","Currency=USD","Period=FY","BEST_FPERIOD_OVERRIDE=FY","FILING_STATUS=MR","Sort=A","Dates=H","DateFormat=P","Fill=—","Direction=H","UseDPDF=Y")</f>
        <v>6</v>
      </c>
      <c r="G138" s="13">
        <f>_xll.BDH("EMN US Equity","SIZE_OF_NOMINATION_COMMITTEE","FY 2017","FY 2017","Currency=USD","Period=FY","BEST_FPERIOD_OVERRIDE=FY","FILING_STATUS=MR","Sort=A","Dates=H","DateFormat=P","Fill=—","Direction=H","UseDPDF=Y")</f>
        <v>6</v>
      </c>
      <c r="H138" s="13">
        <f>_xll.BDH("EMN US Equity","SIZE_OF_NOMINATION_COMMITTEE","FY 2018","FY 2018","Currency=USD","Period=FY","BEST_FPERIOD_OVERRIDE=FY","FILING_STATUS=MR","Sort=A","Dates=H","DateFormat=P","Fill=—","Direction=H","UseDPDF=Y")</f>
        <v>6</v>
      </c>
      <c r="I138" s="13">
        <f>_xll.BDH("EMN US Equity","SIZE_OF_NOMINATION_COMMITTEE","FY 2019","FY 2019","Currency=USD","Period=FY","BEST_FPERIOD_OVERRIDE=FY","FILING_STATUS=MR","Sort=A","Dates=H","DateFormat=P","Fill=—","Direction=H","UseDPDF=Y")</f>
        <v>6</v>
      </c>
      <c r="J138" s="13">
        <f>_xll.BDH("EMN US Equity","SIZE_OF_NOMINATION_COMMITTEE","FY 2020","FY 2020","Currency=USD","Period=FY","BEST_FPERIOD_OVERRIDE=FY","FILING_STATUS=MR","Sort=A","Dates=H","DateFormat=P","Fill=—","Direction=H","UseDPDF=Y")</f>
        <v>5</v>
      </c>
      <c r="K138" s="13">
        <f>_xll.BDH("EMN US Equity","SIZE_OF_NOMINATION_COMMITTEE","FY 2021","FY 2021","Currency=USD","Period=FY","BEST_FPERIOD_OVERRIDE=FY","FILING_STATUS=MR","Sort=A","Dates=H","DateFormat=P","Fill=—","Direction=H","UseDPDF=Y")</f>
        <v>5</v>
      </c>
      <c r="L138" s="13">
        <f>_xll.BDH("EMN US Equity","SIZE_OF_NOMINATION_COMMITTEE","FY 2022","FY 2022","Currency=USD","Period=FY","BEST_FPERIOD_OVERRIDE=FY","FILING_STATUS=MR","Sort=A","Dates=H","DateFormat=P","Fill=—","Direction=H","UseDPDF=Y")</f>
        <v>5</v>
      </c>
    </row>
    <row r="139" spans="1:12">
      <c r="A139" s="10" t="s">
        <v>226</v>
      </c>
      <c r="B139" s="10" t="s">
        <v>227</v>
      </c>
      <c r="C139" s="13">
        <f>_xll.BDH("EMN US Equity","NUM_IND_DIR_ON_NOM_CMTE","FY 2013","FY 2013","Currency=USD","Period=FY","BEST_FPERIOD_OVERRIDE=FY","FILING_STATUS=MR","Sort=A","Dates=H","DateFormat=P","Fill=—","Direction=H","UseDPDF=Y")</f>
        <v>5</v>
      </c>
      <c r="D139" s="13">
        <f>_xll.BDH("EMN US Equity","NUM_IND_DIR_ON_NOM_CMTE","FY 2014","FY 2014","Currency=USD","Period=FY","BEST_FPERIOD_OVERRIDE=FY","FILING_STATUS=MR","Sort=A","Dates=H","DateFormat=P","Fill=—","Direction=H","UseDPDF=Y")</f>
        <v>5</v>
      </c>
      <c r="E139" s="13">
        <f>_xll.BDH("EMN US Equity","NUM_IND_DIR_ON_NOM_CMTE","FY 2015","FY 2015","Currency=USD","Period=FY","BEST_FPERIOD_OVERRIDE=FY","FILING_STATUS=MR","Sort=A","Dates=H","DateFormat=P","Fill=—","Direction=H","UseDPDF=Y")</f>
        <v>5</v>
      </c>
      <c r="F139" s="13">
        <f>_xll.BDH("EMN US Equity","NUM_IND_DIR_ON_NOM_CMTE","FY 2016","FY 2016","Currency=USD","Period=FY","BEST_FPERIOD_OVERRIDE=FY","FILING_STATUS=MR","Sort=A","Dates=H","DateFormat=P","Fill=—","Direction=H","UseDPDF=Y")</f>
        <v>6</v>
      </c>
      <c r="G139" s="13">
        <f>_xll.BDH("EMN US Equity","NUM_IND_DIR_ON_NOM_CMTE","FY 2017","FY 2017","Currency=USD","Period=FY","BEST_FPERIOD_OVERRIDE=FY","FILING_STATUS=MR","Sort=A","Dates=H","DateFormat=P","Fill=—","Direction=H","UseDPDF=Y")</f>
        <v>6</v>
      </c>
      <c r="H139" s="13">
        <f>_xll.BDH("EMN US Equity","NUM_IND_DIR_ON_NOM_CMTE","FY 2018","FY 2018","Currency=USD","Period=FY","BEST_FPERIOD_OVERRIDE=FY","FILING_STATUS=MR","Sort=A","Dates=H","DateFormat=P","Fill=—","Direction=H","UseDPDF=Y")</f>
        <v>6</v>
      </c>
      <c r="I139" s="13">
        <f>_xll.BDH("EMN US Equity","NUM_IND_DIR_ON_NOM_CMTE","FY 2019","FY 2019","Currency=USD","Period=FY","BEST_FPERIOD_OVERRIDE=FY","FILING_STATUS=MR","Sort=A","Dates=H","DateFormat=P","Fill=—","Direction=H","UseDPDF=Y")</f>
        <v>6</v>
      </c>
      <c r="J139" s="13">
        <f>_xll.BDH("EMN US Equity","NUM_IND_DIR_ON_NOM_CMTE","FY 2020","FY 2020","Currency=USD","Period=FY","BEST_FPERIOD_OVERRIDE=FY","FILING_STATUS=MR","Sort=A","Dates=H","DateFormat=P","Fill=—","Direction=H","UseDPDF=Y")</f>
        <v>5</v>
      </c>
      <c r="K139" s="13">
        <f>_xll.BDH("EMN US Equity","NUM_IND_DIR_ON_NOM_CMTE","FY 2021","FY 2021","Currency=USD","Period=FY","BEST_FPERIOD_OVERRIDE=FY","FILING_STATUS=MR","Sort=A","Dates=H","DateFormat=P","Fill=—","Direction=H","UseDPDF=Y")</f>
        <v>5</v>
      </c>
      <c r="L139" s="13">
        <f>_xll.BDH("EMN US Equity","NUM_IND_DIR_ON_NOM_CMTE","FY 2022","FY 2022","Currency=USD","Period=FY","BEST_FPERIOD_OVERRIDE=FY","FILING_STATUS=MR","Sort=A","Dates=H","DateFormat=P","Fill=—","Direction=H","UseDPDF=Y")</f>
        <v>4</v>
      </c>
    </row>
    <row r="140" spans="1:12">
      <c r="A140" s="10" t="s">
        <v>228</v>
      </c>
      <c r="B140" s="10" t="s">
        <v>229</v>
      </c>
      <c r="C140" s="13">
        <f>_xll.BDH("EMN US Equity","NUM_OF_NOMINATION_CMTE_MTG","FY 2013","FY 2013","Currency=USD","Period=FY","BEST_FPERIOD_OVERRIDE=FY","FILING_STATUS=MR","Sort=A","Dates=H","DateFormat=P","Fill=—","Direction=H","UseDPDF=Y")</f>
        <v>6</v>
      </c>
      <c r="D140" s="13">
        <f>_xll.BDH("EMN US Equity","NUM_OF_NOMINATION_CMTE_MTG","FY 2014","FY 2014","Currency=USD","Period=FY","BEST_FPERIOD_OVERRIDE=FY","FILING_STATUS=MR","Sort=A","Dates=H","DateFormat=P","Fill=—","Direction=H","UseDPDF=Y")</f>
        <v>4</v>
      </c>
      <c r="E140" s="13">
        <f>_xll.BDH("EMN US Equity","NUM_OF_NOMINATION_CMTE_MTG","FY 2015","FY 2015","Currency=USD","Period=FY","BEST_FPERIOD_OVERRIDE=FY","FILING_STATUS=MR","Sort=A","Dates=H","DateFormat=P","Fill=—","Direction=H","UseDPDF=Y")</f>
        <v>5</v>
      </c>
      <c r="F140" s="13">
        <f>_xll.BDH("EMN US Equity","NUM_OF_NOMINATION_CMTE_MTG","FY 2016","FY 2016","Currency=USD","Period=FY","BEST_FPERIOD_OVERRIDE=FY","FILING_STATUS=MR","Sort=A","Dates=H","DateFormat=P","Fill=—","Direction=H","UseDPDF=Y")</f>
        <v>5</v>
      </c>
      <c r="G140" s="13">
        <f>_xll.BDH("EMN US Equity","NUM_OF_NOMINATION_CMTE_MTG","FY 2017","FY 2017","Currency=USD","Period=FY","BEST_FPERIOD_OVERRIDE=FY","FILING_STATUS=MR","Sort=A","Dates=H","DateFormat=P","Fill=—","Direction=H","UseDPDF=Y")</f>
        <v>4</v>
      </c>
      <c r="H140" s="13">
        <f>_xll.BDH("EMN US Equity","NUM_OF_NOMINATION_CMTE_MTG","FY 2018","FY 2018","Currency=USD","Period=FY","BEST_FPERIOD_OVERRIDE=FY","FILING_STATUS=MR","Sort=A","Dates=H","DateFormat=P","Fill=—","Direction=H","UseDPDF=Y")</f>
        <v>4</v>
      </c>
      <c r="I140" s="13">
        <f>_xll.BDH("EMN US Equity","NUM_OF_NOMINATION_CMTE_MTG","FY 2019","FY 2019","Currency=USD","Period=FY","BEST_FPERIOD_OVERRIDE=FY","FILING_STATUS=MR","Sort=A","Dates=H","DateFormat=P","Fill=—","Direction=H","UseDPDF=Y")</f>
        <v>5</v>
      </c>
      <c r="J140" s="13">
        <f>_xll.BDH("EMN US Equity","NUM_OF_NOMINATION_CMTE_MTG","FY 2020","FY 2020","Currency=USD","Period=FY","BEST_FPERIOD_OVERRIDE=FY","FILING_STATUS=MR","Sort=A","Dates=H","DateFormat=P","Fill=—","Direction=H","UseDPDF=Y")</f>
        <v>6</v>
      </c>
      <c r="K140" s="13">
        <f>_xll.BDH("EMN US Equity","NUM_OF_NOMINATION_CMTE_MTG","FY 2021","FY 2021","Currency=USD","Period=FY","BEST_FPERIOD_OVERRIDE=FY","FILING_STATUS=MR","Sort=A","Dates=H","DateFormat=P","Fill=—","Direction=H","UseDPDF=Y")</f>
        <v>6</v>
      </c>
      <c r="L140" s="13">
        <f>_xll.BDH("EMN US Equity","NUM_OF_NOMINATION_CMTE_MTG","FY 2022","FY 2022","Currency=USD","Period=FY","BEST_FPERIOD_OVERRIDE=FY","FILING_STATUS=MR","Sort=A","Dates=H","DateFormat=P","Fill=—","Direction=H","UseDPDF=Y")</f>
        <v>5</v>
      </c>
    </row>
    <row r="141" spans="1:12">
      <c r="A141" s="10" t="s">
        <v>230</v>
      </c>
      <c r="B141" s="10" t="s">
        <v>231</v>
      </c>
      <c r="C141" s="13">
        <f>_xll.BDH("EMN US Equity","NOMINATION_CMTE_MTG_ATTEND_PCT","FY 2013","FY 2013","Currency=USD","Period=FY","BEST_FPERIOD_OVERRIDE=FY","FILING_STATUS=MR","Sort=A","Dates=H","DateFormat=P","Fill=—","Direction=H","UseDPDF=Y")</f>
        <v>75</v>
      </c>
      <c r="D141" s="13">
        <f>_xll.BDH("EMN US Equity","NOMINATION_CMTE_MTG_ATTEND_PCT","FY 2014","FY 2014","Currency=USD","Period=FY","BEST_FPERIOD_OVERRIDE=FY","FILING_STATUS=MR","Sort=A","Dates=H","DateFormat=P","Fill=—","Direction=H","UseDPDF=Y")</f>
        <v>75</v>
      </c>
      <c r="E141" s="13">
        <f>_xll.BDH("EMN US Equity","NOMINATION_CMTE_MTG_ATTEND_PCT","FY 2015","FY 2015","Currency=USD","Period=FY","BEST_FPERIOD_OVERRIDE=FY","FILING_STATUS=MR","Sort=A","Dates=H","DateFormat=P","Fill=—","Direction=H","UseDPDF=Y")</f>
        <v>75</v>
      </c>
      <c r="F141" s="13">
        <f>_xll.BDH("EMN US Equity","NOMINATION_CMTE_MTG_ATTEND_PCT","FY 2016","FY 2016","Currency=USD","Period=FY","BEST_FPERIOD_OVERRIDE=FY","FILING_STATUS=MR","Sort=A","Dates=H","DateFormat=P","Fill=—","Direction=H","UseDPDF=Y")</f>
        <v>75</v>
      </c>
      <c r="G141" s="13">
        <f>_xll.BDH("EMN US Equity","NOMINATION_CMTE_MTG_ATTEND_PCT","FY 2017","FY 2017","Currency=USD","Period=FY","BEST_FPERIOD_OVERRIDE=FY","FILING_STATUS=MR","Sort=A","Dates=H","DateFormat=P","Fill=—","Direction=H","UseDPDF=Y")</f>
        <v>75</v>
      </c>
      <c r="H141" s="13">
        <f>_xll.BDH("EMN US Equity","NOMINATION_CMTE_MTG_ATTEND_PCT","FY 2018","FY 2018","Currency=USD","Period=FY","BEST_FPERIOD_OVERRIDE=FY","FILING_STATUS=MR","Sort=A","Dates=H","DateFormat=P","Fill=—","Direction=H","UseDPDF=Y")</f>
        <v>75</v>
      </c>
      <c r="I141" s="13">
        <f>_xll.BDH("EMN US Equity","NOMINATION_CMTE_MTG_ATTEND_PCT","FY 2019","FY 2019","Currency=USD","Period=FY","BEST_FPERIOD_OVERRIDE=FY","FILING_STATUS=MR","Sort=A","Dates=H","DateFormat=P","Fill=—","Direction=H","UseDPDF=Y")</f>
        <v>75</v>
      </c>
      <c r="J141" s="13">
        <f>_xll.BDH("EMN US Equity","NOMINATION_CMTE_MTG_ATTEND_PCT","FY 2020","FY 2020","Currency=USD","Period=FY","BEST_FPERIOD_OVERRIDE=FY","FILING_STATUS=MR","Sort=A","Dates=H","DateFormat=P","Fill=—","Direction=H","UseDPDF=Y")</f>
        <v>75</v>
      </c>
      <c r="K141" s="13">
        <f>_xll.BDH("EMN US Equity","NOMINATION_CMTE_MTG_ATTEND_PCT","FY 2021","FY 2021","Currency=USD","Period=FY","BEST_FPERIOD_OVERRIDE=FY","FILING_STATUS=MR","Sort=A","Dates=H","DateFormat=P","Fill=—","Direction=H","UseDPDF=Y")</f>
        <v>75</v>
      </c>
      <c r="L141" s="13">
        <f>_xll.BDH("EMN US Equity","NOMINATION_CMTE_MTG_ATTEND_PCT","FY 2022","FY 2022","Currency=USD","Period=FY","BEST_FPERIOD_OVERRIDE=FY","FILING_STATUS=MR","Sort=A","Dates=H","DateFormat=P","Fill=—","Direction=H","UseDPDF=Y")</f>
        <v>75</v>
      </c>
    </row>
    <row r="142" spans="1:1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>
      <c r="A143" s="10" t="s">
        <v>232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>
      <c r="A144" s="10" t="s">
        <v>233</v>
      </c>
      <c r="B144" s="10" t="s">
        <v>234</v>
      </c>
      <c r="C144" s="11" t="s">
        <v>52</v>
      </c>
      <c r="D144" s="11" t="s">
        <v>52</v>
      </c>
      <c r="E144" s="11" t="s">
        <v>52</v>
      </c>
      <c r="F144" s="11" t="s">
        <v>56</v>
      </c>
      <c r="G144" s="11" t="s">
        <v>56</v>
      </c>
      <c r="H144" s="11" t="s">
        <v>56</v>
      </c>
      <c r="I144" s="11" t="s">
        <v>56</v>
      </c>
      <c r="J144" s="11" t="s">
        <v>56</v>
      </c>
      <c r="K144" s="11" t="s">
        <v>52</v>
      </c>
      <c r="L144" s="11" t="s">
        <v>53</v>
      </c>
    </row>
    <row r="145" spans="1:12">
      <c r="A145" s="10" t="s">
        <v>235</v>
      </c>
      <c r="B145" s="10" t="s">
        <v>236</v>
      </c>
      <c r="C145" s="11" t="s">
        <v>56</v>
      </c>
      <c r="D145" s="11" t="s">
        <v>52</v>
      </c>
      <c r="E145" s="11" t="s">
        <v>52</v>
      </c>
      <c r="F145" s="11" t="s">
        <v>52</v>
      </c>
      <c r="G145" s="11" t="s">
        <v>52</v>
      </c>
      <c r="H145" s="11" t="s">
        <v>52</v>
      </c>
      <c r="I145" s="11" t="s">
        <v>52</v>
      </c>
      <c r="J145" s="11" t="s">
        <v>52</v>
      </c>
      <c r="K145" s="11" t="s">
        <v>52</v>
      </c>
      <c r="L145" s="11" t="s">
        <v>53</v>
      </c>
    </row>
    <row r="146" spans="1:1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>
      <c r="A147" s="10" t="s">
        <v>237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>
      <c r="A148" s="10" t="s">
        <v>238</v>
      </c>
      <c r="B148" s="10" t="s">
        <v>239</v>
      </c>
      <c r="C148" s="13">
        <f>_xll.BDH("EMN US Equity","BOARD_DURATION","FY 2013","FY 2013","Currency=USD","Period=FY","BEST_FPERIOD_OVERRIDE=FY","FILING_STATUS=MR","Sort=A","Dates=H","DateFormat=P","Fill=—","Direction=H","UseDPDF=Y")</f>
        <v>1</v>
      </c>
      <c r="D148" s="13">
        <f>_xll.BDH("EMN US Equity","BOARD_DURATION","FY 2014","FY 2014","Currency=USD","Period=FY","BEST_FPERIOD_OVERRIDE=FY","FILING_STATUS=MR","Sort=A","Dates=H","DateFormat=P","Fill=—","Direction=H","UseDPDF=Y")</f>
        <v>1</v>
      </c>
      <c r="E148" s="13">
        <f>_xll.BDH("EMN US Equity","BOARD_DURATION","FY 2015","FY 2015","Currency=USD","Period=FY","BEST_FPERIOD_OVERRIDE=FY","FILING_STATUS=MR","Sort=A","Dates=H","DateFormat=P","Fill=—","Direction=H","UseDPDF=Y")</f>
        <v>1</v>
      </c>
      <c r="F148" s="13">
        <f>_xll.BDH("EMN US Equity","BOARD_DURATION","FY 2016","FY 2016","Currency=USD","Period=FY","BEST_FPERIOD_OVERRIDE=FY","FILING_STATUS=MR","Sort=A","Dates=H","DateFormat=P","Fill=—","Direction=H","UseDPDF=Y")</f>
        <v>1</v>
      </c>
      <c r="G148" s="13">
        <f>_xll.BDH("EMN US Equity","BOARD_DURATION","FY 2017","FY 2017","Currency=USD","Period=FY","BEST_FPERIOD_OVERRIDE=FY","FILING_STATUS=MR","Sort=A","Dates=H","DateFormat=P","Fill=—","Direction=H","UseDPDF=Y")</f>
        <v>1</v>
      </c>
      <c r="H148" s="13">
        <f>_xll.BDH("EMN US Equity","BOARD_DURATION","FY 2018","FY 2018","Currency=USD","Period=FY","BEST_FPERIOD_OVERRIDE=FY","FILING_STATUS=MR","Sort=A","Dates=H","DateFormat=P","Fill=—","Direction=H","UseDPDF=Y")</f>
        <v>1</v>
      </c>
      <c r="I148" s="13">
        <f>_xll.BDH("EMN US Equity","BOARD_DURATION","FY 2019","FY 2019","Currency=USD","Period=FY","BEST_FPERIOD_OVERRIDE=FY","FILING_STATUS=MR","Sort=A","Dates=H","DateFormat=P","Fill=—","Direction=H","UseDPDF=Y")</f>
        <v>1</v>
      </c>
      <c r="J148" s="13">
        <f>_xll.BDH("EMN US Equity","BOARD_DURATION","FY 2020","FY 2020","Currency=USD","Period=FY","BEST_FPERIOD_OVERRIDE=FY","FILING_STATUS=MR","Sort=A","Dates=H","DateFormat=P","Fill=—","Direction=H","UseDPDF=Y")</f>
        <v>1</v>
      </c>
      <c r="K148" s="13">
        <f>_xll.BDH("EMN US Equity","BOARD_DURATION","FY 2021","FY 2021","Currency=USD","Period=FY","BEST_FPERIOD_OVERRIDE=FY","FILING_STATUS=MR","Sort=A","Dates=H","DateFormat=P","Fill=—","Direction=H","UseDPDF=Y")</f>
        <v>1</v>
      </c>
      <c r="L148" s="13">
        <f>_xll.BDH("EMN US Equity","BOARD_DURATION","FY 2022","FY 2022","Currency=USD","Period=FY","BEST_FPERIOD_OVERRIDE=FY","FILING_STATUS=MR","Sort=A","Dates=H","DateFormat=P","Fill=—","Direction=H","UseDPDF=Y")</f>
        <v>1</v>
      </c>
    </row>
    <row r="149" spans="1:12">
      <c r="A149" s="7" t="s">
        <v>240</v>
      </c>
      <c r="B149" s="7"/>
      <c r="C149" s="7" t="s">
        <v>241</v>
      </c>
      <c r="D149" s="7"/>
      <c r="E149" s="7"/>
      <c r="F149" s="7"/>
      <c r="G149" s="7"/>
      <c r="H149" s="7"/>
      <c r="I149" s="7"/>
      <c r="J149" s="7"/>
      <c r="K149" s="7"/>
      <c r="L1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2023-12-05T12:39:54Z</dcterms:modified>
  <cp:category/>
  <cp:contentStatus/>
</cp:coreProperties>
</file>