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B5225432-1A59-45A2-BCDD-27501860C0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C16" i="2"/>
  <c r="D9" i="2"/>
  <c r="H16" i="2"/>
  <c r="C9" i="2"/>
  <c r="D24" i="2"/>
  <c r="I10" i="2"/>
  <c r="H8" i="2"/>
  <c r="D19" i="2"/>
  <c r="D14" i="2"/>
  <c r="F24" i="2"/>
  <c r="F13" i="2"/>
  <c r="J14" i="2"/>
  <c r="E24" i="2"/>
  <c r="I17" i="2"/>
  <c r="G17" i="2"/>
  <c r="F17" i="2"/>
  <c r="E14" i="2"/>
  <c r="K20" i="2"/>
  <c r="L15" i="2"/>
  <c r="G14" i="2"/>
  <c r="D18" i="2"/>
  <c r="G24" i="2"/>
  <c r="J8" i="2"/>
  <c r="E19" i="2"/>
  <c r="H20" i="2"/>
  <c r="H17" i="2"/>
  <c r="K10" i="2"/>
  <c r="G13" i="2"/>
  <c r="J7" i="2"/>
  <c r="G7" i="2"/>
  <c r="D7" i="2"/>
  <c r="J20" i="2"/>
  <c r="F14" i="2"/>
  <c r="I7" i="2"/>
  <c r="L18" i="2"/>
  <c r="H14" i="2"/>
  <c r="K15" i="2"/>
  <c r="G9" i="2"/>
  <c r="E9" i="2"/>
  <c r="H10" i="2"/>
  <c r="H24" i="2"/>
  <c r="I19" i="2"/>
  <c r="L20" i="2"/>
  <c r="J15" i="2"/>
  <c r="F7" i="2"/>
  <c r="H7" i="2"/>
  <c r="J17" i="2"/>
  <c r="I14" i="2"/>
  <c r="F19" i="2"/>
  <c r="L10" i="2"/>
  <c r="F9" i="2"/>
  <c r="D13" i="2"/>
  <c r="C19" i="2"/>
  <c r="K7" i="2"/>
  <c r="J10" i="2"/>
  <c r="C13" i="2"/>
  <c r="K13" i="2"/>
  <c r="L17" i="2"/>
  <c r="I24" i="2"/>
  <c r="K14" i="2"/>
  <c r="E16" i="2"/>
  <c r="C18" i="2"/>
  <c r="D16" i="2"/>
  <c r="G23" i="2"/>
  <c r="D23" i="2"/>
  <c r="G19" i="2"/>
  <c r="K17" i="2"/>
  <c r="K24" i="2"/>
  <c r="I9" i="2"/>
  <c r="H19" i="2"/>
  <c r="I20" i="2"/>
  <c r="C8" i="2"/>
  <c r="C23" i="2"/>
  <c r="F18" i="2"/>
  <c r="C25" i="2"/>
  <c r="K19" i="2"/>
  <c r="F8" i="2"/>
  <c r="E18" i="2"/>
  <c r="L9" i="2"/>
  <c r="G16" i="2"/>
  <c r="D25" i="2"/>
  <c r="E13" i="2"/>
  <c r="D15" i="2"/>
  <c r="J24" i="2"/>
  <c r="L24" i="2"/>
  <c r="H13" i="2"/>
  <c r="I8" i="2"/>
  <c r="J16" i="2"/>
  <c r="E10" i="2"/>
  <c r="E23" i="2"/>
  <c r="F15" i="2"/>
  <c r="G8" i="2"/>
  <c r="E15" i="2"/>
  <c r="L19" i="2"/>
  <c r="H23" i="2"/>
  <c r="J18" i="2"/>
  <c r="G15" i="2"/>
  <c r="K23" i="2"/>
  <c r="F23" i="2"/>
  <c r="K16" i="2"/>
  <c r="I23" i="2"/>
  <c r="C10" i="2"/>
  <c r="I13" i="2"/>
  <c r="J19" i="2"/>
  <c r="C15" i="2"/>
  <c r="J13" i="2"/>
  <c r="D10" i="2"/>
  <c r="J25" i="2"/>
  <c r="C20" i="2"/>
  <c r="D8" i="2"/>
  <c r="F10" i="2"/>
  <c r="E25" i="2"/>
  <c r="C17" i="2"/>
  <c r="L14" i="2"/>
  <c r="G18" i="2"/>
  <c r="H9" i="2"/>
  <c r="K9" i="2"/>
  <c r="G25" i="2"/>
  <c r="L7" i="2"/>
  <c r="L16" i="2"/>
  <c r="F16" i="2"/>
  <c r="G10" i="2"/>
  <c r="K18" i="2"/>
  <c r="E8" i="2"/>
  <c r="D17" i="2"/>
  <c r="C7" i="2"/>
  <c r="D20" i="2"/>
  <c r="J9" i="2"/>
  <c r="G20" i="2"/>
  <c r="I25" i="2"/>
  <c r="H18" i="2"/>
  <c r="H25" i="2"/>
  <c r="K8" i="2"/>
  <c r="L25" i="2"/>
  <c r="F25" i="2"/>
  <c r="I16" i="2"/>
  <c r="E17" i="2"/>
  <c r="E7" i="2"/>
  <c r="F20" i="2"/>
  <c r="H15" i="2"/>
  <c r="C24" i="2"/>
  <c r="K25" i="2"/>
  <c r="I18" i="2"/>
  <c r="E20" i="2"/>
  <c r="J23" i="2"/>
  <c r="L23" i="2"/>
  <c r="L13" i="2"/>
  <c r="C14" i="2"/>
  <c r="I15" i="2"/>
</calcChain>
</file>

<file path=xl/sharedStrings.xml><?xml version="1.0" encoding="utf-8"?>
<sst xmlns="http://schemas.openxmlformats.org/spreadsheetml/2006/main" count="58" uniqueCount="58">
  <si>
    <t>Eastman Chemical Co (EMN US) - Profitability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</si>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</sst>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4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4" fontId="1" fillId="34" borderId="2" xfId="53">
      <alignment horizontal="right"/>
    </xf>
    <xf numFmtId="3" fontId="7" fillId="34" borderId="2" xfId="54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0" t="s">
        <v>24</v>
      </c>
      <c r="B7" s="10" t="s">
        <v>25</v>
      </c>
      <c r="C7" s="12">
        <f>_xll.BDH("EMN US Equity","RETURN_COM_EQY","FY 2013","FY 2013","Currency=USD","Period=FY","BEST_FPERIOD_OVERRIDE=FY","FILING_STATUS=MR","FA_ADJUSTED=GAAP","Sort=A","Dates=H","DateFormat=P","Fill=—","Direction=H","UseDPDF=Y")</f>
        <v>34.5749</v>
      </c>
      <c r="D7" s="12">
        <f>_xll.BDH("EMN US Equity","RETURN_COM_EQY","FY 2014","FY 2014","Currency=USD","Period=FY","BEST_FPERIOD_OVERRIDE=FY","FILING_STATUS=MR","FA_ADJUSTED=GAAP","Sort=A","Dates=H","DateFormat=P","Fill=—","Direction=H","UseDPDF=Y")</f>
        <v>20.558399999999999</v>
      </c>
      <c r="E7" s="12">
        <f>_xll.BDH("EMN US Equity","RETURN_COM_EQY","FY 2015","FY 2015","Currency=USD","Period=FY","BEST_FPERIOD_OVERRIDE=FY","FILING_STATUS=MR","FA_ADJUSTED=GAAP","Sort=A","Dates=H","DateFormat=P","Fill=—","Direction=H","UseDPDF=Y")</f>
        <v>22.762</v>
      </c>
      <c r="F7" s="12">
        <f>_xll.BDH("EMN US Equity","RETURN_COM_EQY","FY 2016","FY 2016","Currency=USD","Period=FY","BEST_FPERIOD_OVERRIDE=FY","FILING_STATUS=MR","FA_ADJUSTED=GAAP","Sort=A","Dates=H","DateFormat=P","Fill=—","Direction=H","UseDPDF=Y")</f>
        <v>20.158100000000001</v>
      </c>
      <c r="G7" s="12">
        <f>_xll.BDH("EMN US Equity","RETURN_COM_EQY","FY 2017","FY 2017","Currency=USD","Period=FY","BEST_FPERIOD_OVERRIDE=FY","FILING_STATUS=MR","FA_ADJUSTED=GAAP","Sort=A","Dates=H","DateFormat=P","Fill=—","Direction=H","UseDPDF=Y")</f>
        <v>27.8611</v>
      </c>
      <c r="H7" s="12">
        <f>_xll.BDH("EMN US Equity","RETURN_COM_EQY","FY 2018","FY 2018","Currency=USD","Period=FY","BEST_FPERIOD_OVERRIDE=FY","FILING_STATUS=MR","FA_ADJUSTED=GAAP","Sort=A","Dates=H","DateFormat=P","Fill=—","Direction=H","UseDPDF=Y")</f>
        <v>19.275400000000001</v>
      </c>
      <c r="I7" s="12">
        <f>_xll.BDH("EMN US Equity","RETURN_COM_EQY","FY 2019","FY 2019","Currency=USD","Period=FY","BEST_FPERIOD_OVERRIDE=FY","FILING_STATUS=MR","FA_ADJUSTED=GAAP","Sort=A","Dates=H","DateFormat=P","Fill=—","Direction=H","UseDPDF=Y")</f>
        <v>12.9071</v>
      </c>
      <c r="J7" s="12">
        <f>_xll.BDH("EMN US Equity","RETURN_COM_EQY","FY 2020","FY 2020","Currency=USD","Period=FY","BEST_FPERIOD_OVERRIDE=FY","FILING_STATUS=MR","FA_ADJUSTED=GAAP","Sort=A","Dates=H","DateFormat=P","Fill=—","Direction=H","UseDPDF=Y")</f>
        <v>7.9793000000000003</v>
      </c>
      <c r="K7" s="12">
        <f>_xll.BDH("EMN US Equity","RETURN_COM_EQY","FY 2021","FY 2021","Currency=USD","Period=FY","BEST_FPERIOD_OVERRIDE=FY","FILING_STATUS=MR","FA_ADJUSTED=GAAP","Sort=A","Dates=H","DateFormat=P","Fill=—","Direction=H","UseDPDF=Y")</f>
        <v>14.6158</v>
      </c>
      <c r="L7" s="12">
        <f>_xll.BDH("EMN US Equity","RETURN_COM_EQY","FY 2022","FY 2022","Currency=USD","Period=FY","BEST_FPERIOD_OVERRIDE=FY","FILING_STATUS=MR","FA_ADJUSTED=GAAP","Sort=A","Dates=H","DateFormat=P","Fill=—","Direction=H","UseDPDF=Y")</f>
        <v>14.6081</v>
      </c>
    </row>
    <row r="8" spans="1:12">
      <c r="A8" s="10" t="s">
        <v>26</v>
      </c>
      <c r="B8" s="10" t="s">
        <v>27</v>
      </c>
      <c r="C8" s="12">
        <f>_xll.BDH("EMN US Equity","RETURN_ON_ASSET","FY 2013","FY 2013","Currency=USD","Period=FY","BEST_FPERIOD_OVERRIDE=FY","FILING_STATUS=MR","FA_ADJUSTED=GAAP","Sort=A","Dates=H","DateFormat=P","Fill=—","Direction=H","UseDPDF=Y")</f>
        <v>9.8917000000000002</v>
      </c>
      <c r="D8" s="12">
        <f>_xll.BDH("EMN US Equity","RETURN_ON_ASSET","FY 2014","FY 2014","Currency=USD","Period=FY","BEST_FPERIOD_OVERRIDE=FY","FILING_STATUS=MR","FA_ADJUSTED=GAAP","Sort=A","Dates=H","DateFormat=P","Fill=—","Direction=H","UseDPDF=Y")</f>
        <v>5.3802000000000003</v>
      </c>
      <c r="E8" s="12">
        <f>_xll.BDH("EMN US Equity","RETURN_ON_ASSET","FY 2015","FY 2015","Currency=USD","Period=FY","BEST_FPERIOD_OVERRIDE=FY","FILING_STATUS=MR","FA_ADJUSTED=GAAP","Sort=A","Dates=H","DateFormat=P","Fill=—","Direction=H","UseDPDF=Y")</f>
        <v>5.3582999999999998</v>
      </c>
      <c r="F8" s="12">
        <f>_xll.BDH("EMN US Equity","RETURN_ON_ASSET","FY 2016","FY 2016","Currency=USD","Period=FY","BEST_FPERIOD_OVERRIDE=FY","FILING_STATUS=MR","FA_ADJUSTED=GAAP","Sort=A","Dates=H","DateFormat=P","Fill=—","Direction=H","UseDPDF=Y")</f>
        <v>5.5030999999999999</v>
      </c>
      <c r="G8" s="12">
        <f>_xll.BDH("EMN US Equity","RETURN_ON_ASSET","FY 2017","FY 2017","Currency=USD","Period=FY","BEST_FPERIOD_OVERRIDE=FY","FILING_STATUS=MR","FA_ADJUSTED=GAAP","Sort=A","Dates=H","DateFormat=P","Fill=—","Direction=H","UseDPDF=Y")</f>
        <v>8.7995999999999999</v>
      </c>
      <c r="H8" s="12">
        <f>_xll.BDH("EMN US Equity","RETURN_ON_ASSET","FY 2018","FY 2018","Currency=USD","Period=FY","BEST_FPERIOD_OVERRIDE=FY","FILING_STATUS=MR","FA_ADJUSTED=GAAP","Sort=A","Dates=H","DateFormat=P","Fill=—","Direction=H","UseDPDF=Y")</f>
        <v>6.7512999999999996</v>
      </c>
      <c r="I8" s="12">
        <f>_xll.BDH("EMN US Equity","RETURN_ON_ASSET","FY 2019","FY 2019","Currency=USD","Period=FY","BEST_FPERIOD_OVERRIDE=FY","FILING_STATUS=MR","FA_ADJUSTED=GAAP","Sort=A","Dates=H","DateFormat=P","Fill=—","Direction=H","UseDPDF=Y")</f>
        <v>4.7432999999999996</v>
      </c>
      <c r="J8" s="12">
        <f>_xll.BDH("EMN US Equity","RETURN_ON_ASSET","FY 2020","FY 2020","Currency=USD","Period=FY","BEST_FPERIOD_OVERRIDE=FY","FILING_STATUS=MR","FA_ADJUSTED=GAAP","Sort=A","Dates=H","DateFormat=P","Fill=—","Direction=H","UseDPDF=Y")</f>
        <v>2.9790000000000001</v>
      </c>
      <c r="K8" s="12">
        <f>_xll.BDH("EMN US Equity","RETURN_ON_ASSET","FY 2021","FY 2021","Currency=USD","Period=FY","BEST_FPERIOD_OVERRIDE=FY","FILING_STATUS=MR","FA_ADJUSTED=GAAP","Sort=A","Dates=H","DateFormat=P","Fill=—","Direction=H","UseDPDF=Y")</f>
        <v>5.4237000000000002</v>
      </c>
      <c r="L8" s="12">
        <f>_xll.BDH("EMN US Equity","RETURN_ON_ASSET","FY 2022","FY 2022","Currency=USD","Period=FY","BEST_FPERIOD_OVERRIDE=FY","FILING_STATUS=MR","FA_ADJUSTED=GAAP","Sort=A","Dates=H","DateFormat=P","Fill=—","Direction=H","UseDPDF=Y")</f>
        <v>5.2541000000000002</v>
      </c>
    </row>
    <row r="9" spans="1:12">
      <c r="A9" s="10" t="s">
        <v>28</v>
      </c>
      <c r="B9" s="10" t="s">
        <v>29</v>
      </c>
      <c r="C9" s="12">
        <f>_xll.BDH("EMN US Equity","RETURN_ON_CAP","FY 2013","FY 2013","Currency=USD","Period=FY","BEST_FPERIOD_OVERRIDE=FY","FILING_STATUS=MR","FA_ADJUSTED=GAAP","Sort=A","Dates=H","DateFormat=P","Fill=—","Direction=H","UseDPDF=Y")</f>
        <v>16.334199999999999</v>
      </c>
      <c r="D9" s="12">
        <f>_xll.BDH("EMN US Equity","RETURN_ON_CAP","FY 2014","FY 2014","Currency=USD","Period=FY","BEST_FPERIOD_OVERRIDE=FY","FILING_STATUS=MR","FA_ADJUSTED=GAAP","Sort=A","Dates=H","DateFormat=P","Fill=—","Direction=H","UseDPDF=Y")</f>
        <v>9.4644999999999992</v>
      </c>
      <c r="E9" s="12">
        <f>_xll.BDH("EMN US Equity","RETURN_ON_CAP","FY 2015","FY 2015","Currency=USD","Period=FY","BEST_FPERIOD_OVERRIDE=FY","FILING_STATUS=MR","FA_ADJUSTED=GAAP","Sort=A","Dates=H","DateFormat=P","Fill=—","Direction=H","UseDPDF=Y")</f>
        <v>9.5200999999999993</v>
      </c>
      <c r="F9" s="12">
        <f>_xll.BDH("EMN US Equity","RETURN_ON_CAP","FY 2016","FY 2016","Currency=USD","Period=FY","BEST_FPERIOD_OVERRIDE=FY","FILING_STATUS=MR","FA_ADJUSTED=GAAP","Sort=A","Dates=H","DateFormat=P","Fill=—","Direction=H","UseDPDF=Y")</f>
        <v>9.6303999999999998</v>
      </c>
      <c r="G9" s="12">
        <f>_xll.BDH("EMN US Equity","RETURN_ON_CAP","FY 2017","FY 2017","Currency=USD","Period=FY","BEST_FPERIOD_OVERRIDE=FY","FILING_STATUS=MR","FA_ADJUSTED=GAAP","Sort=A","Dates=H","DateFormat=P","Fill=—","Direction=H","UseDPDF=Y")</f>
        <v>13.3247</v>
      </c>
      <c r="H9" s="12">
        <f>_xll.BDH("EMN US Equity","RETURN_ON_CAP","FY 2018","FY 2018","Currency=USD","Period=FY","BEST_FPERIOD_OVERRIDE=FY","FILING_STATUS=MR","FA_ADJUSTED=GAAP","Sort=A","Dates=H","DateFormat=P","Fill=—","Direction=H","UseDPDF=Y")</f>
        <v>10.6488</v>
      </c>
      <c r="I9" s="12">
        <f>_xll.BDH("EMN US Equity","RETURN_ON_CAP","FY 2019","FY 2019","Currency=USD","Period=FY","BEST_FPERIOD_OVERRIDE=FY","FILING_STATUS=MR","FA_ADJUSTED=GAAP","Sort=A","Dates=H","DateFormat=P","Fill=—","Direction=H","UseDPDF=Y")</f>
        <v>7.8891</v>
      </c>
      <c r="J9" s="12">
        <f>_xll.BDH("EMN US Equity","RETURN_ON_CAP","FY 2020","FY 2020","Currency=USD","Period=FY","BEST_FPERIOD_OVERRIDE=FY","FILING_STATUS=MR","FA_ADJUSTED=GAAP","Sort=A","Dates=H","DateFormat=P","Fill=—","Direction=H","UseDPDF=Y")</f>
        <v>5.7408999999999999</v>
      </c>
      <c r="K9" s="12">
        <f>_xll.BDH("EMN US Equity","RETURN_ON_CAP","FY 2021","FY 2021","Currency=USD","Period=FY","BEST_FPERIOD_OVERRIDE=FY","FILING_STATUS=MR","FA_ADJUSTED=GAAP","Sort=A","Dates=H","DateFormat=P","Fill=—","Direction=H","UseDPDF=Y")</f>
        <v>8.9168000000000003</v>
      </c>
      <c r="L9" s="12">
        <f>_xll.BDH("EMN US Equity","RETURN_ON_CAP","FY 2022","FY 2022","Currency=USD","Period=FY","BEST_FPERIOD_OVERRIDE=FY","FILING_STATUS=MR","FA_ADJUSTED=GAAP","Sort=A","Dates=H","DateFormat=P","Fill=—","Direction=H","UseDPDF=Y")</f>
        <v>8.7327999999999992</v>
      </c>
    </row>
    <row r="10" spans="1:12">
      <c r="A10" s="10" t="s">
        <v>30</v>
      </c>
      <c r="B10" s="10" t="s">
        <v>31</v>
      </c>
      <c r="C10" s="12">
        <f>_xll.BDH("EMN US Equity","RETURN_ON_INV_CAPITAL","FY 2013","FY 2013","Currency=USD","Period=FY","BEST_FPERIOD_OVERRIDE=FY","FILING_STATUS=MR","FA_ADJUSTED=GAAP","Sort=A","Dates=H","DateFormat=P","Fill=—","Direction=H","UseDPDF=Y")</f>
        <v>11.7211</v>
      </c>
      <c r="D10" s="12">
        <f>_xll.BDH("EMN US Equity","RETURN_ON_INV_CAPITAL","FY 2014","FY 2014","Currency=USD","Period=FY","BEST_FPERIOD_OVERRIDE=FY","FILING_STATUS=MR","FA_ADJUSTED=GAAP","Sort=A","Dates=H","DateFormat=P","Fill=—","Direction=H","UseDPDF=Y")</f>
        <v>10.6195</v>
      </c>
      <c r="E10" s="12">
        <f>_xll.BDH("EMN US Equity","RETURN_ON_INV_CAPITAL","FY 2015","FY 2015","Currency=USD","Period=FY","BEST_FPERIOD_OVERRIDE=FY","FILING_STATUS=MR","FA_ADJUSTED=GAAP","Sort=A","Dates=H","DateFormat=P","Fill=—","Direction=H","UseDPDF=Y")</f>
        <v>9.0069999999999997</v>
      </c>
      <c r="F10" s="12">
        <f>_xll.BDH("EMN US Equity","RETURN_ON_INV_CAPITAL","FY 2016","FY 2016","Currency=USD","Period=FY","BEST_FPERIOD_OVERRIDE=FY","FILING_STATUS=MR","FA_ADJUSTED=GAAP","Sort=A","Dates=H","DateFormat=P","Fill=—","Direction=H","UseDPDF=Y")</f>
        <v>8.7111000000000001</v>
      </c>
      <c r="G10" s="12">
        <f>_xll.BDH("EMN US Equity","RETURN_ON_INV_CAPITAL","FY 2017","FY 2017","Currency=USD","Period=FY","BEST_FPERIOD_OVERRIDE=FY","FILING_STATUS=MR","FA_ADJUSTED=GAAP","Sort=A","Dates=H","DateFormat=P","Fill=—","Direction=H","UseDPDF=Y")</f>
        <v>11.6692</v>
      </c>
      <c r="H10" s="12">
        <f>_xll.BDH("EMN US Equity","RETURN_ON_INV_CAPITAL","FY 2018","FY 2018","Currency=USD","Period=FY","BEST_FPERIOD_OVERRIDE=FY","FILING_STATUS=MR","FA_ADJUSTED=GAAP","Sort=A","Dates=H","DateFormat=P","Fill=—","Direction=H","UseDPDF=Y")</f>
        <v>9.7714999999999996</v>
      </c>
      <c r="I10" s="12">
        <f>_xll.BDH("EMN US Equity","RETURN_ON_INV_CAPITAL","FY 2019","FY 2019","Currency=USD","Period=FY","BEST_FPERIOD_OVERRIDE=FY","FILING_STATUS=MR","FA_ADJUSTED=GAAP","Sort=A","Dates=H","DateFormat=P","Fill=—","Direction=H","UseDPDF=Y")</f>
        <v>7.4321000000000002</v>
      </c>
      <c r="J10" s="12">
        <f>_xll.BDH("EMN US Equity","RETURN_ON_INV_CAPITAL","FY 2020","FY 2020","Currency=USD","Period=FY","BEST_FPERIOD_OVERRIDE=FY","FILING_STATUS=MR","FA_ADJUSTED=GAAP","Sort=A","Dates=H","DateFormat=P","Fill=—","Direction=H","UseDPDF=Y")</f>
        <v>6.0305999999999997</v>
      </c>
      <c r="K10" s="12">
        <f>_xll.BDH("EMN US Equity","RETURN_ON_INV_CAPITAL","FY 2021","FY 2021","Currency=USD","Period=FY","BEST_FPERIOD_OVERRIDE=FY","FILING_STATUS=MR","FA_ADJUSTED=GAAP","Sort=A","Dates=H","DateFormat=P","Fill=—","Direction=H","UseDPDF=Y")</f>
        <v>5.4715999999999996</v>
      </c>
      <c r="L10" s="12">
        <f>_xll.BDH("EMN US Equity","RETURN_ON_INV_CAPITAL","FY 2022","FY 2022","Currency=USD","Period=FY","BEST_FPERIOD_OVERRIDE=FY","FILING_STATUS=MR","FA_ADJUSTED=GAAP","Sort=A","Dates=H","DateFormat=P","Fill=—","Direction=H","UseDPDF=Y")</f>
        <v>8.3003999999999998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6" t="s">
        <v>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0" t="s">
        <v>33</v>
      </c>
      <c r="B13" s="10" t="s">
        <v>34</v>
      </c>
      <c r="C13" s="12">
        <f>_xll.BDH("EMN US Equity","GROSS_MARGIN","FY 2013","FY 2013","Currency=USD","Period=FY","BEST_FPERIOD_OVERRIDE=FY","FILING_STATUS=MR","FA_ADJUSTED=GAAP","Sort=A","Dates=H","DateFormat=P","Fill=—","Direction=H","UseDPDF=Y")</f>
        <v>29.689800000000002</v>
      </c>
      <c r="D13" s="12">
        <f>_xll.BDH("EMN US Equity","GROSS_MARGIN","FY 2014","FY 2014","Currency=USD","Period=FY","BEST_FPERIOD_OVERRIDE=FY","FILING_STATUS=MR","FA_ADJUSTED=GAAP","Sort=A","Dates=H","DateFormat=P","Fill=—","Direction=H","UseDPDF=Y")</f>
        <v>23.3127</v>
      </c>
      <c r="E13" s="12">
        <f>_xll.BDH("EMN US Equity","GROSS_MARGIN","FY 2015","FY 2015","Currency=USD","Period=FY","BEST_FPERIOD_OVERRIDE=FY","FILING_STATUS=MR","FA_ADJUSTED=GAAP","Sort=A","Dates=H","DateFormat=P","Fill=—","Direction=H","UseDPDF=Y")</f>
        <v>26.741299999999999</v>
      </c>
      <c r="F13" s="12">
        <f>_xll.BDH("EMN US Equity","GROSS_MARGIN","FY 2016","FY 2016","Currency=USD","Period=FY","BEST_FPERIOD_OVERRIDE=FY","FILING_STATUS=MR","FA_ADJUSTED=GAAP","Sort=A","Dates=H","DateFormat=P","Fill=—","Direction=H","UseDPDF=Y")</f>
        <v>26.087900000000001</v>
      </c>
      <c r="G13" s="12">
        <f>_xll.BDH("EMN US Equity","GROSS_MARGIN","FY 2017","FY 2017","Currency=USD","Period=FY","BEST_FPERIOD_OVERRIDE=FY","FILING_STATUS=MR","FA_ADJUSTED=GAAP","Sort=A","Dates=H","DateFormat=P","Fill=—","Direction=H","UseDPDF=Y")</f>
        <v>24.745999999999999</v>
      </c>
      <c r="H13" s="12">
        <f>_xll.BDH("EMN US Equity","GROSS_MARGIN","FY 2018","FY 2018","Currency=USD","Period=FY","BEST_FPERIOD_OVERRIDE=FY","FILING_STATUS=MR","FA_ADJUSTED=GAAP","Sort=A","Dates=H","DateFormat=P","Fill=—","Direction=H","UseDPDF=Y")</f>
        <v>24.421199999999999</v>
      </c>
      <c r="I13" s="12">
        <f>_xll.BDH("EMN US Equity","GROSS_MARGIN","FY 2019","FY 2019","Currency=USD","Period=FY","BEST_FPERIOD_OVERRIDE=FY","FILING_STATUS=MR","FA_ADJUSTED=GAAP","Sort=A","Dates=H","DateFormat=P","Fill=—","Direction=H","UseDPDF=Y")</f>
        <v>24.0914</v>
      </c>
      <c r="J13" s="12">
        <f>_xll.BDH("EMN US Equity","GROSS_MARGIN","FY 2020","FY 2020","Currency=USD","Period=FY","BEST_FPERIOD_OVERRIDE=FY","FILING_STATUS=MR","FA_ADJUSTED=GAAP","Sort=A","Dates=H","DateFormat=P","Fill=—","Direction=H","UseDPDF=Y")</f>
        <v>23.3093</v>
      </c>
      <c r="K13" s="12">
        <f>_xll.BDH("EMN US Equity","GROSS_MARGIN","FY 2021","FY 2021","Currency=USD","Period=FY","BEST_FPERIOD_OVERRIDE=FY","FILING_STATUS=MR","FA_ADJUSTED=GAAP","Sort=A","Dates=H","DateFormat=P","Fill=—","Direction=H","UseDPDF=Y")</f>
        <v>23.864100000000001</v>
      </c>
      <c r="L13" s="12">
        <f>_xll.BDH("EMN US Equity","GROSS_MARGIN","FY 2022","FY 2022","Currency=USD","Period=FY","BEST_FPERIOD_OVERRIDE=FY","FILING_STATUS=MR","FA_ADJUSTED=GAAP","Sort=A","Dates=H","DateFormat=P","Fill=—","Direction=H","UseDPDF=Y")</f>
        <v>20.198499999999999</v>
      </c>
    </row>
    <row r="14" spans="1:12">
      <c r="A14" s="10" t="s">
        <v>35</v>
      </c>
      <c r="B14" s="10" t="s">
        <v>36</v>
      </c>
      <c r="C14" s="12">
        <f>_xll.BDH("EMN US Equity","EBITDA_TO_REVENUE","FY 2013","FY 2013","Currency=USD","Period=FY","BEST_FPERIOD_OVERRIDE=FY","FILING_STATUS=MR","FA_ADJUSTED=GAAP","Sort=A","Dates=H","DateFormat=P","Fill=—","Direction=H","UseDPDF=Y")</f>
        <v>24.545500000000001</v>
      </c>
      <c r="D14" s="12">
        <f>_xll.BDH("EMN US Equity","EBITDA_TO_REVENUE","FY 2014","FY 2014","Currency=USD","Period=FY","BEST_FPERIOD_OVERRIDE=FY","FILING_STATUS=MR","FA_ADJUSTED=GAAP","Sort=A","Dates=H","DateFormat=P","Fill=—","Direction=H","UseDPDF=Y")</f>
        <v>16.920300000000001</v>
      </c>
      <c r="E14" s="12">
        <f>_xll.BDH("EMN US Equity","EBITDA_TO_REVENUE","FY 2015","FY 2015","Currency=USD","Period=FY","BEST_FPERIOD_OVERRIDE=FY","FILING_STATUS=MR","FA_ADJUSTED=GAAP","Sort=A","Dates=H","DateFormat=P","Fill=—","Direction=H","UseDPDF=Y")</f>
        <v>20.263300000000001</v>
      </c>
      <c r="F14" s="12">
        <f>_xll.BDH("EMN US Equity","EBITDA_TO_REVENUE","FY 2016","FY 2016","Currency=USD","Period=FY","BEST_FPERIOD_OVERRIDE=FY","FILING_STATUS=MR","FA_ADJUSTED=GAAP","Sort=A","Dates=H","DateFormat=P","Fill=—","Direction=H","UseDPDF=Y")</f>
        <v>21.791699999999999</v>
      </c>
      <c r="G14" s="12">
        <f>_xll.BDH("EMN US Equity","EBITDA_TO_REVENUE","FY 2017","FY 2017","Currency=USD","Period=FY","BEST_FPERIOD_OVERRIDE=FY","FILING_STATUS=MR","FA_ADJUSTED=GAAP","Sort=A","Dates=H","DateFormat=P","Fill=—","Direction=H","UseDPDF=Y")</f>
        <v>22.169899999999998</v>
      </c>
      <c r="H14" s="12">
        <f>_xll.BDH("EMN US Equity","EBITDA_TO_REVENUE","FY 2018","FY 2018","Currency=USD","Period=FY","BEST_FPERIOD_OVERRIDE=FY","FILING_STATUS=MR","FA_ADJUSTED=GAAP","Sort=A","Dates=H","DateFormat=P","Fill=—","Direction=H","UseDPDF=Y")</f>
        <v>21.2393</v>
      </c>
      <c r="I14" s="12">
        <f>_xll.BDH("EMN US Equity","EBITDA_TO_REVENUE","FY 2019","FY 2019","Currency=USD","Period=FY","BEST_FPERIOD_OVERRIDE=FY","FILING_STATUS=MR","FA_ADJUSTED=GAAP","Sort=A","Dates=H","DateFormat=P","Fill=—","Direction=H","UseDPDF=Y")</f>
        <v>19.400400000000001</v>
      </c>
      <c r="J14" s="12">
        <f>_xll.BDH("EMN US Equity","EBITDA_TO_REVENUE","FY 2020","FY 2020","Currency=USD","Period=FY","BEST_FPERIOD_OVERRIDE=FY","FILING_STATUS=MR","FA_ADJUSTED=GAAP","Sort=A","Dates=H","DateFormat=P","Fill=—","Direction=H","UseDPDF=Y")</f>
        <v>16.334199999999999</v>
      </c>
      <c r="K14" s="12">
        <f>_xll.BDH("EMN US Equity","EBITDA_TO_REVENUE","FY 2021","FY 2021","Currency=USD","Period=FY","BEST_FPERIOD_OVERRIDE=FY","FILING_STATUS=MR","FA_ADJUSTED=GAAP","Sort=A","Dates=H","DateFormat=P","Fill=—","Direction=H","UseDPDF=Y")</f>
        <v>18.0031</v>
      </c>
      <c r="L14" s="12">
        <f>_xll.BDH("EMN US Equity","EBITDA_TO_REVENUE","FY 2022","FY 2022","Currency=USD","Period=FY","BEST_FPERIOD_OVERRIDE=FY","FILING_STATUS=MR","FA_ADJUSTED=GAAP","Sort=A","Dates=H","DateFormat=P","Fill=—","Direction=H","UseDPDF=Y")</f>
        <v>15.9735</v>
      </c>
    </row>
    <row r="15" spans="1:12">
      <c r="A15" s="10" t="s">
        <v>37</v>
      </c>
      <c r="B15" s="10" t="s">
        <v>38</v>
      </c>
      <c r="C15" s="12">
        <f>_xll.BDH("EMN US Equity","OPER_MARGIN","FY 2013","FY 2013","Currency=USD","Period=FY","BEST_FPERIOD_OVERRIDE=FY","FILING_STATUS=MR","FA_ADJUSTED=GAAP","Sort=A","Dates=H","DateFormat=P","Fill=—","Direction=H","UseDPDF=Y")</f>
        <v>19.914400000000001</v>
      </c>
      <c r="D15" s="12">
        <f>_xll.BDH("EMN US Equity","OPER_MARGIN","FY 2014","FY 2014","Currency=USD","Period=FY","BEST_FPERIOD_OVERRIDE=FY","FILING_STATUS=MR","FA_ADJUSTED=GAAP","Sort=A","Dates=H","DateFormat=P","Fill=—","Direction=H","UseDPDF=Y")</f>
        <v>12.196899999999999</v>
      </c>
      <c r="E15" s="12">
        <f>_xll.BDH("EMN US Equity","OPER_MARGIN","FY 2015","FY 2015","Currency=USD","Period=FY","BEST_FPERIOD_OVERRIDE=FY","FILING_STATUS=MR","FA_ADJUSTED=GAAP","Sort=A","Dates=H","DateFormat=P","Fill=—","Direction=H","UseDPDF=Y")</f>
        <v>14.344900000000001</v>
      </c>
      <c r="F15" s="12">
        <f>_xll.BDH("EMN US Equity","OPER_MARGIN","FY 2016","FY 2016","Currency=USD","Period=FY","BEST_FPERIOD_OVERRIDE=FY","FILING_STATUS=MR","FA_ADJUSTED=GAAP","Sort=A","Dates=H","DateFormat=P","Fill=—","Direction=H","UseDPDF=Y")</f>
        <v>15.353</v>
      </c>
      <c r="G15" s="12">
        <f>_xll.BDH("EMN US Equity","OPER_MARGIN","FY 2017","FY 2017","Currency=USD","Period=FY","BEST_FPERIOD_OVERRIDE=FY","FILING_STATUS=MR","FA_ADJUSTED=GAAP","Sort=A","Dates=H","DateFormat=P","Fill=—","Direction=H","UseDPDF=Y")</f>
        <v>16.022600000000001</v>
      </c>
      <c r="H15" s="12">
        <f>_xll.BDH("EMN US Equity","OPER_MARGIN","FY 2018","FY 2018","Currency=USD","Period=FY","BEST_FPERIOD_OVERRIDE=FY","FILING_STATUS=MR","FA_ADJUSTED=GAAP","Sort=A","Dates=H","DateFormat=P","Fill=—","Direction=H","UseDPDF=Y")</f>
        <v>15.289099999999999</v>
      </c>
      <c r="I15" s="12">
        <f>_xll.BDH("EMN US Equity","OPER_MARGIN","FY 2019","FY 2019","Currency=USD","Period=FY","BEST_FPERIOD_OVERRIDE=FY","FILING_STATUS=MR","FA_ADJUSTED=GAAP","Sort=A","Dates=H","DateFormat=P","Fill=—","Direction=H","UseDPDF=Y")</f>
        <v>12.078099999999999</v>
      </c>
      <c r="J15" s="12">
        <f>_xll.BDH("EMN US Equity","OPER_MARGIN","FY 2020","FY 2020","Currency=USD","Period=FY","BEST_FPERIOD_OVERRIDE=FY","FILING_STATUS=MR","FA_ADJUSTED=GAAP","Sort=A","Dates=H","DateFormat=P","Fill=—","Direction=H","UseDPDF=Y")</f>
        <v>8.7454000000000001</v>
      </c>
      <c r="K15" s="12">
        <f>_xll.BDH("EMN US Equity","OPER_MARGIN","FY 2021","FY 2021","Currency=USD","Period=FY","BEST_FPERIOD_OVERRIDE=FY","FILING_STATUS=MR","FA_ADJUSTED=GAAP","Sort=A","Dates=H","DateFormat=P","Fill=—","Direction=H","UseDPDF=Y")</f>
        <v>12.2279</v>
      </c>
      <c r="L15" s="12">
        <f>_xll.BDH("EMN US Equity","OPER_MARGIN","FY 2022","FY 2022","Currency=USD","Period=FY","BEST_FPERIOD_OVERRIDE=FY","FILING_STATUS=MR","FA_ADJUSTED=GAAP","Sort=A","Dates=H","DateFormat=P","Fill=—","Direction=H","UseDPDF=Y")</f>
        <v>10.954599999999999</v>
      </c>
    </row>
    <row r="16" spans="1:12">
      <c r="A16" s="10" t="s">
        <v>39</v>
      </c>
      <c r="B16" s="10" t="s">
        <v>40</v>
      </c>
      <c r="C16" s="12">
        <f>_xll.BDH("EMN US Equity","INCREMENTAL_OPERATING_MARGIN","FY 2013","FY 2013","Currency=USD","Period=FY","BEST_FPERIOD_OVERRIDE=FY","FILING_STATUS=MR","FA_ADJUSTED=GAAP","Sort=A","Dates=H","DateFormat=P","Fill=—","Direction=H","UseDPDF=Y")</f>
        <v>85.096199999999996</v>
      </c>
      <c r="D16" s="12" t="str">
        <f>_xll.BDH("EMN US Equity","INCREMENTAL_OPERATING_MARGIN","FY 2014","FY 2014","Currency=USD","Period=FY","BEST_FPERIOD_OVERRIDE=FY","FILING_STATUS=MR","FA_ADJUSTED=GAAP","Sort=A","Dates=H","DateFormat=P","Fill=—","Direction=H","UseDPDF=Y")</f>
        <v>—</v>
      </c>
      <c r="E16" s="12">
        <f>_xll.BDH("EMN US Equity","INCREMENTAL_OPERATING_MARGIN","FY 2015","FY 2015","Currency=USD","Period=FY","BEST_FPERIOD_OVERRIDE=FY","FILING_STATUS=MR","FA_ADJUSTED=GAAP","Sort=A","Dates=H","DateFormat=P","Fill=—","Direction=H","UseDPDF=Y")</f>
        <v>183.47110000000001</v>
      </c>
      <c r="F16" s="12">
        <f>_xll.BDH("EMN US Equity","INCREMENTAL_OPERATING_MARGIN","FY 2016","FY 2016","Currency=USD","Period=FY","BEST_FPERIOD_OVERRIDE=FY","FILING_STATUS=MR","FA_ADJUSTED=GAAP","Sort=A","Dates=H","DateFormat=P","Fill=—","Direction=H","UseDPDF=Y")</f>
        <v>-0.15629999999999999</v>
      </c>
      <c r="G16" s="12">
        <f>_xll.BDH("EMN US Equity","INCREMENTAL_OPERATING_MARGIN","FY 2017","FY 2017","Currency=USD","Period=FY","BEST_FPERIOD_OVERRIDE=FY","FILING_STATUS=MR","FA_ADJUSTED=GAAP","Sort=A","Dates=H","DateFormat=P","Fill=—","Direction=H","UseDPDF=Y")</f>
        <v>27.171900000000001</v>
      </c>
      <c r="H16" s="12">
        <f>_xll.BDH("EMN US Equity","INCREMENTAL_OPERATING_MARGIN","FY 2018","FY 2018","Currency=USD","Period=FY","BEST_FPERIOD_OVERRIDE=FY","FILING_STATUS=MR","FA_ADJUSTED=GAAP","Sort=A","Dates=H","DateFormat=P","Fill=—","Direction=H","UseDPDF=Y")</f>
        <v>3.6545000000000001</v>
      </c>
      <c r="I16" s="12">
        <f>_xll.BDH("EMN US Equity","INCREMENTAL_OPERATING_MARGIN","FY 2019","FY 2019","Currency=USD","Period=FY","BEST_FPERIOD_OVERRIDE=FY","FILING_STATUS=MR","FA_ADJUSTED=GAAP","Sort=A","Dates=H","DateFormat=P","Fill=—","Direction=H","UseDPDF=Y")</f>
        <v>-49.2027</v>
      </c>
      <c r="J16" s="12">
        <f>_xll.BDH("EMN US Equity","INCREMENTAL_OPERATING_MARGIN","FY 2020","FY 2020","Currency=USD","Period=FY","BEST_FPERIOD_OVERRIDE=FY","FILING_STATUS=MR","FA_ADJUSTED=GAAP","Sort=A","Dates=H","DateFormat=P","Fill=—","Direction=H","UseDPDF=Y")</f>
        <v>-47.375</v>
      </c>
      <c r="K16" s="12">
        <f>_xll.BDH("EMN US Equity","INCREMENTAL_OPERATING_MARGIN","FY 2021","FY 2021","Currency=USD","Period=FY","BEST_FPERIOD_OVERRIDE=FY","FILING_STATUS=MR","FA_ADJUSTED=GAAP","Sort=A","Dates=H","DateFormat=P","Fill=—","Direction=H","UseDPDF=Y")</f>
        <v>26.959599999999998</v>
      </c>
      <c r="L16" s="12" t="str">
        <f>_xll.BDH("EMN US Equity","INCREMENTAL_OPERATING_MARGIN","FY 2022","FY 2022","Currency=USD","Period=FY","BEST_FPERIOD_OVERRIDE=FY","FILING_STATUS=MR","FA_ADJUSTED=GAAP","Sort=A","Dates=H","DateFormat=P","Fill=—","Direction=H","UseDPDF=Y")</f>
        <v>—</v>
      </c>
    </row>
    <row r="17" spans="1:12">
      <c r="A17" s="10" t="s">
        <v>41</v>
      </c>
      <c r="B17" s="10" t="s">
        <v>42</v>
      </c>
      <c r="C17" s="12">
        <f>_xll.BDH("EMN US Equity","PRETAX_INC_TO_NET_SALES","FY 2013","FY 2013","Currency=USD","Period=FY","BEST_FPERIOD_OVERRIDE=FY","FILING_STATUS=MR","FA_ADJUSTED=GAAP","Sort=A","Dates=H","DateFormat=P","Fill=—","Direction=H","UseDPDF=Y")</f>
        <v>17.9572</v>
      </c>
      <c r="D17" s="12">
        <f>_xll.BDH("EMN US Equity","PRETAX_INC_TO_NET_SALES","FY 2014","FY 2014","Currency=USD","Period=FY","BEST_FPERIOD_OVERRIDE=FY","FILING_STATUS=MR","FA_ADJUSTED=GAAP","Sort=A","Dates=H","DateFormat=P","Fill=—","Direction=H","UseDPDF=Y")</f>
        <v>10.391500000000001</v>
      </c>
      <c r="E17" s="12">
        <f>_xll.BDH("EMN US Equity","PRETAX_INC_TO_NET_SALES","FY 2015","FY 2015","Currency=USD","Period=FY","BEST_FPERIOD_OVERRIDE=FY","FILING_STATUS=MR","FA_ADJUSTED=GAAP","Sort=A","Dates=H","DateFormat=P","Fill=—","Direction=H","UseDPDF=Y")</f>
        <v>11.7019</v>
      </c>
      <c r="F17" s="12">
        <f>_xll.BDH("EMN US Equity","PRETAX_INC_TO_NET_SALES","FY 2016","FY 2016","Currency=USD","Period=FY","BEST_FPERIOD_OVERRIDE=FY","FILING_STATUS=MR","FA_ADJUSTED=GAAP","Sort=A","Dates=H","DateFormat=P","Fill=—","Direction=H","UseDPDF=Y")</f>
        <v>11.645200000000001</v>
      </c>
      <c r="G17" s="12">
        <f>_xll.BDH("EMN US Equity","PRETAX_INC_TO_NET_SALES","FY 2017","FY 2017","Currency=USD","Period=FY","BEST_FPERIOD_OVERRIDE=FY","FILING_STATUS=MR","FA_ADJUSTED=GAAP","Sort=A","Dates=H","DateFormat=P","Fill=—","Direction=H","UseDPDF=Y")</f>
        <v>13.498799999999999</v>
      </c>
      <c r="H17" s="12">
        <f>_xll.BDH("EMN US Equity","PRETAX_INC_TO_NET_SALES","FY 2018","FY 2018","Currency=USD","Period=FY","BEST_FPERIOD_OVERRIDE=FY","FILING_STATUS=MR","FA_ADJUSTED=GAAP","Sort=A","Dates=H","DateFormat=P","Fill=—","Direction=H","UseDPDF=Y")</f>
        <v>12.905099999999999</v>
      </c>
      <c r="I17" s="12">
        <f>_xll.BDH("EMN US Equity","PRETAX_INC_TO_NET_SALES","FY 2019","FY 2019","Currency=USD","Period=FY","BEST_FPERIOD_OVERRIDE=FY","FILING_STATUS=MR","FA_ADJUSTED=GAAP","Sort=A","Dates=H","DateFormat=P","Fill=—","Direction=H","UseDPDF=Y")</f>
        <v>9.7271999999999998</v>
      </c>
      <c r="J17" s="12">
        <f>_xll.BDH("EMN US Equity","PRETAX_INC_TO_NET_SALES","FY 2020","FY 2020","Currency=USD","Period=FY","BEST_FPERIOD_OVERRIDE=FY","FILING_STATUS=MR","FA_ADJUSTED=GAAP","Sort=A","Dates=H","DateFormat=P","Fill=—","Direction=H","UseDPDF=Y")</f>
        <v>6.2552000000000003</v>
      </c>
      <c r="K17" s="12">
        <f>_xll.BDH("EMN US Equity","PRETAX_INC_TO_NET_SALES","FY 2021","FY 2021","Currency=USD","Period=FY","BEST_FPERIOD_OVERRIDE=FY","FILING_STATUS=MR","FA_ADJUSTED=GAAP","Sort=A","Dates=H","DateFormat=P","Fill=—","Direction=H","UseDPDF=Y")</f>
        <v>10.3284</v>
      </c>
      <c r="L17" s="12">
        <f>_xll.BDH("EMN US Equity","PRETAX_INC_TO_NET_SALES","FY 2022","FY 2022","Currency=USD","Period=FY","BEST_FPERIOD_OVERRIDE=FY","FILING_STATUS=MR","FA_ADJUSTED=GAAP","Sort=A","Dates=H","DateFormat=P","Fill=—","Direction=H","UseDPDF=Y")</f>
        <v>9.2344000000000008</v>
      </c>
    </row>
    <row r="18" spans="1:12">
      <c r="A18" s="10" t="s">
        <v>43</v>
      </c>
      <c r="B18" s="10" t="s">
        <v>44</v>
      </c>
      <c r="C18" s="12">
        <f>_xll.BDH("EMN US Equity","INC_BEF_XO_ITEMS_TO_NET_SALES","FY 2013","FY 2013","Currency=USD","Period=FY","BEST_FPERIOD_OVERRIDE=FY","FILING_STATUS=MR","FA_ADJUSTED=GAAP","Sort=A","Dates=H","DateFormat=P","Fill=—","Direction=H","UseDPDF=Y")</f>
        <v>12.534800000000001</v>
      </c>
      <c r="D18" s="12">
        <f>_xll.BDH("EMN US Equity","INC_BEF_XO_ITEMS_TO_NET_SALES","FY 2014","FY 2014","Currency=USD","Period=FY","BEST_FPERIOD_OVERRIDE=FY","FILING_STATUS=MR","FA_ADJUSTED=GAAP","Sort=A","Dates=H","DateFormat=P","Fill=—","Direction=H","UseDPDF=Y")</f>
        <v>7.9248000000000003</v>
      </c>
      <c r="E18" s="12">
        <f>_xll.BDH("EMN US Equity","INC_BEF_XO_ITEMS_TO_NET_SALES","FY 2015","FY 2015","Currency=USD","Period=FY","BEST_FPERIOD_OVERRIDE=FY","FILING_STATUS=MR","FA_ADJUSTED=GAAP","Sort=A","Dates=H","DateFormat=P","Fill=—","Direction=H","UseDPDF=Y")</f>
        <v>8.8515999999999995</v>
      </c>
      <c r="F18" s="12">
        <f>_xll.BDH("EMN US Equity","INC_BEF_XO_ITEMS_TO_NET_SALES","FY 2016","FY 2016","Currency=USD","Period=FY","BEST_FPERIOD_OVERRIDE=FY","FILING_STATUS=MR","FA_ADJUSTED=GAAP","Sort=A","Dates=H","DateFormat=P","Fill=—","Direction=H","UseDPDF=Y")</f>
        <v>9.5359999999999996</v>
      </c>
      <c r="G18" s="12">
        <f>_xll.BDH("EMN US Equity","INC_BEF_XO_ITEMS_TO_NET_SALES","FY 2017","FY 2017","Currency=USD","Period=FY","BEST_FPERIOD_OVERRIDE=FY","FILING_STATUS=MR","FA_ADJUSTED=GAAP","Sort=A","Dates=H","DateFormat=P","Fill=—","Direction=H","UseDPDF=Y")</f>
        <v>14.535600000000001</v>
      </c>
      <c r="H18" s="12">
        <f>_xll.BDH("EMN US Equity","INC_BEF_XO_ITEMS_TO_NET_SALES","FY 2018","FY 2018","Currency=USD","Period=FY","BEST_FPERIOD_OVERRIDE=FY","FILING_STATUS=MR","FA_ADJUSTED=GAAP","Sort=A","Dates=H","DateFormat=P","Fill=—","Direction=H","UseDPDF=Y")</f>
        <v>10.678800000000001</v>
      </c>
      <c r="I18" s="12">
        <f>_xll.BDH("EMN US Equity","INC_BEF_XO_ITEMS_TO_NET_SALES","FY 2019","FY 2019","Currency=USD","Period=FY","BEST_FPERIOD_OVERRIDE=FY","FILING_STATUS=MR","FA_ADJUSTED=GAAP","Sort=A","Dates=H","DateFormat=P","Fill=—","Direction=H","UseDPDF=Y")</f>
        <v>8.2173999999999996</v>
      </c>
      <c r="J18" s="12">
        <f>_xll.BDH("EMN US Equity","INC_BEF_XO_ITEMS_TO_NET_SALES","FY 2020","FY 2020","Currency=USD","Period=FY","BEST_FPERIOD_OVERRIDE=FY","FILING_STATUS=MR","FA_ADJUSTED=GAAP","Sort=A","Dates=H","DateFormat=P","Fill=—","Direction=H","UseDPDF=Y")</f>
        <v>5.7713000000000001</v>
      </c>
      <c r="K18" s="12">
        <f>_xll.BDH("EMN US Equity","INC_BEF_XO_ITEMS_TO_NET_SALES","FY 2021","FY 2021","Currency=USD","Period=FY","BEST_FPERIOD_OVERRIDE=FY","FILING_STATUS=MR","FA_ADJUSTED=GAAP","Sort=A","Dates=H","DateFormat=P","Fill=—","Direction=H","UseDPDF=Y")</f>
        <v>8.2760999999999996</v>
      </c>
      <c r="L18" s="12">
        <f>_xll.BDH("EMN US Equity","INC_BEF_XO_ITEMS_TO_NET_SALES","FY 2022","FY 2022","Currency=USD","Period=FY","BEST_FPERIOD_OVERRIDE=FY","FILING_STATUS=MR","FA_ADJUSTED=GAAP","Sort=A","Dates=H","DateFormat=P","Fill=—","Direction=H","UseDPDF=Y")</f>
        <v>7.5236000000000001</v>
      </c>
    </row>
    <row r="19" spans="1:12">
      <c r="A19" s="10" t="s">
        <v>45</v>
      </c>
      <c r="B19" s="10" t="s">
        <v>46</v>
      </c>
      <c r="C19" s="12">
        <f>_xll.BDH("EMN US Equity","PROF_MARGIN","FY 2013","FY 2013","Currency=USD","Period=FY","BEST_FPERIOD_OVERRIDE=FY","FILING_STATUS=MR","FA_ADJUSTED=GAAP","Sort=A","Dates=H","DateFormat=P","Fill=—","Direction=H","UseDPDF=Y")</f>
        <v>12.459899999999999</v>
      </c>
      <c r="D19" s="12">
        <f>_xll.BDH("EMN US Equity","PROF_MARGIN","FY 2014","FY 2014","Currency=USD","Period=FY","BEST_FPERIOD_OVERRIDE=FY","FILING_STATUS=MR","FA_ADJUSTED=GAAP","Sort=A","Dates=H","DateFormat=P","Fill=—","Direction=H","UseDPDF=Y")</f>
        <v>7.8829000000000002</v>
      </c>
      <c r="E19" s="12">
        <f>_xll.BDH("EMN US Equity","PROF_MARGIN","FY 2015","FY 2015","Currency=USD","Period=FY","BEST_FPERIOD_OVERRIDE=FY","FILING_STATUS=MR","FA_ADJUSTED=GAAP","Sort=A","Dates=H","DateFormat=P","Fill=—","Direction=H","UseDPDF=Y")</f>
        <v>8.7894000000000005</v>
      </c>
      <c r="F19" s="12">
        <f>_xll.BDH("EMN US Equity","PROF_MARGIN","FY 2016","FY 2016","Currency=USD","Period=FY","BEST_FPERIOD_OVERRIDE=FY","FILING_STATUS=MR","FA_ADJUSTED=GAAP","Sort=A","Dates=H","DateFormat=P","Fill=—","Direction=H","UseDPDF=Y")</f>
        <v>9.4804999999999993</v>
      </c>
      <c r="G19" s="12">
        <f>_xll.BDH("EMN US Equity","PROF_MARGIN","FY 2017","FY 2017","Currency=USD","Period=FY","BEST_FPERIOD_OVERRIDE=FY","FILING_STATUS=MR","FA_ADJUSTED=GAAP","Sort=A","Dates=H","DateFormat=P","Fill=—","Direction=H","UseDPDF=Y")</f>
        <v>14.4937</v>
      </c>
      <c r="H19" s="12">
        <f>_xll.BDH("EMN US Equity","PROF_MARGIN","FY 2018","FY 2018","Currency=USD","Period=FY","BEST_FPERIOD_OVERRIDE=FY","FILING_STATUS=MR","FA_ADJUSTED=GAAP","Sort=A","Dates=H","DateFormat=P","Fill=—","Direction=H","UseDPDF=Y")</f>
        <v>10.6393</v>
      </c>
      <c r="I19" s="12">
        <f>_xll.BDH("EMN US Equity","PROF_MARGIN","FY 2019","FY 2019","Currency=USD","Period=FY","BEST_FPERIOD_OVERRIDE=FY","FILING_STATUS=MR","FA_ADJUSTED=GAAP","Sort=A","Dates=H","DateFormat=P","Fill=—","Direction=H","UseDPDF=Y")</f>
        <v>8.1851000000000003</v>
      </c>
      <c r="J19" s="12">
        <f>_xll.BDH("EMN US Equity","PROF_MARGIN","FY 2020","FY 2020","Currency=USD","Period=FY","BEST_FPERIOD_OVERRIDE=FY","FILING_STATUS=MR","FA_ADJUSTED=GAAP","Sort=A","Dates=H","DateFormat=P","Fill=—","Direction=H","UseDPDF=Y")</f>
        <v>5.6414</v>
      </c>
      <c r="K19" s="12">
        <f>_xll.BDH("EMN US Equity","PROF_MARGIN","FY 2021","FY 2021","Currency=USD","Period=FY","BEST_FPERIOD_OVERRIDE=FY","FILING_STATUS=MR","FA_ADJUSTED=GAAP","Sort=A","Dates=H","DateFormat=P","Fill=—","Direction=H","UseDPDF=Y")</f>
        <v>8.1806000000000001</v>
      </c>
      <c r="L19" s="12">
        <f>_xll.BDH("EMN US Equity","PROF_MARGIN","FY 2022","FY 2022","Currency=USD","Period=FY","BEST_FPERIOD_OVERRIDE=FY","FILING_STATUS=MR","FA_ADJUSTED=GAAP","Sort=A","Dates=H","DateFormat=P","Fill=—","Direction=H","UseDPDF=Y")</f>
        <v>7.4953000000000003</v>
      </c>
    </row>
    <row r="20" spans="1:12">
      <c r="A20" s="10" t="s">
        <v>47</v>
      </c>
      <c r="B20" s="10" t="s">
        <v>48</v>
      </c>
      <c r="C20" s="12">
        <f>_xll.BDH("EMN US Equity","NET_INCOME_TO_COMMON_MARGIN","FY 2013","FY 2013","Currency=USD","Period=FY","BEST_FPERIOD_OVERRIDE=FY","FILING_STATUS=MR","FA_ADJUSTED=GAAP","Sort=A","Dates=H","DateFormat=P","Fill=—","Direction=H","UseDPDF=Y")</f>
        <v>12.459899999999999</v>
      </c>
      <c r="D20" s="12">
        <f>_xll.BDH("EMN US Equity","NET_INCOME_TO_COMMON_MARGIN","FY 2014","FY 2014","Currency=USD","Period=FY","BEST_FPERIOD_OVERRIDE=FY","FILING_STATUS=MR","FA_ADJUSTED=GAAP","Sort=A","Dates=H","DateFormat=P","Fill=—","Direction=H","UseDPDF=Y")</f>
        <v>7.8829000000000002</v>
      </c>
      <c r="E20" s="12">
        <f>_xll.BDH("EMN US Equity","NET_INCOME_TO_COMMON_MARGIN","FY 2015","FY 2015","Currency=USD","Period=FY","BEST_FPERIOD_OVERRIDE=FY","FILING_STATUS=MR","FA_ADJUSTED=GAAP","Sort=A","Dates=H","DateFormat=P","Fill=—","Direction=H","UseDPDF=Y")</f>
        <v>8.7894000000000005</v>
      </c>
      <c r="F20" s="12">
        <f>_xll.BDH("EMN US Equity","NET_INCOME_TO_COMMON_MARGIN","FY 2016","FY 2016","Currency=USD","Period=FY","BEST_FPERIOD_OVERRIDE=FY","FILING_STATUS=MR","FA_ADJUSTED=GAAP","Sort=A","Dates=H","DateFormat=P","Fill=—","Direction=H","UseDPDF=Y")</f>
        <v>9.4804999999999993</v>
      </c>
      <c r="G20" s="12">
        <f>_xll.BDH("EMN US Equity","NET_INCOME_TO_COMMON_MARGIN","FY 2017","FY 2017","Currency=USD","Period=FY","BEST_FPERIOD_OVERRIDE=FY","FILING_STATUS=MR","FA_ADJUSTED=GAAP","Sort=A","Dates=H","DateFormat=P","Fill=—","Direction=H","UseDPDF=Y")</f>
        <v>14.4937</v>
      </c>
      <c r="H20" s="12">
        <f>_xll.BDH("EMN US Equity","NET_INCOME_TO_COMMON_MARGIN","FY 2018","FY 2018","Currency=USD","Period=FY","BEST_FPERIOD_OVERRIDE=FY","FILING_STATUS=MR","FA_ADJUSTED=GAAP","Sort=A","Dates=H","DateFormat=P","Fill=—","Direction=H","UseDPDF=Y")</f>
        <v>10.6393</v>
      </c>
      <c r="I20" s="12">
        <f>_xll.BDH("EMN US Equity","NET_INCOME_TO_COMMON_MARGIN","FY 2019","FY 2019","Currency=USD","Period=FY","BEST_FPERIOD_OVERRIDE=FY","FILING_STATUS=MR","FA_ADJUSTED=GAAP","Sort=A","Dates=H","DateFormat=P","Fill=—","Direction=H","UseDPDF=Y")</f>
        <v>8.1851000000000003</v>
      </c>
      <c r="J20" s="12">
        <f>_xll.BDH("EMN US Equity","NET_INCOME_TO_COMMON_MARGIN","FY 2020","FY 2020","Currency=USD","Period=FY","BEST_FPERIOD_OVERRIDE=FY","FILING_STATUS=MR","FA_ADJUSTED=GAAP","Sort=A","Dates=H","DateFormat=P","Fill=—","Direction=H","UseDPDF=Y")</f>
        <v>5.6414</v>
      </c>
      <c r="K20" s="12">
        <f>_xll.BDH("EMN US Equity","NET_INCOME_TO_COMMON_MARGIN","FY 2021","FY 2021","Currency=USD","Period=FY","BEST_FPERIOD_OVERRIDE=FY","FILING_STATUS=MR","FA_ADJUSTED=GAAP","Sort=A","Dates=H","DateFormat=P","Fill=—","Direction=H","UseDPDF=Y")</f>
        <v>8.1806000000000001</v>
      </c>
      <c r="L20" s="12">
        <f>_xll.BDH("EMN US Equity","NET_INCOME_TO_COMMON_MARGIN","FY 2022","FY 2022","Currency=USD","Period=FY","BEST_FPERIOD_OVERRIDE=FY","FILING_STATUS=MR","FA_ADJUSTED=GAAP","Sort=A","Dates=H","DateFormat=P","Fill=—","Direction=H","UseDPDF=Y")</f>
        <v>7.4953000000000003</v>
      </c>
    </row>
    <row r="21" spans="1:1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6" t="s">
        <v>49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0" t="s">
        <v>50</v>
      </c>
      <c r="B23" s="10" t="s">
        <v>51</v>
      </c>
      <c r="C23" s="12">
        <f>_xll.BDH("EMN US Equity","EFF_TAX_RATE","FY 2013","FY 2013","Currency=USD","Period=FY","BEST_FPERIOD_OVERRIDE=FY","FILING_STATUS=MR","FA_ADJUSTED=GAAP","Sort=A","Dates=H","DateFormat=P","Fill=—","Direction=H","UseDPDF=Y")</f>
        <v>30.1965</v>
      </c>
      <c r="D23" s="12">
        <f>_xll.BDH("EMN US Equity","EFF_TAX_RATE","FY 2014","FY 2014","Currency=USD","Period=FY","BEST_FPERIOD_OVERRIDE=FY","FILING_STATUS=MR","FA_ADJUSTED=GAAP","Sort=A","Dates=H","DateFormat=P","Fill=—","Direction=H","UseDPDF=Y")</f>
        <v>23.737400000000001</v>
      </c>
      <c r="E23" s="12">
        <f>_xll.BDH("EMN US Equity","EFF_TAX_RATE","FY 2015","FY 2015","Currency=USD","Period=FY","BEST_FPERIOD_OVERRIDE=FY","FILING_STATUS=MR","FA_ADJUSTED=GAAP","Sort=A","Dates=H","DateFormat=P","Fill=—","Direction=H","UseDPDF=Y")</f>
        <v>24.357800000000001</v>
      </c>
      <c r="F23" s="12">
        <f>_xll.BDH("EMN US Equity","EFF_TAX_RATE","FY 2016","FY 2016","Currency=USD","Period=FY","BEST_FPERIOD_OVERRIDE=FY","FILING_STATUS=MR","FA_ADJUSTED=GAAP","Sort=A","Dates=H","DateFormat=P","Fill=—","Direction=H","UseDPDF=Y")</f>
        <v>18.112500000000001</v>
      </c>
      <c r="G23" s="12" t="str">
        <f>_xll.BDH("EMN US Equity","EFF_TAX_RATE","FY 2017","FY 2017","Currency=USD","Period=FY","BEST_FPERIOD_OVERRIDE=FY","FILING_STATUS=MR","FA_ADJUSTED=GAAP","Sort=A","Dates=H","DateFormat=P","Fill=—","Direction=H","UseDPDF=Y")</f>
        <v>—</v>
      </c>
      <c r="H23" s="12">
        <f>_xll.BDH("EMN US Equity","EFF_TAX_RATE","FY 2018","FY 2018","Currency=USD","Period=FY","BEST_FPERIOD_OVERRIDE=FY","FILING_STATUS=MR","FA_ADJUSTED=GAAP","Sort=A","Dates=H","DateFormat=P","Fill=—","Direction=H","UseDPDF=Y")</f>
        <v>17.251899999999999</v>
      </c>
      <c r="I23" s="12">
        <f>_xll.BDH("EMN US Equity","EFF_TAX_RATE","FY 2019","FY 2019","Currency=USD","Period=FY","BEST_FPERIOD_OVERRIDE=FY","FILING_STATUS=MR","FA_ADJUSTED=GAAP","Sort=A","Dates=H","DateFormat=P","Fill=—","Direction=H","UseDPDF=Y")</f>
        <v>15.521100000000001</v>
      </c>
      <c r="J23" s="12">
        <f>_xll.BDH("EMN US Equity","EFF_TAX_RATE","FY 2020","FY 2020","Currency=USD","Period=FY","BEST_FPERIOD_OVERRIDE=FY","FILING_STATUS=MR","FA_ADJUSTED=GAAP","Sort=A","Dates=H","DateFormat=P","Fill=—","Direction=H","UseDPDF=Y")</f>
        <v>7.7358000000000002</v>
      </c>
      <c r="K23" s="12">
        <f>_xll.BDH("EMN US Equity","EFF_TAX_RATE","FY 2021","FY 2021","Currency=USD","Period=FY","BEST_FPERIOD_OVERRIDE=FY","FILING_STATUS=MR","FA_ADJUSTED=GAAP","Sort=A","Dates=H","DateFormat=P","Fill=—","Direction=H","UseDPDF=Y")</f>
        <v>19.8706</v>
      </c>
      <c r="L23" s="12">
        <f>_xll.BDH("EMN US Equity","EFF_TAX_RATE","FY 2022","FY 2022","Currency=USD","Period=FY","BEST_FPERIOD_OVERRIDE=FY","FILING_STATUS=MR","FA_ADJUSTED=GAAP","Sort=A","Dates=H","DateFormat=P","Fill=—","Direction=H","UseDPDF=Y")</f>
        <v>18.5261</v>
      </c>
    </row>
    <row r="24" spans="1:12">
      <c r="A24" s="10" t="s">
        <v>52</v>
      </c>
      <c r="B24" s="10" t="s">
        <v>53</v>
      </c>
      <c r="C24" s="12">
        <f>_xll.BDH("EMN US Equity","DVD_PAYOUT_RATIO","FY 2013","FY 2013","Currency=USD","Period=FY","BEST_FPERIOD_OVERRIDE=FY","FILING_STATUS=MR","FA_ADJUSTED=GAAP","Sort=A","Dates=H","DateFormat=P","Fill=—","Direction=H","UseDPDF=Y")</f>
        <v>16.3948</v>
      </c>
      <c r="D24" s="12">
        <f>_xll.BDH("EMN US Equity","DVD_PAYOUT_RATIO","FY 2014","FY 2014","Currency=USD","Period=FY","BEST_FPERIOD_OVERRIDE=FY","FILING_STATUS=MR","FA_ADJUSTED=GAAP","Sort=A","Dates=H","DateFormat=P","Fill=—","Direction=H","UseDPDF=Y")</f>
        <v>29.105499999999999</v>
      </c>
      <c r="E24" s="12">
        <f>_xll.BDH("EMN US Equity","DVD_PAYOUT_RATIO","FY 2015","FY 2015","Currency=USD","Period=FY","BEST_FPERIOD_OVERRIDE=FY","FILING_STATUS=MR","FA_ADJUSTED=GAAP","Sort=A","Dates=H","DateFormat=P","Fill=—","Direction=H","UseDPDF=Y")</f>
        <v>29.127400000000002</v>
      </c>
      <c r="F24" s="12">
        <f>_xll.BDH("EMN US Equity","DVD_PAYOUT_RATIO","FY 2016","FY 2016","Currency=USD","Period=FY","BEST_FPERIOD_OVERRIDE=FY","FILING_STATUS=MR","FA_ADJUSTED=GAAP","Sort=A","Dates=H","DateFormat=P","Fill=—","Direction=H","UseDPDF=Y")</f>
        <v>32.669800000000002</v>
      </c>
      <c r="G24" s="12">
        <f>_xll.BDH("EMN US Equity","DVD_PAYOUT_RATIO","FY 2017","FY 2017","Currency=USD","Period=FY","BEST_FPERIOD_OVERRIDE=FY","FILING_STATUS=MR","FA_ADJUSTED=GAAP","Sort=A","Dates=H","DateFormat=P","Fill=—","Direction=H","UseDPDF=Y")</f>
        <v>21.8931</v>
      </c>
      <c r="H24" s="12">
        <f>_xll.BDH("EMN US Equity","DVD_PAYOUT_RATIO","FY 2018","FY 2018","Currency=USD","Period=FY","BEST_FPERIOD_OVERRIDE=FY","FILING_STATUS=MR","FA_ADJUSTED=GAAP","Sort=A","Dates=H","DateFormat=P","Fill=—","Direction=H","UseDPDF=Y")</f>
        <v>30.092600000000001</v>
      </c>
      <c r="I24" s="12">
        <f>_xll.BDH("EMN US Equity","DVD_PAYOUT_RATIO","FY 2019","FY 2019","Currency=USD","Period=FY","BEST_FPERIOD_OVERRIDE=FY","FILING_STATUS=MR","FA_ADJUSTED=GAAP","Sort=A","Dates=H","DateFormat=P","Fill=—","Direction=H","UseDPDF=Y")</f>
        <v>45.7181</v>
      </c>
      <c r="J24" s="12">
        <f>_xll.BDH("EMN US Equity","DVD_PAYOUT_RATIO","FY 2020","FY 2020","Currency=USD","Period=FY","BEST_FPERIOD_OVERRIDE=FY","FILING_STATUS=MR","FA_ADJUSTED=GAAP","Sort=A","Dates=H","DateFormat=P","Fill=—","Direction=H","UseDPDF=Y")</f>
        <v>75.941400000000002</v>
      </c>
      <c r="K24" s="12">
        <f>_xll.BDH("EMN US Equity","DVD_PAYOUT_RATIO","FY 2021","FY 2021","Currency=USD","Period=FY","BEST_FPERIOD_OVERRIDE=FY","FILING_STATUS=MR","FA_ADJUSTED=GAAP","Sort=A","Dates=H","DateFormat=P","Fill=—","Direction=H","UseDPDF=Y")</f>
        <v>44.340699999999998</v>
      </c>
      <c r="L24" s="12">
        <f>_xll.BDH("EMN US Equity","DVD_PAYOUT_RATIO","FY 2022","FY 2022","Currency=USD","Period=FY","BEST_FPERIOD_OVERRIDE=FY","FILING_STATUS=MR","FA_ADJUSTED=GAAP","Sort=A","Dates=H","DateFormat=P","Fill=—","Direction=H","UseDPDF=Y")</f>
        <v>47.540999999999997</v>
      </c>
    </row>
    <row r="25" spans="1:12">
      <c r="A25" s="10" t="s">
        <v>54</v>
      </c>
      <c r="B25" s="10" t="s">
        <v>55</v>
      </c>
      <c r="C25" s="12">
        <f>_xll.BDH("EMN US Equity","SUSTAIN_GROWTH_RT","FY 2013","FY 2013","Currency=USD","Period=FY","BEST_FPERIOD_OVERRIDE=FY","FILING_STATUS=MR","FA_ADJUSTED=GAAP","Sort=A","Dates=H","DateFormat=P","Fill=—","Direction=H","UseDPDF=Y")</f>
        <v>28.906400000000001</v>
      </c>
      <c r="D25" s="12">
        <f>_xll.BDH("EMN US Equity","SUSTAIN_GROWTH_RT","FY 2014","FY 2014","Currency=USD","Period=FY","BEST_FPERIOD_OVERRIDE=FY","FILING_STATUS=MR","FA_ADJUSTED=GAAP","Sort=A","Dates=H","DateFormat=P","Fill=—","Direction=H","UseDPDF=Y")</f>
        <v>14.5748</v>
      </c>
      <c r="E25" s="12">
        <f>_xll.BDH("EMN US Equity","SUSTAIN_GROWTH_RT","FY 2015","FY 2015","Currency=USD","Period=FY","BEST_FPERIOD_OVERRIDE=FY","FILING_STATUS=MR","FA_ADJUSTED=GAAP","Sort=A","Dates=H","DateFormat=P","Fill=—","Direction=H","UseDPDF=Y")</f>
        <v>16.132100000000001</v>
      </c>
      <c r="F25" s="12">
        <f>_xll.BDH("EMN US Equity","SUSTAIN_GROWTH_RT","FY 2016","FY 2016","Currency=USD","Period=FY","BEST_FPERIOD_OVERRIDE=FY","FILING_STATUS=MR","FA_ADJUSTED=GAAP","Sort=A","Dates=H","DateFormat=P","Fill=—","Direction=H","UseDPDF=Y")</f>
        <v>13.5725</v>
      </c>
      <c r="G25" s="12">
        <f>_xll.BDH("EMN US Equity","SUSTAIN_GROWTH_RT","FY 2017","FY 2017","Currency=USD","Period=FY","BEST_FPERIOD_OVERRIDE=FY","FILING_STATUS=MR","FA_ADJUSTED=GAAP","Sort=A","Dates=H","DateFormat=P","Fill=—","Direction=H","UseDPDF=Y")</f>
        <v>21.761399999999998</v>
      </c>
      <c r="H25" s="12">
        <f>_xll.BDH("EMN US Equity","SUSTAIN_GROWTH_RT","FY 2018","FY 2018","Currency=USD","Period=FY","BEST_FPERIOD_OVERRIDE=FY","FILING_STATUS=MR","FA_ADJUSTED=GAAP","Sort=A","Dates=H","DateFormat=P","Fill=—","Direction=H","UseDPDF=Y")</f>
        <v>13.4749</v>
      </c>
      <c r="I25" s="12">
        <f>_xll.BDH("EMN US Equity","SUSTAIN_GROWTH_RT","FY 2019","FY 2019","Currency=USD","Period=FY","BEST_FPERIOD_OVERRIDE=FY","FILING_STATUS=MR","FA_ADJUSTED=GAAP","Sort=A","Dates=H","DateFormat=P","Fill=—","Direction=H","UseDPDF=Y")</f>
        <v>7.0061999999999998</v>
      </c>
      <c r="J25" s="12">
        <f>_xll.BDH("EMN US Equity","SUSTAIN_GROWTH_RT","FY 2020","FY 2020","Currency=USD","Period=FY","BEST_FPERIOD_OVERRIDE=FY","FILING_STATUS=MR","FA_ADJUSTED=GAAP","Sort=A","Dates=H","DateFormat=P","Fill=—","Direction=H","UseDPDF=Y")</f>
        <v>1.9197</v>
      </c>
      <c r="K25" s="12">
        <f>_xll.BDH("EMN US Equity","SUSTAIN_GROWTH_RT","FY 2021","FY 2021","Currency=USD","Period=FY","BEST_FPERIOD_OVERRIDE=FY","FILING_STATUS=MR","FA_ADJUSTED=GAAP","Sort=A","Dates=H","DateFormat=P","Fill=—","Direction=H","UseDPDF=Y")</f>
        <v>8.1350999999999996</v>
      </c>
      <c r="L25" s="12">
        <f>_xll.BDH("EMN US Equity","SUSTAIN_GROWTH_RT","FY 2022","FY 2022","Currency=USD","Period=FY","BEST_FPERIOD_OVERRIDE=FY","FILING_STATUS=MR","FA_ADJUSTED=GAAP","Sort=A","Dates=H","DateFormat=P","Fill=—","Direction=H","UseDPDF=Y")</f>
        <v>7.6632999999999996</v>
      </c>
    </row>
    <row r="26" spans="1:12">
      <c r="A26" s="7" t="s">
        <v>56</v>
      </c>
      <c r="B26" s="7"/>
      <c r="C26" s="7" t="s">
        <v>57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2023-12-04T20:09:08Z</dcterms:modified>
  <cp:category/>
  <cp:contentStatus/>
</cp:coreProperties>
</file>