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307D1303-F18F-4321-84FA-B0630495C8E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I8" i="2"/>
  <c r="H7" i="2"/>
  <c r="F10" i="2"/>
  <c r="G25" i="2"/>
  <c r="C20" i="2"/>
  <c r="I21" i="2"/>
  <c r="K18" i="2"/>
  <c r="K8" i="2"/>
  <c r="F17" i="2"/>
  <c r="E24" i="2"/>
  <c r="J10" i="2"/>
  <c r="D6" i="2"/>
  <c r="F13" i="2"/>
  <c r="G17" i="2"/>
  <c r="D9" i="2"/>
  <c r="L14" i="2"/>
  <c r="H17" i="2"/>
  <c r="D20" i="2"/>
  <c r="F20" i="2"/>
  <c r="L25" i="2"/>
  <c r="F24" i="2"/>
  <c r="D24" i="2"/>
  <c r="K25" i="2"/>
  <c r="C9" i="2"/>
  <c r="K14" i="2"/>
  <c r="K21" i="2"/>
  <c r="C16" i="2"/>
  <c r="J21" i="2"/>
  <c r="E9" i="2"/>
  <c r="J17" i="2"/>
  <c r="H13" i="2"/>
  <c r="F6" i="2"/>
  <c r="H16" i="2"/>
  <c r="L21" i="2"/>
  <c r="C17" i="2"/>
  <c r="G9" i="2"/>
  <c r="J18" i="2"/>
  <c r="E12" i="2"/>
  <c r="D26" i="2"/>
  <c r="H20" i="2"/>
  <c r="G6" i="2"/>
  <c r="J13" i="2"/>
  <c r="D16" i="2"/>
  <c r="K17" i="2"/>
  <c r="C22" i="2"/>
  <c r="G16" i="2"/>
  <c r="H24" i="2"/>
  <c r="H6" i="2"/>
  <c r="F22" i="2"/>
  <c r="D13" i="2"/>
  <c r="C13" i="2"/>
  <c r="G21" i="2"/>
  <c r="L24" i="2"/>
  <c r="D7" i="2"/>
  <c r="H26" i="2"/>
  <c r="I14" i="2"/>
  <c r="I25" i="2"/>
  <c r="H14" i="2"/>
  <c r="L8" i="2"/>
  <c r="L18" i="2"/>
  <c r="L22" i="2"/>
  <c r="K24" i="2"/>
  <c r="J25" i="2"/>
  <c r="C6" i="2"/>
  <c r="C26" i="2"/>
  <c r="J9" i="2"/>
  <c r="I20" i="2"/>
  <c r="I10" i="2"/>
  <c r="E6" i="2"/>
  <c r="K10" i="2"/>
  <c r="J7" i="2"/>
  <c r="E26" i="2"/>
  <c r="D12" i="2"/>
  <c r="I16" i="2"/>
  <c r="K13" i="2"/>
  <c r="K20" i="2"/>
  <c r="E18" i="2"/>
  <c r="I17" i="2"/>
  <c r="G20" i="2"/>
  <c r="I24" i="2"/>
  <c r="K12" i="2"/>
  <c r="G26" i="2"/>
  <c r="C12" i="2"/>
  <c r="G14" i="2"/>
  <c r="E17" i="2"/>
  <c r="C24" i="2"/>
  <c r="F21" i="2"/>
  <c r="E16" i="2"/>
  <c r="J20" i="2"/>
  <c r="K9" i="2"/>
  <c r="D22" i="2"/>
  <c r="C8" i="2"/>
  <c r="F7" i="2"/>
  <c r="G22" i="2"/>
  <c r="F26" i="2"/>
  <c r="I26" i="2"/>
  <c r="E8" i="2"/>
  <c r="G10" i="2"/>
  <c r="C25" i="2"/>
  <c r="L13" i="2"/>
  <c r="G12" i="2"/>
  <c r="C14" i="2"/>
  <c r="E21" i="2"/>
  <c r="L9" i="2"/>
  <c r="E7" i="2"/>
  <c r="H21" i="2"/>
  <c r="J14" i="2"/>
  <c r="G13" i="2"/>
  <c r="J22" i="2"/>
  <c r="I7" i="2"/>
  <c r="E13" i="2"/>
  <c r="K7" i="2"/>
  <c r="E20" i="2"/>
  <c r="J24" i="2"/>
  <c r="G24" i="2"/>
  <c r="I6" i="2"/>
  <c r="L10" i="2"/>
  <c r="F12" i="2"/>
  <c r="H9" i="2"/>
  <c r="L17" i="2"/>
  <c r="F18" i="2"/>
  <c r="C18" i="2"/>
  <c r="G8" i="2"/>
  <c r="H10" i="2"/>
  <c r="D18" i="2"/>
  <c r="L7" i="2"/>
  <c r="G7" i="2"/>
  <c r="D14" i="2"/>
  <c r="L12" i="2"/>
  <c r="I9" i="2"/>
  <c r="D8" i="2"/>
  <c r="E22" i="2"/>
  <c r="H12" i="2"/>
  <c r="D10" i="2"/>
  <c r="I13" i="2"/>
  <c r="F16" i="2"/>
  <c r="D17" i="2"/>
  <c r="D25" i="2"/>
  <c r="H22" i="2"/>
  <c r="E14" i="2"/>
  <c r="J6" i="2"/>
  <c r="C21" i="2"/>
  <c r="F25" i="2"/>
  <c r="E25" i="2"/>
  <c r="K26" i="2"/>
  <c r="L26" i="2"/>
  <c r="C7" i="2"/>
  <c r="J8" i="2"/>
  <c r="J16" i="2"/>
  <c r="G18" i="2"/>
  <c r="H8" i="2"/>
  <c r="C10" i="2"/>
  <c r="H18" i="2"/>
  <c r="L20" i="2"/>
  <c r="K6" i="2"/>
  <c r="J26" i="2"/>
  <c r="D21" i="2"/>
  <c r="I22" i="2"/>
  <c r="I12" i="2"/>
  <c r="L16" i="2"/>
  <c r="F14" i="2"/>
  <c r="E10" i="2"/>
  <c r="J12" i="2"/>
  <c r="I18" i="2"/>
  <c r="F8" i="2"/>
  <c r="K16" i="2"/>
  <c r="H25" i="2"/>
  <c r="K22" i="2"/>
  <c r="L6" i="2"/>
</calcChain>
</file>

<file path=xl/sharedStrings.xml><?xml version="1.0" encoding="utf-8"?>
<sst xmlns="http://schemas.openxmlformats.org/spreadsheetml/2006/main" count="59" uniqueCount="59">
  <si>
    <t>Hexcel Corp (HXL US) - Liquidity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</si>
  <si>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</si>
  <si>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</si>
  <si>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</si>
  <si>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</si>
  <si>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</si>
  <si>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</si>
  <si>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</si>
  <si>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</si>
  <si>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</si>
  <si>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</si>
  <si>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</si>
  <si>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</si>
  <si>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</si>
  <si>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</si>
  <si>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</si>
  <si>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</si>
  <si>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</si>
  <si>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</si>
  <si>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</si>
  <si>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</si>
  <si>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</si>
  <si>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</si>
  <si>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Cash Ratio</t>
  </si>
  <si>
    <t>CASH_RATIO</t>
  </si>
  <si>
    <t>Current Ratio</t>
  </si>
  <si>
    <t>CUR_RATIO</t>
  </si>
  <si>
    <t>Quick Ratio</t>
  </si>
  <si>
    <t>QUICK_RATIO</t>
  </si>
  <si>
    <t>CFO/Avg Current Liab</t>
  </si>
  <si>
    <t>CFO_TO_AVG_CURRENT_LIABILITIES</t>
  </si>
  <si>
    <t>Common Equity/Total Assets</t>
  </si>
  <si>
    <t>COM_EQY_TO_TOT_ASSET</t>
  </si>
  <si>
    <t>Long-Term Debt/Equity</t>
  </si>
  <si>
    <t>LT_DEBT_TO_TOT_EQY</t>
  </si>
  <si>
    <t>Long-Term Debt/Capital</t>
  </si>
  <si>
    <t>LT_DEBT_TO_TOT_CAP</t>
  </si>
  <si>
    <t>Long-Term Debt/Total Assets</t>
  </si>
  <si>
    <t>LT_DEBT_TO_TOT_ASSET</t>
  </si>
  <si>
    <t>Total Debt/Equity</t>
  </si>
  <si>
    <t>TOT_DEBT_TO_TOT_EQY</t>
  </si>
  <si>
    <t>Total Debt/Capital</t>
  </si>
  <si>
    <t>TOT_DEBT_TO_TOT_CAP</t>
  </si>
  <si>
    <t>Total Debt/Total Assets</t>
  </si>
  <si>
    <t>TOT_DEBT_TO_TOT_ASSET</t>
  </si>
  <si>
    <t>CFO/Total Liabilities</t>
  </si>
  <si>
    <t>CASH_FLOW_TO_TOT_LIAB</t>
  </si>
  <si>
    <t>CFO/CapEx</t>
  </si>
  <si>
    <t>CAP_EXPEND_RATIO</t>
  </si>
  <si>
    <t>Altman's Z-Score</t>
  </si>
  <si>
    <t>ALTMAN_Z_SCORE</t>
  </si>
  <si>
    <t>Total Line of Credit</t>
  </si>
  <si>
    <t>BS_TOTAL_LINE_OF_CREDIT</t>
  </si>
  <si>
    <t xml:space="preserve">  Total Available Line Of Credit</t>
  </si>
  <si>
    <t>BS_TOTAL_AVAIL_LINE_OF_CREDIT</t>
  </si>
  <si>
    <t xml:space="preserve">  Total Credit Lines Drawn</t>
  </si>
  <si>
    <t>LINE_OF_CREDIT_UTILIZED_AMOUNT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</si>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</sst>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4">
    <xf numFmtId="0" fontId="0" fillId="0" borderId="0"/>
    <xf numFmtId="0" fontId="9" fillId="10" borderId="0" applyNumberFormat="0" applyBorder="0" applyAlignment="0" applyProtection="0"/>
    <xf numFmtId="0" fontId="9" fillId="14" borderId="0" applyNumberFormat="0" applyBorder="0" applyAlignment="0" applyProtection="0"/>
    <xf numFmtId="0" fontId="9" fillId="18" borderId="0" applyNumberFormat="0" applyBorder="0" applyAlignment="0" applyProtection="0"/>
    <xf numFmtId="0" fontId="9" fillId="22" borderId="0" applyNumberFormat="0" applyBorder="0" applyAlignment="0" applyProtection="0"/>
    <xf numFmtId="0" fontId="9" fillId="26" borderId="0" applyNumberFormat="0" applyBorder="0" applyAlignment="0" applyProtection="0"/>
    <xf numFmtId="0" fontId="9" fillId="30" borderId="0" applyNumberFormat="0" applyBorder="0" applyAlignment="0" applyProtection="0"/>
    <xf numFmtId="0" fontId="9" fillId="11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3" borderId="0" applyNumberFormat="0" applyBorder="0" applyAlignment="0" applyProtection="0"/>
    <xf numFmtId="0" fontId="9" fillId="27" borderId="0" applyNumberFormat="0" applyBorder="0" applyAlignment="0" applyProtection="0"/>
    <xf numFmtId="0" fontId="9" fillId="31" borderId="0" applyNumberFormat="0" applyBorder="0" applyAlignment="0" applyProtection="0"/>
    <xf numFmtId="0" fontId="25" fillId="12" borderId="0" applyNumberFormat="0" applyBorder="0" applyAlignment="0" applyProtection="0"/>
    <xf numFmtId="0" fontId="25" fillId="16" borderId="0" applyNumberFormat="0" applyBorder="0" applyAlignment="0" applyProtection="0"/>
    <xf numFmtId="0" fontId="25" fillId="20" borderId="0" applyNumberFormat="0" applyBorder="0" applyAlignment="0" applyProtection="0"/>
    <xf numFmtId="0" fontId="25" fillId="24" borderId="0" applyNumberFormat="0" applyBorder="0" applyAlignment="0" applyProtection="0"/>
    <xf numFmtId="0" fontId="25" fillId="28" borderId="0" applyNumberFormat="0" applyBorder="0" applyAlignment="0" applyProtection="0"/>
    <xf numFmtId="0" fontId="25" fillId="32" borderId="0" applyNumberFormat="0" applyBorder="0" applyAlignment="0" applyProtection="0"/>
    <xf numFmtId="0" fontId="25" fillId="9" borderId="0" applyNumberFormat="0" applyBorder="0" applyAlignment="0" applyProtection="0"/>
    <xf numFmtId="0" fontId="25" fillId="13" borderId="0" applyNumberFormat="0" applyBorder="0" applyAlignment="0" applyProtection="0"/>
    <xf numFmtId="0" fontId="25" fillId="17" borderId="0" applyNumberFormat="0" applyBorder="0" applyAlignment="0" applyProtection="0"/>
    <xf numFmtId="0" fontId="25" fillId="21" borderId="0" applyNumberFormat="0" applyBorder="0" applyAlignment="0" applyProtection="0"/>
    <xf numFmtId="0" fontId="25" fillId="25" borderId="0" applyNumberFormat="0" applyBorder="0" applyAlignment="0" applyProtection="0"/>
    <xf numFmtId="0" fontId="25" fillId="29" borderId="0" applyNumberFormat="0" applyBorder="0" applyAlignment="0" applyProtection="0"/>
    <xf numFmtId="0" fontId="15" fillId="3" borderId="0" applyNumberFormat="0" applyBorder="0" applyAlignment="0" applyProtection="0"/>
    <xf numFmtId="0" fontId="2" fillId="33" borderId="0"/>
    <xf numFmtId="0" fontId="19" fillId="6" borderId="9" applyNumberFormat="0" applyAlignment="0" applyProtection="0"/>
    <xf numFmtId="0" fontId="21" fillId="7" borderId="12" applyNumberFormat="0" applyAlignment="0" applyProtection="0"/>
    <xf numFmtId="0" fontId="23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8" fillId="35" borderId="4" applyNumberFormat="0" applyAlignment="0" applyProtection="0"/>
    <xf numFmtId="0" fontId="7" fillId="34" borderId="5"/>
    <xf numFmtId="0" fontId="14" fillId="2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7" fillId="5" borderId="9" applyNumberFormat="0" applyAlignment="0" applyProtection="0"/>
    <xf numFmtId="0" fontId="20" fillId="0" borderId="11" applyNumberFormat="0" applyFill="0" applyAlignment="0" applyProtection="0"/>
    <xf numFmtId="0" fontId="16" fillId="4" borderId="0" applyNumberFormat="0" applyBorder="0" applyAlignment="0" applyProtection="0"/>
    <xf numFmtId="0" fontId="9" fillId="8" borderId="13" applyNumberFormat="0" applyFont="0" applyAlignment="0" applyProtection="0"/>
    <xf numFmtId="0" fontId="18" fillId="6" borderId="10" applyNumberFormat="0" applyAlignment="0" applyProtection="0"/>
    <xf numFmtId="0" fontId="10" fillId="0" borderId="0" applyNumberFormat="0" applyFill="0" applyBorder="0" applyAlignment="0" applyProtection="0"/>
    <xf numFmtId="0" fontId="24" fillId="0" borderId="14" applyNumberFormat="0" applyFill="0" applyAlignment="0" applyProtection="0"/>
    <xf numFmtId="0" fontId="22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164" fontId="1" fillId="34" borderId="2">
      <alignment horizontal="right"/>
    </xf>
    <xf numFmtId="4" fontId="1" fillId="34" borderId="2">
      <alignment horizontal="right"/>
    </xf>
  </cellStyleXfs>
  <cellXfs count="13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8" fillId="35" borderId="4" xfId="34"/>
    <xf numFmtId="0" fontId="4" fillId="33" borderId="15" xfId="49">
      <alignment horizontal="left" vertical="center" readingOrder="1"/>
    </xf>
    <xf numFmtId="0" fontId="6" fillId="33" borderId="1" xfId="50">
      <alignment horizontal="left"/>
    </xf>
    <xf numFmtId="0" fontId="3" fillId="34" borderId="5" xfId="35" applyFont="1"/>
    <xf numFmtId="3" fontId="1" fillId="34" borderId="2" xfId="51">
      <alignment horizontal="right"/>
    </xf>
    <xf numFmtId="164" fontId="1" fillId="34" borderId="2" xfId="52">
      <alignment horizontal="right"/>
    </xf>
    <xf numFmtId="4" fontId="1" fillId="34" borderId="2" xfId="53">
      <alignment horizontal="right"/>
    </xf>
  </cellXfs>
  <cellStyles count="5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49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0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standard_0_grouped" xfId="51" xr:uid="{00000000-0005-0000-0000-000023000000}"/>
    <cellStyle name="fa_data_standard_1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standard" xfId="35" xr:uid="{00000000-0005-0000-0000-000027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Input" xfId="41" builtinId="20" customBuiltin="1"/>
    <cellStyle name="Linked Cell" xfId="42" builtinId="24" customBuiltin="1"/>
    <cellStyle name="Neutral" xfId="43" builtinId="28" customBuiltin="1"/>
    <cellStyle name="Normal" xfId="0" builtinId="0"/>
    <cellStyle name="Note" xfId="44" builtinId="10" customBuiltin="1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8" t="s">
        <v>12</v>
      </c>
      <c r="B5" s="8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9" t="s">
        <v>23</v>
      </c>
      <c r="B6" s="9" t="s">
        <v>24</v>
      </c>
      <c r="C6" s="12">
        <f>_xll.BDH("HXL US Equity","CASH_RATIO","FY 2013","FY 2013","Currency=USD","Period=FY","BEST_FPERIOD_OVERRIDE=FY","FILING_STATUS=MR","Sort=A","Dates=H","DateFormat=P","Fill=—","Direction=H","UseDPDF=Y")</f>
        <v>0.24379999999999999</v>
      </c>
      <c r="D6" s="12">
        <f>_xll.BDH("HXL US Equity","CASH_RATIO","FY 2014","FY 2014","Currency=USD","Period=FY","BEST_FPERIOD_OVERRIDE=FY","FILING_STATUS=MR","Sort=A","Dates=H","DateFormat=P","Fill=—","Direction=H","UseDPDF=Y")</f>
        <v>0.2283</v>
      </c>
      <c r="E6" s="12">
        <f>_xll.BDH("HXL US Equity","CASH_RATIO","FY 2015","FY 2015","Currency=USD","Period=FY","BEST_FPERIOD_OVERRIDE=FY","FILING_STATUS=MR","Sort=A","Dates=H","DateFormat=P","Fill=—","Direction=H","UseDPDF=Y")</f>
        <v>0.17699999999999999</v>
      </c>
      <c r="F6" s="12">
        <f>_xll.BDH("HXL US Equity","CASH_RATIO","FY 2016","FY 2016","Currency=USD","Period=FY","BEST_FPERIOD_OVERRIDE=FY","FILING_STATUS=MR","Sort=A","Dates=H","DateFormat=P","Fill=—","Direction=H","UseDPDF=Y")</f>
        <v>0.1295</v>
      </c>
      <c r="G6" s="12">
        <f>_xll.BDH("HXL US Equity","CASH_RATIO","FY 2017","FY 2017","Currency=USD","Period=FY","BEST_FPERIOD_OVERRIDE=FY","FILING_STATUS=MR","Sort=A","Dates=H","DateFormat=P","Fill=—","Direction=H","UseDPDF=Y")</f>
        <v>0.2293</v>
      </c>
      <c r="H6" s="12">
        <f>_xll.BDH("HXL US Equity","CASH_RATIO","FY 2018","FY 2018","Currency=USD","Period=FY","BEST_FPERIOD_OVERRIDE=FY","FILING_STATUS=MR","Sort=A","Dates=H","DateFormat=P","Fill=—","Direction=H","UseDPDF=Y")</f>
        <v>0.10009999999999999</v>
      </c>
      <c r="I6" s="12">
        <f>_xll.BDH("HXL US Equity","CASH_RATIO","FY 2019","FY 2019","Currency=USD","Period=FY","BEST_FPERIOD_OVERRIDE=FY","FILING_STATUS=MR","Sort=A","Dates=H","DateFormat=P","Fill=—","Direction=H","UseDPDF=Y")</f>
        <v>0.1996</v>
      </c>
      <c r="J6" s="12">
        <f>_xll.BDH("HXL US Equity","CASH_RATIO","FY 2020","FY 2020","Currency=USD","Period=FY","BEST_FPERIOD_OVERRIDE=FY","FILING_STATUS=MR","Sort=A","Dates=H","DateFormat=P","Fill=—","Direction=H","UseDPDF=Y")</f>
        <v>0.56420000000000003</v>
      </c>
      <c r="K6" s="12">
        <f>_xll.BDH("HXL US Equity","CASH_RATIO","FY 2021","FY 2021","Currency=USD","Period=FY","BEST_FPERIOD_OVERRIDE=FY","FILING_STATUS=MR","Sort=A","Dates=H","DateFormat=P","Fill=—","Direction=H","UseDPDF=Y")</f>
        <v>0.51580000000000004</v>
      </c>
      <c r="L6" s="12">
        <f>_xll.BDH("HXL US Equity","CASH_RATIO","FY 2022","FY 2022","Currency=USD","Period=FY","BEST_FPERIOD_OVERRIDE=FY","FILING_STATUS=MR","Sort=A","Dates=H","DateFormat=P","Fill=—","Direction=H","UseDPDF=Y")</f>
        <v>0.33960000000000001</v>
      </c>
    </row>
    <row r="7" spans="1:12">
      <c r="A7" s="9" t="s">
        <v>25</v>
      </c>
      <c r="B7" s="9" t="s">
        <v>26</v>
      </c>
      <c r="C7" s="12">
        <f>_xll.BDH("HXL US Equity","CUR_RATIO","FY 2013","FY 2013","Currency=USD","Period=FY","BEST_FPERIOD_OVERRIDE=FY","FILING_STATUS=MR","Sort=A","Dates=H","DateFormat=P","Fill=—","Direction=H","UseDPDF=Y")</f>
        <v>2.4428999999999998</v>
      </c>
      <c r="D7" s="12">
        <f>_xll.BDH("HXL US Equity","CUR_RATIO","FY 2014","FY 2014","Currency=USD","Period=FY","BEST_FPERIOD_OVERRIDE=FY","FILING_STATUS=MR","Sort=A","Dates=H","DateFormat=P","Fill=—","Direction=H","UseDPDF=Y")</f>
        <v>2.1947999999999999</v>
      </c>
      <c r="E7" s="12">
        <f>_xll.BDH("HXL US Equity","CUR_RATIO","FY 2015","FY 2015","Currency=USD","Period=FY","BEST_FPERIOD_OVERRIDE=FY","FILING_STATUS=MR","Sort=A","Dates=H","DateFormat=P","Fill=—","Direction=H","UseDPDF=Y")</f>
        <v>2.1661000000000001</v>
      </c>
      <c r="F7" s="12">
        <f>_xll.BDH("HXL US Equity","CUR_RATIO","FY 2016","FY 2016","Currency=USD","Period=FY","BEST_FPERIOD_OVERRIDE=FY","FILING_STATUS=MR","Sort=A","Dates=H","DateFormat=P","Fill=—","Direction=H","UseDPDF=Y")</f>
        <v>2.2324000000000002</v>
      </c>
      <c r="G7" s="12">
        <f>_xll.BDH("HXL US Equity","CUR_RATIO","FY 2017","FY 2017","Currency=USD","Period=FY","BEST_FPERIOD_OVERRIDE=FY","FILING_STATUS=MR","Sort=A","Dates=H","DateFormat=P","Fill=—","Direction=H","UseDPDF=Y")</f>
        <v>2.5055000000000001</v>
      </c>
      <c r="H7" s="12">
        <f>_xll.BDH("HXL US Equity","CUR_RATIO","FY 2018","FY 2018","Currency=USD","Period=FY","BEST_FPERIOD_OVERRIDE=FY","FILING_STATUS=MR","Sort=A","Dates=H","DateFormat=P","Fill=—","Direction=H","UseDPDF=Y")</f>
        <v>2.0686</v>
      </c>
      <c r="I7" s="12">
        <f>_xll.BDH("HXL US Equity","CUR_RATIO","FY 2019","FY 2019","Currency=USD","Period=FY","BEST_FPERIOD_OVERRIDE=FY","FILING_STATUS=MR","Sort=A","Dates=H","DateFormat=P","Fill=—","Direction=H","UseDPDF=Y")</f>
        <v>2.1850999999999998</v>
      </c>
      <c r="J7" s="12">
        <f>_xll.BDH("HXL US Equity","CUR_RATIO","FY 2020","FY 2020","Currency=USD","Period=FY","BEST_FPERIOD_OVERRIDE=FY","FILING_STATUS=MR","Sort=A","Dates=H","DateFormat=P","Fill=—","Direction=H","UseDPDF=Y")</f>
        <v>2.9268000000000001</v>
      </c>
      <c r="K7" s="12">
        <f>_xll.BDH("HXL US Equity","CUR_RATIO","FY 2021","FY 2021","Currency=USD","Period=FY","BEST_FPERIOD_OVERRIDE=FY","FILING_STATUS=MR","Sort=A","Dates=H","DateFormat=P","Fill=—","Direction=H","UseDPDF=Y")</f>
        <v>2.4891000000000001</v>
      </c>
      <c r="L7" s="12">
        <f>_xll.BDH("HXL US Equity","CUR_RATIO","FY 2022","FY 2022","Currency=USD","Period=FY","BEST_FPERIOD_OVERRIDE=FY","FILING_STATUS=MR","Sort=A","Dates=H","DateFormat=P","Fill=—","Direction=H","UseDPDF=Y")</f>
        <v>2.2267999999999999</v>
      </c>
    </row>
    <row r="8" spans="1:12">
      <c r="A8" s="9" t="s">
        <v>27</v>
      </c>
      <c r="B8" s="9" t="s">
        <v>28</v>
      </c>
      <c r="C8" s="12">
        <f>_xll.BDH("HXL US Equity","QUICK_RATIO","FY 2013","FY 2013","Currency=USD","Period=FY","BEST_FPERIOD_OVERRIDE=FY","FILING_STATUS=MR","Sort=A","Dates=H","DateFormat=P","Fill=—","Direction=H","UseDPDF=Y")</f>
        <v>1.1087</v>
      </c>
      <c r="D8" s="12">
        <f>_xll.BDH("HXL US Equity","QUICK_RATIO","FY 2014","FY 2014","Currency=USD","Period=FY","BEST_FPERIOD_OVERRIDE=FY","FILING_STATUS=MR","Sort=A","Dates=H","DateFormat=P","Fill=—","Direction=H","UseDPDF=Y")</f>
        <v>0.98</v>
      </c>
      <c r="E8" s="12">
        <f>_xll.BDH("HXL US Equity","QUICK_RATIO","FY 2015","FY 2015","Currency=USD","Period=FY","BEST_FPERIOD_OVERRIDE=FY","FILING_STATUS=MR","Sort=A","Dates=H","DateFormat=P","Fill=—","Direction=H","UseDPDF=Y")</f>
        <v>0.9768</v>
      </c>
      <c r="F8" s="12">
        <f>_xll.BDH("HXL US Equity","QUICK_RATIO","FY 2016","FY 2016","Currency=USD","Period=FY","BEST_FPERIOD_OVERRIDE=FY","FILING_STATUS=MR","Sort=A","Dates=H","DateFormat=P","Fill=—","Direction=H","UseDPDF=Y")</f>
        <v>1.0327</v>
      </c>
      <c r="G8" s="12">
        <f>_xll.BDH("HXL US Equity","QUICK_RATIO","FY 2017","FY 2017","Currency=USD","Period=FY","BEST_FPERIOD_OVERRIDE=FY","FILING_STATUS=MR","Sort=A","Dates=H","DateFormat=P","Fill=—","Direction=H","UseDPDF=Y")</f>
        <v>1.1781999999999999</v>
      </c>
      <c r="H8" s="12">
        <f>_xll.BDH("HXL US Equity","QUICK_RATIO","FY 2018","FY 2018","Currency=USD","Period=FY","BEST_FPERIOD_OVERRIDE=FY","FILING_STATUS=MR","Sort=A","Dates=H","DateFormat=P","Fill=—","Direction=H","UseDPDF=Y")</f>
        <v>0.89870000000000005</v>
      </c>
      <c r="I8" s="12">
        <f>_xll.BDH("HXL US Equity","QUICK_RATIO","FY 2019","FY 2019","Currency=USD","Period=FY","BEST_FPERIOD_OVERRIDE=FY","FILING_STATUS=MR","Sort=A","Dates=H","DateFormat=P","Fill=—","Direction=H","UseDPDF=Y")</f>
        <v>0.90510000000000002</v>
      </c>
      <c r="J8" s="12">
        <f>_xll.BDH("HXL US Equity","QUICK_RATIO","FY 2020","FY 2020","Currency=USD","Period=FY","BEST_FPERIOD_OVERRIDE=FY","FILING_STATUS=MR","Sort=A","Dates=H","DateFormat=P","Fill=—","Direction=H","UseDPDF=Y")</f>
        <v>1.2490000000000001</v>
      </c>
      <c r="K8" s="12">
        <f>_xll.BDH("HXL US Equity","QUICK_RATIO","FY 2021","FY 2021","Currency=USD","Period=FY","BEST_FPERIOD_OVERRIDE=FY","FILING_STATUS=MR","Sort=A","Dates=H","DateFormat=P","Fill=—","Direction=H","UseDPDF=Y")</f>
        <v>1.1632</v>
      </c>
      <c r="L8" s="12">
        <f>_xll.BDH("HXL US Equity","QUICK_RATIO","FY 2022","FY 2022","Currency=USD","Period=FY","BEST_FPERIOD_OVERRIDE=FY","FILING_STATUS=MR","Sort=A","Dates=H","DateFormat=P","Fill=—","Direction=H","UseDPDF=Y")</f>
        <v>1.0148999999999999</v>
      </c>
    </row>
    <row r="9" spans="1:12">
      <c r="A9" s="9" t="s">
        <v>29</v>
      </c>
      <c r="B9" s="9" t="s">
        <v>30</v>
      </c>
      <c r="C9" s="12">
        <f>_xll.BDH("HXL US Equity","CFO_TO_AVG_CURRENT_LIABILITIES","FY 2013","FY 2013","Currency=USD","Period=FY","BEST_FPERIOD_OVERRIDE=FY","FILING_STATUS=MR","Sort=A","Dates=H","DateFormat=P","Fill=—","Direction=H","UseDPDF=Y")</f>
        <v>1.0829</v>
      </c>
      <c r="D9" s="12">
        <f>_xll.BDH("HXL US Equity","CFO_TO_AVG_CURRENT_LIABILITIES","FY 2014","FY 2014","Currency=USD","Period=FY","BEST_FPERIOD_OVERRIDE=FY","FILING_STATUS=MR","Sort=A","Dates=H","DateFormat=P","Fill=—","Direction=H","UseDPDF=Y")</f>
        <v>1.0979000000000001</v>
      </c>
      <c r="E9" s="12">
        <f>_xll.BDH("HXL US Equity","CFO_TO_AVG_CURRENT_LIABILITIES","FY 2015","FY 2015","Currency=USD","Period=FY","BEST_FPERIOD_OVERRIDE=FY","FILING_STATUS=MR","Sort=A","Dates=H","DateFormat=P","Fill=—","Direction=H","UseDPDF=Y")</f>
        <v>0.998</v>
      </c>
      <c r="F9" s="12">
        <f>_xll.BDH("HXL US Equity","CFO_TO_AVG_CURRENT_LIABILITIES","FY 2016","FY 2016","Currency=USD","Period=FY","BEST_FPERIOD_OVERRIDE=FY","FILING_STATUS=MR","Sort=A","Dates=H","DateFormat=P","Fill=—","Direction=H","UseDPDF=Y")</f>
        <v>1.4220999999999999</v>
      </c>
      <c r="G9" s="12">
        <f>_xll.BDH("HXL US Equity","CFO_TO_AVG_CURRENT_LIABILITIES","FY 2017","FY 2017","Currency=USD","Period=FY","BEST_FPERIOD_OVERRIDE=FY","FILING_STATUS=MR","Sort=A","Dates=H","DateFormat=P","Fill=—","Direction=H","UseDPDF=Y")</f>
        <v>1.6055999999999999</v>
      </c>
      <c r="H9" s="12">
        <f>_xll.BDH("HXL US Equity","CFO_TO_AVG_CURRENT_LIABILITIES","FY 2018","FY 2018","Currency=USD","Period=FY","BEST_FPERIOD_OVERRIDE=FY","FILING_STATUS=MR","Sort=A","Dates=H","DateFormat=P","Fill=—","Direction=H","UseDPDF=Y")</f>
        <v>1.4314</v>
      </c>
      <c r="I9" s="12">
        <f>_xll.BDH("HXL US Equity","CFO_TO_AVG_CURRENT_LIABILITIES","FY 2019","FY 2019","Currency=USD","Period=FY","BEST_FPERIOD_OVERRIDE=FY","FILING_STATUS=MR","Sort=A","Dates=H","DateFormat=P","Fill=—","Direction=H","UseDPDF=Y")</f>
        <v>1.5126999999999999</v>
      </c>
      <c r="J9" s="12">
        <f>_xll.BDH("HXL US Equity","CFO_TO_AVG_CURRENT_LIABILITIES","FY 2020","FY 2020","Currency=USD","Period=FY","BEST_FPERIOD_OVERRIDE=FY","FILING_STATUS=MR","Sort=A","Dates=H","DateFormat=P","Fill=—","Direction=H","UseDPDF=Y")</f>
        <v>1.0452999999999999</v>
      </c>
      <c r="K9" s="12">
        <f>_xll.BDH("HXL US Equity","CFO_TO_AVG_CURRENT_LIABILITIES","FY 2021","FY 2021","Currency=USD","Period=FY","BEST_FPERIOD_OVERRIDE=FY","FILING_STATUS=MR","Sort=A","Dates=H","DateFormat=P","Fill=—","Direction=H","UseDPDF=Y")</f>
        <v>0.70440000000000003</v>
      </c>
      <c r="L9" s="12">
        <f>_xll.BDH("HXL US Equity","CFO_TO_AVG_CURRENT_LIABILITIES","FY 2022","FY 2022","Currency=USD","Period=FY","BEST_FPERIOD_OVERRIDE=FY","FILING_STATUS=MR","Sort=A","Dates=H","DateFormat=P","Fill=—","Direction=H","UseDPDF=Y")</f>
        <v>0.59960000000000002</v>
      </c>
    </row>
    <row r="10" spans="1:12">
      <c r="A10" s="9" t="s">
        <v>31</v>
      </c>
      <c r="B10" s="9" t="s">
        <v>32</v>
      </c>
      <c r="C10" s="12">
        <f>_xll.BDH("HXL US Equity","COM_EQY_TO_TOT_ASSET","FY 2013","FY 2013","Currency=USD","Period=FY","BEST_FPERIOD_OVERRIDE=FY","FILING_STATUS=MR","Sort=A","Dates=H","DateFormat=P","Fill=—","Direction=H","UseDPDF=Y")</f>
        <v>63.199199999999998</v>
      </c>
      <c r="D10" s="12">
        <f>_xll.BDH("HXL US Equity","COM_EQY_TO_TOT_ASSET","FY 2014","FY 2014","Currency=USD","Period=FY","BEST_FPERIOD_OVERRIDE=FY","FILING_STATUS=MR","Sort=A","Dates=H","DateFormat=P","Fill=—","Direction=H","UseDPDF=Y")</f>
        <v>56.467300000000002</v>
      </c>
      <c r="E10" s="12">
        <f>_xll.BDH("HXL US Equity","COM_EQY_TO_TOT_ASSET","FY 2015","FY 2015","Currency=USD","Period=FY","BEST_FPERIOD_OVERRIDE=FY","FILING_STATUS=MR","Sort=A","Dates=H","DateFormat=P","Fill=—","Direction=H","UseDPDF=Y")</f>
        <v>53.927</v>
      </c>
      <c r="F10" s="12">
        <f>_xll.BDH("HXL US Equity","COM_EQY_TO_TOT_ASSET","FY 2016","FY 2016","Currency=USD","Period=FY","BEST_FPERIOD_OVERRIDE=FY","FILING_STATUS=MR","Sort=A","Dates=H","DateFormat=P","Fill=—","Direction=H","UseDPDF=Y")</f>
        <v>51.857900000000001</v>
      </c>
      <c r="G10" s="12">
        <f>_xll.BDH("HXL US Equity","COM_EQY_TO_TOT_ASSET","FY 2017","FY 2017","Currency=USD","Period=FY","BEST_FPERIOD_OVERRIDE=FY","FILING_STATUS=MR","Sort=A","Dates=H","DateFormat=P","Fill=—","Direction=H","UseDPDF=Y")</f>
        <v>53.763199999999998</v>
      </c>
      <c r="H10" s="12">
        <f>_xll.BDH("HXL US Equity","COM_EQY_TO_TOT_ASSET","FY 2018","FY 2018","Currency=USD","Period=FY","BEST_FPERIOD_OVERRIDE=FY","FILING_STATUS=MR","Sort=A","Dates=H","DateFormat=P","Fill=—","Direction=H","UseDPDF=Y")</f>
        <v>46.811399999999999</v>
      </c>
      <c r="I10" s="12">
        <f>_xll.BDH("HXL US Equity","COM_EQY_TO_TOT_ASSET","FY 2019","FY 2019","Currency=USD","Period=FY","BEST_FPERIOD_OVERRIDE=FY","FILING_STATUS=MR","Sort=A","Dates=H","DateFormat=P","Fill=—","Direction=H","UseDPDF=Y")</f>
        <v>46.222000000000001</v>
      </c>
      <c r="J10" s="12">
        <f>_xll.BDH("HXL US Equity","COM_EQY_TO_TOT_ASSET","FY 2020","FY 2020","Currency=USD","Period=FY","BEST_FPERIOD_OVERRIDE=FY","FILING_STATUS=MR","Sort=A","Dates=H","DateFormat=P","Fill=—","Direction=H","UseDPDF=Y")</f>
        <v>51.758200000000002</v>
      </c>
      <c r="K10" s="12">
        <f>_xll.BDH("HXL US Equity","COM_EQY_TO_TOT_ASSET","FY 2021","FY 2021","Currency=USD","Period=FY","BEST_FPERIOD_OVERRIDE=FY","FILING_STATUS=MR","Sort=A","Dates=H","DateFormat=P","Fill=—","Direction=H","UseDPDF=Y")</f>
        <v>52.688499999999998</v>
      </c>
      <c r="L10" s="12">
        <f>_xll.BDH("HXL US Equity","COM_EQY_TO_TOT_ASSET","FY 2022","FY 2022","Currency=USD","Period=FY","BEST_FPERIOD_OVERRIDE=FY","FILING_STATUS=MR","Sort=A","Dates=H","DateFormat=P","Fill=—","Direction=H","UseDPDF=Y")</f>
        <v>54.7774</v>
      </c>
    </row>
    <row r="11" spans="1:1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2">
      <c r="A12" s="9" t="s">
        <v>33</v>
      </c>
      <c r="B12" s="9" t="s">
        <v>34</v>
      </c>
      <c r="C12" s="12">
        <f>_xll.BDH("HXL US Equity","LT_DEBT_TO_TOT_EQY","FY 2013","FY 2013","Currency=USD","Period=FY","BEST_FPERIOD_OVERRIDE=FY","FILING_STATUS=MR","Sort=A","Dates=H","DateFormat=P","Fill=—","Direction=H","UseDPDF=Y")</f>
        <v>25.318899999999999</v>
      </c>
      <c r="D12" s="12">
        <f>_xll.BDH("HXL US Equity","LT_DEBT_TO_TOT_EQY","FY 2014","FY 2014","Currency=USD","Period=FY","BEST_FPERIOD_OVERRIDE=FY","FILING_STATUS=MR","Sort=A","Dates=H","DateFormat=P","Fill=—","Direction=H","UseDPDF=Y")</f>
        <v>36.0901</v>
      </c>
      <c r="E12" s="12">
        <f>_xll.BDH("HXL US Equity","LT_DEBT_TO_TOT_EQY","FY 2015","FY 2015","Currency=USD","Period=FY","BEST_FPERIOD_OVERRIDE=FY","FILING_STATUS=MR","Sort=A","Dates=H","DateFormat=P","Fill=—","Direction=H","UseDPDF=Y")</f>
        <v>48.872500000000002</v>
      </c>
      <c r="F12" s="12">
        <f>_xll.BDH("HXL US Equity","LT_DEBT_TO_TOT_EQY","FY 2016","FY 2016","Currency=USD","Period=FY","BEST_FPERIOD_OVERRIDE=FY","FILING_STATUS=MR","Sort=A","Dates=H","DateFormat=P","Fill=—","Direction=H","UseDPDF=Y")</f>
        <v>54.976300000000002</v>
      </c>
      <c r="G12" s="12">
        <f>_xll.BDH("HXL US Equity","LT_DEBT_TO_TOT_EQY","FY 2017","FY 2017","Currency=USD","Period=FY","BEST_FPERIOD_OVERRIDE=FY","FILING_STATUS=MR","Sort=A","Dates=H","DateFormat=P","Fill=—","Direction=H","UseDPDF=Y")</f>
        <v>53.8827</v>
      </c>
      <c r="H12" s="12">
        <f>_xll.BDH("HXL US Equity","LT_DEBT_TO_TOT_EQY","FY 2018","FY 2018","Currency=USD","Period=FY","BEST_FPERIOD_OVERRIDE=FY","FILING_STATUS=MR","Sort=A","Dates=H","DateFormat=P","Fill=—","Direction=H","UseDPDF=Y")</f>
        <v>71.664100000000005</v>
      </c>
      <c r="I12" s="12">
        <f>_xll.BDH("HXL US Equity","LT_DEBT_TO_TOT_EQY","FY 2019","FY 2019","Currency=USD","Period=FY","BEST_FPERIOD_OVERRIDE=FY","FILING_STATUS=MR","Sort=A","Dates=H","DateFormat=P","Fill=—","Direction=H","UseDPDF=Y")</f>
        <v>76.357100000000003</v>
      </c>
      <c r="J12" s="12">
        <f>_xll.BDH("HXL US Equity","LT_DEBT_TO_TOT_EQY","FY 2020","FY 2020","Currency=USD","Period=FY","BEST_FPERIOD_OVERRIDE=FY","FILING_STATUS=MR","Sort=A","Dates=H","DateFormat=P","Fill=—","Direction=H","UseDPDF=Y")</f>
        <v>64.362300000000005</v>
      </c>
      <c r="K12" s="12">
        <f>_xll.BDH("HXL US Equity","LT_DEBT_TO_TOT_EQY","FY 2021","FY 2021","Currency=USD","Period=FY","BEST_FPERIOD_OVERRIDE=FY","FILING_STATUS=MR","Sort=A","Dates=H","DateFormat=P","Fill=—","Direction=H","UseDPDF=Y")</f>
        <v>58.0747</v>
      </c>
      <c r="L12" s="12">
        <f>_xll.BDH("HXL US Equity","LT_DEBT_TO_TOT_EQY","FY 2022","FY 2022","Currency=USD","Period=FY","BEST_FPERIOD_OVERRIDE=FY","FILING_STATUS=MR","Sort=A","Dates=H","DateFormat=P","Fill=—","Direction=H","UseDPDF=Y")</f>
        <v>49.073500000000003</v>
      </c>
    </row>
    <row r="13" spans="1:12">
      <c r="A13" s="9" t="s">
        <v>35</v>
      </c>
      <c r="B13" s="9" t="s">
        <v>36</v>
      </c>
      <c r="C13" s="12">
        <f>_xll.BDH("HXL US Equity","LT_DEBT_TO_TOT_CAP","FY 2013","FY 2013","Currency=USD","Period=FY","BEST_FPERIOD_OVERRIDE=FY","FILING_STATUS=MR","Sort=A","Dates=H","DateFormat=P","Fill=—","Direction=H","UseDPDF=Y")</f>
        <v>20.161999999999999</v>
      </c>
      <c r="D13" s="12">
        <f>_xll.BDH("HXL US Equity","LT_DEBT_TO_TOT_CAP","FY 2014","FY 2014","Currency=USD","Period=FY","BEST_FPERIOD_OVERRIDE=FY","FILING_STATUS=MR","Sort=A","Dates=H","DateFormat=P","Fill=—","Direction=H","UseDPDF=Y")</f>
        <v>26.497299999999999</v>
      </c>
      <c r="E13" s="12">
        <f>_xll.BDH("HXL US Equity","LT_DEBT_TO_TOT_CAP","FY 2015","FY 2015","Currency=USD","Period=FY","BEST_FPERIOD_OVERRIDE=FY","FILING_STATUS=MR","Sort=A","Dates=H","DateFormat=P","Fill=—","Direction=H","UseDPDF=Y")</f>
        <v>32.828400000000002</v>
      </c>
      <c r="F13" s="12">
        <f>_xll.BDH("HXL US Equity","LT_DEBT_TO_TOT_CAP","FY 2016","FY 2016","Currency=USD","Period=FY","BEST_FPERIOD_OVERRIDE=FY","FILING_STATUS=MR","Sort=A","Dates=H","DateFormat=P","Fill=—","Direction=H","UseDPDF=Y")</f>
        <v>35.395099999999999</v>
      </c>
      <c r="G13" s="12">
        <f>_xll.BDH("HXL US Equity","LT_DEBT_TO_TOT_CAP","FY 2017","FY 2017","Currency=USD","Period=FY","BEST_FPERIOD_OVERRIDE=FY","FILING_STATUS=MR","Sort=A","Dates=H","DateFormat=P","Fill=—","Direction=H","UseDPDF=Y")</f>
        <v>34.950099999999999</v>
      </c>
      <c r="H13" s="12">
        <f>_xll.BDH("HXL US Equity","LT_DEBT_TO_TOT_CAP","FY 2018","FY 2018","Currency=USD","Period=FY","BEST_FPERIOD_OVERRIDE=FY","FILING_STATUS=MR","Sort=A","Dates=H","DateFormat=P","Fill=—","Direction=H","UseDPDF=Y")</f>
        <v>41.5745</v>
      </c>
      <c r="I13" s="12">
        <f>_xll.BDH("HXL US Equity","LT_DEBT_TO_TOT_CAP","FY 2019","FY 2019","Currency=USD","Period=FY","BEST_FPERIOD_OVERRIDE=FY","FILING_STATUS=MR","Sort=A","Dates=H","DateFormat=P","Fill=—","Direction=H","UseDPDF=Y")</f>
        <v>42.919899999999998</v>
      </c>
      <c r="J13" s="12">
        <f>_xll.BDH("HXL US Equity","LT_DEBT_TO_TOT_CAP","FY 2020","FY 2020","Currency=USD","Period=FY","BEST_FPERIOD_OVERRIDE=FY","FILING_STATUS=MR","Sort=A","Dates=H","DateFormat=P","Fill=—","Direction=H","UseDPDF=Y")</f>
        <v>38.956400000000002</v>
      </c>
      <c r="K13" s="12">
        <f>_xll.BDH("HXL US Equity","LT_DEBT_TO_TOT_CAP","FY 2021","FY 2021","Currency=USD","Period=FY","BEST_FPERIOD_OVERRIDE=FY","FILING_STATUS=MR","Sort=A","Dates=H","DateFormat=P","Fill=—","Direction=H","UseDPDF=Y")</f>
        <v>36.562800000000003</v>
      </c>
      <c r="L13" s="12">
        <f>_xll.BDH("HXL US Equity","LT_DEBT_TO_TOT_CAP","FY 2022","FY 2022","Currency=USD","Period=FY","BEST_FPERIOD_OVERRIDE=FY","FILING_STATUS=MR","Sort=A","Dates=H","DateFormat=P","Fill=—","Direction=H","UseDPDF=Y")</f>
        <v>32.771900000000002</v>
      </c>
    </row>
    <row r="14" spans="1:12">
      <c r="A14" s="9" t="s">
        <v>37</v>
      </c>
      <c r="B14" s="9" t="s">
        <v>38</v>
      </c>
      <c r="C14" s="12">
        <f>_xll.BDH("HXL US Equity","LT_DEBT_TO_TOT_ASSET","FY 2013","FY 2013","Currency=USD","Period=FY","BEST_FPERIOD_OVERRIDE=FY","FILING_STATUS=MR","Sort=A","Dates=H","DateFormat=P","Fill=—","Direction=H","UseDPDF=Y")</f>
        <v>16.001300000000001</v>
      </c>
      <c r="D14" s="12">
        <f>_xll.BDH("HXL US Equity","LT_DEBT_TO_TOT_ASSET","FY 2014","FY 2014","Currency=USD","Period=FY","BEST_FPERIOD_OVERRIDE=FY","FILING_STATUS=MR","Sort=A","Dates=H","DateFormat=P","Fill=—","Direction=H","UseDPDF=Y")</f>
        <v>20.379100000000001</v>
      </c>
      <c r="E14" s="12">
        <f>_xll.BDH("HXL US Equity","LT_DEBT_TO_TOT_ASSET","FY 2015","FY 2015","Currency=USD","Period=FY","BEST_FPERIOD_OVERRIDE=FY","FILING_STATUS=MR","Sort=A","Dates=H","DateFormat=P","Fill=—","Direction=H","UseDPDF=Y")</f>
        <v>26.355499999999999</v>
      </c>
      <c r="F14" s="12">
        <f>_xll.BDH("HXL US Equity","LT_DEBT_TO_TOT_ASSET","FY 2016","FY 2016","Currency=USD","Period=FY","BEST_FPERIOD_OVERRIDE=FY","FILING_STATUS=MR","Sort=A","Dates=H","DateFormat=P","Fill=—","Direction=H","UseDPDF=Y")</f>
        <v>28.509499999999999</v>
      </c>
      <c r="G14" s="12">
        <f>_xll.BDH("HXL US Equity","LT_DEBT_TO_TOT_ASSET","FY 2017","FY 2017","Currency=USD","Period=FY","BEST_FPERIOD_OVERRIDE=FY","FILING_STATUS=MR","Sort=A","Dates=H","DateFormat=P","Fill=—","Direction=H","UseDPDF=Y")</f>
        <v>28.969000000000001</v>
      </c>
      <c r="H14" s="12">
        <f>_xll.BDH("HXL US Equity","LT_DEBT_TO_TOT_ASSET","FY 2018","FY 2018","Currency=USD","Period=FY","BEST_FPERIOD_OVERRIDE=FY","FILING_STATUS=MR","Sort=A","Dates=H","DateFormat=P","Fill=—","Direction=H","UseDPDF=Y")</f>
        <v>33.546999999999997</v>
      </c>
      <c r="I14" s="12">
        <f>_xll.BDH("HXL US Equity","LT_DEBT_TO_TOT_ASSET","FY 2019","FY 2019","Currency=USD","Period=FY","BEST_FPERIOD_OVERRIDE=FY","FILING_STATUS=MR","Sort=A","Dates=H","DateFormat=P","Fill=—","Direction=H","UseDPDF=Y")</f>
        <v>35.293700000000001</v>
      </c>
      <c r="J14" s="12">
        <f>_xll.BDH("HXL US Equity","LT_DEBT_TO_TOT_ASSET","FY 2020","FY 2020","Currency=USD","Period=FY","BEST_FPERIOD_OVERRIDE=FY","FILING_STATUS=MR","Sort=A","Dates=H","DateFormat=P","Fill=—","Direction=H","UseDPDF=Y")</f>
        <v>33.312800000000003</v>
      </c>
      <c r="K14" s="12">
        <f>_xll.BDH("HXL US Equity","LT_DEBT_TO_TOT_ASSET","FY 2021","FY 2021","Currency=USD","Period=FY","BEST_FPERIOD_OVERRIDE=FY","FILING_STATUS=MR","Sort=A","Dates=H","DateFormat=P","Fill=—","Direction=H","UseDPDF=Y")</f>
        <v>30.598700000000001</v>
      </c>
      <c r="L14" s="12">
        <f>_xll.BDH("HXL US Equity","LT_DEBT_TO_TOT_ASSET","FY 2022","FY 2022","Currency=USD","Period=FY","BEST_FPERIOD_OVERRIDE=FY","FILING_STATUS=MR","Sort=A","Dates=H","DateFormat=P","Fill=—","Direction=H","UseDPDF=Y")</f>
        <v>26.8812</v>
      </c>
    </row>
    <row r="15" spans="1:1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1:12">
      <c r="A16" s="9" t="s">
        <v>39</v>
      </c>
      <c r="B16" s="9" t="s">
        <v>40</v>
      </c>
      <c r="C16" s="12">
        <f>_xll.BDH("HXL US Equity","TOT_DEBT_TO_TOT_EQY","FY 2013","FY 2013","Currency=USD","Period=FY","BEST_FPERIOD_OVERRIDE=FY","FILING_STATUS=MR","Sort=A","Dates=H","DateFormat=P","Fill=—","Direction=H","UseDPDF=Y")</f>
        <v>25.577400000000001</v>
      </c>
      <c r="D16" s="12">
        <f>_xll.BDH("HXL US Equity","TOT_DEBT_TO_TOT_EQY","FY 2014","FY 2014","Currency=USD","Period=FY","BEST_FPERIOD_OVERRIDE=FY","FILING_STATUS=MR","Sort=A","Dates=H","DateFormat=P","Fill=—","Direction=H","UseDPDF=Y")</f>
        <v>36.203099999999999</v>
      </c>
      <c r="E16" s="12">
        <f>_xll.BDH("HXL US Equity","TOT_DEBT_TO_TOT_EQY","FY 2015","FY 2015","Currency=USD","Period=FY","BEST_FPERIOD_OVERRIDE=FY","FILING_STATUS=MR","Sort=A","Dates=H","DateFormat=P","Fill=—","Direction=H","UseDPDF=Y")</f>
        <v>48.872500000000002</v>
      </c>
      <c r="F16" s="12">
        <f>_xll.BDH("HXL US Equity","TOT_DEBT_TO_TOT_EQY","FY 2016","FY 2016","Currency=USD","Period=FY","BEST_FPERIOD_OVERRIDE=FY","FILING_STATUS=MR","Sort=A","Dates=H","DateFormat=P","Fill=—","Direction=H","UseDPDF=Y")</f>
        <v>55.3217</v>
      </c>
      <c r="G16" s="12">
        <f>_xll.BDH("HXL US Equity","TOT_DEBT_TO_TOT_EQY","FY 2017","FY 2017","Currency=USD","Period=FY","BEST_FPERIOD_OVERRIDE=FY","FILING_STATUS=MR","Sort=A","Dates=H","DateFormat=P","Fill=—","Direction=H","UseDPDF=Y")</f>
        <v>54.170299999999997</v>
      </c>
      <c r="H16" s="12">
        <f>_xll.BDH("HXL US Equity","TOT_DEBT_TO_TOT_EQY","FY 2018","FY 2018","Currency=USD","Period=FY","BEST_FPERIOD_OVERRIDE=FY","FILING_STATUS=MR","Sort=A","Dates=H","DateFormat=P","Fill=—","Direction=H","UseDPDF=Y")</f>
        <v>72.375200000000007</v>
      </c>
      <c r="I16" s="12">
        <f>_xll.BDH("HXL US Equity","TOT_DEBT_TO_TOT_EQY","FY 2019","FY 2019","Currency=USD","Period=FY","BEST_FPERIOD_OVERRIDE=FY","FILING_STATUS=MR","Sort=A","Dates=H","DateFormat=P","Fill=—","Direction=H","UseDPDF=Y")</f>
        <v>77.906099999999995</v>
      </c>
      <c r="J16" s="12">
        <f>_xll.BDH("HXL US Equity","TOT_DEBT_TO_TOT_EQY","FY 2020","FY 2020","Currency=USD","Period=FY","BEST_FPERIOD_OVERRIDE=FY","FILING_STATUS=MR","Sort=A","Dates=H","DateFormat=P","Fill=—","Direction=H","UseDPDF=Y")</f>
        <v>65.216499999999996</v>
      </c>
      <c r="K16" s="12">
        <f>_xll.BDH("HXL US Equity","TOT_DEBT_TO_TOT_EQY","FY 2021","FY 2021","Currency=USD","Period=FY","BEST_FPERIOD_OVERRIDE=FY","FILING_STATUS=MR","Sort=A","Dates=H","DateFormat=P","Fill=—","Direction=H","UseDPDF=Y")</f>
        <v>58.8354</v>
      </c>
      <c r="L16" s="12">
        <f>_xll.BDH("HXL US Equity","TOT_DEBT_TO_TOT_EQY","FY 2022","FY 2022","Currency=USD","Period=FY","BEST_FPERIOD_OVERRIDE=FY","FILING_STATUS=MR","Sort=A","Dates=H","DateFormat=P","Fill=—","Direction=H","UseDPDF=Y")</f>
        <v>49.742600000000003</v>
      </c>
    </row>
    <row r="17" spans="1:12">
      <c r="A17" s="9" t="s">
        <v>41</v>
      </c>
      <c r="B17" s="9" t="s">
        <v>42</v>
      </c>
      <c r="C17" s="12">
        <f>_xll.BDH("HXL US Equity","TOT_DEBT_TO_TOT_CAP","FY 2013","FY 2013","Currency=USD","Period=FY","BEST_FPERIOD_OVERRIDE=FY","FILING_STATUS=MR","Sort=A","Dates=H","DateFormat=P","Fill=—","Direction=H","UseDPDF=Y")</f>
        <v>20.367799999999999</v>
      </c>
      <c r="D17" s="12">
        <f>_xll.BDH("HXL US Equity","TOT_DEBT_TO_TOT_CAP","FY 2014","FY 2014","Currency=USD","Period=FY","BEST_FPERIOD_OVERRIDE=FY","FILING_STATUS=MR","Sort=A","Dates=H","DateFormat=P","Fill=—","Direction=H","UseDPDF=Y")</f>
        <v>26.580300000000001</v>
      </c>
      <c r="E17" s="12">
        <f>_xll.BDH("HXL US Equity","TOT_DEBT_TO_TOT_CAP","FY 2015","FY 2015","Currency=USD","Period=FY","BEST_FPERIOD_OVERRIDE=FY","FILING_STATUS=MR","Sort=A","Dates=H","DateFormat=P","Fill=—","Direction=H","UseDPDF=Y")</f>
        <v>32.828400000000002</v>
      </c>
      <c r="F17" s="12">
        <f>_xll.BDH("HXL US Equity","TOT_DEBT_TO_TOT_CAP","FY 2016","FY 2016","Currency=USD","Period=FY","BEST_FPERIOD_OVERRIDE=FY","FILING_STATUS=MR","Sort=A","Dates=H","DateFormat=P","Fill=—","Direction=H","UseDPDF=Y")</f>
        <v>35.6175</v>
      </c>
      <c r="G17" s="12">
        <f>_xll.BDH("HXL US Equity","TOT_DEBT_TO_TOT_CAP","FY 2017","FY 2017","Currency=USD","Period=FY","BEST_FPERIOD_OVERRIDE=FY","FILING_STATUS=MR","Sort=A","Dates=H","DateFormat=P","Fill=—","Direction=H","UseDPDF=Y")</f>
        <v>35.136699999999998</v>
      </c>
      <c r="H17" s="12">
        <f>_xll.BDH("HXL US Equity","TOT_DEBT_TO_TOT_CAP","FY 2018","FY 2018","Currency=USD","Period=FY","BEST_FPERIOD_OVERRIDE=FY","FILING_STATUS=MR","Sort=A","Dates=H","DateFormat=P","Fill=—","Direction=H","UseDPDF=Y")</f>
        <v>41.987000000000002</v>
      </c>
      <c r="I17" s="12">
        <f>_xll.BDH("HXL US Equity","TOT_DEBT_TO_TOT_CAP","FY 2019","FY 2019","Currency=USD","Period=FY","BEST_FPERIOD_OVERRIDE=FY","FILING_STATUS=MR","Sort=A","Dates=H","DateFormat=P","Fill=—","Direction=H","UseDPDF=Y")</f>
        <v>43.790599999999998</v>
      </c>
      <c r="J17" s="12">
        <f>_xll.BDH("HXL US Equity","TOT_DEBT_TO_TOT_CAP","FY 2020","FY 2020","Currency=USD","Period=FY","BEST_FPERIOD_OVERRIDE=FY","FILING_STATUS=MR","Sort=A","Dates=H","DateFormat=P","Fill=—","Direction=H","UseDPDF=Y")</f>
        <v>39.473399999999998</v>
      </c>
      <c r="K17" s="12">
        <f>_xll.BDH("HXL US Equity","TOT_DEBT_TO_TOT_CAP","FY 2021","FY 2021","Currency=USD","Period=FY","BEST_FPERIOD_OVERRIDE=FY","FILING_STATUS=MR","Sort=A","Dates=H","DateFormat=P","Fill=—","Direction=H","UseDPDF=Y")</f>
        <v>37.041699999999999</v>
      </c>
      <c r="L17" s="12">
        <f>_xll.BDH("HXL US Equity","TOT_DEBT_TO_TOT_CAP","FY 2022","FY 2022","Currency=USD","Period=FY","BEST_FPERIOD_OVERRIDE=FY","FILING_STATUS=MR","Sort=A","Dates=H","DateFormat=P","Fill=—","Direction=H","UseDPDF=Y")</f>
        <v>33.218800000000002</v>
      </c>
    </row>
    <row r="18" spans="1:12">
      <c r="A18" s="9" t="s">
        <v>43</v>
      </c>
      <c r="B18" s="9" t="s">
        <v>44</v>
      </c>
      <c r="C18" s="12">
        <f>_xll.BDH("HXL US Equity","TOT_DEBT_TO_TOT_ASSET","FY 2013","FY 2013","Currency=USD","Period=FY","BEST_FPERIOD_OVERRIDE=FY","FILING_STATUS=MR","Sort=A","Dates=H","DateFormat=P","Fill=—","Direction=H","UseDPDF=Y")</f>
        <v>16.1647</v>
      </c>
      <c r="D18" s="12">
        <f>_xll.BDH("HXL US Equity","TOT_DEBT_TO_TOT_ASSET","FY 2014","FY 2014","Currency=USD","Period=FY","BEST_FPERIOD_OVERRIDE=FY","FILING_STATUS=MR","Sort=A","Dates=H","DateFormat=P","Fill=—","Direction=H","UseDPDF=Y")</f>
        <v>20.442900000000002</v>
      </c>
      <c r="E18" s="12">
        <f>_xll.BDH("HXL US Equity","TOT_DEBT_TO_TOT_ASSET","FY 2015","FY 2015","Currency=USD","Period=FY","BEST_FPERIOD_OVERRIDE=FY","FILING_STATUS=MR","Sort=A","Dates=H","DateFormat=P","Fill=—","Direction=H","UseDPDF=Y")</f>
        <v>26.355499999999999</v>
      </c>
      <c r="F18" s="12">
        <f>_xll.BDH("HXL US Equity","TOT_DEBT_TO_TOT_ASSET","FY 2016","FY 2016","Currency=USD","Period=FY","BEST_FPERIOD_OVERRIDE=FY","FILING_STATUS=MR","Sort=A","Dates=H","DateFormat=P","Fill=—","Direction=H","UseDPDF=Y")</f>
        <v>28.688700000000001</v>
      </c>
      <c r="G18" s="12">
        <f>_xll.BDH("HXL US Equity","TOT_DEBT_TO_TOT_ASSET","FY 2017","FY 2017","Currency=USD","Period=FY","BEST_FPERIOD_OVERRIDE=FY","FILING_STATUS=MR","Sort=A","Dates=H","DateFormat=P","Fill=—","Direction=H","UseDPDF=Y")</f>
        <v>29.123699999999999</v>
      </c>
      <c r="H18" s="12">
        <f>_xll.BDH("HXL US Equity","TOT_DEBT_TO_TOT_ASSET","FY 2018","FY 2018","Currency=USD","Period=FY","BEST_FPERIOD_OVERRIDE=FY","FILING_STATUS=MR","Sort=A","Dates=H","DateFormat=P","Fill=—","Direction=H","UseDPDF=Y")</f>
        <v>33.879800000000003</v>
      </c>
      <c r="I18" s="12">
        <f>_xll.BDH("HXL US Equity","TOT_DEBT_TO_TOT_ASSET","FY 2019","FY 2019","Currency=USD","Period=FY","BEST_FPERIOD_OVERRIDE=FY","FILING_STATUS=MR","Sort=A","Dates=H","DateFormat=P","Fill=—","Direction=H","UseDPDF=Y")</f>
        <v>36.009700000000002</v>
      </c>
      <c r="J18" s="12">
        <f>_xll.BDH("HXL US Equity","TOT_DEBT_TO_TOT_ASSET","FY 2020","FY 2020","Currency=USD","Period=FY","BEST_FPERIOD_OVERRIDE=FY","FILING_STATUS=MR","Sort=A","Dates=H","DateFormat=P","Fill=—","Direction=H","UseDPDF=Y")</f>
        <v>33.754899999999999</v>
      </c>
      <c r="K18" s="12">
        <f>_xll.BDH("HXL US Equity","TOT_DEBT_TO_TOT_ASSET","FY 2021","FY 2021","Currency=USD","Period=FY","BEST_FPERIOD_OVERRIDE=FY","FILING_STATUS=MR","Sort=A","Dates=H","DateFormat=P","Fill=—","Direction=H","UseDPDF=Y")</f>
        <v>30.999500000000001</v>
      </c>
      <c r="L18" s="12">
        <f>_xll.BDH("HXL US Equity","TOT_DEBT_TO_TOT_ASSET","FY 2022","FY 2022","Currency=USD","Period=FY","BEST_FPERIOD_OVERRIDE=FY","FILING_STATUS=MR","Sort=A","Dates=H","DateFormat=P","Fill=—","Direction=H","UseDPDF=Y")</f>
        <v>27.247699999999998</v>
      </c>
    </row>
    <row r="19" spans="1:1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</row>
    <row r="20" spans="1:12">
      <c r="A20" s="9" t="s">
        <v>45</v>
      </c>
      <c r="B20" s="9" t="s">
        <v>46</v>
      </c>
      <c r="C20" s="12">
        <f>_xll.BDH("HXL US Equity","CASH_FLOW_TO_TOT_LIAB","FY 2013","FY 2013","Currency=USD","Period=FY","BEST_FPERIOD_OVERRIDE=FY","FILING_STATUS=MR","Sort=A","Dates=H","DateFormat=P","Fill=—","Direction=H","UseDPDF=Y")</f>
        <v>40.387700000000002</v>
      </c>
      <c r="D20" s="12">
        <f>_xll.BDH("HXL US Equity","CASH_FLOW_TO_TOT_LIAB","FY 2014","FY 2014","Currency=USD","Period=FY","BEST_FPERIOD_OVERRIDE=FY","FILING_STATUS=MR","Sort=A","Dates=H","DateFormat=P","Fill=—","Direction=H","UseDPDF=Y")</f>
        <v>35.871400000000001</v>
      </c>
      <c r="E20" s="12">
        <f>_xll.BDH("HXL US Equity","CASH_FLOW_TO_TOT_LIAB","FY 2015","FY 2015","Currency=USD","Period=FY","BEST_FPERIOD_OVERRIDE=FY","FILING_STATUS=MR","Sort=A","Dates=H","DateFormat=P","Fill=—","Direction=H","UseDPDF=Y")</f>
        <v>29.867000000000001</v>
      </c>
      <c r="F20" s="12">
        <f>_xll.BDH("HXL US Equity","CASH_FLOW_TO_TOT_LIAB","FY 2016","FY 2016","Currency=USD","Period=FY","BEST_FPERIOD_OVERRIDE=FY","FILING_STATUS=MR","Sort=A","Dates=H","DateFormat=P","Fill=—","Direction=H","UseDPDF=Y")</f>
        <v>34.732199999999999</v>
      </c>
      <c r="G20" s="12">
        <f>_xll.BDH("HXL US Equity","CASH_FLOW_TO_TOT_LIAB","FY 2017","FY 2017","Currency=USD","Period=FY","BEST_FPERIOD_OVERRIDE=FY","FILING_STATUS=MR","Sort=A","Dates=H","DateFormat=P","Fill=—","Direction=H","UseDPDF=Y")</f>
        <v>33.341099999999997</v>
      </c>
      <c r="H20" s="12">
        <f>_xll.BDH("HXL US Equity","CASH_FLOW_TO_TOT_LIAB","FY 2018","FY 2018","Currency=USD","Period=FY","BEST_FPERIOD_OVERRIDE=FY","FILING_STATUS=MR","Sort=A","Dates=H","DateFormat=P","Fill=—","Direction=H","UseDPDF=Y")</f>
        <v>28.054099999999998</v>
      </c>
      <c r="I20" s="12">
        <f>_xll.BDH("HXL US Equity","CASH_FLOW_TO_TOT_LIAB","FY 2019","FY 2019","Currency=USD","Period=FY","BEST_FPERIOD_OVERRIDE=FY","FILING_STATUS=MR","Sort=A","Dates=H","DateFormat=P","Fill=—","Direction=H","UseDPDF=Y")</f>
        <v>29.188700000000001</v>
      </c>
      <c r="J20" s="12">
        <f>_xll.BDH("HXL US Equity","CASH_FLOW_TO_TOT_LIAB","FY 2020","FY 2020","Currency=USD","Period=FY","BEST_FPERIOD_OVERRIDE=FY","FILING_STATUS=MR","Sort=A","Dates=H","DateFormat=P","Fill=—","Direction=H","UseDPDF=Y")</f>
        <v>18.776599999999998</v>
      </c>
      <c r="K20" s="12">
        <f>_xll.BDH("HXL US Equity","CASH_FLOW_TO_TOT_LIAB","FY 2021","FY 2021","Currency=USD","Period=FY","BEST_FPERIOD_OVERRIDE=FY","FILING_STATUS=MR","Sort=A","Dates=H","DateFormat=P","Fill=—","Direction=H","UseDPDF=Y")</f>
        <v>11.3727</v>
      </c>
      <c r="L20" s="12">
        <f>_xll.BDH("HXL US Equity","CASH_FLOW_TO_TOT_LIAB","FY 2022","FY 2022","Currency=USD","Period=FY","BEST_FPERIOD_OVERRIDE=FY","FILING_STATUS=MR","Sort=A","Dates=H","DateFormat=P","Fill=—","Direction=H","UseDPDF=Y")</f>
        <v>13.4908</v>
      </c>
    </row>
    <row r="21" spans="1:12">
      <c r="A21" s="9" t="s">
        <v>47</v>
      </c>
      <c r="B21" s="9" t="s">
        <v>48</v>
      </c>
      <c r="C21" s="12">
        <f>_xll.BDH("HXL US Equity","CAP_EXPEND_RATIO","FY 2013","FY 2013","Currency=USD","Period=FY","BEST_FPERIOD_OVERRIDE=FY","FILING_STATUS=MR","Sort=A","Dates=H","DateFormat=P","Fill=—","Direction=H","UseDPDF=Y")</f>
        <v>1.4001999999999999</v>
      </c>
      <c r="D21" s="12">
        <f>_xll.BDH("HXL US Equity","CAP_EXPEND_RATIO","FY 2014","FY 2014","Currency=USD","Period=FY","BEST_FPERIOD_OVERRIDE=FY","FILING_STATUS=MR","Sort=A","Dates=H","DateFormat=P","Fill=—","Direction=H","UseDPDF=Y")</f>
        <v>1.2225999999999999</v>
      </c>
      <c r="E21" s="12">
        <f>_xll.BDH("HXL US Equity","CAP_EXPEND_RATIO","FY 2015","FY 2015","Currency=USD","Period=FY","BEST_FPERIOD_OVERRIDE=FY","FILING_STATUS=MR","Sort=A","Dates=H","DateFormat=P","Fill=—","Direction=H","UseDPDF=Y")</f>
        <v>0.9859</v>
      </c>
      <c r="F21" s="12">
        <f>_xll.BDH("HXL US Equity","CAP_EXPEND_RATIO","FY 2016","FY 2016","Currency=USD","Period=FY","BEST_FPERIOD_OVERRIDE=FY","FILING_STATUS=MR","Sort=A","Dates=H","DateFormat=P","Fill=—","Direction=H","UseDPDF=Y")</f>
        <v>1.2242</v>
      </c>
      <c r="G21" s="12">
        <f>_xll.BDH("HXL US Equity","CAP_EXPEND_RATIO","FY 2017","FY 2017","Currency=USD","Period=FY","BEST_FPERIOD_OVERRIDE=FY","FILING_STATUS=MR","Sort=A","Dates=H","DateFormat=P","Fill=—","Direction=H","UseDPDF=Y")</f>
        <v>1.5415000000000001</v>
      </c>
      <c r="H21" s="12">
        <f>_xll.BDH("HXL US Equity","CAP_EXPEND_RATIO","FY 2018","FY 2018","Currency=USD","Period=FY","BEST_FPERIOD_OVERRIDE=FY","FILING_STATUS=MR","Sort=A","Dates=H","DateFormat=P","Fill=—","Direction=H","UseDPDF=Y")</f>
        <v>2.2890000000000001</v>
      </c>
      <c r="I21" s="12">
        <f>_xll.BDH("HXL US Equity","CAP_EXPEND_RATIO","FY 2019","FY 2019","Currency=USD","Period=FY","BEST_FPERIOD_OVERRIDE=FY","FILING_STATUS=MR","Sort=A","Dates=H","DateFormat=P","Fill=—","Direction=H","UseDPDF=Y")</f>
        <v>2.4062000000000001</v>
      </c>
      <c r="J21" s="12">
        <f>_xll.BDH("HXL US Equity","CAP_EXPEND_RATIO","FY 2020","FY 2020","Currency=USD","Period=FY","BEST_FPERIOD_OVERRIDE=FY","FILING_STATUS=MR","Sort=A","Dates=H","DateFormat=P","Fill=—","Direction=H","UseDPDF=Y")</f>
        <v>5.2233000000000001</v>
      </c>
      <c r="K21" s="12">
        <f>_xll.BDH("HXL US Equity","CAP_EXPEND_RATIO","FY 2021","FY 2021","Currency=USD","Period=FY","BEST_FPERIOD_OVERRIDE=FY","FILING_STATUS=MR","Sort=A","Dates=H","DateFormat=P","Fill=—","Direction=H","UseDPDF=Y")</f>
        <v>5.4372999999999996</v>
      </c>
      <c r="L21" s="12">
        <f>_xll.BDH("HXL US Equity","CAP_EXPEND_RATIO","FY 2022","FY 2022","Currency=USD","Period=FY","BEST_FPERIOD_OVERRIDE=FY","FILING_STATUS=MR","Sort=A","Dates=H","DateFormat=P","Fill=—","Direction=H","UseDPDF=Y")</f>
        <v>2.2686999999999999</v>
      </c>
    </row>
    <row r="22" spans="1:12">
      <c r="A22" s="9" t="s">
        <v>49</v>
      </c>
      <c r="B22" s="9" t="s">
        <v>50</v>
      </c>
      <c r="C22" s="12">
        <f>_xll.BDH("HXL US Equity","ALTMAN_Z_SCORE","FY 2013","FY 2013","Currency=USD","Period=FY","BEST_FPERIOD_OVERRIDE=FY","FILING_STATUS=MR","Sort=A","Dates=H","DateFormat=P","Fill=—","Direction=H","UseDPDF=Y")</f>
        <v>6.1638000000000002</v>
      </c>
      <c r="D22" s="12">
        <f>_xll.BDH("HXL US Equity","ALTMAN_Z_SCORE","FY 2014","FY 2014","Currency=USD","Period=FY","BEST_FPERIOD_OVERRIDE=FY","FILING_STATUS=MR","Sort=A","Dates=H","DateFormat=P","Fill=—","Direction=H","UseDPDF=Y")</f>
        <v>4.9524999999999997</v>
      </c>
      <c r="E22" s="12">
        <f>_xll.BDH("HXL US Equity","ALTMAN_Z_SCORE","FY 2015","FY 2015","Currency=USD","Period=FY","BEST_FPERIOD_OVERRIDE=FY","FILING_STATUS=MR","Sort=A","Dates=H","DateFormat=P","Fill=—","Direction=H","UseDPDF=Y")</f>
        <v>4.8821000000000003</v>
      </c>
      <c r="F22" s="12">
        <f>_xll.BDH("HXL US Equity","ALTMAN_Z_SCORE","FY 2016","FY 2016","Currency=USD","Period=FY","BEST_FPERIOD_OVERRIDE=FY","FILING_STATUS=MR","Sort=A","Dates=H","DateFormat=P","Fill=—","Direction=H","UseDPDF=Y")</f>
        <v>4.7488000000000001</v>
      </c>
      <c r="G22" s="12">
        <f>_xll.BDH("HXL US Equity","ALTMAN_Z_SCORE","FY 2017","FY 2017","Currency=USD","Period=FY","BEST_FPERIOD_OVERRIDE=FY","FILING_STATUS=MR","Sort=A","Dates=H","DateFormat=P","Fill=—","Direction=H","UseDPDF=Y")</f>
        <v>4.7572999999999999</v>
      </c>
      <c r="H22" s="12">
        <f>_xll.BDH("HXL US Equity","ALTMAN_Z_SCORE","FY 2018","FY 2018","Currency=USD","Period=FY","BEST_FPERIOD_OVERRIDE=FY","FILING_STATUS=MR","Sort=A","Dates=H","DateFormat=P","Fill=—","Direction=H","UseDPDF=Y")</f>
        <v>4.3025000000000002</v>
      </c>
      <c r="I22" s="12">
        <f>_xll.BDH("HXL US Equity","ALTMAN_Z_SCORE","FY 2019","FY 2019","Currency=USD","Period=FY","BEST_FPERIOD_OVERRIDE=FY","FILING_STATUS=MR","Sort=A","Dates=H","DateFormat=P","Fill=—","Direction=H","UseDPDF=Y")</f>
        <v>4.6593999999999998</v>
      </c>
      <c r="J22" s="12">
        <f>_xll.BDH("HXL US Equity","ALTMAN_Z_SCORE","FY 2020","FY 2020","Currency=USD","Period=FY","BEST_FPERIOD_OVERRIDE=FY","FILING_STATUS=MR","Sort=A","Dates=H","DateFormat=P","Fill=—","Direction=H","UseDPDF=Y")</f>
        <v>3.5324</v>
      </c>
      <c r="K22" s="12">
        <f>_xll.BDH("HXL US Equity","ALTMAN_Z_SCORE","FY 2021","FY 2021","Currency=USD","Period=FY","BEST_FPERIOD_OVERRIDE=FY","FILING_STATUS=MR","Sort=A","Dates=H","DateFormat=P","Fill=—","Direction=H","UseDPDF=Y")</f>
        <v>3.8182999999999998</v>
      </c>
      <c r="L22" s="12">
        <f>_xll.BDH("HXL US Equity","ALTMAN_Z_SCORE","FY 2022","FY 2022","Currency=USD","Period=FY","BEST_FPERIOD_OVERRIDE=FY","FILING_STATUS=MR","Sort=A","Dates=H","DateFormat=P","Fill=—","Direction=H","UseDPDF=Y")</f>
        <v>4.4812000000000003</v>
      </c>
    </row>
    <row r="23" spans="1:1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spans="1:12">
      <c r="A24" s="9" t="s">
        <v>51</v>
      </c>
      <c r="B24" s="9" t="s">
        <v>52</v>
      </c>
      <c r="C24" s="11">
        <f>_xll.BDH("HXL US Equity","BS_TOTAL_LINE_OF_CREDIT","FY 2013","FY 2013","Currency=USD","Period=FY","BEST_FPERIOD_OVERRIDE=FY","FILING_STATUS=MR","SCALING_FORMAT=MLN","Sort=A","Dates=H","DateFormat=P","Fill=—","Direction=H","UseDPDF=Y")</f>
        <v>600</v>
      </c>
      <c r="D24" s="11">
        <f>_xll.BDH("HXL US Equity","BS_TOTAL_LINE_OF_CREDIT","FY 2014","FY 2014","Currency=USD","Period=FY","BEST_FPERIOD_OVERRIDE=FY","FILING_STATUS=MR","SCALING_FORMAT=MLN","Sort=A","Dates=H","DateFormat=P","Fill=—","Direction=H","UseDPDF=Y")</f>
        <v>710</v>
      </c>
      <c r="E24" s="11">
        <f>_xll.BDH("HXL US Equity","BS_TOTAL_LINE_OF_CREDIT","FY 2015","FY 2015","Currency=USD","Period=FY","BEST_FPERIOD_OVERRIDE=FY","FILING_STATUS=MR","SCALING_FORMAT=MLN","Sort=A","Dates=H","DateFormat=P","Fill=—","Direction=H","UseDPDF=Y")</f>
        <v>710</v>
      </c>
      <c r="F24" s="11">
        <f>_xll.BDH("HXL US Equity","BS_TOTAL_LINE_OF_CREDIT","FY 2016","FY 2016","Currency=USD","Period=FY","BEST_FPERIOD_OVERRIDE=FY","FILING_STATUS=MR","SCALING_FORMAT=MLN","Sort=A","Dates=H","DateFormat=P","Fill=—","Direction=H","UseDPDF=Y")</f>
        <v>710</v>
      </c>
      <c r="G24" s="11">
        <f>_xll.BDH("HXL US Equity","BS_TOTAL_LINE_OF_CREDIT","FY 2017","FY 2017","Currency=USD","Period=FY","BEST_FPERIOD_OVERRIDE=FY","FILING_STATUS=MR","SCALING_FORMAT=MLN","Sort=A","Dates=H","DateFormat=P","Fill=—","Direction=H","UseDPDF=Y")</f>
        <v>710</v>
      </c>
      <c r="H24" s="11">
        <f>_xll.BDH("HXL US Equity","BS_TOTAL_LINE_OF_CREDIT","FY 2018","FY 2018","Currency=USD","Period=FY","BEST_FPERIOD_OVERRIDE=FY","FILING_STATUS=MR","SCALING_FORMAT=MLN","Sort=A","Dates=H","DateFormat=P","Fill=—","Direction=H","UseDPDF=Y")</f>
        <v>710</v>
      </c>
      <c r="I24" s="11">
        <f>_xll.BDH("HXL US Equity","BS_TOTAL_LINE_OF_CREDIT","FY 2019","FY 2019","Currency=USD","Period=FY","BEST_FPERIOD_OVERRIDE=FY","FILING_STATUS=MR","SCALING_FORMAT=MLN","Sort=A","Dates=H","DateFormat=P","Fill=—","Direction=H","UseDPDF=Y")</f>
        <v>1000</v>
      </c>
      <c r="J24" s="11">
        <f>_xll.BDH("HXL US Equity","BS_TOTAL_LINE_OF_CREDIT","FY 2020","FY 2020","Currency=USD","Period=FY","BEST_FPERIOD_OVERRIDE=FY","FILING_STATUS=MR","SCALING_FORMAT=MLN","Sort=A","Dates=H","DateFormat=P","Fill=—","Direction=H","UseDPDF=Y")</f>
        <v>1000</v>
      </c>
      <c r="K24" s="11">
        <f>_xll.BDH("HXL US Equity","BS_TOTAL_LINE_OF_CREDIT","FY 2021","FY 2021","Currency=USD","Period=FY","BEST_FPERIOD_OVERRIDE=FY","FILING_STATUS=MR","SCALING_FORMAT=MLN","Sort=A","Dates=H","DateFormat=P","Fill=—","Direction=H","UseDPDF=Y")</f>
        <v>1000</v>
      </c>
      <c r="L24" s="11">
        <f>_xll.BDH("HXL US Equity","BS_TOTAL_LINE_OF_CREDIT","FY 2022","FY 2022","Currency=USD","Period=FY","BEST_FPERIOD_OVERRIDE=FY","FILING_STATUS=MR","SCALING_FORMAT=MLN","Sort=A","Dates=H","DateFormat=P","Fill=—","Direction=H","UseDPDF=Y")</f>
        <v>1000</v>
      </c>
    </row>
    <row r="25" spans="1:12">
      <c r="A25" s="9" t="s">
        <v>53</v>
      </c>
      <c r="B25" s="9" t="s">
        <v>54</v>
      </c>
      <c r="C25" s="11">
        <f>_xll.BDH("HXL US Equity","BS_TOTAL_AVAIL_LINE_OF_CREDIT","FY 2013","FY 2013","Currency=USD","Period=FY","BEST_FPERIOD_OVERRIDE=FY","FILING_STATUS=MR","SCALING_FORMAT=MLN","Sort=A","Dates=H","DateFormat=P","Fill=—","Direction=H","UseDPDF=Y")</f>
        <v>306.5</v>
      </c>
      <c r="D25" s="11">
        <f>_xll.BDH("HXL US Equity","BS_TOTAL_AVAIL_LINE_OF_CREDIT","FY 2014","FY 2014","Currency=USD","Period=FY","BEST_FPERIOD_OVERRIDE=FY","FILING_STATUS=MR","SCALING_FORMAT=MLN","Sort=A","Dates=H","DateFormat=P","Fill=—","Direction=H","UseDPDF=Y")</f>
        <v>293.7</v>
      </c>
      <c r="E25" s="11">
        <f>_xll.BDH("HXL US Equity","BS_TOTAL_AVAIL_LINE_OF_CREDIT","FY 2015","FY 2015","Currency=USD","Period=FY","BEST_FPERIOD_OVERRIDE=FY","FILING_STATUS=MR","SCALING_FORMAT=MLN","Sort=A","Dates=H","DateFormat=P","Fill=—","Direction=H","UseDPDF=Y")</f>
        <v>427.9</v>
      </c>
      <c r="F25" s="11">
        <f>_xll.BDH("HXL US Equity","BS_TOTAL_AVAIL_LINE_OF_CREDIT","FY 2016","FY 2016","Currency=USD","Period=FY","BEST_FPERIOD_OVERRIDE=FY","FILING_STATUS=MR","SCALING_FORMAT=MLN","Sort=A","Dates=H","DateFormat=P","Fill=—","Direction=H","UseDPDF=Y")</f>
        <v>342.9</v>
      </c>
      <c r="G25" s="11">
        <f>_xll.BDH("HXL US Equity","BS_TOTAL_AVAIL_LINE_OF_CREDIT","FY 2017","FY 2017","Currency=USD","Period=FY","BEST_FPERIOD_OVERRIDE=FY","FILING_STATUS=MR","SCALING_FORMAT=MLN","Sort=A","Dates=H","DateFormat=P","Fill=—","Direction=H","UseDPDF=Y")</f>
        <v>658.2</v>
      </c>
      <c r="H25" s="11">
        <f>_xll.BDH("HXL US Equity","BS_TOTAL_AVAIL_LINE_OF_CREDIT","FY 2018","FY 2018","Currency=USD","Period=FY","BEST_FPERIOD_OVERRIDE=FY","FILING_STATUS=MR","SCALING_FORMAT=MLN","Sort=A","Dates=H","DateFormat=P","Fill=—","Direction=H","UseDPDF=Y")</f>
        <v>498</v>
      </c>
      <c r="I25" s="11">
        <f>_xll.BDH("HXL US Equity","BS_TOTAL_AVAIL_LINE_OF_CREDIT","FY 2019","FY 2019","Currency=USD","Period=FY","BEST_FPERIOD_OVERRIDE=FY","FILING_STATUS=MR","SCALING_FORMAT=MLN","Sort=A","Dates=H","DateFormat=P","Fill=—","Direction=H","UseDPDF=Y")</f>
        <v>687</v>
      </c>
      <c r="J25" s="11">
        <f>_xll.BDH("HXL US Equity","BS_TOTAL_AVAIL_LINE_OF_CREDIT","FY 2020","FY 2020","Currency=USD","Period=FY","BEST_FPERIOD_OVERRIDE=FY","FILING_STATUS=MR","SCALING_FORMAT=MLN","Sort=A","Dates=H","DateFormat=P","Fill=—","Direction=H","UseDPDF=Y")</f>
        <v>772</v>
      </c>
      <c r="K25" s="11">
        <f>_xll.BDH("HXL US Equity","BS_TOTAL_AVAIL_LINE_OF_CREDIT","FY 2021","FY 2021","Currency=USD","Period=FY","BEST_FPERIOD_OVERRIDE=FY","FILING_STATUS=MR","SCALING_FORMAT=MLN","Sort=A","Dates=H","DateFormat=P","Fill=—","Direction=H","UseDPDF=Y")</f>
        <v>625</v>
      </c>
      <c r="L25" s="11">
        <f>_xll.BDH("HXL US Equity","BS_TOTAL_AVAIL_LINE_OF_CREDIT","FY 2022","FY 2022","Currency=USD","Period=FY","BEST_FPERIOD_OVERRIDE=FY","FILING_STATUS=MR","SCALING_FORMAT=MLN","Sort=A","Dates=H","DateFormat=P","Fill=—","Direction=H","UseDPDF=Y")</f>
        <v>725</v>
      </c>
    </row>
    <row r="26" spans="1:12">
      <c r="A26" s="9" t="s">
        <v>55</v>
      </c>
      <c r="B26" s="9" t="s">
        <v>56</v>
      </c>
      <c r="C26" s="11">
        <f>_xll.BDH("HXL US Equity","LINE_OF_CREDIT_UTILIZED_AMOUNT","FY 2013","FY 2013","Currency=USD","Period=FY","BEST_FPERIOD_OVERRIDE=FY","FILING_STATUS=MR","SCALING_FORMAT=MLN","Sort=A","Dates=H","DateFormat=P","Fill=—","Direction=H","UseDPDF=Y")</f>
        <v>1.5</v>
      </c>
      <c r="D26" s="11">
        <f>_xll.BDH("HXL US Equity","LINE_OF_CREDIT_UTILIZED_AMOUNT","FY 2014","FY 2014","Currency=USD","Period=FY","BEST_FPERIOD_OVERRIDE=FY","FILING_STATUS=MR","SCALING_FORMAT=MLN","Sort=A","Dates=H","DateFormat=P","Fill=—","Direction=H","UseDPDF=Y")</f>
        <v>416.3</v>
      </c>
      <c r="E26" s="11">
        <f>_xll.BDH("HXL US Equity","LINE_OF_CREDIT_UTILIZED_AMOUNT","FY 2015","FY 2015","Currency=USD","Period=FY","BEST_FPERIOD_OVERRIDE=FY","FILING_STATUS=MR","SCALING_FORMAT=MLN","Sort=A","Dates=H","DateFormat=P","Fill=—","Direction=H","UseDPDF=Y")</f>
        <v>282.10000000000002</v>
      </c>
      <c r="F26" s="11">
        <f>_xll.BDH("HXL US Equity","LINE_OF_CREDIT_UTILIZED_AMOUNT","FY 2016","FY 2016","Currency=USD","Period=FY","BEST_FPERIOD_OVERRIDE=FY","FILING_STATUS=MR","SCALING_FORMAT=MLN","Sort=A","Dates=H","DateFormat=P","Fill=—","Direction=H","UseDPDF=Y")</f>
        <v>367.1</v>
      </c>
      <c r="G26" s="11">
        <f>_xll.BDH("HXL US Equity","LINE_OF_CREDIT_UTILIZED_AMOUNT","FY 2017","FY 2017","Currency=USD","Period=FY","BEST_FPERIOD_OVERRIDE=FY","FILING_STATUS=MR","SCALING_FORMAT=MLN","Sort=A","Dates=H","DateFormat=P","Fill=—","Direction=H","UseDPDF=Y")</f>
        <v>51.8</v>
      </c>
      <c r="H26" s="11">
        <f>_xll.BDH("HXL US Equity","LINE_OF_CREDIT_UTILIZED_AMOUNT","FY 2018","FY 2018","Currency=USD","Period=FY","BEST_FPERIOD_OVERRIDE=FY","FILING_STATUS=MR","SCALING_FORMAT=MLN","Sort=A","Dates=H","DateFormat=P","Fill=—","Direction=H","UseDPDF=Y")</f>
        <v>203.7</v>
      </c>
      <c r="I26" s="11">
        <f>_xll.BDH("HXL US Equity","LINE_OF_CREDIT_UTILIZED_AMOUNT","FY 2019","FY 2019","Currency=USD","Period=FY","BEST_FPERIOD_OVERRIDE=FY","FILING_STATUS=MR","SCALING_FORMAT=MLN","Sort=A","Dates=H","DateFormat=P","Fill=—","Direction=H","UseDPDF=Y")</f>
        <v>313</v>
      </c>
      <c r="J26" s="11">
        <f>_xll.BDH("HXL US Equity","LINE_OF_CREDIT_UTILIZED_AMOUNT","FY 2020","FY 2020","Currency=USD","Period=FY","BEST_FPERIOD_OVERRIDE=FY","FILING_STATUS=MR","SCALING_FORMAT=MLN","Sort=A","Dates=H","DateFormat=P","Fill=—","Direction=H","UseDPDF=Y")</f>
        <v>228</v>
      </c>
      <c r="K26" s="11">
        <f>_xll.BDH("HXL US Equity","LINE_OF_CREDIT_UTILIZED_AMOUNT","FY 2021","FY 2021","Currency=USD","Period=FY","BEST_FPERIOD_OVERRIDE=FY","FILING_STATUS=MR","SCALING_FORMAT=MLN","Sort=A","Dates=H","DateFormat=P","Fill=—","Direction=H","UseDPDF=Y")</f>
        <v>125</v>
      </c>
      <c r="L26" s="11">
        <f>_xll.BDH("HXL US Equity","LINE_OF_CREDIT_UTILIZED_AMOUNT","FY 2022","FY 2022","Currency=USD","Period=FY","BEST_FPERIOD_OVERRIDE=FY","FILING_STATUS=MR","SCALING_FORMAT=MLN","Sort=A","Dates=H","DateFormat=P","Fill=—","Direction=H","UseDPDF=Y")</f>
        <v>25</v>
      </c>
    </row>
    <row r="27" spans="1:1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12">
      <c r="A28" s="6" t="s">
        <v>57</v>
      </c>
      <c r="B28" s="6"/>
      <c r="C28" s="6" t="s">
        <v>58</v>
      </c>
      <c r="D28" s="6"/>
      <c r="E28" s="6"/>
      <c r="F28" s="6"/>
      <c r="G28" s="6"/>
      <c r="H28" s="6"/>
      <c r="I28" s="6"/>
      <c r="J28" s="6"/>
      <c r="K28" s="6"/>
      <c r="L2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2023-12-04T20:13:18Z</dcterms:modified>
  <cp:category/>
  <cp:contentStatus/>
</cp:coreProperties>
</file>