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b-my.sharepoint.com/personal/hm23424_bristol_ac_uk/Documents/"/>
    </mc:Choice>
  </mc:AlternateContent>
  <xr:revisionPtr revIDLastSave="0" documentId="8_{C7AD3125-EFA0-42B0-B5BD-CBBC2C0861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SG - Overview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2" l="1"/>
  <c r="K8" i="2"/>
  <c r="C14" i="2"/>
  <c r="D77" i="2"/>
  <c r="G10" i="2"/>
  <c r="C74" i="2"/>
  <c r="K27" i="2"/>
  <c r="E26" i="2"/>
  <c r="G66" i="2"/>
  <c r="I90" i="2"/>
  <c r="C85" i="2"/>
  <c r="K93" i="2"/>
  <c r="E77" i="2"/>
  <c r="K81" i="2"/>
  <c r="G109" i="2"/>
  <c r="G83" i="2"/>
  <c r="E92" i="2"/>
  <c r="C99" i="2"/>
  <c r="J75" i="2"/>
  <c r="G97" i="2"/>
  <c r="D14" i="2"/>
  <c r="I75" i="2"/>
  <c r="K107" i="2"/>
  <c r="E106" i="2"/>
  <c r="L8" i="2"/>
  <c r="F7" i="2"/>
  <c r="H10" i="2"/>
  <c r="F26" i="2"/>
  <c r="L27" i="2"/>
  <c r="I100" i="2"/>
  <c r="F77" i="2"/>
  <c r="H66" i="2"/>
  <c r="D74" i="2"/>
  <c r="L93" i="2"/>
  <c r="F85" i="2"/>
  <c r="H83" i="2"/>
  <c r="I83" i="2"/>
  <c r="F92" i="2"/>
  <c r="F14" i="2"/>
  <c r="L81" i="2"/>
  <c r="J90" i="2"/>
  <c r="D85" i="2"/>
  <c r="C108" i="2"/>
  <c r="H97" i="2"/>
  <c r="H109" i="2"/>
  <c r="G106" i="2"/>
  <c r="D99" i="2"/>
  <c r="E14" i="2"/>
  <c r="C65" i="2"/>
  <c r="J15" i="2"/>
  <c r="K100" i="2"/>
  <c r="I109" i="2"/>
  <c r="F74" i="2"/>
  <c r="G77" i="2"/>
  <c r="F106" i="2"/>
  <c r="L15" i="2"/>
  <c r="L107" i="2"/>
  <c r="J100" i="2"/>
  <c r="C96" i="2"/>
  <c r="D65" i="2"/>
  <c r="H26" i="2"/>
  <c r="D82" i="2"/>
  <c r="H77" i="2"/>
  <c r="L84" i="2"/>
  <c r="J81" i="2"/>
  <c r="L100" i="2"/>
  <c r="K90" i="2"/>
  <c r="L75" i="2"/>
  <c r="C9" i="2"/>
  <c r="H92" i="2"/>
  <c r="F99" i="2"/>
  <c r="H106" i="2"/>
  <c r="D96" i="2"/>
  <c r="J66" i="2"/>
  <c r="J109" i="2"/>
  <c r="G92" i="2"/>
  <c r="J97" i="2"/>
  <c r="E99" i="2"/>
  <c r="J83" i="2"/>
  <c r="D108" i="2"/>
  <c r="H15" i="2"/>
  <c r="I97" i="2"/>
  <c r="E85" i="2"/>
  <c r="L90" i="2"/>
  <c r="C76" i="2"/>
  <c r="D9" i="2"/>
  <c r="E9" i="2"/>
  <c r="J10" i="2"/>
  <c r="K10" i="2"/>
  <c r="I7" i="2"/>
  <c r="K66" i="2"/>
  <c r="E65" i="2"/>
  <c r="G14" i="2"/>
  <c r="C91" i="2"/>
  <c r="I26" i="2"/>
  <c r="C16" i="2"/>
  <c r="E82" i="2"/>
  <c r="G74" i="2"/>
  <c r="I77" i="2"/>
  <c r="G99" i="2"/>
  <c r="H7" i="2"/>
  <c r="G85" i="2"/>
  <c r="K97" i="2"/>
  <c r="D76" i="2"/>
  <c r="K83" i="2"/>
  <c r="I92" i="2"/>
  <c r="E96" i="2"/>
  <c r="L66" i="2"/>
  <c r="D16" i="2"/>
  <c r="I106" i="2"/>
  <c r="F65" i="2"/>
  <c r="H85" i="2"/>
  <c r="K109" i="2"/>
  <c r="E108" i="2"/>
  <c r="J26" i="2"/>
  <c r="H74" i="2"/>
  <c r="L83" i="2"/>
  <c r="J77" i="2"/>
  <c r="F82" i="2"/>
  <c r="D91" i="2"/>
  <c r="J92" i="2"/>
  <c r="C103" i="2"/>
  <c r="F96" i="2"/>
  <c r="L97" i="2"/>
  <c r="L109" i="2"/>
  <c r="H99" i="2"/>
  <c r="K77" i="2"/>
  <c r="J7" i="2"/>
  <c r="C116" i="2"/>
  <c r="E74" i="2"/>
  <c r="F108" i="2"/>
  <c r="J106" i="2"/>
  <c r="D13" i="2"/>
  <c r="L10" i="2"/>
  <c r="K15" i="2"/>
  <c r="K92" i="2"/>
  <c r="J27" i="2"/>
  <c r="E16" i="2"/>
  <c r="C98" i="2"/>
  <c r="J8" i="2"/>
  <c r="G82" i="2"/>
  <c r="I85" i="2"/>
  <c r="D103" i="2"/>
  <c r="G96" i="2"/>
  <c r="I99" i="2"/>
  <c r="E91" i="2"/>
  <c r="K106" i="2"/>
  <c r="G108" i="2"/>
  <c r="E103" i="2"/>
  <c r="F91" i="2"/>
  <c r="L7" i="2"/>
  <c r="C84" i="2"/>
  <c r="F76" i="2"/>
  <c r="H9" i="2"/>
  <c r="L77" i="2"/>
  <c r="J74" i="2"/>
  <c r="J85" i="2"/>
  <c r="D84" i="2"/>
  <c r="L92" i="2"/>
  <c r="L26" i="2"/>
  <c r="D73" i="2"/>
  <c r="H65" i="2"/>
  <c r="F16" i="2"/>
  <c r="H96" i="2"/>
  <c r="H82" i="2"/>
  <c r="D7" i="2"/>
  <c r="J14" i="2"/>
  <c r="J99" i="2"/>
  <c r="D98" i="2"/>
  <c r="L106" i="2"/>
  <c r="H108" i="2"/>
  <c r="F103" i="2"/>
  <c r="D116" i="2"/>
  <c r="C27" i="2"/>
  <c r="H75" i="2"/>
  <c r="D26" i="2"/>
  <c r="K26" i="2"/>
  <c r="K14" i="2"/>
  <c r="I65" i="2"/>
  <c r="G16" i="2"/>
  <c r="E73" i="2"/>
  <c r="E7" i="2"/>
  <c r="I10" i="2"/>
  <c r="G76" i="2"/>
  <c r="K74" i="2"/>
  <c r="E116" i="2"/>
  <c r="C81" i="2"/>
  <c r="L73" i="2"/>
  <c r="E84" i="2"/>
  <c r="I82" i="2"/>
  <c r="G91" i="2"/>
  <c r="K99" i="2"/>
  <c r="K85" i="2"/>
  <c r="K7" i="2"/>
  <c r="C107" i="2"/>
  <c r="E98" i="2"/>
  <c r="L14" i="2"/>
  <c r="F10" i="2"/>
  <c r="C13" i="2"/>
  <c r="C93" i="2"/>
  <c r="I96" i="2"/>
  <c r="I108" i="2"/>
  <c r="H14" i="2"/>
  <c r="G103" i="2"/>
  <c r="H16" i="2"/>
  <c r="D8" i="2"/>
  <c r="F13" i="2"/>
  <c r="L99" i="2"/>
  <c r="F73" i="2"/>
  <c r="D27" i="2"/>
  <c r="L74" i="2"/>
  <c r="D81" i="2"/>
  <c r="H76" i="2"/>
  <c r="L85" i="2"/>
  <c r="J82" i="2"/>
  <c r="F84" i="2"/>
  <c r="F9" i="2"/>
  <c r="K9" i="2"/>
  <c r="H91" i="2"/>
  <c r="G13" i="2"/>
  <c r="J108" i="2"/>
  <c r="D93" i="2"/>
  <c r="J9" i="2"/>
  <c r="J96" i="2"/>
  <c r="F116" i="2"/>
  <c r="F98" i="2"/>
  <c r="I66" i="2"/>
  <c r="H103" i="2"/>
  <c r="E8" i="2"/>
  <c r="C82" i="2"/>
  <c r="G7" i="2"/>
  <c r="D107" i="2"/>
  <c r="I14" i="2"/>
  <c r="I16" i="2"/>
  <c r="J65" i="2"/>
  <c r="K82" i="2"/>
  <c r="C15" i="2"/>
  <c r="E27" i="2"/>
  <c r="I76" i="2"/>
  <c r="G73" i="2"/>
  <c r="K65" i="2"/>
  <c r="C75" i="2"/>
  <c r="E81" i="2"/>
  <c r="C90" i="2"/>
  <c r="G84" i="2"/>
  <c r="C73" i="2"/>
  <c r="K96" i="2"/>
  <c r="E93" i="2"/>
  <c r="G9" i="2"/>
  <c r="I91" i="2"/>
  <c r="F27" i="2"/>
  <c r="G98" i="2"/>
  <c r="I103" i="2"/>
  <c r="I9" i="2"/>
  <c r="E76" i="2"/>
  <c r="H84" i="2"/>
  <c r="K75" i="2"/>
  <c r="H98" i="2"/>
  <c r="E107" i="2"/>
  <c r="C100" i="2"/>
  <c r="J16" i="2"/>
  <c r="G26" i="2"/>
  <c r="H73" i="2"/>
  <c r="D90" i="2"/>
  <c r="K108" i="2"/>
  <c r="L9" i="2"/>
  <c r="G116" i="2"/>
  <c r="F107" i="2"/>
  <c r="J103" i="2"/>
  <c r="F93" i="2"/>
  <c r="D100" i="2"/>
  <c r="L96" i="2"/>
  <c r="J91" i="2"/>
  <c r="L108" i="2"/>
  <c r="C97" i="2"/>
  <c r="H116" i="2"/>
  <c r="L13" i="2"/>
  <c r="D75" i="2"/>
  <c r="F83" i="2"/>
  <c r="I74" i="2"/>
  <c r="D15" i="2"/>
  <c r="I13" i="2"/>
  <c r="F8" i="2"/>
  <c r="K103" i="2"/>
  <c r="G65" i="2"/>
  <c r="E90" i="2"/>
  <c r="E13" i="2"/>
  <c r="C10" i="2"/>
  <c r="K91" i="2"/>
  <c r="F66" i="2"/>
  <c r="C8" i="2"/>
  <c r="J76" i="2"/>
  <c r="G27" i="2"/>
  <c r="L82" i="2"/>
  <c r="L65" i="2"/>
  <c r="H8" i="2"/>
  <c r="G107" i="2"/>
  <c r="C109" i="2"/>
  <c r="I98" i="2"/>
  <c r="G93" i="2"/>
  <c r="I116" i="2"/>
  <c r="J13" i="2"/>
  <c r="F15" i="2"/>
  <c r="D10" i="2"/>
  <c r="D66" i="2"/>
  <c r="D97" i="2"/>
  <c r="F100" i="2"/>
  <c r="C7" i="2"/>
  <c r="H93" i="2"/>
  <c r="J73" i="2"/>
  <c r="L76" i="2"/>
  <c r="L103" i="2"/>
  <c r="E15" i="2"/>
  <c r="E75" i="2"/>
  <c r="H107" i="2"/>
  <c r="I93" i="2"/>
  <c r="L16" i="2"/>
  <c r="H13" i="2"/>
  <c r="G81" i="2"/>
  <c r="H27" i="2"/>
  <c r="J84" i="2"/>
  <c r="F75" i="2"/>
  <c r="I73" i="2"/>
  <c r="H81" i="2"/>
  <c r="J116" i="2"/>
  <c r="C66" i="2"/>
  <c r="L91" i="2"/>
  <c r="D109" i="2"/>
  <c r="G8" i="2"/>
  <c r="D83" i="2"/>
  <c r="I8" i="2"/>
  <c r="F90" i="2"/>
  <c r="C83" i="2"/>
  <c r="F81" i="2"/>
  <c r="K76" i="2"/>
  <c r="I81" i="2"/>
  <c r="J98" i="2"/>
  <c r="I84" i="2"/>
  <c r="K16" i="2"/>
  <c r="G100" i="2"/>
  <c r="C77" i="2"/>
  <c r="L98" i="2"/>
  <c r="C106" i="2"/>
  <c r="D106" i="2"/>
  <c r="E109" i="2"/>
  <c r="K84" i="2"/>
  <c r="D92" i="2"/>
  <c r="G90" i="2"/>
  <c r="K13" i="2"/>
  <c r="E10" i="2"/>
  <c r="K73" i="2"/>
  <c r="C92" i="2"/>
  <c r="G15" i="2"/>
  <c r="J107" i="2"/>
  <c r="E100" i="2"/>
  <c r="L116" i="2"/>
  <c r="H100" i="2"/>
  <c r="G75" i="2"/>
  <c r="E66" i="2"/>
  <c r="H90" i="2"/>
  <c r="C26" i="2"/>
  <c r="I27" i="2"/>
  <c r="I107" i="2"/>
  <c r="E97" i="2"/>
  <c r="K98" i="2"/>
  <c r="F109" i="2"/>
  <c r="E83" i="2"/>
  <c r="F97" i="2"/>
  <c r="K116" i="2"/>
  <c r="J93" i="2"/>
</calcChain>
</file>

<file path=xl/sharedStrings.xml><?xml version="1.0" encoding="utf-8"?>
<sst xmlns="http://schemas.openxmlformats.org/spreadsheetml/2006/main" count="437" uniqueCount="178">
  <si>
    <t>Hexcel Corp (HXL US) - Overview</t>
  </si>
  <si>
    <t>In Millions of USD except Per Share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</si>
  <si>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</si>
  <si>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</si>
  <si>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</si>
  <si>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</si>
  <si>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</si>
  <si>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</si>
  <si>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</si>
  <si>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</si>
  <si>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</si>
  <si>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</si>
  <si>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12 Months Ending</t>
  </si>
  <si>
    <t>12/31/2013</t>
  </si>
  <si>
    <t>12/31/2014</t>
  </si>
  <si>
    <t>12/31/2015</t>
  </si>
  <si>
    <t>12/31/2016</t>
  </si>
  <si>
    <t>12/31/2017</t>
  </si>
  <si>
    <t>12/31/2018</t>
  </si>
  <si>
    <t>12/31/2019</t>
  </si>
  <si>
    <t>12/31/2020</t>
  </si>
  <si>
    <t>12/31/2021</t>
  </si>
  <si>
    <t>12/31/2022</t>
  </si>
  <si>
    <t>ESG Financial Materiality Scores</t>
  </si>
  <si>
    <t>BESG ESG Score</t>
  </si>
  <si>
    <t>ESG_SCORE</t>
  </si>
  <si>
    <t>BESG Environmental Pillar Score</t>
  </si>
  <si>
    <t>ENVIRONMENTAL_SCORE</t>
  </si>
  <si>
    <t>BESG Social Pillar Score</t>
  </si>
  <si>
    <t>SOCIAL_SCORE</t>
  </si>
  <si>
    <t>BESG Governance Pillar Score</t>
  </si>
  <si>
    <t>GOVERNANCE_SCORE</t>
  </si>
  <si>
    <t>ESG Disclosure Scores</t>
  </si>
  <si>
    <t>ESG Disclosure Score</t>
  </si>
  <si>
    <t>ESG_DISCLOSURE_SCORE</t>
  </si>
  <si>
    <t>Environmental Disclosure Score</t>
  </si>
  <si>
    <t>ENVIRON_DISCLOSURE_SCORE</t>
  </si>
  <si>
    <t>Social Disclosure Score</t>
  </si>
  <si>
    <t>SOCIAL_DISCLOSURE_SCORE</t>
  </si>
  <si>
    <t>Governance Disclosure Score</t>
  </si>
  <si>
    <t>GOVNCE_DISCLOSURE_SCORE</t>
  </si>
  <si>
    <t>Environmental</t>
  </si>
  <si>
    <t>Air Quality</t>
  </si>
  <si>
    <t>Climate Change</t>
  </si>
  <si>
    <t>Emissions Reduction Initiatives</t>
  </si>
  <si>
    <t>EMISSION_REDUCTION</t>
  </si>
  <si>
    <t>n/a</t>
  </si>
  <si>
    <t>No</t>
  </si>
  <si>
    <t>Yes</t>
  </si>
  <si>
    <t>Climate Change Policy</t>
  </si>
  <si>
    <t>CLIMATE_CHG_POLICY</t>
  </si>
  <si>
    <t>Climate Change Opportunities Discussed</t>
  </si>
  <si>
    <t>CLIMATE_CHG_OPPORTUNITIES</t>
  </si>
  <si>
    <t>Risks of Climate Change Discussed</t>
  </si>
  <si>
    <t>CLIMATE_RISKS</t>
  </si>
  <si>
    <t>GHG Scope 1</t>
  </si>
  <si>
    <t>GHG_SCOPE_1</t>
  </si>
  <si>
    <t>GHG Scope 2 Location-Based</t>
  </si>
  <si>
    <t>GHG_SCOPE_2_LOCATION_BASED</t>
  </si>
  <si>
    <t>Ecological &amp; Biodiversity Impacts</t>
  </si>
  <si>
    <t>Biodiversity Policy</t>
  </si>
  <si>
    <t>BIODIVERSITY_POLICY</t>
  </si>
  <si>
    <t>Energy</t>
  </si>
  <si>
    <t>Energy Efficiency Policy</t>
  </si>
  <si>
    <t>ENERGY_EFFIC_POLICY</t>
  </si>
  <si>
    <t>Materials &amp; Waste</t>
  </si>
  <si>
    <t>Waste Reduction Policy</t>
  </si>
  <si>
    <t>WASTE_REDUCTION</t>
  </si>
  <si>
    <t>Supply Chain</t>
  </si>
  <si>
    <t>Environmental Supply Chain Management</t>
  </si>
  <si>
    <t>ENVIRON_SUPPLY_MGT</t>
  </si>
  <si>
    <t>Water</t>
  </si>
  <si>
    <t>Water Policy</t>
  </si>
  <si>
    <t>WATER_POLICY</t>
  </si>
  <si>
    <t>Social</t>
  </si>
  <si>
    <t>Community &amp; Customers</t>
  </si>
  <si>
    <t>Human Rights Policy</t>
  </si>
  <si>
    <t>HUMAN_RIGHTS_POLICY</t>
  </si>
  <si>
    <t>Policy Against Child Labor</t>
  </si>
  <si>
    <t>POLICY_AGAINST_CHILD_LABOR</t>
  </si>
  <si>
    <t>Quality Assurance and Recall Policy</t>
  </si>
  <si>
    <t>QUALITY_ASSURANCE_AND_RECALL_POL</t>
  </si>
  <si>
    <t>Consumer Data Protection Policy</t>
  </si>
  <si>
    <t>CONSUMER_DATA_PROTECTION_POLICY</t>
  </si>
  <si>
    <t>Diversity</t>
  </si>
  <si>
    <t>Equal Opportunity Policy</t>
  </si>
  <si>
    <t>EQUAL_OPPORTUNITY_POLICY</t>
  </si>
  <si>
    <t>Gender Pay Gap Breakout</t>
  </si>
  <si>
    <t>GENDER_PAY_GAP_BREAKOUT</t>
  </si>
  <si>
    <t>Ethics &amp; Compliance</t>
  </si>
  <si>
    <t>Business Ethics Policy</t>
  </si>
  <si>
    <t>ETHICS_POLICY</t>
  </si>
  <si>
    <t>Anti-Bribery Ethics Policy</t>
  </si>
  <si>
    <t>ANTI_BRIBERY_ETHICS_POLICY</t>
  </si>
  <si>
    <t>Health &amp; Safety</t>
  </si>
  <si>
    <t>Health and Safety Policy</t>
  </si>
  <si>
    <t>HEALTH_SAFETY_POLICY</t>
  </si>
  <si>
    <t>Human Capital</t>
  </si>
  <si>
    <t>Training Policy</t>
  </si>
  <si>
    <t>TRAINING_POLICY</t>
  </si>
  <si>
    <t>Fair Remuneration Policy</t>
  </si>
  <si>
    <t>FAIR_REMUNERATION_POLICY</t>
  </si>
  <si>
    <t>Number of Employees - CSR</t>
  </si>
  <si>
    <t>NUMBER_EMPLOYEES_CSR</t>
  </si>
  <si>
    <t>Pct Employees Unionized</t>
  </si>
  <si>
    <t>PCT_EMPLOYEES_UNIONIZED</t>
  </si>
  <si>
    <t>Social Supply Chain Management</t>
  </si>
  <si>
    <t>SOCIAL_SUPPLY_CHAIN_MGMT</t>
  </si>
  <si>
    <t>Governance</t>
  </si>
  <si>
    <t>Audit Risk &amp; Oversight</t>
  </si>
  <si>
    <t>Years Auditor Employed</t>
  </si>
  <si>
    <t>YEARS_AUDITOR_EMPLOYED</t>
  </si>
  <si>
    <t>Size of Audit Committee</t>
  </si>
  <si>
    <t>SIZE_OF_AUDIT_COMMITTEE</t>
  </si>
  <si>
    <t>Number of Independent Directors on Audit Committee</t>
  </si>
  <si>
    <t>NUM_IND_DIR_ON_AUD_CMTE</t>
  </si>
  <si>
    <t>Audit Committee Meetings</t>
  </si>
  <si>
    <t>AUDIT_COMMITTEE_MEETINGS</t>
  </si>
  <si>
    <t>Audit Committee Meeting Attendance Percentage</t>
  </si>
  <si>
    <t>AUDIT_COMMITTEE_MTG_ATTEND_PCT</t>
  </si>
  <si>
    <t>Board Composition</t>
  </si>
  <si>
    <t>Company Conducts Board Evaluations</t>
  </si>
  <si>
    <t>COMPANY_CONDUCTS_BRD_EVALUATIONS</t>
  </si>
  <si>
    <t>Board Size</t>
  </si>
  <si>
    <t>BOARD_SIZE</t>
  </si>
  <si>
    <t>Number of Executives / Company Managers</t>
  </si>
  <si>
    <t>NUM_EXECUTIVES_COMP_MANAGERS</t>
  </si>
  <si>
    <t>Number of Non Executive Directors on Board</t>
  </si>
  <si>
    <t>NUM_OF_NONEXEC_DIR_ON_BRD</t>
  </si>
  <si>
    <t>Number of Board Meetings for the Year</t>
  </si>
  <si>
    <t>BOARD_MEETINGS_PER_YR</t>
  </si>
  <si>
    <t>Board Meeting Attendance Pct</t>
  </si>
  <si>
    <t>BOARD_MEETING_ATTENDANCE_PCT</t>
  </si>
  <si>
    <t>Compensation</t>
  </si>
  <si>
    <t>Company Has Executive Share Ownership Guidelines</t>
  </si>
  <si>
    <t>COMP_HAS_EXEC_SH_OWNER_GUIDELNS</t>
  </si>
  <si>
    <t>Director Share Ownership Guidelines</t>
  </si>
  <si>
    <t>DIRECTOR_SH_OWNERSHIP_GUIDELINES</t>
  </si>
  <si>
    <t>Size of Compensation Committee</t>
  </si>
  <si>
    <t>SIZE_OF_COMPENSATION_COMMITTEE</t>
  </si>
  <si>
    <t>Num of Independent Directors on Compensation Cmte</t>
  </si>
  <si>
    <t>NUM_IND_DIR_ON_CMPNSTN_CMTE</t>
  </si>
  <si>
    <t>Number of Compensation Committee Meetings</t>
  </si>
  <si>
    <t>NUM_COMPENSATION_CMTE_MTG</t>
  </si>
  <si>
    <t>Compensation Committee Meeting Attendance %</t>
  </si>
  <si>
    <t>COMPENSATION_CMTE_MTG_ATTEND_PCT</t>
  </si>
  <si>
    <t>Number of Female Executives</t>
  </si>
  <si>
    <t>NUMBER_OF_FEMALE_EXECUTIVES</t>
  </si>
  <si>
    <t>Number of Women on Board</t>
  </si>
  <si>
    <t>NUMBER_OF_WOMEN_ON_BOARD</t>
  </si>
  <si>
    <t>Board Age Limit</t>
  </si>
  <si>
    <t>BOARD_AGE_LIMIT</t>
  </si>
  <si>
    <t>Age of the Youngest Director</t>
  </si>
  <si>
    <t>AGE_OF_YOUNGEST_DIRECTOR</t>
  </si>
  <si>
    <t>Age of the Oldest Director</t>
  </si>
  <si>
    <t>AGE_OF_OLDEST_DIRECTOR</t>
  </si>
  <si>
    <t>Independence</t>
  </si>
  <si>
    <t>Number of Independent Directors</t>
  </si>
  <si>
    <t>INDEPENDENT_DIRECTORS</t>
  </si>
  <si>
    <t>Nominations &amp; Governance Oversight</t>
  </si>
  <si>
    <t>Size of Nomination Committee</t>
  </si>
  <si>
    <t>SIZE_OF_NOMINATION_COMMITTEE</t>
  </si>
  <si>
    <t>Num of Independent Directors on Nomination Cmte</t>
  </si>
  <si>
    <t>NUM_IND_DIR_ON_NOM_CMTE</t>
  </si>
  <si>
    <t>Number of Nomination Committee Meetings</t>
  </si>
  <si>
    <t>NUM_OF_NOMINATION_CMTE_MTG</t>
  </si>
  <si>
    <t>Nomination Committee Meeting Attendance Percentage</t>
  </si>
  <si>
    <t>NOMINATION_CMTE_MTG_ATTEND_PCT</t>
  </si>
  <si>
    <t>Sustainability Governance</t>
  </si>
  <si>
    <t>Verification Type</t>
  </si>
  <si>
    <t>VERIFICATION_TYPE</t>
  </si>
  <si>
    <t>Employee CSR Training</t>
  </si>
  <si>
    <t>EMPLOYEE_CSR_TRAINING</t>
  </si>
  <si>
    <t>Tenure</t>
  </si>
  <si>
    <t>Board Duration (Years)</t>
  </si>
  <si>
    <t>BOARD_DURATION</t>
  </si>
  <si>
    <t>Source: Bloomberg</t>
  </si>
  <si>
    <t>Right click to show data transparency (not supported for all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</si>
</sst>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16" fillId="3" borderId="0" applyNumberFormat="0" applyBorder="0" applyAlignment="0" applyProtection="0"/>
    <xf numFmtId="0" fontId="2" fillId="33" borderId="0"/>
    <xf numFmtId="0" fontId="20" fillId="6" borderId="9" applyNumberFormat="0" applyAlignment="0" applyProtection="0"/>
    <xf numFmtId="0" fontId="22" fillId="7" borderId="12" applyNumberFormat="0" applyAlignment="0" applyProtection="0"/>
    <xf numFmtId="0" fontId="24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9" fillId="35" borderId="4" applyNumberFormat="0" applyAlignment="0" applyProtection="0"/>
    <xf numFmtId="0" fontId="7" fillId="34" borderId="5"/>
    <xf numFmtId="0" fontId="8" fillId="34" borderId="5"/>
    <xf numFmtId="0" fontId="15" fillId="2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8" fillId="5" borderId="9" applyNumberFormat="0" applyAlignment="0" applyProtection="0"/>
    <xf numFmtId="0" fontId="21" fillId="0" borderId="11" applyNumberFormat="0" applyFill="0" applyAlignment="0" applyProtection="0"/>
    <xf numFmtId="0" fontId="17" fillId="4" borderId="0" applyNumberFormat="0" applyBorder="0" applyAlignment="0" applyProtection="0"/>
    <xf numFmtId="0" fontId="10" fillId="8" borderId="13" applyNumberFormat="0" applyFont="0" applyAlignment="0" applyProtection="0"/>
    <xf numFmtId="0" fontId="19" fillId="6" borderId="10" applyNumberFormat="0" applyAlignment="0" applyProtection="0"/>
    <xf numFmtId="0" fontId="11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3" fontId="1" fillId="34" borderId="2">
      <alignment horizontal="right"/>
    </xf>
    <xf numFmtId="164" fontId="1" fillId="34" borderId="2">
      <alignment horizontal="right"/>
    </xf>
    <xf numFmtId="4" fontId="1" fillId="34" borderId="2">
      <alignment horizontal="right"/>
    </xf>
    <xf numFmtId="3" fontId="7" fillId="34" borderId="2">
      <alignment horizontal="right"/>
    </xf>
    <xf numFmtId="4" fontId="7" fillId="34" borderId="2">
      <alignment horizontal="right"/>
    </xf>
  </cellStyleXfs>
  <cellXfs count="16">
    <xf numFmtId="0" fontId="0" fillId="0" borderId="0" xfId="0"/>
    <xf numFmtId="0" fontId="2" fillId="33" borderId="0" xfId="26"/>
    <xf numFmtId="0" fontId="5" fillId="34" borderId="0" xfId="31">
      <alignment horizontal="center"/>
    </xf>
    <xf numFmtId="0" fontId="6" fillId="33" borderId="3" xfId="33">
      <alignment horizontal="left"/>
    </xf>
    <xf numFmtId="0" fontId="6" fillId="33" borderId="3" xfId="32">
      <alignment horizontal="right"/>
    </xf>
    <xf numFmtId="0" fontId="6" fillId="33" borderId="1" xfId="30">
      <alignment horizontal="right"/>
    </xf>
    <xf numFmtId="0" fontId="7" fillId="34" borderId="5" xfId="35"/>
    <xf numFmtId="0" fontId="9" fillId="35" borderId="4" xfId="34"/>
    <xf numFmtId="0" fontId="4" fillId="33" borderId="15" xfId="50">
      <alignment horizontal="left" vertical="center" readingOrder="1"/>
    </xf>
    <xf numFmtId="0" fontId="6" fillId="33" borderId="1" xfId="51">
      <alignment horizontal="left"/>
    </xf>
    <xf numFmtId="0" fontId="3" fillId="34" borderId="5" xfId="36" applyFont="1"/>
    <xf numFmtId="3" fontId="1" fillId="34" borderId="2" xfId="52">
      <alignment horizontal="right"/>
    </xf>
    <xf numFmtId="164" fontId="1" fillId="34" borderId="2" xfId="53">
      <alignment horizontal="right"/>
    </xf>
    <xf numFmtId="4" fontId="1" fillId="34" borderId="2" xfId="54">
      <alignment horizontal="right"/>
    </xf>
    <xf numFmtId="3" fontId="7" fillId="34" borderId="2" xfId="55">
      <alignment horizontal="right"/>
    </xf>
    <xf numFmtId="4" fontId="7" fillId="34" borderId="2" xfId="56">
      <alignment horizontal="right"/>
    </xf>
  </cellXfs>
  <cellStyles count="5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0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left" xfId="51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left" xfId="33" xr:uid="{00000000-0005-0000-0000-000022000000}"/>
    <cellStyle name="fa_data_bold_0_grouped" xfId="55" xr:uid="{00000000-0005-0000-0000-000023000000}"/>
    <cellStyle name="fa_data_bold_2_grouped" xfId="56" xr:uid="{00000000-0005-0000-0000-000024000000}"/>
    <cellStyle name="fa_data_standard_0_grouped" xfId="52" xr:uid="{00000000-0005-0000-0000-000025000000}"/>
    <cellStyle name="fa_data_standard_1_grouped" xfId="53" xr:uid="{00000000-0005-0000-0000-000026000000}"/>
    <cellStyle name="fa_data_standard_2_grouped" xfId="54" xr:uid="{00000000-0005-0000-0000-000027000000}"/>
    <cellStyle name="fa_footer_italic" xfId="34" xr:uid="{00000000-0005-0000-0000-000028000000}"/>
    <cellStyle name="fa_row_header_bold" xfId="35" xr:uid="{00000000-0005-0000-0000-000029000000}"/>
    <cellStyle name="fa_row_header_standard" xfId="36" xr:uid="{00000000-0005-0000-0000-00002A000000}"/>
    <cellStyle name="Good" xfId="37" builtinId="26" customBuiltin="1"/>
    <cellStyle name="Heading 1" xfId="38" builtinId="16" customBuiltin="1"/>
    <cellStyle name="Heading 2" xfId="39" builtinId="17" customBuiltin="1"/>
    <cellStyle name="Heading 3" xfId="40" builtinId="18" customBuiltin="1"/>
    <cellStyle name="Heading 4" xfId="41" builtinId="19" customBuiltin="1"/>
    <cellStyle name="Input" xfId="42" builtinId="20" customBuiltin="1"/>
    <cellStyle name="Linked Cell" xfId="43" builtinId="24" customBuiltin="1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7"/>
  <sheetViews>
    <sheetView tabSelected="1" workbookViewId="0"/>
  </sheetViews>
  <sheetFormatPr defaultRowHeight="15"/>
  <cols>
    <col min="1" max="1" width="35.140625" customWidth="1"/>
    <col min="2" max="2" width="0" hidden="1" customWidth="1"/>
    <col min="3" max="12" width="11.855468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.25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1</v>
      </c>
      <c r="B4" s="3"/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</row>
    <row r="5" spans="1:12">
      <c r="A5" s="9" t="s">
        <v>12</v>
      </c>
      <c r="B5" s="9"/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5" t="s">
        <v>19</v>
      </c>
      <c r="J5" s="5" t="s">
        <v>20</v>
      </c>
      <c r="K5" s="5" t="s">
        <v>21</v>
      </c>
      <c r="L5" s="5" t="s">
        <v>22</v>
      </c>
    </row>
    <row r="6" spans="1:12">
      <c r="A6" s="10" t="s">
        <v>23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>
      <c r="A7" s="10" t="s">
        <v>24</v>
      </c>
      <c r="B7" s="10" t="s">
        <v>25</v>
      </c>
      <c r="C7" s="13" t="str">
        <f>_xll.BDH("HXL US Equity","ESG_SCORE","FY 2013","FY 2013","Currency=USD","Period=FY","BEST_FPERIOD_OVERRIDE=FY","FILING_STATUS=MR","Sort=A","Dates=H","DateFormat=P","Fill=—","Direction=H","UseDPDF=Y")</f>
        <v>—</v>
      </c>
      <c r="D7" s="13" t="str">
        <f>_xll.BDH("HXL US Equity","ESG_SCORE","FY 2014","FY 2014","Currency=USD","Period=FY","BEST_FPERIOD_OVERRIDE=FY","FILING_STATUS=MR","Sort=A","Dates=H","DateFormat=P","Fill=—","Direction=H","UseDPDF=Y")</f>
        <v>—</v>
      </c>
      <c r="E7" s="13">
        <f>_xll.BDH("HXL US Equity","ESG_SCORE","FY 2015","FY 2015","Currency=USD","Period=FY","BEST_FPERIOD_OVERRIDE=FY","FILING_STATUS=MR","Sort=A","Dates=H","DateFormat=P","Fill=—","Direction=H","UseDPDF=Y")</f>
        <v>1.95</v>
      </c>
      <c r="F7" s="13">
        <f>_xll.BDH("HXL US Equity","ESG_SCORE","FY 2016","FY 2016","Currency=USD","Period=FY","BEST_FPERIOD_OVERRIDE=FY","FILING_STATUS=MR","Sort=A","Dates=H","DateFormat=P","Fill=—","Direction=H","UseDPDF=Y")</f>
        <v>2.34</v>
      </c>
      <c r="G7" s="13">
        <f>_xll.BDH("HXL US Equity","ESG_SCORE","FY 2017","FY 2017","Currency=USD","Period=FY","BEST_FPERIOD_OVERRIDE=FY","FILING_STATUS=MR","Sort=A","Dates=H","DateFormat=P","Fill=—","Direction=H","UseDPDF=Y")</f>
        <v>2.31</v>
      </c>
      <c r="H7" s="13">
        <f>_xll.BDH("HXL US Equity","ESG_SCORE","FY 2018","FY 2018","Currency=USD","Period=FY","BEST_FPERIOD_OVERRIDE=FY","FILING_STATUS=MR","Sort=A","Dates=H","DateFormat=P","Fill=—","Direction=H","UseDPDF=Y")</f>
        <v>2.29</v>
      </c>
      <c r="I7" s="13">
        <f>_xll.BDH("HXL US Equity","ESG_SCORE","FY 2019","FY 2019","Currency=USD","Period=FY","BEST_FPERIOD_OVERRIDE=FY","FILING_STATUS=MR","Sort=A","Dates=H","DateFormat=P","Fill=—","Direction=H","UseDPDF=Y")</f>
        <v>2.48</v>
      </c>
      <c r="J7" s="13">
        <f>_xll.BDH("HXL US Equity","ESG_SCORE","FY 2020","FY 2020","Currency=USD","Period=FY","BEST_FPERIOD_OVERRIDE=FY","FILING_STATUS=MR","Sort=A","Dates=H","DateFormat=P","Fill=—","Direction=H","UseDPDF=Y")</f>
        <v>2.59</v>
      </c>
      <c r="K7" s="13">
        <f>_xll.BDH("HXL US Equity","ESG_SCORE","FY 2021","FY 2021","Currency=USD","Period=FY","BEST_FPERIOD_OVERRIDE=FY","FILING_STATUS=MR","Sort=A","Dates=H","DateFormat=P","Fill=—","Direction=H","UseDPDF=Y")</f>
        <v>2.4500000000000002</v>
      </c>
      <c r="L7" s="13" t="str">
        <f>_xll.BDH("HXL US Equity","ESG_SCORE","FY 2022","FY 2022","Currency=USD","Period=FY","BEST_FPERIOD_OVERRIDE=FY","FILING_STATUS=MR","Sort=A","Dates=H","DateFormat=P","Fill=—","Direction=H","UseDPDF=Y")</f>
        <v>—</v>
      </c>
    </row>
    <row r="8" spans="1:12">
      <c r="A8" s="10" t="s">
        <v>26</v>
      </c>
      <c r="B8" s="10" t="s">
        <v>27</v>
      </c>
      <c r="C8" s="13" t="str">
        <f>_xll.BDH("HXL US Equity","ENVIRONMENTAL_SCORE","FY 2013","FY 2013","Currency=USD","Period=FY","BEST_FPERIOD_OVERRIDE=FY","FILING_STATUS=MR","Sort=A","Dates=H","DateFormat=P","Fill=—","Direction=H","UseDPDF=Y")</f>
        <v>—</v>
      </c>
      <c r="D8" s="13" t="str">
        <f>_xll.BDH("HXL US Equity","ENVIRONMENTAL_SCORE","FY 2014","FY 2014","Currency=USD","Period=FY","BEST_FPERIOD_OVERRIDE=FY","FILING_STATUS=MR","Sort=A","Dates=H","DateFormat=P","Fill=—","Direction=H","UseDPDF=Y")</f>
        <v>—</v>
      </c>
      <c r="E8" s="13">
        <f>_xll.BDH("HXL US Equity","ENVIRONMENTAL_SCORE","FY 2015","FY 2015","Currency=USD","Period=FY","BEST_FPERIOD_OVERRIDE=FY","FILING_STATUS=MR","Sort=A","Dates=H","DateFormat=P","Fill=—","Direction=H","UseDPDF=Y")</f>
        <v>0.21</v>
      </c>
      <c r="F8" s="13">
        <f>_xll.BDH("HXL US Equity","ENVIRONMENTAL_SCORE","FY 2016","FY 2016","Currency=USD","Period=FY","BEST_FPERIOD_OVERRIDE=FY","FILING_STATUS=MR","Sort=A","Dates=H","DateFormat=P","Fill=—","Direction=H","UseDPDF=Y")</f>
        <v>0.73</v>
      </c>
      <c r="G8" s="13">
        <f>_xll.BDH("HXL US Equity","ENVIRONMENTAL_SCORE","FY 2017","FY 2017","Currency=USD","Period=FY","BEST_FPERIOD_OVERRIDE=FY","FILING_STATUS=MR","Sort=A","Dates=H","DateFormat=P","Fill=—","Direction=H","UseDPDF=Y")</f>
        <v>0.73</v>
      </c>
      <c r="H8" s="13">
        <f>_xll.BDH("HXL US Equity","ENVIRONMENTAL_SCORE","FY 2018","FY 2018","Currency=USD","Period=FY","BEST_FPERIOD_OVERRIDE=FY","FILING_STATUS=MR","Sort=A","Dates=H","DateFormat=P","Fill=—","Direction=H","UseDPDF=Y")</f>
        <v>0.73</v>
      </c>
      <c r="I8" s="13">
        <f>_xll.BDH("HXL US Equity","ENVIRONMENTAL_SCORE","FY 2019","FY 2019","Currency=USD","Period=FY","BEST_FPERIOD_OVERRIDE=FY","FILING_STATUS=MR","Sort=A","Dates=H","DateFormat=P","Fill=—","Direction=H","UseDPDF=Y")</f>
        <v>0.73</v>
      </c>
      <c r="J8" s="13">
        <f>_xll.BDH("HXL US Equity","ENVIRONMENTAL_SCORE","FY 2020","FY 2020","Currency=USD","Period=FY","BEST_FPERIOD_OVERRIDE=FY","FILING_STATUS=MR","Sort=A","Dates=H","DateFormat=P","Fill=—","Direction=H","UseDPDF=Y")</f>
        <v>0.73</v>
      </c>
      <c r="K8" s="13">
        <f>_xll.BDH("HXL US Equity","ENVIRONMENTAL_SCORE","FY 2021","FY 2021","Currency=USD","Period=FY","BEST_FPERIOD_OVERRIDE=FY","FILING_STATUS=MR","Sort=A","Dates=H","DateFormat=P","Fill=—","Direction=H","UseDPDF=Y")</f>
        <v>0.73</v>
      </c>
      <c r="L8" s="13" t="str">
        <f>_xll.BDH("HXL US Equity","ENVIRONMENTAL_SCORE","FY 2022","FY 2022","Currency=USD","Period=FY","BEST_FPERIOD_OVERRIDE=FY","FILING_STATUS=MR","Sort=A","Dates=H","DateFormat=P","Fill=—","Direction=H","UseDPDF=Y")</f>
        <v>—</v>
      </c>
    </row>
    <row r="9" spans="1:12">
      <c r="A9" s="10" t="s">
        <v>28</v>
      </c>
      <c r="B9" s="10" t="s">
        <v>29</v>
      </c>
      <c r="C9" s="13" t="str">
        <f>_xll.BDH("HXL US Equity","SOCIAL_SCORE","FY 2013","FY 2013","Currency=USD","Period=FY","BEST_FPERIOD_OVERRIDE=FY","FILING_STATUS=MR","Sort=A","Dates=H","DateFormat=P","Fill=—","Direction=H","UseDPDF=Y")</f>
        <v>—</v>
      </c>
      <c r="D9" s="13" t="str">
        <f>_xll.BDH("HXL US Equity","SOCIAL_SCORE","FY 2014","FY 2014","Currency=USD","Period=FY","BEST_FPERIOD_OVERRIDE=FY","FILING_STATUS=MR","Sort=A","Dates=H","DateFormat=P","Fill=—","Direction=H","UseDPDF=Y")</f>
        <v>—</v>
      </c>
      <c r="E9" s="13">
        <f>_xll.BDH("HXL US Equity","SOCIAL_SCORE","FY 2015","FY 2015","Currency=USD","Period=FY","BEST_FPERIOD_OVERRIDE=FY","FILING_STATUS=MR","Sort=A","Dates=H","DateFormat=P","Fill=—","Direction=H","UseDPDF=Y")</f>
        <v>0.72</v>
      </c>
      <c r="F9" s="13">
        <f>_xll.BDH("HXL US Equity","SOCIAL_SCORE","FY 2016","FY 2016","Currency=USD","Period=FY","BEST_FPERIOD_OVERRIDE=FY","FILING_STATUS=MR","Sort=A","Dates=H","DateFormat=P","Fill=—","Direction=H","UseDPDF=Y")</f>
        <v>1.0900000000000001</v>
      </c>
      <c r="G9" s="13">
        <f>_xll.BDH("HXL US Equity","SOCIAL_SCORE","FY 2017","FY 2017","Currency=USD","Period=FY","BEST_FPERIOD_OVERRIDE=FY","FILING_STATUS=MR","Sort=A","Dates=H","DateFormat=P","Fill=—","Direction=H","UseDPDF=Y")</f>
        <v>1.0900000000000001</v>
      </c>
      <c r="H9" s="13">
        <f>_xll.BDH("HXL US Equity","SOCIAL_SCORE","FY 2018","FY 2018","Currency=USD","Period=FY","BEST_FPERIOD_OVERRIDE=FY","FILING_STATUS=MR","Sort=A","Dates=H","DateFormat=P","Fill=—","Direction=H","UseDPDF=Y")</f>
        <v>1.0900000000000001</v>
      </c>
      <c r="I9" s="13">
        <f>_xll.BDH("HXL US Equity","SOCIAL_SCORE","FY 2019","FY 2019","Currency=USD","Period=FY","BEST_FPERIOD_OVERRIDE=FY","FILING_STATUS=MR","Sort=A","Dates=H","DateFormat=P","Fill=—","Direction=H","UseDPDF=Y")</f>
        <v>1.52</v>
      </c>
      <c r="J9" s="13">
        <f>_xll.BDH("HXL US Equity","SOCIAL_SCORE","FY 2020","FY 2020","Currency=USD","Period=FY","BEST_FPERIOD_OVERRIDE=FY","FILING_STATUS=MR","Sort=A","Dates=H","DateFormat=P","Fill=—","Direction=H","UseDPDF=Y")</f>
        <v>1.52</v>
      </c>
      <c r="K9" s="13">
        <f>_xll.BDH("HXL US Equity","SOCIAL_SCORE","FY 2021","FY 2021","Currency=USD","Period=FY","BEST_FPERIOD_OVERRIDE=FY","FILING_STATUS=MR","Sort=A","Dates=H","DateFormat=P","Fill=—","Direction=H","UseDPDF=Y")</f>
        <v>1.52</v>
      </c>
      <c r="L9" s="13" t="str">
        <f>_xll.BDH("HXL US Equity","SOCIAL_SCORE","FY 2022","FY 2022","Currency=USD","Period=FY","BEST_FPERIOD_OVERRIDE=FY","FILING_STATUS=MR","Sort=A","Dates=H","DateFormat=P","Fill=—","Direction=H","UseDPDF=Y")</f>
        <v>—</v>
      </c>
    </row>
    <row r="10" spans="1:12">
      <c r="A10" s="10" t="s">
        <v>30</v>
      </c>
      <c r="B10" s="10" t="s">
        <v>31</v>
      </c>
      <c r="C10" s="13" t="str">
        <f>_xll.BDH("HXL US Equity","GOVERNANCE_SCORE","FY 2013","FY 2013","Currency=USD","Period=FY","BEST_FPERIOD_OVERRIDE=FY","FILING_STATUS=MR","Sort=A","Dates=H","DateFormat=P","Fill=—","Direction=H","UseDPDF=Y")</f>
        <v>—</v>
      </c>
      <c r="D10" s="13" t="str">
        <f>_xll.BDH("HXL US Equity","GOVERNANCE_SCORE","FY 2014","FY 2014","Currency=USD","Period=FY","BEST_FPERIOD_OVERRIDE=FY","FILING_STATUS=MR","Sort=A","Dates=H","DateFormat=P","Fill=—","Direction=H","UseDPDF=Y")</f>
        <v>—</v>
      </c>
      <c r="E10" s="13">
        <f>_xll.BDH("HXL US Equity","GOVERNANCE_SCORE","FY 2015","FY 2015","Currency=USD","Period=FY","BEST_FPERIOD_OVERRIDE=FY","FILING_STATUS=MR","Sort=A","Dates=H","DateFormat=P","Fill=—","Direction=H","UseDPDF=Y")</f>
        <v>7.27</v>
      </c>
      <c r="F10" s="13">
        <f>_xll.BDH("HXL US Equity","GOVERNANCE_SCORE","FY 2016","FY 2016","Currency=USD","Period=FY","BEST_FPERIOD_OVERRIDE=FY","FILING_STATUS=MR","Sort=A","Dates=H","DateFormat=P","Fill=—","Direction=H","UseDPDF=Y")</f>
        <v>7.09</v>
      </c>
      <c r="G10" s="13">
        <f>_xll.BDH("HXL US Equity","GOVERNANCE_SCORE","FY 2017","FY 2017","Currency=USD","Period=FY","BEST_FPERIOD_OVERRIDE=FY","FILING_STATUS=MR","Sort=A","Dates=H","DateFormat=P","Fill=—","Direction=H","UseDPDF=Y")</f>
        <v>6.97</v>
      </c>
      <c r="H10" s="13">
        <f>_xll.BDH("HXL US Equity","GOVERNANCE_SCORE","FY 2018","FY 2018","Currency=USD","Period=FY","BEST_FPERIOD_OVERRIDE=FY","FILING_STATUS=MR","Sort=A","Dates=H","DateFormat=P","Fill=—","Direction=H","UseDPDF=Y")</f>
        <v>6.86</v>
      </c>
      <c r="I10" s="13">
        <f>_xll.BDH("HXL US Equity","GOVERNANCE_SCORE","FY 2019","FY 2019","Currency=USD","Period=FY","BEST_FPERIOD_OVERRIDE=FY","FILING_STATUS=MR","Sort=A","Dates=H","DateFormat=P","Fill=—","Direction=H","UseDPDF=Y")</f>
        <v>6.74</v>
      </c>
      <c r="J10" s="13">
        <f>_xll.BDH("HXL US Equity","GOVERNANCE_SCORE","FY 2020","FY 2020","Currency=USD","Period=FY","BEST_FPERIOD_OVERRIDE=FY","FILING_STATUS=MR","Sort=A","Dates=H","DateFormat=P","Fill=—","Direction=H","UseDPDF=Y")</f>
        <v>7.29</v>
      </c>
      <c r="K10" s="13">
        <f>_xll.BDH("HXL US Equity","GOVERNANCE_SCORE","FY 2021","FY 2021","Currency=USD","Period=FY","BEST_FPERIOD_OVERRIDE=FY","FILING_STATUS=MR","Sort=A","Dates=H","DateFormat=P","Fill=—","Direction=H","UseDPDF=Y")</f>
        <v>6.59</v>
      </c>
      <c r="L10" s="13" t="str">
        <f>_xll.BDH("HXL US Equity","GOVERNANCE_SCORE","FY 2022","FY 2022","Currency=USD","Period=FY","BEST_FPERIOD_OVERRIDE=FY","FILING_STATUS=MR","Sort=A","Dates=H","DateFormat=P","Fill=—","Direction=H","UseDPDF=Y")</f>
        <v>—</v>
      </c>
    </row>
    <row r="11" spans="1:12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>
      <c r="A12" s="10" t="s">
        <v>32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>
      <c r="A13" s="6" t="s">
        <v>33</v>
      </c>
      <c r="B13" s="6" t="s">
        <v>34</v>
      </c>
      <c r="C13" s="15">
        <f>_xll.BDH("HXL US Equity","ESG_DISCLOSURE_SCORE","FY 2013","FY 2013","Currency=USD","Period=FY","BEST_FPERIOD_OVERRIDE=FY","FILING_STATUS=MR","Sort=A","Dates=H","DateFormat=P","Fill=—","Direction=H","UseDPDF=Y")</f>
        <v>27.7437</v>
      </c>
      <c r="D13" s="15">
        <f>_xll.BDH("HXL US Equity","ESG_DISCLOSURE_SCORE","FY 2014","FY 2014","Currency=USD","Period=FY","BEST_FPERIOD_OVERRIDE=FY","FILING_STATUS=MR","Sort=A","Dates=H","DateFormat=P","Fill=—","Direction=H","UseDPDF=Y")</f>
        <v>27.7437</v>
      </c>
      <c r="E13" s="15">
        <f>_xll.BDH("HXL US Equity","ESG_DISCLOSURE_SCORE","FY 2015","FY 2015","Currency=USD","Period=FY","BEST_FPERIOD_OVERRIDE=FY","FILING_STATUS=MR","Sort=A","Dates=H","DateFormat=P","Fill=—","Direction=H","UseDPDF=Y")</f>
        <v>31.485800000000001</v>
      </c>
      <c r="F13" s="15">
        <f>_xll.BDH("HXL US Equity","ESG_DISCLOSURE_SCORE","FY 2016","FY 2016","Currency=USD","Period=FY","BEST_FPERIOD_OVERRIDE=FY","FILING_STATUS=MR","Sort=A","Dates=H","DateFormat=P","Fill=—","Direction=H","UseDPDF=Y")</f>
        <v>34.312399999999997</v>
      </c>
      <c r="G13" s="15">
        <f>_xll.BDH("HXL US Equity","ESG_DISCLOSURE_SCORE","FY 2017","FY 2017","Currency=USD","Period=FY","BEST_FPERIOD_OVERRIDE=FY","FILING_STATUS=MR","Sort=A","Dates=H","DateFormat=P","Fill=—","Direction=H","UseDPDF=Y")</f>
        <v>34.312399999999997</v>
      </c>
      <c r="H13" s="15">
        <f>_xll.BDH("HXL US Equity","ESG_DISCLOSURE_SCORE","FY 2018","FY 2018","Currency=USD","Period=FY","BEST_FPERIOD_OVERRIDE=FY","FILING_STATUS=MR","Sort=A","Dates=H","DateFormat=P","Fill=—","Direction=H","UseDPDF=Y")</f>
        <v>40.2776</v>
      </c>
      <c r="I13" s="15">
        <f>_xll.BDH("HXL US Equity","ESG_DISCLOSURE_SCORE","FY 2019","FY 2019","Currency=USD","Period=FY","BEST_FPERIOD_OVERRIDE=FY","FILING_STATUS=MR","Sort=A","Dates=H","DateFormat=P","Fill=—","Direction=H","UseDPDF=Y")</f>
        <v>41.695999999999998</v>
      </c>
      <c r="J13" s="15">
        <f>_xll.BDH("HXL US Equity","ESG_DISCLOSURE_SCORE","FY 2020","FY 2020","Currency=USD","Period=FY","BEST_FPERIOD_OVERRIDE=FY","FILING_STATUS=MR","Sort=A","Dates=H","DateFormat=P","Fill=—","Direction=H","UseDPDF=Y")</f>
        <v>41.695999999999998</v>
      </c>
      <c r="K13" s="15">
        <f>_xll.BDH("HXL US Equity","ESG_DISCLOSURE_SCORE","FY 2021","FY 2021","Currency=USD","Period=FY","BEST_FPERIOD_OVERRIDE=FY","FILING_STATUS=MR","Sort=A","Dates=H","DateFormat=P","Fill=—","Direction=H","UseDPDF=Y")</f>
        <v>41.695999999999998</v>
      </c>
      <c r="L13" s="15">
        <f>_xll.BDH("HXL US Equity","ESG_DISCLOSURE_SCORE","FY 2022","FY 2022","Currency=USD","Period=FY","BEST_FPERIOD_OVERRIDE=FY","FILING_STATUS=MR","Sort=A","Dates=H","DateFormat=P","Fill=—","Direction=H","UseDPDF=Y")</f>
        <v>41.695999999999998</v>
      </c>
    </row>
    <row r="14" spans="1:12">
      <c r="A14" s="10" t="s">
        <v>35</v>
      </c>
      <c r="B14" s="10" t="s">
        <v>36</v>
      </c>
      <c r="C14" s="13">
        <f>_xll.BDH("HXL US Equity","ENVIRON_DISCLOSURE_SCORE","FY 2013","FY 2013","Currency=USD","Period=FY","BEST_FPERIOD_OVERRIDE=FY","FILING_STATUS=MR","Sort=A","Dates=H","DateFormat=P","Fill=—","Direction=H","UseDPDF=Y")</f>
        <v>0</v>
      </c>
      <c r="D14" s="13">
        <f>_xll.BDH("HXL US Equity","ENVIRON_DISCLOSURE_SCORE","FY 2014","FY 2014","Currency=USD","Period=FY","BEST_FPERIOD_OVERRIDE=FY","FILING_STATUS=MR","Sort=A","Dates=H","DateFormat=P","Fill=—","Direction=H","UseDPDF=Y")</f>
        <v>0</v>
      </c>
      <c r="E14" s="13">
        <f>_xll.BDH("HXL US Equity","ENVIRON_DISCLOSURE_SCORE","FY 2015","FY 2015","Currency=USD","Period=FY","BEST_FPERIOD_OVERRIDE=FY","FILING_STATUS=MR","Sort=A","Dates=H","DateFormat=P","Fill=—","Direction=H","UseDPDF=Y")</f>
        <v>0.3322</v>
      </c>
      <c r="F14" s="13">
        <f>_xll.BDH("HXL US Equity","ENVIRON_DISCLOSURE_SCORE","FY 2016","FY 2016","Currency=USD","Period=FY","BEST_FPERIOD_OVERRIDE=FY","FILING_STATUS=MR","Sort=A","Dates=H","DateFormat=P","Fill=—","Direction=H","UseDPDF=Y")</f>
        <v>2.7484000000000002</v>
      </c>
      <c r="G14" s="13">
        <f>_xll.BDH("HXL US Equity","ENVIRON_DISCLOSURE_SCORE","FY 2017","FY 2017","Currency=USD","Period=FY","BEST_FPERIOD_OVERRIDE=FY","FILING_STATUS=MR","Sort=A","Dates=H","DateFormat=P","Fill=—","Direction=H","UseDPDF=Y")</f>
        <v>2.7484000000000002</v>
      </c>
      <c r="H14" s="13">
        <f>_xll.BDH("HXL US Equity","ENVIRON_DISCLOSURE_SCORE","FY 2018","FY 2018","Currency=USD","Period=FY","BEST_FPERIOD_OVERRIDE=FY","FILING_STATUS=MR","Sort=A","Dates=H","DateFormat=P","Fill=—","Direction=H","UseDPDF=Y")</f>
        <v>17.124700000000001</v>
      </c>
      <c r="I14" s="13">
        <f>_xll.BDH("HXL US Equity","ENVIRON_DISCLOSURE_SCORE","FY 2019","FY 2019","Currency=USD","Period=FY","BEST_FPERIOD_OVERRIDE=FY","FILING_STATUS=MR","Sort=A","Dates=H","DateFormat=P","Fill=—","Direction=H","UseDPDF=Y")</f>
        <v>19.963799999999999</v>
      </c>
      <c r="J14" s="13">
        <f>_xll.BDH("HXL US Equity","ENVIRON_DISCLOSURE_SCORE","FY 2020","FY 2020","Currency=USD","Period=FY","BEST_FPERIOD_OVERRIDE=FY","FILING_STATUS=MR","Sort=A","Dates=H","DateFormat=P","Fill=—","Direction=H","UseDPDF=Y")</f>
        <v>19.963799999999999</v>
      </c>
      <c r="K14" s="13">
        <f>_xll.BDH("HXL US Equity","ENVIRON_DISCLOSURE_SCORE","FY 2021","FY 2021","Currency=USD","Period=FY","BEST_FPERIOD_OVERRIDE=FY","FILING_STATUS=MR","Sort=A","Dates=H","DateFormat=P","Fill=—","Direction=H","UseDPDF=Y")</f>
        <v>19.963799999999999</v>
      </c>
      <c r="L14" s="13">
        <f>_xll.BDH("HXL US Equity","ENVIRON_DISCLOSURE_SCORE","FY 2022","FY 2022","Currency=USD","Period=FY","BEST_FPERIOD_OVERRIDE=FY","FILING_STATUS=MR","Sort=A","Dates=H","DateFormat=P","Fill=—","Direction=H","UseDPDF=Y")</f>
        <v>19.963799999999999</v>
      </c>
    </row>
    <row r="15" spans="1:12">
      <c r="A15" s="10" t="s">
        <v>37</v>
      </c>
      <c r="B15" s="10" t="s">
        <v>38</v>
      </c>
      <c r="C15" s="13">
        <f>_xll.BDH("HXL US Equity","SOCIAL_DISCLOSURE_SCORE","FY 2013","FY 2013","Currency=USD","Period=FY","BEST_FPERIOD_OVERRIDE=FY","FILING_STATUS=MR","Sort=A","Dates=H","DateFormat=P","Fill=—","Direction=H","UseDPDF=Y")</f>
        <v>0</v>
      </c>
      <c r="D15" s="13">
        <f>_xll.BDH("HXL US Equity","SOCIAL_DISCLOSURE_SCORE","FY 2014","FY 2014","Currency=USD","Period=FY","BEST_FPERIOD_OVERRIDE=FY","FILING_STATUS=MR","Sort=A","Dates=H","DateFormat=P","Fill=—","Direction=H","UseDPDF=Y")</f>
        <v>0</v>
      </c>
      <c r="E15" s="13">
        <f>_xll.BDH("HXL US Equity","SOCIAL_DISCLOSURE_SCORE","FY 2015","FY 2015","Currency=USD","Period=FY","BEST_FPERIOD_OVERRIDE=FY","FILING_STATUS=MR","Sort=A","Dates=H","DateFormat=P","Fill=—","Direction=H","UseDPDF=Y")</f>
        <v>8.9480000000000004</v>
      </c>
      <c r="F15" s="13">
        <f>_xll.BDH("HXL US Equity","SOCIAL_DISCLOSURE_SCORE","FY 2016","FY 2016","Currency=USD","Period=FY","BEST_FPERIOD_OVERRIDE=FY","FILING_STATUS=MR","Sort=A","Dates=H","DateFormat=P","Fill=—","Direction=H","UseDPDF=Y")</f>
        <v>15.0242</v>
      </c>
      <c r="G15" s="13">
        <f>_xll.BDH("HXL US Equity","SOCIAL_DISCLOSURE_SCORE","FY 2017","FY 2017","Currency=USD","Period=FY","BEST_FPERIOD_OVERRIDE=FY","FILING_STATUS=MR","Sort=A","Dates=H","DateFormat=P","Fill=—","Direction=H","UseDPDF=Y")</f>
        <v>15.0242</v>
      </c>
      <c r="H15" s="13">
        <f>_xll.BDH("HXL US Equity","SOCIAL_DISCLOSURE_SCORE","FY 2018","FY 2018","Currency=USD","Period=FY","BEST_FPERIOD_OVERRIDE=FY","FILING_STATUS=MR","Sort=A","Dates=H","DateFormat=P","Fill=—","Direction=H","UseDPDF=Y")</f>
        <v>16.052</v>
      </c>
      <c r="I15" s="13">
        <f>_xll.BDH("HXL US Equity","SOCIAL_DISCLOSURE_SCORE","FY 2019","FY 2019","Currency=USD","Period=FY","BEST_FPERIOD_OVERRIDE=FY","FILING_STATUS=MR","Sort=A","Dates=H","DateFormat=P","Fill=—","Direction=H","UseDPDF=Y")</f>
        <v>17.472799999999999</v>
      </c>
      <c r="J15" s="13">
        <f>_xll.BDH("HXL US Equity","SOCIAL_DISCLOSURE_SCORE","FY 2020","FY 2020","Currency=USD","Period=FY","BEST_FPERIOD_OVERRIDE=FY","FILING_STATUS=MR","Sort=A","Dates=H","DateFormat=P","Fill=—","Direction=H","UseDPDF=Y")</f>
        <v>17.472799999999999</v>
      </c>
      <c r="K15" s="13">
        <f>_xll.BDH("HXL US Equity","SOCIAL_DISCLOSURE_SCORE","FY 2021","FY 2021","Currency=USD","Period=FY","BEST_FPERIOD_OVERRIDE=FY","FILING_STATUS=MR","Sort=A","Dates=H","DateFormat=P","Fill=—","Direction=H","UseDPDF=Y")</f>
        <v>17.472799999999999</v>
      </c>
      <c r="L15" s="13">
        <f>_xll.BDH("HXL US Equity","SOCIAL_DISCLOSURE_SCORE","FY 2022","FY 2022","Currency=USD","Period=FY","BEST_FPERIOD_OVERRIDE=FY","FILING_STATUS=MR","Sort=A","Dates=H","DateFormat=P","Fill=—","Direction=H","UseDPDF=Y")</f>
        <v>17.472799999999999</v>
      </c>
    </row>
    <row r="16" spans="1:12">
      <c r="A16" s="10" t="s">
        <v>39</v>
      </c>
      <c r="B16" s="10" t="s">
        <v>40</v>
      </c>
      <c r="C16" s="13">
        <f>_xll.BDH("HXL US Equity","GOVNCE_DISCLOSURE_SCORE","FY 2013","FY 2013","Currency=USD","Period=FY","BEST_FPERIOD_OVERRIDE=FY","FILING_STATUS=MR","Sort=A","Dates=H","DateFormat=P","Fill=—","Direction=H","UseDPDF=Y")</f>
        <v>83.022300000000001</v>
      </c>
      <c r="D16" s="13">
        <f>_xll.BDH("HXL US Equity","GOVNCE_DISCLOSURE_SCORE","FY 2014","FY 2014","Currency=USD","Period=FY","BEST_FPERIOD_OVERRIDE=FY","FILING_STATUS=MR","Sort=A","Dates=H","DateFormat=P","Fill=—","Direction=H","UseDPDF=Y")</f>
        <v>83.022300000000001</v>
      </c>
      <c r="E16" s="13">
        <f>_xll.BDH("HXL US Equity","GOVNCE_DISCLOSURE_SCORE","FY 2015","FY 2015","Currency=USD","Period=FY","BEST_FPERIOD_OVERRIDE=FY","FILING_STATUS=MR","Sort=A","Dates=H","DateFormat=P","Fill=—","Direction=H","UseDPDF=Y")</f>
        <v>84.978899999999996</v>
      </c>
      <c r="F16" s="13">
        <f>_xll.BDH("HXL US Equity","GOVNCE_DISCLOSURE_SCORE","FY 2016","FY 2016","Currency=USD","Period=FY","BEST_FPERIOD_OVERRIDE=FY","FILING_STATUS=MR","Sort=A","Dates=H","DateFormat=P","Fill=—","Direction=H","UseDPDF=Y")</f>
        <v>84.978899999999996</v>
      </c>
      <c r="G16" s="13">
        <f>_xll.BDH("HXL US Equity","GOVNCE_DISCLOSURE_SCORE","FY 2017","FY 2017","Currency=USD","Period=FY","BEST_FPERIOD_OVERRIDE=FY","FILING_STATUS=MR","Sort=A","Dates=H","DateFormat=P","Fill=—","Direction=H","UseDPDF=Y")</f>
        <v>84.978899999999996</v>
      </c>
      <c r="H16" s="13">
        <f>_xll.BDH("HXL US Equity","GOVNCE_DISCLOSURE_SCORE","FY 2018","FY 2018","Currency=USD","Period=FY","BEST_FPERIOD_OVERRIDE=FY","FILING_STATUS=MR","Sort=A","Dates=H","DateFormat=P","Fill=—","Direction=H","UseDPDF=Y")</f>
        <v>87.477400000000003</v>
      </c>
      <c r="I16" s="13">
        <f>_xll.BDH("HXL US Equity","GOVNCE_DISCLOSURE_SCORE","FY 2019","FY 2019","Currency=USD","Period=FY","BEST_FPERIOD_OVERRIDE=FY","FILING_STATUS=MR","Sort=A","Dates=H","DateFormat=P","Fill=—","Direction=H","UseDPDF=Y")</f>
        <v>87.477400000000003</v>
      </c>
      <c r="J16" s="13">
        <f>_xll.BDH("HXL US Equity","GOVNCE_DISCLOSURE_SCORE","FY 2020","FY 2020","Currency=USD","Period=FY","BEST_FPERIOD_OVERRIDE=FY","FILING_STATUS=MR","Sort=A","Dates=H","DateFormat=P","Fill=—","Direction=H","UseDPDF=Y")</f>
        <v>87.477400000000003</v>
      </c>
      <c r="K16" s="13">
        <f>_xll.BDH("HXL US Equity","GOVNCE_DISCLOSURE_SCORE","FY 2021","FY 2021","Currency=USD","Period=FY","BEST_FPERIOD_OVERRIDE=FY","FILING_STATUS=MR","Sort=A","Dates=H","DateFormat=P","Fill=—","Direction=H","UseDPDF=Y")</f>
        <v>87.477400000000003</v>
      </c>
      <c r="L16" s="13">
        <f>_xll.BDH("HXL US Equity","GOVNCE_DISCLOSURE_SCORE","FY 2022","FY 2022","Currency=USD","Period=FY","BEST_FPERIOD_OVERRIDE=FY","FILING_STATUS=MR","Sort=A","Dates=H","DateFormat=P","Fill=—","Direction=H","UseDPDF=Y")</f>
        <v>87.477400000000003</v>
      </c>
    </row>
    <row r="17" spans="1:12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6" t="s">
        <v>41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0" t="s">
        <v>42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12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1:12">
      <c r="A21" s="10" t="s">
        <v>43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>
      <c r="A22" s="10" t="s">
        <v>44</v>
      </c>
      <c r="B22" s="10" t="s">
        <v>45</v>
      </c>
      <c r="C22" s="11" t="s">
        <v>46</v>
      </c>
      <c r="D22" s="11" t="s">
        <v>46</v>
      </c>
      <c r="E22" s="11" t="s">
        <v>47</v>
      </c>
      <c r="F22" s="11" t="s">
        <v>48</v>
      </c>
      <c r="G22" s="11" t="s">
        <v>48</v>
      </c>
      <c r="H22" s="11" t="s">
        <v>48</v>
      </c>
      <c r="I22" s="11" t="s">
        <v>48</v>
      </c>
      <c r="J22" s="11" t="s">
        <v>48</v>
      </c>
      <c r="K22" s="11" t="s">
        <v>48</v>
      </c>
      <c r="L22" s="11" t="s">
        <v>48</v>
      </c>
    </row>
    <row r="23" spans="1:12">
      <c r="A23" s="10" t="s">
        <v>49</v>
      </c>
      <c r="B23" s="10" t="s">
        <v>50</v>
      </c>
      <c r="C23" s="11" t="s">
        <v>46</v>
      </c>
      <c r="D23" s="11" t="s">
        <v>46</v>
      </c>
      <c r="E23" s="11" t="s">
        <v>47</v>
      </c>
      <c r="F23" s="11" t="s">
        <v>48</v>
      </c>
      <c r="G23" s="11" t="s">
        <v>48</v>
      </c>
      <c r="H23" s="11" t="s">
        <v>48</v>
      </c>
      <c r="I23" s="11" t="s">
        <v>48</v>
      </c>
      <c r="J23" s="11" t="s">
        <v>48</v>
      </c>
      <c r="K23" s="11" t="s">
        <v>48</v>
      </c>
      <c r="L23" s="11" t="s">
        <v>48</v>
      </c>
    </row>
    <row r="24" spans="1:12">
      <c r="A24" s="10" t="s">
        <v>51</v>
      </c>
      <c r="B24" s="10" t="s">
        <v>52</v>
      </c>
      <c r="C24" s="11" t="s">
        <v>46</v>
      </c>
      <c r="D24" s="11" t="s">
        <v>46</v>
      </c>
      <c r="E24" s="11" t="s">
        <v>47</v>
      </c>
      <c r="F24" s="11" t="s">
        <v>47</v>
      </c>
      <c r="G24" s="11" t="s">
        <v>47</v>
      </c>
      <c r="H24" s="11" t="s">
        <v>47</v>
      </c>
      <c r="I24" s="11" t="s">
        <v>47</v>
      </c>
      <c r="J24" s="11" t="s">
        <v>47</v>
      </c>
      <c r="K24" s="11" t="s">
        <v>47</v>
      </c>
      <c r="L24" s="11" t="s">
        <v>47</v>
      </c>
    </row>
    <row r="25" spans="1:12">
      <c r="A25" s="10" t="s">
        <v>53</v>
      </c>
      <c r="B25" s="10" t="s">
        <v>54</v>
      </c>
      <c r="C25" s="11" t="s">
        <v>46</v>
      </c>
      <c r="D25" s="11" t="s">
        <v>46</v>
      </c>
      <c r="E25" s="11" t="s">
        <v>48</v>
      </c>
      <c r="F25" s="11" t="s">
        <v>48</v>
      </c>
      <c r="G25" s="11" t="s">
        <v>48</v>
      </c>
      <c r="H25" s="11" t="s">
        <v>48</v>
      </c>
      <c r="I25" s="11" t="s">
        <v>48</v>
      </c>
      <c r="J25" s="11" t="s">
        <v>48</v>
      </c>
      <c r="K25" s="11" t="s">
        <v>48</v>
      </c>
      <c r="L25" s="11" t="s">
        <v>48</v>
      </c>
    </row>
    <row r="26" spans="1:12">
      <c r="A26" s="10" t="s">
        <v>55</v>
      </c>
      <c r="B26" s="10" t="s">
        <v>56</v>
      </c>
      <c r="C26" s="12" t="str">
        <f>_xll.BDH("HXL US Equity","GHG_SCOPE_1","FY 2013","FY 2013","Currency=USD","Period=FY","BEST_FPERIOD_OVERRIDE=FY","FILING_STATUS=MR","Sort=A","Dates=H","DateFormat=P","Fill=—","Direction=H","UseDPDF=Y")</f>
        <v>—</v>
      </c>
      <c r="D26" s="12" t="str">
        <f>_xll.BDH("HXL US Equity","GHG_SCOPE_1","FY 2014","FY 2014","Currency=USD","Period=FY","BEST_FPERIOD_OVERRIDE=FY","FILING_STATUS=MR","Sort=A","Dates=H","DateFormat=P","Fill=—","Direction=H","UseDPDF=Y")</f>
        <v>—</v>
      </c>
      <c r="E26" s="12" t="str">
        <f>_xll.BDH("HXL US Equity","GHG_SCOPE_1","FY 2015","FY 2015","Currency=USD","Period=FY","BEST_FPERIOD_OVERRIDE=FY","FILING_STATUS=MR","Sort=A","Dates=H","DateFormat=P","Fill=—","Direction=H","UseDPDF=Y")</f>
        <v>—</v>
      </c>
      <c r="F26" s="12" t="str">
        <f>_xll.BDH("HXL US Equity","GHG_SCOPE_1","FY 2016","FY 2016","Currency=USD","Period=FY","BEST_FPERIOD_OVERRIDE=FY","FILING_STATUS=MR","Sort=A","Dates=H","DateFormat=P","Fill=—","Direction=H","UseDPDF=Y")</f>
        <v>—</v>
      </c>
      <c r="G26" s="12" t="str">
        <f>_xll.BDH("HXL US Equity","GHG_SCOPE_1","FY 2017","FY 2017","Currency=USD","Period=FY","BEST_FPERIOD_OVERRIDE=FY","FILING_STATUS=MR","Sort=A","Dates=H","DateFormat=P","Fill=—","Direction=H","UseDPDF=Y")</f>
        <v>—</v>
      </c>
      <c r="H26" s="12" t="str">
        <f>_xll.BDH("HXL US Equity","GHG_SCOPE_1","FY 2018","FY 2018","Currency=USD","Period=FY","BEST_FPERIOD_OVERRIDE=FY","FILING_STATUS=MR","Sort=A","Dates=H","DateFormat=P","Fill=—","Direction=H","UseDPDF=Y")</f>
        <v>—</v>
      </c>
      <c r="I26" s="12">
        <f>_xll.BDH("HXL US Equity","GHG_SCOPE_1","FY 2019","FY 2019","Currency=USD","Period=FY","BEST_FPERIOD_OVERRIDE=FY","FILING_STATUS=MR","Sort=A","Dates=H","DateFormat=P","Fill=—","Direction=H","UseDPDF=Y")</f>
        <v>196.44900000000001</v>
      </c>
      <c r="J26" s="12">
        <f>_xll.BDH("HXL US Equity","GHG_SCOPE_1","FY 2020","FY 2020","Currency=USD","Period=FY","BEST_FPERIOD_OVERRIDE=FY","FILING_STATUS=MR","Sort=A","Dates=H","DateFormat=P","Fill=—","Direction=H","UseDPDF=Y")</f>
        <v>129.31</v>
      </c>
      <c r="K26" s="12">
        <f>_xll.BDH("HXL US Equity","GHG_SCOPE_1","FY 2021","FY 2021","Currency=USD","Period=FY","BEST_FPERIOD_OVERRIDE=FY","FILING_STATUS=MR","Sort=A","Dates=H","DateFormat=P","Fill=—","Direction=H","UseDPDF=Y")</f>
        <v>139.24100000000001</v>
      </c>
      <c r="L26" s="12">
        <f>_xll.BDH("HXL US Equity","GHG_SCOPE_1","FY 2022","FY 2022","Currency=USD","Period=FY","BEST_FPERIOD_OVERRIDE=FY","FILING_STATUS=MR","Sort=A","Dates=H","DateFormat=P","Fill=—","Direction=H","UseDPDF=Y")</f>
        <v>188.14</v>
      </c>
    </row>
    <row r="27" spans="1:12">
      <c r="A27" s="10" t="s">
        <v>57</v>
      </c>
      <c r="B27" s="10" t="s">
        <v>58</v>
      </c>
      <c r="C27" s="12" t="str">
        <f>_xll.BDH("HXL US Equity","GHG_SCOPE_2_LOCATION_BASED","FY 2013","FY 2013","Currency=USD","Period=FY","BEST_FPERIOD_OVERRIDE=FY","FILING_STATUS=MR","Sort=A","Dates=H","DateFormat=P","Fill=—","Direction=H","UseDPDF=Y")</f>
        <v>—</v>
      </c>
      <c r="D27" s="12" t="str">
        <f>_xll.BDH("HXL US Equity","GHG_SCOPE_2_LOCATION_BASED","FY 2014","FY 2014","Currency=USD","Period=FY","BEST_FPERIOD_OVERRIDE=FY","FILING_STATUS=MR","Sort=A","Dates=H","DateFormat=P","Fill=—","Direction=H","UseDPDF=Y")</f>
        <v>—</v>
      </c>
      <c r="E27" s="12" t="str">
        <f>_xll.BDH("HXL US Equity","GHG_SCOPE_2_LOCATION_BASED","FY 2015","FY 2015","Currency=USD","Period=FY","BEST_FPERIOD_OVERRIDE=FY","FILING_STATUS=MR","Sort=A","Dates=H","DateFormat=P","Fill=—","Direction=H","UseDPDF=Y")</f>
        <v>—</v>
      </c>
      <c r="F27" s="12" t="str">
        <f>_xll.BDH("HXL US Equity","GHG_SCOPE_2_LOCATION_BASED","FY 2016","FY 2016","Currency=USD","Period=FY","BEST_FPERIOD_OVERRIDE=FY","FILING_STATUS=MR","Sort=A","Dates=H","DateFormat=P","Fill=—","Direction=H","UseDPDF=Y")</f>
        <v>—</v>
      </c>
      <c r="G27" s="12" t="str">
        <f>_xll.BDH("HXL US Equity","GHG_SCOPE_2_LOCATION_BASED","FY 2017","FY 2017","Currency=USD","Period=FY","BEST_FPERIOD_OVERRIDE=FY","FILING_STATUS=MR","Sort=A","Dates=H","DateFormat=P","Fill=—","Direction=H","UseDPDF=Y")</f>
        <v>—</v>
      </c>
      <c r="H27" s="12" t="str">
        <f>_xll.BDH("HXL US Equity","GHG_SCOPE_2_LOCATION_BASED","FY 2018","FY 2018","Currency=USD","Period=FY","BEST_FPERIOD_OVERRIDE=FY","FILING_STATUS=MR","Sort=A","Dates=H","DateFormat=P","Fill=—","Direction=H","UseDPDF=Y")</f>
        <v>—</v>
      </c>
      <c r="I27" s="12">
        <f>_xll.BDH("HXL US Equity","GHG_SCOPE_2_LOCATION_BASED","FY 2019","FY 2019","Currency=USD","Period=FY","BEST_FPERIOD_OVERRIDE=FY","FILING_STATUS=MR","Sort=A","Dates=H","DateFormat=P","Fill=—","Direction=H","UseDPDF=Y")</f>
        <v>177.64099999999999</v>
      </c>
      <c r="J27" s="12">
        <f>_xll.BDH("HXL US Equity","GHG_SCOPE_2_LOCATION_BASED","FY 2020","FY 2020","Currency=USD","Period=FY","BEST_FPERIOD_OVERRIDE=FY","FILING_STATUS=MR","Sort=A","Dates=H","DateFormat=P","Fill=—","Direction=H","UseDPDF=Y")</f>
        <v>119.20399999999999</v>
      </c>
      <c r="K27" s="12">
        <f>_xll.BDH("HXL US Equity","GHG_SCOPE_2_LOCATION_BASED","FY 2021","FY 2021","Currency=USD","Period=FY","BEST_FPERIOD_OVERRIDE=FY","FILING_STATUS=MR","Sort=A","Dates=H","DateFormat=P","Fill=—","Direction=H","UseDPDF=Y")</f>
        <v>128.678</v>
      </c>
      <c r="L27" s="12">
        <f>_xll.BDH("HXL US Equity","GHG_SCOPE_2_LOCATION_BASED","FY 2022","FY 2022","Currency=USD","Period=FY","BEST_FPERIOD_OVERRIDE=FY","FILING_STATUS=MR","Sort=A","Dates=H","DateFormat=P","Fill=—","Direction=H","UseDPDF=Y")</f>
        <v>147.24600000000001</v>
      </c>
    </row>
    <row r="28" spans="1:12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12">
      <c r="A29" s="10" t="s">
        <v>59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>
      <c r="A30" s="10" t="s">
        <v>60</v>
      </c>
      <c r="B30" s="10" t="s">
        <v>61</v>
      </c>
      <c r="C30" s="11" t="s">
        <v>46</v>
      </c>
      <c r="D30" s="11" t="s">
        <v>46</v>
      </c>
      <c r="E30" s="11" t="s">
        <v>47</v>
      </c>
      <c r="F30" s="11" t="s">
        <v>47</v>
      </c>
      <c r="G30" s="11" t="s">
        <v>47</v>
      </c>
      <c r="H30" s="11" t="s">
        <v>47</v>
      </c>
      <c r="I30" s="11" t="s">
        <v>47</v>
      </c>
      <c r="J30" s="11" t="s">
        <v>47</v>
      </c>
      <c r="K30" s="11" t="s">
        <v>47</v>
      </c>
      <c r="L30" s="11" t="s">
        <v>47</v>
      </c>
    </row>
    <row r="31" spans="1:12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</row>
    <row r="32" spans="1:12">
      <c r="A32" s="10" t="s">
        <v>62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</row>
    <row r="33" spans="1:12">
      <c r="A33" s="10" t="s">
        <v>63</v>
      </c>
      <c r="B33" s="10" t="s">
        <v>64</v>
      </c>
      <c r="C33" s="11" t="s">
        <v>46</v>
      </c>
      <c r="D33" s="11" t="s">
        <v>46</v>
      </c>
      <c r="E33" s="11" t="s">
        <v>47</v>
      </c>
      <c r="F33" s="11" t="s">
        <v>48</v>
      </c>
      <c r="G33" s="11" t="s">
        <v>48</v>
      </c>
      <c r="H33" s="11" t="s">
        <v>48</v>
      </c>
      <c r="I33" s="11" t="s">
        <v>48</v>
      </c>
      <c r="J33" s="11" t="s">
        <v>48</v>
      </c>
      <c r="K33" s="11" t="s">
        <v>48</v>
      </c>
      <c r="L33" s="11" t="s">
        <v>48</v>
      </c>
    </row>
    <row r="34" spans="1:12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spans="1:12">
      <c r="A35" s="10" t="s">
        <v>65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6" spans="1:12">
      <c r="A36" s="10" t="s">
        <v>66</v>
      </c>
      <c r="B36" s="10" t="s">
        <v>67</v>
      </c>
      <c r="C36" s="11" t="s">
        <v>46</v>
      </c>
      <c r="D36" s="11" t="s">
        <v>46</v>
      </c>
      <c r="E36" s="11" t="s">
        <v>47</v>
      </c>
      <c r="F36" s="11" t="s">
        <v>48</v>
      </c>
      <c r="G36" s="11" t="s">
        <v>48</v>
      </c>
      <c r="H36" s="11" t="s">
        <v>48</v>
      </c>
      <c r="I36" s="11" t="s">
        <v>48</v>
      </c>
      <c r="J36" s="11" t="s">
        <v>48</v>
      </c>
      <c r="K36" s="11" t="s">
        <v>48</v>
      </c>
      <c r="L36" s="11" t="s">
        <v>48</v>
      </c>
    </row>
    <row r="37" spans="1:12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</row>
    <row r="38" spans="1:12">
      <c r="A38" s="10" t="s">
        <v>68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 spans="1:12">
      <c r="A39" s="10" t="s">
        <v>69</v>
      </c>
      <c r="B39" s="10" t="s">
        <v>70</v>
      </c>
      <c r="C39" s="11" t="s">
        <v>46</v>
      </c>
      <c r="D39" s="11" t="s">
        <v>46</v>
      </c>
      <c r="E39" s="11" t="s">
        <v>47</v>
      </c>
      <c r="F39" s="11" t="s">
        <v>47</v>
      </c>
      <c r="G39" s="11" t="s">
        <v>47</v>
      </c>
      <c r="H39" s="11" t="s">
        <v>48</v>
      </c>
      <c r="I39" s="11" t="s">
        <v>48</v>
      </c>
      <c r="J39" s="11" t="s">
        <v>48</v>
      </c>
      <c r="K39" s="11" t="s">
        <v>48</v>
      </c>
      <c r="L39" s="11" t="s">
        <v>48</v>
      </c>
    </row>
    <row r="40" spans="1:12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>
      <c r="A41" s="10" t="s">
        <v>71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</row>
    <row r="42" spans="1:12">
      <c r="A42" s="10" t="s">
        <v>72</v>
      </c>
      <c r="B42" s="10" t="s">
        <v>73</v>
      </c>
      <c r="C42" s="11" t="s">
        <v>46</v>
      </c>
      <c r="D42" s="11" t="s">
        <v>46</v>
      </c>
      <c r="E42" s="11" t="s">
        <v>47</v>
      </c>
      <c r="F42" s="11" t="s">
        <v>48</v>
      </c>
      <c r="G42" s="11" t="s">
        <v>48</v>
      </c>
      <c r="H42" s="11" t="s">
        <v>48</v>
      </c>
      <c r="I42" s="11" t="s">
        <v>48</v>
      </c>
      <c r="J42" s="11" t="s">
        <v>48</v>
      </c>
      <c r="K42" s="11" t="s">
        <v>48</v>
      </c>
      <c r="L42" s="11" t="s">
        <v>48</v>
      </c>
    </row>
    <row r="43" spans="1:12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1:12">
      <c r="A44" s="10" t="s">
        <v>74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</row>
    <row r="45" spans="1:12">
      <c r="A45" s="10" t="s">
        <v>75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</row>
    <row r="46" spans="1:12">
      <c r="A46" s="10" t="s">
        <v>76</v>
      </c>
      <c r="B46" s="10" t="s">
        <v>77</v>
      </c>
      <c r="C46" s="11" t="s">
        <v>46</v>
      </c>
      <c r="D46" s="11" t="s">
        <v>46</v>
      </c>
      <c r="E46" s="11" t="s">
        <v>47</v>
      </c>
      <c r="F46" s="11" t="s">
        <v>48</v>
      </c>
      <c r="G46" s="11" t="s">
        <v>48</v>
      </c>
      <c r="H46" s="11" t="s">
        <v>48</v>
      </c>
      <c r="I46" s="11" t="s">
        <v>48</v>
      </c>
      <c r="J46" s="11" t="s">
        <v>48</v>
      </c>
      <c r="K46" s="11" t="s">
        <v>48</v>
      </c>
      <c r="L46" s="11" t="s">
        <v>48</v>
      </c>
    </row>
    <row r="47" spans="1:12">
      <c r="A47" s="10" t="s">
        <v>78</v>
      </c>
      <c r="B47" s="10" t="s">
        <v>79</v>
      </c>
      <c r="C47" s="11" t="s">
        <v>46</v>
      </c>
      <c r="D47" s="11" t="s">
        <v>46</v>
      </c>
      <c r="E47" s="11" t="s">
        <v>47</v>
      </c>
      <c r="F47" s="11" t="s">
        <v>47</v>
      </c>
      <c r="G47" s="11" t="s">
        <v>47</v>
      </c>
      <c r="H47" s="11" t="s">
        <v>48</v>
      </c>
      <c r="I47" s="11" t="s">
        <v>48</v>
      </c>
      <c r="J47" s="11" t="s">
        <v>48</v>
      </c>
      <c r="K47" s="11" t="s">
        <v>48</v>
      </c>
      <c r="L47" s="11" t="s">
        <v>48</v>
      </c>
    </row>
    <row r="48" spans="1:12">
      <c r="A48" s="10" t="s">
        <v>80</v>
      </c>
      <c r="B48" s="10" t="s">
        <v>81</v>
      </c>
      <c r="C48" s="11" t="s">
        <v>46</v>
      </c>
      <c r="D48" s="11" t="s">
        <v>46</v>
      </c>
      <c r="E48" s="11" t="s">
        <v>48</v>
      </c>
      <c r="F48" s="11" t="s">
        <v>48</v>
      </c>
      <c r="G48" s="11" t="s">
        <v>48</v>
      </c>
      <c r="H48" s="11" t="s">
        <v>48</v>
      </c>
      <c r="I48" s="11" t="s">
        <v>48</v>
      </c>
      <c r="J48" s="11" t="s">
        <v>48</v>
      </c>
      <c r="K48" s="11" t="s">
        <v>48</v>
      </c>
      <c r="L48" s="11" t="s">
        <v>48</v>
      </c>
    </row>
    <row r="49" spans="1:12">
      <c r="A49" s="10" t="s">
        <v>82</v>
      </c>
      <c r="B49" s="10" t="s">
        <v>83</v>
      </c>
      <c r="C49" s="11" t="s">
        <v>46</v>
      </c>
      <c r="D49" s="11" t="s">
        <v>46</v>
      </c>
      <c r="E49" s="11" t="s">
        <v>47</v>
      </c>
      <c r="F49" s="11" t="s">
        <v>47</v>
      </c>
      <c r="G49" s="11" t="s">
        <v>47</v>
      </c>
      <c r="H49" s="11" t="s">
        <v>47</v>
      </c>
      <c r="I49" s="11" t="s">
        <v>48</v>
      </c>
      <c r="J49" s="11" t="s">
        <v>48</v>
      </c>
      <c r="K49" s="11" t="s">
        <v>48</v>
      </c>
      <c r="L49" s="11" t="s">
        <v>48</v>
      </c>
    </row>
    <row r="50" spans="1:1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</row>
    <row r="51" spans="1:12">
      <c r="A51" s="10" t="s">
        <v>84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</row>
    <row r="52" spans="1:12">
      <c r="A52" s="10" t="s">
        <v>85</v>
      </c>
      <c r="B52" s="10" t="s">
        <v>86</v>
      </c>
      <c r="C52" s="11" t="s">
        <v>46</v>
      </c>
      <c r="D52" s="11" t="s">
        <v>46</v>
      </c>
      <c r="E52" s="11" t="s">
        <v>47</v>
      </c>
      <c r="F52" s="11" t="s">
        <v>48</v>
      </c>
      <c r="G52" s="11" t="s">
        <v>48</v>
      </c>
      <c r="H52" s="11" t="s">
        <v>48</v>
      </c>
      <c r="I52" s="11" t="s">
        <v>48</v>
      </c>
      <c r="J52" s="11" t="s">
        <v>48</v>
      </c>
      <c r="K52" s="11" t="s">
        <v>48</v>
      </c>
      <c r="L52" s="11" t="s">
        <v>48</v>
      </c>
    </row>
    <row r="53" spans="1:12">
      <c r="A53" s="10" t="s">
        <v>87</v>
      </c>
      <c r="B53" s="10" t="s">
        <v>88</v>
      </c>
      <c r="C53" s="11" t="s">
        <v>46</v>
      </c>
      <c r="D53" s="11" t="s">
        <v>46</v>
      </c>
      <c r="E53" s="11" t="s">
        <v>47</v>
      </c>
      <c r="F53" s="11" t="s">
        <v>47</v>
      </c>
      <c r="G53" s="11" t="s">
        <v>47</v>
      </c>
      <c r="H53" s="11" t="s">
        <v>47</v>
      </c>
      <c r="I53" s="11" t="s">
        <v>48</v>
      </c>
      <c r="J53" s="11" t="s">
        <v>48</v>
      </c>
      <c r="K53" s="11" t="s">
        <v>48</v>
      </c>
      <c r="L53" s="11" t="s">
        <v>48</v>
      </c>
    </row>
    <row r="54" spans="1:1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</row>
    <row r="55" spans="1:12">
      <c r="A55" s="10" t="s">
        <v>89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</row>
    <row r="56" spans="1:12">
      <c r="A56" s="10" t="s">
        <v>90</v>
      </c>
      <c r="B56" s="10" t="s">
        <v>91</v>
      </c>
      <c r="C56" s="11" t="s">
        <v>46</v>
      </c>
      <c r="D56" s="11" t="s">
        <v>46</v>
      </c>
      <c r="E56" s="11" t="s">
        <v>48</v>
      </c>
      <c r="F56" s="11" t="s">
        <v>48</v>
      </c>
      <c r="G56" s="11" t="s">
        <v>48</v>
      </c>
      <c r="H56" s="11" t="s">
        <v>48</v>
      </c>
      <c r="I56" s="11" t="s">
        <v>48</v>
      </c>
      <c r="J56" s="11" t="s">
        <v>48</v>
      </c>
      <c r="K56" s="11" t="s">
        <v>48</v>
      </c>
      <c r="L56" s="11" t="s">
        <v>48</v>
      </c>
    </row>
    <row r="57" spans="1:12">
      <c r="A57" s="10" t="s">
        <v>92</v>
      </c>
      <c r="B57" s="10" t="s">
        <v>93</v>
      </c>
      <c r="C57" s="11" t="s">
        <v>46</v>
      </c>
      <c r="D57" s="11" t="s">
        <v>46</v>
      </c>
      <c r="E57" s="11" t="s">
        <v>47</v>
      </c>
      <c r="F57" s="11" t="s">
        <v>48</v>
      </c>
      <c r="G57" s="11" t="s">
        <v>48</v>
      </c>
      <c r="H57" s="11" t="s">
        <v>48</v>
      </c>
      <c r="I57" s="11" t="s">
        <v>48</v>
      </c>
      <c r="J57" s="11" t="s">
        <v>48</v>
      </c>
      <c r="K57" s="11" t="s">
        <v>48</v>
      </c>
      <c r="L57" s="11" t="s">
        <v>48</v>
      </c>
    </row>
    <row r="58" spans="1:1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</row>
    <row r="59" spans="1:12">
      <c r="A59" s="10" t="s">
        <v>94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</row>
    <row r="60" spans="1:12">
      <c r="A60" s="10" t="s">
        <v>95</v>
      </c>
      <c r="B60" s="10" t="s">
        <v>96</v>
      </c>
      <c r="C60" s="11" t="s">
        <v>46</v>
      </c>
      <c r="D60" s="11" t="s">
        <v>46</v>
      </c>
      <c r="E60" s="11" t="s">
        <v>47</v>
      </c>
      <c r="F60" s="11" t="s">
        <v>48</v>
      </c>
      <c r="G60" s="11" t="s">
        <v>48</v>
      </c>
      <c r="H60" s="11" t="s">
        <v>48</v>
      </c>
      <c r="I60" s="11" t="s">
        <v>48</v>
      </c>
      <c r="J60" s="11" t="s">
        <v>48</v>
      </c>
      <c r="K60" s="11" t="s">
        <v>48</v>
      </c>
      <c r="L60" s="11" t="s">
        <v>48</v>
      </c>
    </row>
    <row r="61" spans="1:1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 spans="1:12">
      <c r="A62" s="10" t="s">
        <v>97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</row>
    <row r="63" spans="1:12">
      <c r="A63" s="10" t="s">
        <v>98</v>
      </c>
      <c r="B63" s="10" t="s">
        <v>99</v>
      </c>
      <c r="C63" s="11" t="s">
        <v>46</v>
      </c>
      <c r="D63" s="11" t="s">
        <v>46</v>
      </c>
      <c r="E63" s="11" t="s">
        <v>47</v>
      </c>
      <c r="F63" s="11" t="s">
        <v>48</v>
      </c>
      <c r="G63" s="11" t="s">
        <v>48</v>
      </c>
      <c r="H63" s="11" t="s">
        <v>48</v>
      </c>
      <c r="I63" s="11" t="s">
        <v>48</v>
      </c>
      <c r="J63" s="11" t="s">
        <v>48</v>
      </c>
      <c r="K63" s="11" t="s">
        <v>48</v>
      </c>
      <c r="L63" s="11" t="s">
        <v>48</v>
      </c>
    </row>
    <row r="64" spans="1:12">
      <c r="A64" s="10" t="s">
        <v>100</v>
      </c>
      <c r="B64" s="10" t="s">
        <v>101</v>
      </c>
      <c r="C64" s="11" t="s">
        <v>46</v>
      </c>
      <c r="D64" s="11" t="s">
        <v>46</v>
      </c>
      <c r="E64" s="11" t="s">
        <v>47</v>
      </c>
      <c r="F64" s="11" t="s">
        <v>47</v>
      </c>
      <c r="G64" s="11" t="s">
        <v>47</v>
      </c>
      <c r="H64" s="11" t="s">
        <v>47</v>
      </c>
      <c r="I64" s="11" t="s">
        <v>47</v>
      </c>
      <c r="J64" s="11" t="s">
        <v>47</v>
      </c>
      <c r="K64" s="11" t="s">
        <v>47</v>
      </c>
      <c r="L64" s="11" t="s">
        <v>47</v>
      </c>
    </row>
    <row r="65" spans="1:12">
      <c r="A65" s="10" t="s">
        <v>102</v>
      </c>
      <c r="B65" s="10" t="s">
        <v>103</v>
      </c>
      <c r="C65" s="13" t="str">
        <f>_xll.BDH("HXL US Equity","NUMBER_EMPLOYEES_CSR","FY 2013","FY 2013","Currency=USD","Period=FY","BEST_FPERIOD_OVERRIDE=FY","FILING_STATUS=MR","Sort=A","Dates=H","DateFormat=P","Fill=—","Direction=H","UseDPDF=Y")</f>
        <v>—</v>
      </c>
      <c r="D65" s="13" t="str">
        <f>_xll.BDH("HXL US Equity","NUMBER_EMPLOYEES_CSR","FY 2014","FY 2014","Currency=USD","Period=FY","BEST_FPERIOD_OVERRIDE=FY","FILING_STATUS=MR","Sort=A","Dates=H","DateFormat=P","Fill=—","Direction=H","UseDPDF=Y")</f>
        <v>—</v>
      </c>
      <c r="E65" s="13">
        <f>_xll.BDH("HXL US Equity","NUMBER_EMPLOYEES_CSR","FY 2015","FY 2015","Currency=USD","Period=FY","BEST_FPERIOD_OVERRIDE=FY","FILING_STATUS=MR","Sort=A","Dates=H","DateFormat=P","Fill=—","Direction=H","UseDPDF=Y")</f>
        <v>5897</v>
      </c>
      <c r="F65" s="13">
        <f>_xll.BDH("HXL US Equity","NUMBER_EMPLOYEES_CSR","FY 2016","FY 2016","Currency=USD","Period=FY","BEST_FPERIOD_OVERRIDE=FY","FILING_STATUS=MR","Sort=A","Dates=H","DateFormat=P","Fill=—","Direction=H","UseDPDF=Y")</f>
        <v>6155</v>
      </c>
      <c r="G65" s="13">
        <f>_xll.BDH("HXL US Equity","NUMBER_EMPLOYEES_CSR","FY 2017","FY 2017","Currency=USD","Period=FY","BEST_FPERIOD_OVERRIDE=FY","FILING_STATUS=MR","Sort=A","Dates=H","DateFormat=P","Fill=—","Direction=H","UseDPDF=Y")</f>
        <v>6259</v>
      </c>
      <c r="H65" s="13">
        <f>_xll.BDH("HXL US Equity","NUMBER_EMPLOYEES_CSR","FY 2018","FY 2018","Currency=USD","Period=FY","BEST_FPERIOD_OVERRIDE=FY","FILING_STATUS=MR","Sort=A","Dates=H","DateFormat=P","Fill=—","Direction=H","UseDPDF=Y")</f>
        <v>6626</v>
      </c>
      <c r="I65" s="13">
        <f>_xll.BDH("HXL US Equity","NUMBER_EMPLOYEES_CSR","FY 2019","FY 2019","Currency=USD","Period=FY","BEST_FPERIOD_OVERRIDE=FY","FILING_STATUS=MR","Sort=A","Dates=H","DateFormat=P","Fill=—","Direction=H","UseDPDF=Y")</f>
        <v>6977</v>
      </c>
      <c r="J65" s="13">
        <f>_xll.BDH("HXL US Equity","NUMBER_EMPLOYEES_CSR","FY 2020","FY 2020","Currency=USD","Period=FY","BEST_FPERIOD_OVERRIDE=FY","FILING_STATUS=MR","Sort=A","Dates=H","DateFormat=P","Fill=—","Direction=H","UseDPDF=Y")</f>
        <v>4647</v>
      </c>
      <c r="K65" s="13">
        <f>_xll.BDH("HXL US Equity","NUMBER_EMPLOYEES_CSR","FY 2021","FY 2021","Currency=USD","Period=FY","BEST_FPERIOD_OVERRIDE=FY","FILING_STATUS=MR","Sort=A","Dates=H","DateFormat=P","Fill=—","Direction=H","UseDPDF=Y")</f>
        <v>4863</v>
      </c>
      <c r="L65" s="13">
        <f>_xll.BDH("HXL US Equity","NUMBER_EMPLOYEES_CSR","FY 2022","FY 2022","Currency=USD","Period=FY","BEST_FPERIOD_OVERRIDE=FY","FILING_STATUS=MR","Sort=A","Dates=H","DateFormat=P","Fill=—","Direction=H","UseDPDF=Y")</f>
        <v>5328</v>
      </c>
    </row>
    <row r="66" spans="1:12">
      <c r="A66" s="10" t="s">
        <v>104</v>
      </c>
      <c r="B66" s="10" t="s">
        <v>105</v>
      </c>
      <c r="C66" s="13" t="str">
        <f>_xll.BDH("HXL US Equity","PCT_EMPLOYEES_UNIONIZED","FY 2013","FY 2013","Currency=USD","Period=FY","BEST_FPERIOD_OVERRIDE=FY","FILING_STATUS=MR","Sort=A","Dates=H","DateFormat=P","Fill=—","Direction=H","UseDPDF=Y")</f>
        <v>—</v>
      </c>
      <c r="D66" s="13" t="str">
        <f>_xll.BDH("HXL US Equity","PCT_EMPLOYEES_UNIONIZED","FY 2014","FY 2014","Currency=USD","Period=FY","BEST_FPERIOD_OVERRIDE=FY","FILING_STATUS=MR","Sort=A","Dates=H","DateFormat=P","Fill=—","Direction=H","UseDPDF=Y")</f>
        <v>—</v>
      </c>
      <c r="E66" s="13">
        <f>_xll.BDH("HXL US Equity","PCT_EMPLOYEES_UNIONIZED","FY 2015","FY 2015","Currency=USD","Period=FY","BEST_FPERIOD_OVERRIDE=FY","FILING_STATUS=MR","Sort=A","Dates=H","DateFormat=P","Fill=—","Direction=H","UseDPDF=Y")</f>
        <v>18</v>
      </c>
      <c r="F66" s="13">
        <f>_xll.BDH("HXL US Equity","PCT_EMPLOYEES_UNIONIZED","FY 2016","FY 2016","Currency=USD","Period=FY","BEST_FPERIOD_OVERRIDE=FY","FILING_STATUS=MR","Sort=A","Dates=H","DateFormat=P","Fill=—","Direction=H","UseDPDF=Y")</f>
        <v>17</v>
      </c>
      <c r="G66" s="13">
        <f>_xll.BDH("HXL US Equity","PCT_EMPLOYEES_UNIONIZED","FY 2017","FY 2017","Currency=USD","Period=FY","BEST_FPERIOD_OVERRIDE=FY","FILING_STATUS=MR","Sort=A","Dates=H","DateFormat=P","Fill=—","Direction=H","UseDPDF=Y")</f>
        <v>17</v>
      </c>
      <c r="H66" s="13">
        <f>_xll.BDH("HXL US Equity","PCT_EMPLOYEES_UNIONIZED","FY 2018","FY 2018","Currency=USD","Period=FY","BEST_FPERIOD_OVERRIDE=FY","FILING_STATUS=MR","Sort=A","Dates=H","DateFormat=P","Fill=—","Direction=H","UseDPDF=Y")</f>
        <v>17</v>
      </c>
      <c r="I66" s="13">
        <f>_xll.BDH("HXL US Equity","PCT_EMPLOYEES_UNIONIZED","FY 2019","FY 2019","Currency=USD","Period=FY","BEST_FPERIOD_OVERRIDE=FY","FILING_STATUS=MR","Sort=A","Dates=H","DateFormat=P","Fill=—","Direction=H","UseDPDF=Y")</f>
        <v>17</v>
      </c>
      <c r="J66" s="13">
        <f>_xll.BDH("HXL US Equity","PCT_EMPLOYEES_UNIONIZED","FY 2020","FY 2020","Currency=USD","Period=FY","BEST_FPERIOD_OVERRIDE=FY","FILING_STATUS=MR","Sort=A","Dates=H","DateFormat=P","Fill=—","Direction=H","UseDPDF=Y")</f>
        <v>25</v>
      </c>
      <c r="K66" s="13">
        <f>_xll.BDH("HXL US Equity","PCT_EMPLOYEES_UNIONIZED","FY 2021","FY 2021","Currency=USD","Period=FY","BEST_FPERIOD_OVERRIDE=FY","FILING_STATUS=MR","Sort=A","Dates=H","DateFormat=P","Fill=—","Direction=H","UseDPDF=Y")</f>
        <v>30</v>
      </c>
      <c r="L66" s="13">
        <f>_xll.BDH("HXL US Equity","PCT_EMPLOYEES_UNIONIZED","FY 2022","FY 2022","Currency=USD","Period=FY","BEST_FPERIOD_OVERRIDE=FY","FILING_STATUS=MR","Sort=A","Dates=H","DateFormat=P","Fill=—","Direction=H","UseDPDF=Y")</f>
        <v>22</v>
      </c>
    </row>
    <row r="67" spans="1:1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spans="1:12">
      <c r="A68" s="10" t="s">
        <v>68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 spans="1:12">
      <c r="A69" s="10" t="s">
        <v>106</v>
      </c>
      <c r="B69" s="10" t="s">
        <v>107</v>
      </c>
      <c r="C69" s="11" t="s">
        <v>46</v>
      </c>
      <c r="D69" s="11" t="s">
        <v>46</v>
      </c>
      <c r="E69" s="11" t="s">
        <v>47</v>
      </c>
      <c r="F69" s="11" t="s">
        <v>48</v>
      </c>
      <c r="G69" s="11" t="s">
        <v>48</v>
      </c>
      <c r="H69" s="11" t="s">
        <v>48</v>
      </c>
      <c r="I69" s="11" t="s">
        <v>48</v>
      </c>
      <c r="J69" s="11" t="s">
        <v>48</v>
      </c>
      <c r="K69" s="11" t="s">
        <v>48</v>
      </c>
      <c r="L69" s="11" t="s">
        <v>48</v>
      </c>
    </row>
    <row r="70" spans="1:1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</row>
    <row r="71" spans="1:12">
      <c r="A71" s="10" t="s">
        <v>108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spans="1:12">
      <c r="A72" s="10" t="s">
        <v>109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spans="1:12">
      <c r="A73" s="10" t="s">
        <v>110</v>
      </c>
      <c r="B73" s="10" t="s">
        <v>111</v>
      </c>
      <c r="C73" s="13">
        <f>_xll.BDH("HXL US Equity","YEARS_AUDITOR_EMPLOYED","FY 2013","FY 2013","Currency=USD","Period=FY","BEST_FPERIOD_OVERRIDE=FY","FILING_STATUS=MR","Sort=A","Dates=H","DateFormat=P","Fill=—","Direction=H","UseDPDF=Y")</f>
        <v>17</v>
      </c>
      <c r="D73" s="13">
        <f>_xll.BDH("HXL US Equity","YEARS_AUDITOR_EMPLOYED","FY 2014","FY 2014","Currency=USD","Period=FY","BEST_FPERIOD_OVERRIDE=FY","FILING_STATUS=MR","Sort=A","Dates=H","DateFormat=P","Fill=—","Direction=H","UseDPDF=Y")</f>
        <v>18</v>
      </c>
      <c r="E73" s="13">
        <f>_xll.BDH("HXL US Equity","YEARS_AUDITOR_EMPLOYED","FY 2015","FY 2015","Currency=USD","Period=FY","BEST_FPERIOD_OVERRIDE=FY","FILING_STATUS=MR","Sort=A","Dates=H","DateFormat=P","Fill=—","Direction=H","UseDPDF=Y")</f>
        <v>19</v>
      </c>
      <c r="F73" s="13">
        <f>_xll.BDH("HXL US Equity","YEARS_AUDITOR_EMPLOYED","FY 2016","FY 2016","Currency=USD","Period=FY","BEST_FPERIOD_OVERRIDE=FY","FILING_STATUS=MR","Sort=A","Dates=H","DateFormat=P","Fill=—","Direction=H","UseDPDF=Y")</f>
        <v>1</v>
      </c>
      <c r="G73" s="13">
        <f>_xll.BDH("HXL US Equity","YEARS_AUDITOR_EMPLOYED","FY 2017","FY 2017","Currency=USD","Period=FY","BEST_FPERIOD_OVERRIDE=FY","FILING_STATUS=MR","Sort=A","Dates=H","DateFormat=P","Fill=—","Direction=H","UseDPDF=Y")</f>
        <v>2</v>
      </c>
      <c r="H73" s="13">
        <f>_xll.BDH("HXL US Equity","YEARS_AUDITOR_EMPLOYED","FY 2018","FY 2018","Currency=USD","Period=FY","BEST_FPERIOD_OVERRIDE=FY","FILING_STATUS=MR","Sort=A","Dates=H","DateFormat=P","Fill=—","Direction=H","UseDPDF=Y")</f>
        <v>3</v>
      </c>
      <c r="I73" s="13">
        <f>_xll.BDH("HXL US Equity","YEARS_AUDITOR_EMPLOYED","FY 2019","FY 2019","Currency=USD","Period=FY","BEST_FPERIOD_OVERRIDE=FY","FILING_STATUS=MR","Sort=A","Dates=H","DateFormat=P","Fill=—","Direction=H","UseDPDF=Y")</f>
        <v>4</v>
      </c>
      <c r="J73" s="13">
        <f>_xll.BDH("HXL US Equity","YEARS_AUDITOR_EMPLOYED","FY 2020","FY 2020","Currency=USD","Period=FY","BEST_FPERIOD_OVERRIDE=FY","FILING_STATUS=MR","Sort=A","Dates=H","DateFormat=P","Fill=—","Direction=H","UseDPDF=Y")</f>
        <v>5</v>
      </c>
      <c r="K73" s="13">
        <f>_xll.BDH("HXL US Equity","YEARS_AUDITOR_EMPLOYED","FY 2021","FY 2021","Currency=USD","Period=FY","BEST_FPERIOD_OVERRIDE=FY","FILING_STATUS=MR","Sort=A","Dates=H","DateFormat=P","Fill=—","Direction=H","UseDPDF=Y")</f>
        <v>6</v>
      </c>
      <c r="L73" s="13">
        <f>_xll.BDH("HXL US Equity","YEARS_AUDITOR_EMPLOYED","FY 2022","FY 2022","Currency=USD","Period=FY","BEST_FPERIOD_OVERRIDE=FY","FILING_STATUS=MR","Sort=A","Dates=H","DateFormat=P","Fill=—","Direction=H","UseDPDF=Y")</f>
        <v>7</v>
      </c>
    </row>
    <row r="74" spans="1:12">
      <c r="A74" s="10" t="s">
        <v>112</v>
      </c>
      <c r="B74" s="10" t="s">
        <v>113</v>
      </c>
      <c r="C74" s="13">
        <f>_xll.BDH("HXL US Equity","SIZE_OF_AUDIT_COMMITTEE","FY 2013","FY 2013","Currency=USD","Period=FY","BEST_FPERIOD_OVERRIDE=FY","FILING_STATUS=MR","Sort=A","Dates=H","DateFormat=P","Fill=—","Direction=H","UseDPDF=Y")</f>
        <v>4</v>
      </c>
      <c r="D74" s="13">
        <f>_xll.BDH("HXL US Equity","SIZE_OF_AUDIT_COMMITTEE","FY 2014","FY 2014","Currency=USD","Period=FY","BEST_FPERIOD_OVERRIDE=FY","FILING_STATUS=MR","Sort=A","Dates=H","DateFormat=P","Fill=—","Direction=H","UseDPDF=Y")</f>
        <v>4</v>
      </c>
      <c r="E74" s="13">
        <f>_xll.BDH("HXL US Equity","SIZE_OF_AUDIT_COMMITTEE","FY 2015","FY 2015","Currency=USD","Period=FY","BEST_FPERIOD_OVERRIDE=FY","FILING_STATUS=MR","Sort=A","Dates=H","DateFormat=P","Fill=—","Direction=H","UseDPDF=Y")</f>
        <v>4</v>
      </c>
      <c r="F74" s="13">
        <f>_xll.BDH("HXL US Equity","SIZE_OF_AUDIT_COMMITTEE","FY 2016","FY 2016","Currency=USD","Period=FY","BEST_FPERIOD_OVERRIDE=FY","FILING_STATUS=MR","Sort=A","Dates=H","DateFormat=P","Fill=—","Direction=H","UseDPDF=Y")</f>
        <v>4</v>
      </c>
      <c r="G74" s="13">
        <f>_xll.BDH("HXL US Equity","SIZE_OF_AUDIT_COMMITTEE","FY 2017","FY 2017","Currency=USD","Period=FY","BEST_FPERIOD_OVERRIDE=FY","FILING_STATUS=MR","Sort=A","Dates=H","DateFormat=P","Fill=—","Direction=H","UseDPDF=Y")</f>
        <v>4</v>
      </c>
      <c r="H74" s="13">
        <f>_xll.BDH("HXL US Equity","SIZE_OF_AUDIT_COMMITTEE","FY 2018","FY 2018","Currency=USD","Period=FY","BEST_FPERIOD_OVERRIDE=FY","FILING_STATUS=MR","Sort=A","Dates=H","DateFormat=P","Fill=—","Direction=H","UseDPDF=Y")</f>
        <v>4</v>
      </c>
      <c r="I74" s="13">
        <f>_xll.BDH("HXL US Equity","SIZE_OF_AUDIT_COMMITTEE","FY 2019","FY 2019","Currency=USD","Period=FY","BEST_FPERIOD_OVERRIDE=FY","FILING_STATUS=MR","Sort=A","Dates=H","DateFormat=P","Fill=—","Direction=H","UseDPDF=Y")</f>
        <v>4</v>
      </c>
      <c r="J74" s="13">
        <f>_xll.BDH("HXL US Equity","SIZE_OF_AUDIT_COMMITTEE","FY 2020","FY 2020","Currency=USD","Period=FY","BEST_FPERIOD_OVERRIDE=FY","FILING_STATUS=MR","Sort=A","Dates=H","DateFormat=P","Fill=—","Direction=H","UseDPDF=Y")</f>
        <v>3</v>
      </c>
      <c r="K74" s="13">
        <f>_xll.BDH("HXL US Equity","SIZE_OF_AUDIT_COMMITTEE","FY 2021","FY 2021","Currency=USD","Period=FY","BEST_FPERIOD_OVERRIDE=FY","FILING_STATUS=MR","Sort=A","Dates=H","DateFormat=P","Fill=—","Direction=H","UseDPDF=Y")</f>
        <v>3</v>
      </c>
      <c r="L74" s="13">
        <f>_xll.BDH("HXL US Equity","SIZE_OF_AUDIT_COMMITTEE","FY 2022","FY 2022","Currency=USD","Period=FY","BEST_FPERIOD_OVERRIDE=FY","FILING_STATUS=MR","Sort=A","Dates=H","DateFormat=P","Fill=—","Direction=H","UseDPDF=Y")</f>
        <v>3</v>
      </c>
    </row>
    <row r="75" spans="1:12">
      <c r="A75" s="10" t="s">
        <v>114</v>
      </c>
      <c r="B75" s="10" t="s">
        <v>115</v>
      </c>
      <c r="C75" s="13">
        <f>_xll.BDH("HXL US Equity","NUM_IND_DIR_ON_AUD_CMTE","FY 2013","FY 2013","Currency=USD","Period=FY","BEST_FPERIOD_OVERRIDE=FY","FILING_STATUS=MR","Sort=A","Dates=H","DateFormat=P","Fill=—","Direction=H","UseDPDF=Y")</f>
        <v>4</v>
      </c>
      <c r="D75" s="13">
        <f>_xll.BDH("HXL US Equity","NUM_IND_DIR_ON_AUD_CMTE","FY 2014","FY 2014","Currency=USD","Period=FY","BEST_FPERIOD_OVERRIDE=FY","FILING_STATUS=MR","Sort=A","Dates=H","DateFormat=P","Fill=—","Direction=H","UseDPDF=Y")</f>
        <v>4</v>
      </c>
      <c r="E75" s="13">
        <f>_xll.BDH("HXL US Equity","NUM_IND_DIR_ON_AUD_CMTE","FY 2015","FY 2015","Currency=USD","Period=FY","BEST_FPERIOD_OVERRIDE=FY","FILING_STATUS=MR","Sort=A","Dates=H","DateFormat=P","Fill=—","Direction=H","UseDPDF=Y")</f>
        <v>4</v>
      </c>
      <c r="F75" s="13">
        <f>_xll.BDH("HXL US Equity","NUM_IND_DIR_ON_AUD_CMTE","FY 2016","FY 2016","Currency=USD","Period=FY","BEST_FPERIOD_OVERRIDE=FY","FILING_STATUS=MR","Sort=A","Dates=H","DateFormat=P","Fill=—","Direction=H","UseDPDF=Y")</f>
        <v>4</v>
      </c>
      <c r="G75" s="13">
        <f>_xll.BDH("HXL US Equity","NUM_IND_DIR_ON_AUD_CMTE","FY 2017","FY 2017","Currency=USD","Period=FY","BEST_FPERIOD_OVERRIDE=FY","FILING_STATUS=MR","Sort=A","Dates=H","DateFormat=P","Fill=—","Direction=H","UseDPDF=Y")</f>
        <v>4</v>
      </c>
      <c r="H75" s="13">
        <f>_xll.BDH("HXL US Equity","NUM_IND_DIR_ON_AUD_CMTE","FY 2018","FY 2018","Currency=USD","Period=FY","BEST_FPERIOD_OVERRIDE=FY","FILING_STATUS=MR","Sort=A","Dates=H","DateFormat=P","Fill=—","Direction=H","UseDPDF=Y")</f>
        <v>4</v>
      </c>
      <c r="I75" s="13">
        <f>_xll.BDH("HXL US Equity","NUM_IND_DIR_ON_AUD_CMTE","FY 2019","FY 2019","Currency=USD","Period=FY","BEST_FPERIOD_OVERRIDE=FY","FILING_STATUS=MR","Sort=A","Dates=H","DateFormat=P","Fill=—","Direction=H","UseDPDF=Y")</f>
        <v>4</v>
      </c>
      <c r="J75" s="13">
        <f>_xll.BDH("HXL US Equity","NUM_IND_DIR_ON_AUD_CMTE","FY 2020","FY 2020","Currency=USD","Period=FY","BEST_FPERIOD_OVERRIDE=FY","FILING_STATUS=MR","Sort=A","Dates=H","DateFormat=P","Fill=—","Direction=H","UseDPDF=Y")</f>
        <v>3</v>
      </c>
      <c r="K75" s="13">
        <f>_xll.BDH("HXL US Equity","NUM_IND_DIR_ON_AUD_CMTE","FY 2021","FY 2021","Currency=USD","Period=FY","BEST_FPERIOD_OVERRIDE=FY","FILING_STATUS=MR","Sort=A","Dates=H","DateFormat=P","Fill=—","Direction=H","UseDPDF=Y")</f>
        <v>3</v>
      </c>
      <c r="L75" s="13">
        <f>_xll.BDH("HXL US Equity","NUM_IND_DIR_ON_AUD_CMTE","FY 2022","FY 2022","Currency=USD","Period=FY","BEST_FPERIOD_OVERRIDE=FY","FILING_STATUS=MR","Sort=A","Dates=H","DateFormat=P","Fill=—","Direction=H","UseDPDF=Y")</f>
        <v>3</v>
      </c>
    </row>
    <row r="76" spans="1:12">
      <c r="A76" s="10" t="s">
        <v>116</v>
      </c>
      <c r="B76" s="10" t="s">
        <v>117</v>
      </c>
      <c r="C76" s="13">
        <f>_xll.BDH("HXL US Equity","AUDIT_COMMITTEE_MEETINGS","FY 2013","FY 2013","Currency=USD","Period=FY","BEST_FPERIOD_OVERRIDE=FY","FILING_STATUS=MR","Sort=A","Dates=H","DateFormat=P","Fill=—","Direction=H","UseDPDF=Y")</f>
        <v>8</v>
      </c>
      <c r="D76" s="13">
        <f>_xll.BDH("HXL US Equity","AUDIT_COMMITTEE_MEETINGS","FY 2014","FY 2014","Currency=USD","Period=FY","BEST_FPERIOD_OVERRIDE=FY","FILING_STATUS=MR","Sort=A","Dates=H","DateFormat=P","Fill=—","Direction=H","UseDPDF=Y")</f>
        <v>8</v>
      </c>
      <c r="E76" s="13">
        <f>_xll.BDH("HXL US Equity","AUDIT_COMMITTEE_MEETINGS","FY 2015","FY 2015","Currency=USD","Period=FY","BEST_FPERIOD_OVERRIDE=FY","FILING_STATUS=MR","Sort=A","Dates=H","DateFormat=P","Fill=—","Direction=H","UseDPDF=Y")</f>
        <v>8</v>
      </c>
      <c r="F76" s="13">
        <f>_xll.BDH("HXL US Equity","AUDIT_COMMITTEE_MEETINGS","FY 2016","FY 2016","Currency=USD","Period=FY","BEST_FPERIOD_OVERRIDE=FY","FILING_STATUS=MR","Sort=A","Dates=H","DateFormat=P","Fill=—","Direction=H","UseDPDF=Y")</f>
        <v>8</v>
      </c>
      <c r="G76" s="13">
        <f>_xll.BDH("HXL US Equity","AUDIT_COMMITTEE_MEETINGS","FY 2017","FY 2017","Currency=USD","Period=FY","BEST_FPERIOD_OVERRIDE=FY","FILING_STATUS=MR","Sort=A","Dates=H","DateFormat=P","Fill=—","Direction=H","UseDPDF=Y")</f>
        <v>8</v>
      </c>
      <c r="H76" s="13">
        <f>_xll.BDH("HXL US Equity","AUDIT_COMMITTEE_MEETINGS","FY 2018","FY 2018","Currency=USD","Period=FY","BEST_FPERIOD_OVERRIDE=FY","FILING_STATUS=MR","Sort=A","Dates=H","DateFormat=P","Fill=—","Direction=H","UseDPDF=Y")</f>
        <v>4</v>
      </c>
      <c r="I76" s="13">
        <f>_xll.BDH("HXL US Equity","AUDIT_COMMITTEE_MEETINGS","FY 2019","FY 2019","Currency=USD","Period=FY","BEST_FPERIOD_OVERRIDE=FY","FILING_STATUS=MR","Sort=A","Dates=H","DateFormat=P","Fill=—","Direction=H","UseDPDF=Y")</f>
        <v>8</v>
      </c>
      <c r="J76" s="13">
        <f>_xll.BDH("HXL US Equity","AUDIT_COMMITTEE_MEETINGS","FY 2020","FY 2020","Currency=USD","Period=FY","BEST_FPERIOD_OVERRIDE=FY","FILING_STATUS=MR","Sort=A","Dates=H","DateFormat=P","Fill=—","Direction=H","UseDPDF=Y")</f>
        <v>8</v>
      </c>
      <c r="K76" s="13">
        <f>_xll.BDH("HXL US Equity","AUDIT_COMMITTEE_MEETINGS","FY 2021","FY 2021","Currency=USD","Period=FY","BEST_FPERIOD_OVERRIDE=FY","FILING_STATUS=MR","Sort=A","Dates=H","DateFormat=P","Fill=—","Direction=H","UseDPDF=Y")</f>
        <v>8</v>
      </c>
      <c r="L76" s="13">
        <f>_xll.BDH("HXL US Equity","AUDIT_COMMITTEE_MEETINGS","FY 2022","FY 2022","Currency=USD","Period=FY","BEST_FPERIOD_OVERRIDE=FY","FILING_STATUS=MR","Sort=A","Dates=H","DateFormat=P","Fill=—","Direction=H","UseDPDF=Y")</f>
        <v>8</v>
      </c>
    </row>
    <row r="77" spans="1:12">
      <c r="A77" s="10" t="s">
        <v>118</v>
      </c>
      <c r="B77" s="10" t="s">
        <v>119</v>
      </c>
      <c r="C77" s="13">
        <f>_xll.BDH("HXL US Equity","AUDIT_COMMITTEE_MTG_ATTEND_PCT","FY 2013","FY 2013","Currency=USD","Period=FY","BEST_FPERIOD_OVERRIDE=FY","FILING_STATUS=MR","Sort=A","Dates=H","DateFormat=P","Fill=—","Direction=H","UseDPDF=Y")</f>
        <v>75</v>
      </c>
      <c r="D77" s="13">
        <f>_xll.BDH("HXL US Equity","AUDIT_COMMITTEE_MTG_ATTEND_PCT","FY 2014","FY 2014","Currency=USD","Period=FY","BEST_FPERIOD_OVERRIDE=FY","FILING_STATUS=MR","Sort=A","Dates=H","DateFormat=P","Fill=—","Direction=H","UseDPDF=Y")</f>
        <v>75</v>
      </c>
      <c r="E77" s="13">
        <f>_xll.BDH("HXL US Equity","AUDIT_COMMITTEE_MTG_ATTEND_PCT","FY 2015","FY 2015","Currency=USD","Period=FY","BEST_FPERIOD_OVERRIDE=FY","FILING_STATUS=MR","Sort=A","Dates=H","DateFormat=P","Fill=—","Direction=H","UseDPDF=Y")</f>
        <v>75</v>
      </c>
      <c r="F77" s="13">
        <f>_xll.BDH("HXL US Equity","AUDIT_COMMITTEE_MTG_ATTEND_PCT","FY 2016","FY 2016","Currency=USD","Period=FY","BEST_FPERIOD_OVERRIDE=FY","FILING_STATUS=MR","Sort=A","Dates=H","DateFormat=P","Fill=—","Direction=H","UseDPDF=Y")</f>
        <v>75</v>
      </c>
      <c r="G77" s="13">
        <f>_xll.BDH("HXL US Equity","AUDIT_COMMITTEE_MTG_ATTEND_PCT","FY 2017","FY 2017","Currency=USD","Period=FY","BEST_FPERIOD_OVERRIDE=FY","FILING_STATUS=MR","Sort=A","Dates=H","DateFormat=P","Fill=—","Direction=H","UseDPDF=Y")</f>
        <v>75</v>
      </c>
      <c r="H77" s="13">
        <f>_xll.BDH("HXL US Equity","AUDIT_COMMITTEE_MTG_ATTEND_PCT","FY 2018","FY 2018","Currency=USD","Period=FY","BEST_FPERIOD_OVERRIDE=FY","FILING_STATUS=MR","Sort=A","Dates=H","DateFormat=P","Fill=—","Direction=H","UseDPDF=Y")</f>
        <v>75</v>
      </c>
      <c r="I77" s="13">
        <f>_xll.BDH("HXL US Equity","AUDIT_COMMITTEE_MTG_ATTEND_PCT","FY 2019","FY 2019","Currency=USD","Period=FY","BEST_FPERIOD_OVERRIDE=FY","FILING_STATUS=MR","Sort=A","Dates=H","DateFormat=P","Fill=—","Direction=H","UseDPDF=Y")</f>
        <v>75</v>
      </c>
      <c r="J77" s="13">
        <f>_xll.BDH("HXL US Equity","AUDIT_COMMITTEE_MTG_ATTEND_PCT","FY 2020","FY 2020","Currency=USD","Period=FY","BEST_FPERIOD_OVERRIDE=FY","FILING_STATUS=MR","Sort=A","Dates=H","DateFormat=P","Fill=—","Direction=H","UseDPDF=Y")</f>
        <v>75</v>
      </c>
      <c r="K77" s="13">
        <f>_xll.BDH("HXL US Equity","AUDIT_COMMITTEE_MTG_ATTEND_PCT","FY 2021","FY 2021","Currency=USD","Period=FY","BEST_FPERIOD_OVERRIDE=FY","FILING_STATUS=MR","Sort=A","Dates=H","DateFormat=P","Fill=—","Direction=H","UseDPDF=Y")</f>
        <v>75</v>
      </c>
      <c r="L77" s="13">
        <f>_xll.BDH("HXL US Equity","AUDIT_COMMITTEE_MTG_ATTEND_PCT","FY 2022","FY 2022","Currency=USD","Period=FY","BEST_FPERIOD_OVERRIDE=FY","FILING_STATUS=MR","Sort=A","Dates=H","DateFormat=P","Fill=—","Direction=H","UseDPDF=Y")</f>
        <v>75</v>
      </c>
    </row>
    <row r="78" spans="1:1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spans="1:12">
      <c r="A79" s="10" t="s">
        <v>120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spans="1:12">
      <c r="A80" s="10" t="s">
        <v>121</v>
      </c>
      <c r="B80" s="10" t="s">
        <v>122</v>
      </c>
      <c r="C80" s="11" t="s">
        <v>46</v>
      </c>
      <c r="D80" s="11" t="s">
        <v>46</v>
      </c>
      <c r="E80" s="11" t="s">
        <v>48</v>
      </c>
      <c r="F80" s="11" t="s">
        <v>48</v>
      </c>
      <c r="G80" s="11" t="s">
        <v>48</v>
      </c>
      <c r="H80" s="11" t="s">
        <v>48</v>
      </c>
      <c r="I80" s="11" t="s">
        <v>48</v>
      </c>
      <c r="J80" s="11" t="s">
        <v>48</v>
      </c>
      <c r="K80" s="11" t="s">
        <v>48</v>
      </c>
      <c r="L80" s="11" t="s">
        <v>48</v>
      </c>
    </row>
    <row r="81" spans="1:12">
      <c r="A81" s="10" t="s">
        <v>123</v>
      </c>
      <c r="B81" s="10" t="s">
        <v>124</v>
      </c>
      <c r="C81" s="13">
        <f>_xll.BDH("HXL US Equity","BOARD_SIZE","FY 2013","FY 2013","Currency=USD","Period=FY","BEST_FPERIOD_OVERRIDE=FY","FILING_STATUS=MR","Sort=A","Dates=H","DateFormat=P","Fill=—","Direction=H","UseDPDF=Y")</f>
        <v>11</v>
      </c>
      <c r="D81" s="13">
        <f>_xll.BDH("HXL US Equity","BOARD_SIZE","FY 2014","FY 2014","Currency=USD","Period=FY","BEST_FPERIOD_OVERRIDE=FY","FILING_STATUS=MR","Sort=A","Dates=H","DateFormat=P","Fill=—","Direction=H","UseDPDF=Y")</f>
        <v>10</v>
      </c>
      <c r="E81" s="13">
        <f>_xll.BDH("HXL US Equity","BOARD_SIZE","FY 2015","FY 2015","Currency=USD","Period=FY","BEST_FPERIOD_OVERRIDE=FY","FILING_STATUS=MR","Sort=A","Dates=H","DateFormat=P","Fill=—","Direction=H","UseDPDF=Y")</f>
        <v>11</v>
      </c>
      <c r="F81" s="13">
        <f>_xll.BDH("HXL US Equity","BOARD_SIZE","FY 2016","FY 2016","Currency=USD","Period=FY","BEST_FPERIOD_OVERRIDE=FY","FILING_STATUS=MR","Sort=A","Dates=H","DateFormat=P","Fill=—","Direction=H","UseDPDF=Y")</f>
        <v>11</v>
      </c>
      <c r="G81" s="13">
        <f>_xll.BDH("HXL US Equity","BOARD_SIZE","FY 2017","FY 2017","Currency=USD","Period=FY","BEST_FPERIOD_OVERRIDE=FY","FILING_STATUS=MR","Sort=A","Dates=H","DateFormat=P","Fill=—","Direction=H","UseDPDF=Y")</f>
        <v>10</v>
      </c>
      <c r="H81" s="13">
        <f>_xll.BDH("HXL US Equity","BOARD_SIZE","FY 2018","FY 2018","Currency=USD","Period=FY","BEST_FPERIOD_OVERRIDE=FY","FILING_STATUS=MR","Sort=A","Dates=H","DateFormat=P","Fill=—","Direction=H","UseDPDF=Y")</f>
        <v>10</v>
      </c>
      <c r="I81" s="13">
        <f>_xll.BDH("HXL US Equity","BOARD_SIZE","FY 2019","FY 2019","Currency=USD","Period=FY","BEST_FPERIOD_OVERRIDE=FY","FILING_STATUS=MR","Sort=A","Dates=H","DateFormat=P","Fill=—","Direction=H","UseDPDF=Y")</f>
        <v>9</v>
      </c>
      <c r="J81" s="13">
        <f>_xll.BDH("HXL US Equity","BOARD_SIZE","FY 2020","FY 2020","Currency=USD","Period=FY","BEST_FPERIOD_OVERRIDE=FY","FILING_STATUS=MR","Sort=A","Dates=H","DateFormat=P","Fill=—","Direction=H","UseDPDF=Y")</f>
        <v>9</v>
      </c>
      <c r="K81" s="13">
        <f>_xll.BDH("HXL US Equity","BOARD_SIZE","FY 2021","FY 2021","Currency=USD","Period=FY","BEST_FPERIOD_OVERRIDE=FY","FILING_STATUS=MR","Sort=A","Dates=H","DateFormat=P","Fill=—","Direction=H","UseDPDF=Y")</f>
        <v>8</v>
      </c>
      <c r="L81" s="13">
        <f>_xll.BDH("HXL US Equity","BOARD_SIZE","FY 2022","FY 2022","Currency=USD","Period=FY","BEST_FPERIOD_OVERRIDE=FY","FILING_STATUS=MR","Sort=A","Dates=H","DateFormat=P","Fill=—","Direction=H","UseDPDF=Y")</f>
        <v>8</v>
      </c>
    </row>
    <row r="82" spans="1:12">
      <c r="A82" s="10" t="s">
        <v>125</v>
      </c>
      <c r="B82" s="10" t="s">
        <v>126</v>
      </c>
      <c r="C82" s="13">
        <f>_xll.BDH("HXL US Equity","NUM_EXECUTIVES_COMP_MANAGERS","FY 2013","FY 2013","Currency=USD","Period=FY","BEST_FPERIOD_OVERRIDE=FY","FILING_STATUS=MR","Sort=A","Dates=H","DateFormat=P","Fill=—","Direction=H","UseDPDF=Y")</f>
        <v>5</v>
      </c>
      <c r="D82" s="13">
        <f>_xll.BDH("HXL US Equity","NUM_EXECUTIVES_COMP_MANAGERS","FY 2014","FY 2014","Currency=USD","Period=FY","BEST_FPERIOD_OVERRIDE=FY","FILING_STATUS=MR","Sort=A","Dates=H","DateFormat=P","Fill=—","Direction=H","UseDPDF=Y")</f>
        <v>4</v>
      </c>
      <c r="E82" s="13">
        <f>_xll.BDH("HXL US Equity","NUM_EXECUTIVES_COMP_MANAGERS","FY 2015","FY 2015","Currency=USD","Period=FY","BEST_FPERIOD_OVERRIDE=FY","FILING_STATUS=MR","Sort=A","Dates=H","DateFormat=P","Fill=—","Direction=H","UseDPDF=Y")</f>
        <v>4</v>
      </c>
      <c r="F82" s="13">
        <f>_xll.BDH("HXL US Equity","NUM_EXECUTIVES_COMP_MANAGERS","FY 2016","FY 2016","Currency=USD","Period=FY","BEST_FPERIOD_OVERRIDE=FY","FILING_STATUS=MR","Sort=A","Dates=H","DateFormat=P","Fill=—","Direction=H","UseDPDF=Y")</f>
        <v>5</v>
      </c>
      <c r="G82" s="13">
        <f>_xll.BDH("HXL US Equity","NUM_EXECUTIVES_COMP_MANAGERS","FY 2017","FY 2017","Currency=USD","Period=FY","BEST_FPERIOD_OVERRIDE=FY","FILING_STATUS=MR","Sort=A","Dates=H","DateFormat=P","Fill=—","Direction=H","UseDPDF=Y")</f>
        <v>7</v>
      </c>
      <c r="H82" s="13">
        <f>_xll.BDH("HXL US Equity","NUM_EXECUTIVES_COMP_MANAGERS","FY 2018","FY 2018","Currency=USD","Period=FY","BEST_FPERIOD_OVERRIDE=FY","FILING_STATUS=MR","Sort=A","Dates=H","DateFormat=P","Fill=—","Direction=H","UseDPDF=Y")</f>
        <v>8</v>
      </c>
      <c r="I82" s="13">
        <f>_xll.BDH("HXL US Equity","NUM_EXECUTIVES_COMP_MANAGERS","FY 2019","FY 2019","Currency=USD","Period=FY","BEST_FPERIOD_OVERRIDE=FY","FILING_STATUS=MR","Sort=A","Dates=H","DateFormat=P","Fill=—","Direction=H","UseDPDF=Y")</f>
        <v>7</v>
      </c>
      <c r="J82" s="13">
        <f>_xll.BDH("HXL US Equity","NUM_EXECUTIVES_COMP_MANAGERS","FY 2020","FY 2020","Currency=USD","Period=FY","BEST_FPERIOD_OVERRIDE=FY","FILING_STATUS=MR","Sort=A","Dates=H","DateFormat=P","Fill=—","Direction=H","UseDPDF=Y")</f>
        <v>6</v>
      </c>
      <c r="K82" s="13">
        <f>_xll.BDH("HXL US Equity","NUM_EXECUTIVES_COMP_MANAGERS","FY 2021","FY 2021","Currency=USD","Period=FY","BEST_FPERIOD_OVERRIDE=FY","FILING_STATUS=MR","Sort=A","Dates=H","DateFormat=P","Fill=—","Direction=H","UseDPDF=Y")</f>
        <v>6</v>
      </c>
      <c r="L82" s="13">
        <f>_xll.BDH("HXL US Equity","NUM_EXECUTIVES_COMP_MANAGERS","FY 2022","FY 2022","Currency=USD","Period=FY","BEST_FPERIOD_OVERRIDE=FY","FILING_STATUS=MR","Sort=A","Dates=H","DateFormat=P","Fill=—","Direction=H","UseDPDF=Y")</f>
        <v>5</v>
      </c>
    </row>
    <row r="83" spans="1:12">
      <c r="A83" s="10" t="s">
        <v>127</v>
      </c>
      <c r="B83" s="10" t="s">
        <v>128</v>
      </c>
      <c r="C83" s="13">
        <f>_xll.BDH("HXL US Equity","NUM_OF_NONEXEC_DIR_ON_BRD","FY 2013","FY 2013","Currency=USD","Period=FY","BEST_FPERIOD_OVERRIDE=FY","FILING_STATUS=MR","Sort=A","Dates=H","DateFormat=P","Fill=—","Direction=H","UseDPDF=Y")</f>
        <v>9</v>
      </c>
      <c r="D83" s="13">
        <f>_xll.BDH("HXL US Equity","NUM_OF_NONEXEC_DIR_ON_BRD","FY 2014","FY 2014","Currency=USD","Period=FY","BEST_FPERIOD_OVERRIDE=FY","FILING_STATUS=MR","Sort=A","Dates=H","DateFormat=P","Fill=—","Direction=H","UseDPDF=Y")</f>
        <v>9</v>
      </c>
      <c r="E83" s="13">
        <f>_xll.BDH("HXL US Equity","NUM_OF_NONEXEC_DIR_ON_BRD","FY 2015","FY 2015","Currency=USD","Period=FY","BEST_FPERIOD_OVERRIDE=FY","FILING_STATUS=MR","Sort=A","Dates=H","DateFormat=P","Fill=—","Direction=H","UseDPDF=Y")</f>
        <v>10</v>
      </c>
      <c r="F83" s="13">
        <f>_xll.BDH("HXL US Equity","NUM_OF_NONEXEC_DIR_ON_BRD","FY 2016","FY 2016","Currency=USD","Period=FY","BEST_FPERIOD_OVERRIDE=FY","FILING_STATUS=MR","Sort=A","Dates=H","DateFormat=P","Fill=—","Direction=H","UseDPDF=Y")</f>
        <v>10</v>
      </c>
      <c r="G83" s="13">
        <f>_xll.BDH("HXL US Equity","NUM_OF_NONEXEC_DIR_ON_BRD","FY 2017","FY 2017","Currency=USD","Period=FY","BEST_FPERIOD_OVERRIDE=FY","FILING_STATUS=MR","Sort=A","Dates=H","DateFormat=P","Fill=—","Direction=H","UseDPDF=Y")</f>
        <v>9</v>
      </c>
      <c r="H83" s="13">
        <f>_xll.BDH("HXL US Equity","NUM_OF_NONEXEC_DIR_ON_BRD","FY 2018","FY 2018","Currency=USD","Period=FY","BEST_FPERIOD_OVERRIDE=FY","FILING_STATUS=MR","Sort=A","Dates=H","DateFormat=P","Fill=—","Direction=H","UseDPDF=Y")</f>
        <v>9</v>
      </c>
      <c r="I83" s="13">
        <f>_xll.BDH("HXL US Equity","NUM_OF_NONEXEC_DIR_ON_BRD","FY 2019","FY 2019","Currency=USD","Period=FY","BEST_FPERIOD_OVERRIDE=FY","FILING_STATUS=MR","Sort=A","Dates=H","DateFormat=P","Fill=—","Direction=H","UseDPDF=Y")</f>
        <v>8</v>
      </c>
      <c r="J83" s="13">
        <f>_xll.BDH("HXL US Equity","NUM_OF_NONEXEC_DIR_ON_BRD","FY 2020","FY 2020","Currency=USD","Period=FY","BEST_FPERIOD_OVERRIDE=FY","FILING_STATUS=MR","Sort=A","Dates=H","DateFormat=P","Fill=—","Direction=H","UseDPDF=Y")</f>
        <v>8</v>
      </c>
      <c r="K83" s="13">
        <f>_xll.BDH("HXL US Equity","NUM_OF_NONEXEC_DIR_ON_BRD","FY 2021","FY 2021","Currency=USD","Period=FY","BEST_FPERIOD_OVERRIDE=FY","FILING_STATUS=MR","Sort=A","Dates=H","DateFormat=P","Fill=—","Direction=H","UseDPDF=Y")</f>
        <v>7</v>
      </c>
      <c r="L83" s="13">
        <f>_xll.BDH("HXL US Equity","NUM_OF_NONEXEC_DIR_ON_BRD","FY 2022","FY 2022","Currency=USD","Period=FY","BEST_FPERIOD_OVERRIDE=FY","FILING_STATUS=MR","Sort=A","Dates=H","DateFormat=P","Fill=—","Direction=H","UseDPDF=Y")</f>
        <v>7</v>
      </c>
    </row>
    <row r="84" spans="1:12">
      <c r="A84" s="10" t="s">
        <v>129</v>
      </c>
      <c r="B84" s="10" t="s">
        <v>130</v>
      </c>
      <c r="C84" s="13">
        <f>_xll.BDH("HXL US Equity","BOARD_MEETINGS_PER_YR","FY 2013","FY 2013","Currency=USD","Period=FY","BEST_FPERIOD_OVERRIDE=FY","FILING_STATUS=MR","Sort=A","Dates=H","DateFormat=P","Fill=—","Direction=H","UseDPDF=Y")</f>
        <v>8</v>
      </c>
      <c r="D84" s="13">
        <f>_xll.BDH("HXL US Equity","BOARD_MEETINGS_PER_YR","FY 2014","FY 2014","Currency=USD","Period=FY","BEST_FPERIOD_OVERRIDE=FY","FILING_STATUS=MR","Sort=A","Dates=H","DateFormat=P","Fill=—","Direction=H","UseDPDF=Y")</f>
        <v>8</v>
      </c>
      <c r="E84" s="13">
        <f>_xll.BDH("HXL US Equity","BOARD_MEETINGS_PER_YR","FY 2015","FY 2015","Currency=USD","Period=FY","BEST_FPERIOD_OVERRIDE=FY","FILING_STATUS=MR","Sort=A","Dates=H","DateFormat=P","Fill=—","Direction=H","UseDPDF=Y")</f>
        <v>9</v>
      </c>
      <c r="F84" s="13">
        <f>_xll.BDH("HXL US Equity","BOARD_MEETINGS_PER_YR","FY 2016","FY 2016","Currency=USD","Period=FY","BEST_FPERIOD_OVERRIDE=FY","FILING_STATUS=MR","Sort=A","Dates=H","DateFormat=P","Fill=—","Direction=H","UseDPDF=Y")</f>
        <v>5</v>
      </c>
      <c r="G84" s="13">
        <f>_xll.BDH("HXL US Equity","BOARD_MEETINGS_PER_YR","FY 2017","FY 2017","Currency=USD","Period=FY","BEST_FPERIOD_OVERRIDE=FY","FILING_STATUS=MR","Sort=A","Dates=H","DateFormat=P","Fill=—","Direction=H","UseDPDF=Y")</f>
        <v>5</v>
      </c>
      <c r="H84" s="13">
        <f>_xll.BDH("HXL US Equity","BOARD_MEETINGS_PER_YR","FY 2018","FY 2018","Currency=USD","Period=FY","BEST_FPERIOD_OVERRIDE=FY","FILING_STATUS=MR","Sort=A","Dates=H","DateFormat=P","Fill=—","Direction=H","UseDPDF=Y")</f>
        <v>9</v>
      </c>
      <c r="I84" s="13">
        <f>_xll.BDH("HXL US Equity","BOARD_MEETINGS_PER_YR","FY 2019","FY 2019","Currency=USD","Period=FY","BEST_FPERIOD_OVERRIDE=FY","FILING_STATUS=MR","Sort=A","Dates=H","DateFormat=P","Fill=—","Direction=H","UseDPDF=Y")</f>
        <v>7</v>
      </c>
      <c r="J84" s="13">
        <f>_xll.BDH("HXL US Equity","BOARD_MEETINGS_PER_YR","FY 2020","FY 2020","Currency=USD","Period=FY","BEST_FPERIOD_OVERRIDE=FY","FILING_STATUS=MR","Sort=A","Dates=H","DateFormat=P","Fill=—","Direction=H","UseDPDF=Y")</f>
        <v>20</v>
      </c>
      <c r="K84" s="13">
        <f>_xll.BDH("HXL US Equity","BOARD_MEETINGS_PER_YR","FY 2021","FY 2021","Currency=USD","Period=FY","BEST_FPERIOD_OVERRIDE=FY","FILING_STATUS=MR","Sort=A","Dates=H","DateFormat=P","Fill=—","Direction=H","UseDPDF=Y")</f>
        <v>7</v>
      </c>
      <c r="L84" s="13">
        <f>_xll.BDH("HXL US Equity","BOARD_MEETINGS_PER_YR","FY 2022","FY 2022","Currency=USD","Period=FY","BEST_FPERIOD_OVERRIDE=FY","FILING_STATUS=MR","Sort=A","Dates=H","DateFormat=P","Fill=—","Direction=H","UseDPDF=Y")</f>
        <v>7</v>
      </c>
    </row>
    <row r="85" spans="1:12">
      <c r="A85" s="10" t="s">
        <v>131</v>
      </c>
      <c r="B85" s="10" t="s">
        <v>132</v>
      </c>
      <c r="C85" s="13">
        <f>_xll.BDH("HXL US Equity","BOARD_MEETING_ATTENDANCE_PCT","FY 2013","FY 2013","Currency=USD","Period=FY","BEST_FPERIOD_OVERRIDE=FY","FILING_STATUS=MR","Sort=A","Dates=H","DateFormat=P","Fill=—","Direction=H","UseDPDF=Y")</f>
        <v>75</v>
      </c>
      <c r="D85" s="13">
        <f>_xll.BDH("HXL US Equity","BOARD_MEETING_ATTENDANCE_PCT","FY 2014","FY 2014","Currency=USD","Period=FY","BEST_FPERIOD_OVERRIDE=FY","FILING_STATUS=MR","Sort=A","Dates=H","DateFormat=P","Fill=—","Direction=H","UseDPDF=Y")</f>
        <v>75</v>
      </c>
      <c r="E85" s="13">
        <f>_xll.BDH("HXL US Equity","BOARD_MEETING_ATTENDANCE_PCT","FY 2015","FY 2015","Currency=USD","Period=FY","BEST_FPERIOD_OVERRIDE=FY","FILING_STATUS=MR","Sort=A","Dates=H","DateFormat=P","Fill=—","Direction=H","UseDPDF=Y")</f>
        <v>75</v>
      </c>
      <c r="F85" s="13">
        <f>_xll.BDH("HXL US Equity","BOARD_MEETING_ATTENDANCE_PCT","FY 2016","FY 2016","Currency=USD","Period=FY","BEST_FPERIOD_OVERRIDE=FY","FILING_STATUS=MR","Sort=A","Dates=H","DateFormat=P","Fill=—","Direction=H","UseDPDF=Y")</f>
        <v>75</v>
      </c>
      <c r="G85" s="13">
        <f>_xll.BDH("HXL US Equity","BOARD_MEETING_ATTENDANCE_PCT","FY 2017","FY 2017","Currency=USD","Period=FY","BEST_FPERIOD_OVERRIDE=FY","FILING_STATUS=MR","Sort=A","Dates=H","DateFormat=P","Fill=—","Direction=H","UseDPDF=Y")</f>
        <v>75</v>
      </c>
      <c r="H85" s="13">
        <f>_xll.BDH("HXL US Equity","BOARD_MEETING_ATTENDANCE_PCT","FY 2018","FY 2018","Currency=USD","Period=FY","BEST_FPERIOD_OVERRIDE=FY","FILING_STATUS=MR","Sort=A","Dates=H","DateFormat=P","Fill=—","Direction=H","UseDPDF=Y")</f>
        <v>75</v>
      </c>
      <c r="I85" s="13">
        <f>_xll.BDH("HXL US Equity","BOARD_MEETING_ATTENDANCE_PCT","FY 2019","FY 2019","Currency=USD","Period=FY","BEST_FPERIOD_OVERRIDE=FY","FILING_STATUS=MR","Sort=A","Dates=H","DateFormat=P","Fill=—","Direction=H","UseDPDF=Y")</f>
        <v>74.11</v>
      </c>
      <c r="J85" s="13">
        <f>_xll.BDH("HXL US Equity","BOARD_MEETING_ATTENDANCE_PCT","FY 2020","FY 2020","Currency=USD","Period=FY","BEST_FPERIOD_OVERRIDE=FY","FILING_STATUS=MR","Sort=A","Dates=H","DateFormat=P","Fill=—","Direction=H","UseDPDF=Y")</f>
        <v>70.55</v>
      </c>
      <c r="K85" s="13">
        <f>_xll.BDH("HXL US Equity","BOARD_MEETING_ATTENDANCE_PCT","FY 2021","FY 2021","Currency=USD","Period=FY","BEST_FPERIOD_OVERRIDE=FY","FILING_STATUS=MR","Sort=A","Dates=H","DateFormat=P","Fill=—","Direction=H","UseDPDF=Y")</f>
        <v>75</v>
      </c>
      <c r="L85" s="13">
        <f>_xll.BDH("HXL US Equity","BOARD_MEETING_ATTENDANCE_PCT","FY 2022","FY 2022","Currency=USD","Period=FY","BEST_FPERIOD_OVERRIDE=FY","FILING_STATUS=MR","Sort=A","Dates=H","DateFormat=P","Fill=—","Direction=H","UseDPDF=Y")</f>
        <v>75</v>
      </c>
    </row>
    <row r="86" spans="1:12">
      <c r="A86" s="10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spans="1:12">
      <c r="A87" s="10" t="s">
        <v>133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spans="1:12">
      <c r="A88" s="10" t="s">
        <v>134</v>
      </c>
      <c r="B88" s="10" t="s">
        <v>135</v>
      </c>
      <c r="C88" s="11" t="s">
        <v>46</v>
      </c>
      <c r="D88" s="11" t="s">
        <v>46</v>
      </c>
      <c r="E88" s="11" t="s">
        <v>48</v>
      </c>
      <c r="F88" s="11" t="s">
        <v>48</v>
      </c>
      <c r="G88" s="11" t="s">
        <v>48</v>
      </c>
      <c r="H88" s="11" t="s">
        <v>48</v>
      </c>
      <c r="I88" s="11" t="s">
        <v>48</v>
      </c>
      <c r="J88" s="11" t="s">
        <v>48</v>
      </c>
      <c r="K88" s="11" t="s">
        <v>48</v>
      </c>
      <c r="L88" s="11" t="s">
        <v>48</v>
      </c>
    </row>
    <row r="89" spans="1:12">
      <c r="A89" s="10" t="s">
        <v>136</v>
      </c>
      <c r="B89" s="10" t="s">
        <v>137</v>
      </c>
      <c r="C89" s="11" t="s">
        <v>46</v>
      </c>
      <c r="D89" s="11" t="s">
        <v>46</v>
      </c>
      <c r="E89" s="11" t="s">
        <v>48</v>
      </c>
      <c r="F89" s="11" t="s">
        <v>48</v>
      </c>
      <c r="G89" s="11" t="s">
        <v>48</v>
      </c>
      <c r="H89" s="11" t="s">
        <v>48</v>
      </c>
      <c r="I89" s="11" t="s">
        <v>48</v>
      </c>
      <c r="J89" s="11" t="s">
        <v>48</v>
      </c>
      <c r="K89" s="11" t="s">
        <v>48</v>
      </c>
      <c r="L89" s="11" t="s">
        <v>48</v>
      </c>
    </row>
    <row r="90" spans="1:12">
      <c r="A90" s="10" t="s">
        <v>138</v>
      </c>
      <c r="B90" s="10" t="s">
        <v>139</v>
      </c>
      <c r="C90" s="13">
        <f>_xll.BDH("HXL US Equity","SIZE_OF_COMPENSATION_COMMITTEE","FY 2013","FY 2013","Currency=USD","Period=FY","BEST_FPERIOD_OVERRIDE=FY","FILING_STATUS=MR","Sort=A","Dates=H","DateFormat=P","Fill=—","Direction=H","UseDPDF=Y")</f>
        <v>4</v>
      </c>
      <c r="D90" s="13">
        <f>_xll.BDH("HXL US Equity","SIZE_OF_COMPENSATION_COMMITTEE","FY 2014","FY 2014","Currency=USD","Period=FY","BEST_FPERIOD_OVERRIDE=FY","FILING_STATUS=MR","Sort=A","Dates=H","DateFormat=P","Fill=—","Direction=H","UseDPDF=Y")</f>
        <v>5</v>
      </c>
      <c r="E90" s="13">
        <f>_xll.BDH("HXL US Equity","SIZE_OF_COMPENSATION_COMMITTEE","FY 2015","FY 2015","Currency=USD","Period=FY","BEST_FPERIOD_OVERRIDE=FY","FILING_STATUS=MR","Sort=A","Dates=H","DateFormat=P","Fill=—","Direction=H","UseDPDF=Y")</f>
        <v>4</v>
      </c>
      <c r="F90" s="13">
        <f>_xll.BDH("HXL US Equity","SIZE_OF_COMPENSATION_COMMITTEE","FY 2016","FY 2016","Currency=USD","Period=FY","BEST_FPERIOD_OVERRIDE=FY","FILING_STATUS=MR","Sort=A","Dates=H","DateFormat=P","Fill=—","Direction=H","UseDPDF=Y")</f>
        <v>4</v>
      </c>
      <c r="G90" s="13">
        <f>_xll.BDH("HXL US Equity","SIZE_OF_COMPENSATION_COMMITTEE","FY 2017","FY 2017","Currency=USD","Period=FY","BEST_FPERIOD_OVERRIDE=FY","FILING_STATUS=MR","Sort=A","Dates=H","DateFormat=P","Fill=—","Direction=H","UseDPDF=Y")</f>
        <v>3</v>
      </c>
      <c r="H90" s="13">
        <f>_xll.BDH("HXL US Equity","SIZE_OF_COMPENSATION_COMMITTEE","FY 2018","FY 2018","Currency=USD","Period=FY","BEST_FPERIOD_OVERRIDE=FY","FILING_STATUS=MR","Sort=A","Dates=H","DateFormat=P","Fill=—","Direction=H","UseDPDF=Y")</f>
        <v>4</v>
      </c>
      <c r="I90" s="13">
        <f>_xll.BDH("HXL US Equity","SIZE_OF_COMPENSATION_COMMITTEE","FY 2019","FY 2019","Currency=USD","Period=FY","BEST_FPERIOD_OVERRIDE=FY","FILING_STATUS=MR","Sort=A","Dates=H","DateFormat=P","Fill=—","Direction=H","UseDPDF=Y")</f>
        <v>3</v>
      </c>
      <c r="J90" s="13">
        <f>_xll.BDH("HXL US Equity","SIZE_OF_COMPENSATION_COMMITTEE","FY 2020","FY 2020","Currency=USD","Period=FY","BEST_FPERIOD_OVERRIDE=FY","FILING_STATUS=MR","Sort=A","Dates=H","DateFormat=P","Fill=—","Direction=H","UseDPDF=Y")</f>
        <v>3</v>
      </c>
      <c r="K90" s="13">
        <f>_xll.BDH("HXL US Equity","SIZE_OF_COMPENSATION_COMMITTEE","FY 2021","FY 2021","Currency=USD","Period=FY","BEST_FPERIOD_OVERRIDE=FY","FILING_STATUS=MR","Sort=A","Dates=H","DateFormat=P","Fill=—","Direction=H","UseDPDF=Y")</f>
        <v>3</v>
      </c>
      <c r="L90" s="13">
        <f>_xll.BDH("HXL US Equity","SIZE_OF_COMPENSATION_COMMITTEE","FY 2022","FY 2022","Currency=USD","Period=FY","BEST_FPERIOD_OVERRIDE=FY","FILING_STATUS=MR","Sort=A","Dates=H","DateFormat=P","Fill=—","Direction=H","UseDPDF=Y")</f>
        <v>3</v>
      </c>
    </row>
    <row r="91" spans="1:12">
      <c r="A91" s="10" t="s">
        <v>140</v>
      </c>
      <c r="B91" s="10" t="s">
        <v>141</v>
      </c>
      <c r="C91" s="13">
        <f>_xll.BDH("HXL US Equity","NUM_IND_DIR_ON_CMPNSTN_CMTE","FY 2013","FY 2013","Currency=USD","Period=FY","BEST_FPERIOD_OVERRIDE=FY","FILING_STATUS=MR","Sort=A","Dates=H","DateFormat=P","Fill=—","Direction=H","UseDPDF=Y")</f>
        <v>4</v>
      </c>
      <c r="D91" s="13">
        <f>_xll.BDH("HXL US Equity","NUM_IND_DIR_ON_CMPNSTN_CMTE","FY 2014","FY 2014","Currency=USD","Period=FY","BEST_FPERIOD_OVERRIDE=FY","FILING_STATUS=MR","Sort=A","Dates=H","DateFormat=P","Fill=—","Direction=H","UseDPDF=Y")</f>
        <v>5</v>
      </c>
      <c r="E91" s="13">
        <f>_xll.BDH("HXL US Equity","NUM_IND_DIR_ON_CMPNSTN_CMTE","FY 2015","FY 2015","Currency=USD","Period=FY","BEST_FPERIOD_OVERRIDE=FY","FILING_STATUS=MR","Sort=A","Dates=H","DateFormat=P","Fill=—","Direction=H","UseDPDF=Y")</f>
        <v>4</v>
      </c>
      <c r="F91" s="13">
        <f>_xll.BDH("HXL US Equity","NUM_IND_DIR_ON_CMPNSTN_CMTE","FY 2016","FY 2016","Currency=USD","Period=FY","BEST_FPERIOD_OVERRIDE=FY","FILING_STATUS=MR","Sort=A","Dates=H","DateFormat=P","Fill=—","Direction=H","UseDPDF=Y")</f>
        <v>4</v>
      </c>
      <c r="G91" s="13">
        <f>_xll.BDH("HXL US Equity","NUM_IND_DIR_ON_CMPNSTN_CMTE","FY 2017","FY 2017","Currency=USD","Period=FY","BEST_FPERIOD_OVERRIDE=FY","FILING_STATUS=MR","Sort=A","Dates=H","DateFormat=P","Fill=—","Direction=H","UseDPDF=Y")</f>
        <v>3</v>
      </c>
      <c r="H91" s="13">
        <f>_xll.BDH("HXL US Equity","NUM_IND_DIR_ON_CMPNSTN_CMTE","FY 2018","FY 2018","Currency=USD","Period=FY","BEST_FPERIOD_OVERRIDE=FY","FILING_STATUS=MR","Sort=A","Dates=H","DateFormat=P","Fill=—","Direction=H","UseDPDF=Y")</f>
        <v>4</v>
      </c>
      <c r="I91" s="13">
        <f>_xll.BDH("HXL US Equity","NUM_IND_DIR_ON_CMPNSTN_CMTE","FY 2019","FY 2019","Currency=USD","Period=FY","BEST_FPERIOD_OVERRIDE=FY","FILING_STATUS=MR","Sort=A","Dates=H","DateFormat=P","Fill=—","Direction=H","UseDPDF=Y")</f>
        <v>3</v>
      </c>
      <c r="J91" s="13">
        <f>_xll.BDH("HXL US Equity","NUM_IND_DIR_ON_CMPNSTN_CMTE","FY 2020","FY 2020","Currency=USD","Period=FY","BEST_FPERIOD_OVERRIDE=FY","FILING_STATUS=MR","Sort=A","Dates=H","DateFormat=P","Fill=—","Direction=H","UseDPDF=Y")</f>
        <v>3</v>
      </c>
      <c r="K91" s="13">
        <f>_xll.BDH("HXL US Equity","NUM_IND_DIR_ON_CMPNSTN_CMTE","FY 2021","FY 2021","Currency=USD","Period=FY","BEST_FPERIOD_OVERRIDE=FY","FILING_STATUS=MR","Sort=A","Dates=H","DateFormat=P","Fill=—","Direction=H","UseDPDF=Y")</f>
        <v>3</v>
      </c>
      <c r="L91" s="13">
        <f>_xll.BDH("HXL US Equity","NUM_IND_DIR_ON_CMPNSTN_CMTE","FY 2022","FY 2022","Currency=USD","Period=FY","BEST_FPERIOD_OVERRIDE=FY","FILING_STATUS=MR","Sort=A","Dates=H","DateFormat=P","Fill=—","Direction=H","UseDPDF=Y")</f>
        <v>3</v>
      </c>
    </row>
    <row r="92" spans="1:12">
      <c r="A92" s="10" t="s">
        <v>142</v>
      </c>
      <c r="B92" s="10" t="s">
        <v>143</v>
      </c>
      <c r="C92" s="13">
        <f>_xll.BDH("HXL US Equity","NUM_COMPENSATION_CMTE_MTG","FY 2013","FY 2013","Currency=USD","Period=FY","BEST_FPERIOD_OVERRIDE=FY","FILING_STATUS=MR","Sort=A","Dates=H","DateFormat=P","Fill=—","Direction=H","UseDPDF=Y")</f>
        <v>8</v>
      </c>
      <c r="D92" s="13">
        <f>_xll.BDH("HXL US Equity","NUM_COMPENSATION_CMTE_MTG","FY 2014","FY 2014","Currency=USD","Period=FY","BEST_FPERIOD_OVERRIDE=FY","FILING_STATUS=MR","Sort=A","Dates=H","DateFormat=P","Fill=—","Direction=H","UseDPDF=Y")</f>
        <v>6</v>
      </c>
      <c r="E92" s="13">
        <f>_xll.BDH("HXL US Equity","NUM_COMPENSATION_CMTE_MTG","FY 2015","FY 2015","Currency=USD","Period=FY","BEST_FPERIOD_OVERRIDE=FY","FILING_STATUS=MR","Sort=A","Dates=H","DateFormat=P","Fill=—","Direction=H","UseDPDF=Y")</f>
        <v>5</v>
      </c>
      <c r="F92" s="13">
        <f>_xll.BDH("HXL US Equity","NUM_COMPENSATION_CMTE_MTG","FY 2016","FY 2016","Currency=USD","Period=FY","BEST_FPERIOD_OVERRIDE=FY","FILING_STATUS=MR","Sort=A","Dates=H","DateFormat=P","Fill=—","Direction=H","UseDPDF=Y")</f>
        <v>6</v>
      </c>
      <c r="G92" s="13">
        <f>_xll.BDH("HXL US Equity","NUM_COMPENSATION_CMTE_MTG","FY 2017","FY 2017","Currency=USD","Period=FY","BEST_FPERIOD_OVERRIDE=FY","FILING_STATUS=MR","Sort=A","Dates=H","DateFormat=P","Fill=—","Direction=H","UseDPDF=Y")</f>
        <v>6</v>
      </c>
      <c r="H92" s="13">
        <f>_xll.BDH("HXL US Equity","NUM_COMPENSATION_CMTE_MTG","FY 2018","FY 2018","Currency=USD","Period=FY","BEST_FPERIOD_OVERRIDE=FY","FILING_STATUS=MR","Sort=A","Dates=H","DateFormat=P","Fill=—","Direction=H","UseDPDF=Y")</f>
        <v>6</v>
      </c>
      <c r="I92" s="13">
        <f>_xll.BDH("HXL US Equity","NUM_COMPENSATION_CMTE_MTG","FY 2019","FY 2019","Currency=USD","Period=FY","BEST_FPERIOD_OVERRIDE=FY","FILING_STATUS=MR","Sort=A","Dates=H","DateFormat=P","Fill=—","Direction=H","UseDPDF=Y")</f>
        <v>6</v>
      </c>
      <c r="J92" s="13">
        <f>_xll.BDH("HXL US Equity","NUM_COMPENSATION_CMTE_MTG","FY 2020","FY 2020","Currency=USD","Period=FY","BEST_FPERIOD_OVERRIDE=FY","FILING_STATUS=MR","Sort=A","Dates=H","DateFormat=P","Fill=—","Direction=H","UseDPDF=Y")</f>
        <v>5</v>
      </c>
      <c r="K92" s="13">
        <f>_xll.BDH("HXL US Equity","NUM_COMPENSATION_CMTE_MTG","FY 2021","FY 2021","Currency=USD","Period=FY","BEST_FPERIOD_OVERRIDE=FY","FILING_STATUS=MR","Sort=A","Dates=H","DateFormat=P","Fill=—","Direction=H","UseDPDF=Y")</f>
        <v>5</v>
      </c>
      <c r="L92" s="13">
        <f>_xll.BDH("HXL US Equity","NUM_COMPENSATION_CMTE_MTG","FY 2022","FY 2022","Currency=USD","Period=FY","BEST_FPERIOD_OVERRIDE=FY","FILING_STATUS=MR","Sort=A","Dates=H","DateFormat=P","Fill=—","Direction=H","UseDPDF=Y")</f>
        <v>5</v>
      </c>
    </row>
    <row r="93" spans="1:12">
      <c r="A93" s="10" t="s">
        <v>144</v>
      </c>
      <c r="B93" s="10" t="s">
        <v>145</v>
      </c>
      <c r="C93" s="13">
        <f>_xll.BDH("HXL US Equity","COMPENSATION_CMTE_MTG_ATTEND_PCT","FY 2013","FY 2013","Currency=USD","Period=FY","BEST_FPERIOD_OVERRIDE=FY","FILING_STATUS=MR","Sort=A","Dates=H","DateFormat=P","Fill=—","Direction=H","UseDPDF=Y")</f>
        <v>75</v>
      </c>
      <c r="D93" s="13">
        <f>_xll.BDH("HXL US Equity","COMPENSATION_CMTE_MTG_ATTEND_PCT","FY 2014","FY 2014","Currency=USD","Period=FY","BEST_FPERIOD_OVERRIDE=FY","FILING_STATUS=MR","Sort=A","Dates=H","DateFormat=P","Fill=—","Direction=H","UseDPDF=Y")</f>
        <v>75</v>
      </c>
      <c r="E93" s="13">
        <f>_xll.BDH("HXL US Equity","COMPENSATION_CMTE_MTG_ATTEND_PCT","FY 2015","FY 2015","Currency=USD","Period=FY","BEST_FPERIOD_OVERRIDE=FY","FILING_STATUS=MR","Sort=A","Dates=H","DateFormat=P","Fill=—","Direction=H","UseDPDF=Y")</f>
        <v>75</v>
      </c>
      <c r="F93" s="13">
        <f>_xll.BDH("HXL US Equity","COMPENSATION_CMTE_MTG_ATTEND_PCT","FY 2016","FY 2016","Currency=USD","Period=FY","BEST_FPERIOD_OVERRIDE=FY","FILING_STATUS=MR","Sort=A","Dates=H","DateFormat=P","Fill=—","Direction=H","UseDPDF=Y")</f>
        <v>75</v>
      </c>
      <c r="G93" s="13">
        <f>_xll.BDH("HXL US Equity","COMPENSATION_CMTE_MTG_ATTEND_PCT","FY 2017","FY 2017","Currency=USD","Period=FY","BEST_FPERIOD_OVERRIDE=FY","FILING_STATUS=MR","Sort=A","Dates=H","DateFormat=P","Fill=—","Direction=H","UseDPDF=Y")</f>
        <v>75</v>
      </c>
      <c r="H93" s="13">
        <f>_xll.BDH("HXL US Equity","COMPENSATION_CMTE_MTG_ATTEND_PCT","FY 2018","FY 2018","Currency=USD","Period=FY","BEST_FPERIOD_OVERRIDE=FY","FILING_STATUS=MR","Sort=A","Dates=H","DateFormat=P","Fill=—","Direction=H","UseDPDF=Y")</f>
        <v>75</v>
      </c>
      <c r="I93" s="13">
        <f>_xll.BDH("HXL US Equity","COMPENSATION_CMTE_MTG_ATTEND_PCT","FY 2019","FY 2019","Currency=USD","Period=FY","BEST_FPERIOD_OVERRIDE=FY","FILING_STATUS=MR","Sort=A","Dates=H","DateFormat=P","Fill=—","Direction=H","UseDPDF=Y")</f>
        <v>72.33</v>
      </c>
      <c r="J93" s="13">
        <f>_xll.BDH("HXL US Equity","COMPENSATION_CMTE_MTG_ATTEND_PCT","FY 2020","FY 2020","Currency=USD","Period=FY","BEST_FPERIOD_OVERRIDE=FY","FILING_STATUS=MR","Sort=A","Dates=H","DateFormat=P","Fill=—","Direction=H","UseDPDF=Y")</f>
        <v>75</v>
      </c>
      <c r="K93" s="13">
        <f>_xll.BDH("HXL US Equity","COMPENSATION_CMTE_MTG_ATTEND_PCT","FY 2021","FY 2021","Currency=USD","Period=FY","BEST_FPERIOD_OVERRIDE=FY","FILING_STATUS=MR","Sort=A","Dates=H","DateFormat=P","Fill=—","Direction=H","UseDPDF=Y")</f>
        <v>75</v>
      </c>
      <c r="L93" s="13">
        <f>_xll.BDH("HXL US Equity","COMPENSATION_CMTE_MTG_ATTEND_PCT","FY 2022","FY 2022","Currency=USD","Period=FY","BEST_FPERIOD_OVERRIDE=FY","FILING_STATUS=MR","Sort=A","Dates=H","DateFormat=P","Fill=—","Direction=H","UseDPDF=Y")</f>
        <v>75</v>
      </c>
    </row>
    <row r="94" spans="1:1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spans="1:12">
      <c r="A95" s="10" t="s">
        <v>84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spans="1:12">
      <c r="A96" s="10" t="s">
        <v>146</v>
      </c>
      <c r="B96" s="10" t="s">
        <v>147</v>
      </c>
      <c r="C96" s="13">
        <f>_xll.BDH("HXL US Equity","NUMBER_OF_FEMALE_EXECUTIVES","FY 2013","FY 2013","Currency=USD","Period=FY","BEST_FPERIOD_OVERRIDE=FY","FILING_STATUS=MR","Sort=A","Dates=H","DateFormat=P","Fill=—","Direction=H","UseDPDF=Y")</f>
        <v>0</v>
      </c>
      <c r="D96" s="13">
        <f>_xll.BDH("HXL US Equity","NUMBER_OF_FEMALE_EXECUTIVES","FY 2014","FY 2014","Currency=USD","Period=FY","BEST_FPERIOD_OVERRIDE=FY","FILING_STATUS=MR","Sort=A","Dates=H","DateFormat=P","Fill=—","Direction=H","UseDPDF=Y")</f>
        <v>0</v>
      </c>
      <c r="E96" s="13">
        <f>_xll.BDH("HXL US Equity","NUMBER_OF_FEMALE_EXECUTIVES","FY 2015","FY 2015","Currency=USD","Period=FY","BEST_FPERIOD_OVERRIDE=FY","FILING_STATUS=MR","Sort=A","Dates=H","DateFormat=P","Fill=—","Direction=H","UseDPDF=Y")</f>
        <v>0</v>
      </c>
      <c r="F96" s="13">
        <f>_xll.BDH("HXL US Equity","NUMBER_OF_FEMALE_EXECUTIVES","FY 2016","FY 2016","Currency=USD","Period=FY","BEST_FPERIOD_OVERRIDE=FY","FILING_STATUS=MR","Sort=A","Dates=H","DateFormat=P","Fill=—","Direction=H","UseDPDF=Y")</f>
        <v>0</v>
      </c>
      <c r="G96" s="13">
        <f>_xll.BDH("HXL US Equity","NUMBER_OF_FEMALE_EXECUTIVES","FY 2017","FY 2017","Currency=USD","Period=FY","BEST_FPERIOD_OVERRIDE=FY","FILING_STATUS=MR","Sort=A","Dates=H","DateFormat=P","Fill=—","Direction=H","UseDPDF=Y")</f>
        <v>1</v>
      </c>
      <c r="H96" s="13">
        <f>_xll.BDH("HXL US Equity","NUMBER_OF_FEMALE_EXECUTIVES","FY 2018","FY 2018","Currency=USD","Period=FY","BEST_FPERIOD_OVERRIDE=FY","FILING_STATUS=MR","Sort=A","Dates=H","DateFormat=P","Fill=—","Direction=H","UseDPDF=Y")</f>
        <v>2</v>
      </c>
      <c r="I96" s="13">
        <f>_xll.BDH("HXL US Equity","NUMBER_OF_FEMALE_EXECUTIVES","FY 2019","FY 2019","Currency=USD","Period=FY","BEST_FPERIOD_OVERRIDE=FY","FILING_STATUS=MR","Sort=A","Dates=H","DateFormat=P","Fill=—","Direction=H","UseDPDF=Y")</f>
        <v>2</v>
      </c>
      <c r="J96" s="13">
        <f>_xll.BDH("HXL US Equity","NUMBER_OF_FEMALE_EXECUTIVES","FY 2020","FY 2020","Currency=USD","Period=FY","BEST_FPERIOD_OVERRIDE=FY","FILING_STATUS=MR","Sort=A","Dates=H","DateFormat=P","Fill=—","Direction=H","UseDPDF=Y")</f>
        <v>2</v>
      </c>
      <c r="K96" s="13">
        <f>_xll.BDH("HXL US Equity","NUMBER_OF_FEMALE_EXECUTIVES","FY 2021","FY 2021","Currency=USD","Period=FY","BEST_FPERIOD_OVERRIDE=FY","FILING_STATUS=MR","Sort=A","Dates=H","DateFormat=P","Fill=—","Direction=H","UseDPDF=Y")</f>
        <v>2</v>
      </c>
      <c r="L96" s="13">
        <f>_xll.BDH("HXL US Equity","NUMBER_OF_FEMALE_EXECUTIVES","FY 2022","FY 2022","Currency=USD","Period=FY","BEST_FPERIOD_OVERRIDE=FY","FILING_STATUS=MR","Sort=A","Dates=H","DateFormat=P","Fill=—","Direction=H","UseDPDF=Y")</f>
        <v>2</v>
      </c>
    </row>
    <row r="97" spans="1:12">
      <c r="A97" s="10" t="s">
        <v>148</v>
      </c>
      <c r="B97" s="10" t="s">
        <v>149</v>
      </c>
      <c r="C97" s="13">
        <f>_xll.BDH("HXL US Equity","NUMBER_OF_WOMEN_ON_BOARD","FY 2013","FY 2013","Currency=USD","Period=FY","BEST_FPERIOD_OVERRIDE=FY","FILING_STATUS=MR","Sort=A","Dates=H","DateFormat=P","Fill=—","Direction=H","UseDPDF=Y")</f>
        <v>2</v>
      </c>
      <c r="D97" s="13">
        <f>_xll.BDH("HXL US Equity","NUMBER_OF_WOMEN_ON_BOARD","FY 2014","FY 2014","Currency=USD","Period=FY","BEST_FPERIOD_OVERRIDE=FY","FILING_STATUS=MR","Sort=A","Dates=H","DateFormat=P","Fill=—","Direction=H","UseDPDF=Y")</f>
        <v>1</v>
      </c>
      <c r="E97" s="13">
        <f>_xll.BDH("HXL US Equity","NUMBER_OF_WOMEN_ON_BOARD","FY 2015","FY 2015","Currency=USD","Period=FY","BEST_FPERIOD_OVERRIDE=FY","FILING_STATUS=MR","Sort=A","Dates=H","DateFormat=P","Fill=—","Direction=H","UseDPDF=Y")</f>
        <v>2</v>
      </c>
      <c r="F97" s="13">
        <f>_xll.BDH("HXL US Equity","NUMBER_OF_WOMEN_ON_BOARD","FY 2016","FY 2016","Currency=USD","Period=FY","BEST_FPERIOD_OVERRIDE=FY","FILING_STATUS=MR","Sort=A","Dates=H","DateFormat=P","Fill=—","Direction=H","UseDPDF=Y")</f>
        <v>2</v>
      </c>
      <c r="G97" s="13">
        <f>_xll.BDH("HXL US Equity","NUMBER_OF_WOMEN_ON_BOARD","FY 2017","FY 2017","Currency=USD","Period=FY","BEST_FPERIOD_OVERRIDE=FY","FILING_STATUS=MR","Sort=A","Dates=H","DateFormat=P","Fill=—","Direction=H","UseDPDF=Y")</f>
        <v>2</v>
      </c>
      <c r="H97" s="13">
        <f>_xll.BDH("HXL US Equity","NUMBER_OF_WOMEN_ON_BOARD","FY 2018","FY 2018","Currency=USD","Period=FY","BEST_FPERIOD_OVERRIDE=FY","FILING_STATUS=MR","Sort=A","Dates=H","DateFormat=P","Fill=—","Direction=H","UseDPDF=Y")</f>
        <v>3</v>
      </c>
      <c r="I97" s="13">
        <f>_xll.BDH("HXL US Equity","NUMBER_OF_WOMEN_ON_BOARD","FY 2019","FY 2019","Currency=USD","Period=FY","BEST_FPERIOD_OVERRIDE=FY","FILING_STATUS=MR","Sort=A","Dates=H","DateFormat=P","Fill=—","Direction=H","UseDPDF=Y")</f>
        <v>3</v>
      </c>
      <c r="J97" s="13">
        <f>_xll.BDH("HXL US Equity","NUMBER_OF_WOMEN_ON_BOARD","FY 2020","FY 2020","Currency=USD","Period=FY","BEST_FPERIOD_OVERRIDE=FY","FILING_STATUS=MR","Sort=A","Dates=H","DateFormat=P","Fill=—","Direction=H","UseDPDF=Y")</f>
        <v>3</v>
      </c>
      <c r="K97" s="13">
        <f>_xll.BDH("HXL US Equity","NUMBER_OF_WOMEN_ON_BOARD","FY 2021","FY 2021","Currency=USD","Period=FY","BEST_FPERIOD_OVERRIDE=FY","FILING_STATUS=MR","Sort=A","Dates=H","DateFormat=P","Fill=—","Direction=H","UseDPDF=Y")</f>
        <v>3</v>
      </c>
      <c r="L97" s="13">
        <f>_xll.BDH("HXL US Equity","NUMBER_OF_WOMEN_ON_BOARD","FY 2022","FY 2022","Currency=USD","Period=FY","BEST_FPERIOD_OVERRIDE=FY","FILING_STATUS=MR","Sort=A","Dates=H","DateFormat=P","Fill=—","Direction=H","UseDPDF=Y")</f>
        <v>3</v>
      </c>
    </row>
    <row r="98" spans="1:12">
      <c r="A98" s="10" t="s">
        <v>150</v>
      </c>
      <c r="B98" s="10" t="s">
        <v>151</v>
      </c>
      <c r="C98" s="13" t="str">
        <f>_xll.BDH("HXL US Equity","BOARD_AGE_LIMIT","FY 2013","FY 2013","Currency=USD","Period=FY","BEST_FPERIOD_OVERRIDE=FY","FILING_STATUS=MR","Sort=A","Dates=H","DateFormat=P","Fill=—","Direction=H","UseDPDF=Y")</f>
        <v>—</v>
      </c>
      <c r="D98" s="13" t="str">
        <f>_xll.BDH("HXL US Equity","BOARD_AGE_LIMIT","FY 2014","FY 2014","Currency=USD","Period=FY","BEST_FPERIOD_OVERRIDE=FY","FILING_STATUS=MR","Sort=A","Dates=H","DateFormat=P","Fill=—","Direction=H","UseDPDF=Y")</f>
        <v>—</v>
      </c>
      <c r="E98" s="13" t="str">
        <f>_xll.BDH("HXL US Equity","BOARD_AGE_LIMIT","FY 2015","FY 2015","Currency=USD","Period=FY","BEST_FPERIOD_OVERRIDE=FY","FILING_STATUS=MR","Sort=A","Dates=H","DateFormat=P","Fill=—","Direction=H","UseDPDF=Y")</f>
        <v>—</v>
      </c>
      <c r="F98" s="13" t="str">
        <f>_xll.BDH("HXL US Equity","BOARD_AGE_LIMIT","FY 2016","FY 2016","Currency=USD","Period=FY","BEST_FPERIOD_OVERRIDE=FY","FILING_STATUS=MR","Sort=A","Dates=H","DateFormat=P","Fill=—","Direction=H","UseDPDF=Y")</f>
        <v>—</v>
      </c>
      <c r="G98" s="13" t="str">
        <f>_xll.BDH("HXL US Equity","BOARD_AGE_LIMIT","FY 2017","FY 2017","Currency=USD","Period=FY","BEST_FPERIOD_OVERRIDE=FY","FILING_STATUS=MR","Sort=A","Dates=H","DateFormat=P","Fill=—","Direction=H","UseDPDF=Y")</f>
        <v>—</v>
      </c>
      <c r="H98" s="13">
        <f>_xll.BDH("HXL US Equity","BOARD_AGE_LIMIT","FY 2018","FY 2018","Currency=USD","Period=FY","BEST_FPERIOD_OVERRIDE=FY","FILING_STATUS=MR","Sort=A","Dates=H","DateFormat=P","Fill=—","Direction=H","UseDPDF=Y")</f>
        <v>70</v>
      </c>
      <c r="I98" s="13">
        <f>_xll.BDH("HXL US Equity","BOARD_AGE_LIMIT","FY 2019","FY 2019","Currency=USD","Period=FY","BEST_FPERIOD_OVERRIDE=FY","FILING_STATUS=MR","Sort=A","Dates=H","DateFormat=P","Fill=—","Direction=H","UseDPDF=Y")</f>
        <v>70</v>
      </c>
      <c r="J98" s="13">
        <f>_xll.BDH("HXL US Equity","BOARD_AGE_LIMIT","FY 2020","FY 2020","Currency=USD","Period=FY","BEST_FPERIOD_OVERRIDE=FY","FILING_STATUS=MR","Sort=A","Dates=H","DateFormat=P","Fill=—","Direction=H","UseDPDF=Y")</f>
        <v>70</v>
      </c>
      <c r="K98" s="13">
        <f>_xll.BDH("HXL US Equity","BOARD_AGE_LIMIT","FY 2021","FY 2021","Currency=USD","Period=FY","BEST_FPERIOD_OVERRIDE=FY","FILING_STATUS=MR","Sort=A","Dates=H","DateFormat=P","Fill=—","Direction=H","UseDPDF=Y")</f>
        <v>70</v>
      </c>
      <c r="L98" s="13">
        <f>_xll.BDH("HXL US Equity","BOARD_AGE_LIMIT","FY 2022","FY 2022","Currency=USD","Period=FY","BEST_FPERIOD_OVERRIDE=FY","FILING_STATUS=MR","Sort=A","Dates=H","DateFormat=P","Fill=—","Direction=H","UseDPDF=Y")</f>
        <v>70</v>
      </c>
    </row>
    <row r="99" spans="1:12">
      <c r="A99" s="10" t="s">
        <v>152</v>
      </c>
      <c r="B99" s="10" t="s">
        <v>153</v>
      </c>
      <c r="C99" s="13">
        <f>_xll.BDH("HXL US Equity","AGE_OF_YOUNGEST_DIRECTOR","FY 2013","FY 2013","Currency=USD","Period=FY","BEST_FPERIOD_OVERRIDE=FY","FILING_STATUS=MR","Sort=A","Dates=H","DateFormat=P","Fill=—","Direction=H","UseDPDF=Y")</f>
        <v>52</v>
      </c>
      <c r="D99" s="13">
        <f>_xll.BDH("HXL US Equity","AGE_OF_YOUNGEST_DIRECTOR","FY 2014","FY 2014","Currency=USD","Period=FY","BEST_FPERIOD_OVERRIDE=FY","FILING_STATUS=MR","Sort=A","Dates=H","DateFormat=P","Fill=—","Direction=H","UseDPDF=Y")</f>
        <v>53</v>
      </c>
      <c r="E99" s="13">
        <f>_xll.BDH("HXL US Equity","AGE_OF_YOUNGEST_DIRECTOR","FY 2015","FY 2015","Currency=USD","Period=FY","BEST_FPERIOD_OVERRIDE=FY","FILING_STATUS=MR","Sort=A","Dates=H","DateFormat=P","Fill=—","Direction=H","UseDPDF=Y")</f>
        <v>54</v>
      </c>
      <c r="F99" s="13">
        <f>_xll.BDH("HXL US Equity","AGE_OF_YOUNGEST_DIRECTOR","FY 2016","FY 2016","Currency=USD","Period=FY","BEST_FPERIOD_OVERRIDE=FY","FILING_STATUS=MR","Sort=A","Dates=H","DateFormat=P","Fill=—","Direction=H","UseDPDF=Y")</f>
        <v>55</v>
      </c>
      <c r="G99" s="13">
        <f>_xll.BDH("HXL US Equity","AGE_OF_YOUNGEST_DIRECTOR","FY 2017","FY 2017","Currency=USD","Period=FY","BEST_FPERIOD_OVERRIDE=FY","FILING_STATUS=MR","Sort=A","Dates=H","DateFormat=P","Fill=—","Direction=H","UseDPDF=Y")</f>
        <v>56</v>
      </c>
      <c r="H99" s="13">
        <f>_xll.BDH("HXL US Equity","AGE_OF_YOUNGEST_DIRECTOR","FY 2018","FY 2018","Currency=USD","Period=FY","BEST_FPERIOD_OVERRIDE=FY","FILING_STATUS=MR","Sort=A","Dates=H","DateFormat=P","Fill=—","Direction=H","UseDPDF=Y")</f>
        <v>57</v>
      </c>
      <c r="I99" s="13">
        <f>_xll.BDH("HXL US Equity","AGE_OF_YOUNGEST_DIRECTOR","FY 2019","FY 2019","Currency=USD","Period=FY","BEST_FPERIOD_OVERRIDE=FY","FILING_STATUS=MR","Sort=A","Dates=H","DateFormat=P","Fill=—","Direction=H","UseDPDF=Y")</f>
        <v>58</v>
      </c>
      <c r="J99" s="13">
        <f>_xll.BDH("HXL US Equity","AGE_OF_YOUNGEST_DIRECTOR","FY 2020","FY 2020","Currency=USD","Period=FY","BEST_FPERIOD_OVERRIDE=FY","FILING_STATUS=MR","Sort=A","Dates=H","DateFormat=P","Fill=—","Direction=H","UseDPDF=Y")</f>
        <v>43</v>
      </c>
      <c r="K99" s="13">
        <f>_xll.BDH("HXL US Equity","AGE_OF_YOUNGEST_DIRECTOR","FY 2021","FY 2021","Currency=USD","Period=FY","BEST_FPERIOD_OVERRIDE=FY","FILING_STATUS=MR","Sort=A","Dates=H","DateFormat=P","Fill=—","Direction=H","UseDPDF=Y")</f>
        <v>44</v>
      </c>
      <c r="L99" s="13">
        <f>_xll.BDH("HXL US Equity","AGE_OF_YOUNGEST_DIRECTOR","FY 2022","FY 2022","Currency=USD","Period=FY","BEST_FPERIOD_OVERRIDE=FY","FILING_STATUS=MR","Sort=A","Dates=H","DateFormat=P","Fill=—","Direction=H","UseDPDF=Y")</f>
        <v>45</v>
      </c>
    </row>
    <row r="100" spans="1:12">
      <c r="A100" s="10" t="s">
        <v>154</v>
      </c>
      <c r="B100" s="10" t="s">
        <v>155</v>
      </c>
      <c r="C100" s="13">
        <f>_xll.BDH("HXL US Equity","AGE_OF_OLDEST_DIRECTOR","FY 2013","FY 2013","Currency=USD","Period=FY","BEST_FPERIOD_OVERRIDE=FY","FILING_STATUS=MR","Sort=A","Dates=H","DateFormat=P","Fill=—","Direction=H","UseDPDF=Y")</f>
        <v>67</v>
      </c>
      <c r="D100" s="13">
        <f>_xll.BDH("HXL US Equity","AGE_OF_OLDEST_DIRECTOR","FY 2014","FY 2014","Currency=USD","Period=FY","BEST_FPERIOD_OVERRIDE=FY","FILING_STATUS=MR","Sort=A","Dates=H","DateFormat=P","Fill=—","Direction=H","UseDPDF=Y")</f>
        <v>68</v>
      </c>
      <c r="E100" s="13">
        <f>_xll.BDH("HXL US Equity","AGE_OF_OLDEST_DIRECTOR","FY 2015","FY 2015","Currency=USD","Period=FY","BEST_FPERIOD_OVERRIDE=FY","FILING_STATUS=MR","Sort=A","Dates=H","DateFormat=P","Fill=—","Direction=H","UseDPDF=Y")</f>
        <v>69</v>
      </c>
      <c r="F100" s="13">
        <f>_xll.BDH("HXL US Equity","AGE_OF_OLDEST_DIRECTOR","FY 2016","FY 2016","Currency=USD","Period=FY","BEST_FPERIOD_OVERRIDE=FY","FILING_STATUS=MR","Sort=A","Dates=H","DateFormat=P","Fill=—","Direction=H","UseDPDF=Y")</f>
        <v>70</v>
      </c>
      <c r="G100" s="13">
        <f>_xll.BDH("HXL US Equity","AGE_OF_OLDEST_DIRECTOR","FY 2017","FY 2017","Currency=USD","Period=FY","BEST_FPERIOD_OVERRIDE=FY","FILING_STATUS=MR","Sort=A","Dates=H","DateFormat=P","Fill=—","Direction=H","UseDPDF=Y")</f>
        <v>69</v>
      </c>
      <c r="H100" s="13">
        <f>_xll.BDH("HXL US Equity","AGE_OF_OLDEST_DIRECTOR","FY 2018","FY 2018","Currency=USD","Period=FY","BEST_FPERIOD_OVERRIDE=FY","FILING_STATUS=MR","Sort=A","Dates=H","DateFormat=P","Fill=—","Direction=H","UseDPDF=Y")</f>
        <v>70</v>
      </c>
      <c r="I100" s="13">
        <f>_xll.BDH("HXL US Equity","AGE_OF_OLDEST_DIRECTOR","FY 2019","FY 2019","Currency=USD","Period=FY","BEST_FPERIOD_OVERRIDE=FY","FILING_STATUS=MR","Sort=A","Dates=H","DateFormat=P","Fill=—","Direction=H","UseDPDF=Y")</f>
        <v>64</v>
      </c>
      <c r="J100" s="13">
        <f>_xll.BDH("HXL US Equity","AGE_OF_OLDEST_DIRECTOR","FY 2020","FY 2020","Currency=USD","Period=FY","BEST_FPERIOD_OVERRIDE=FY","FILING_STATUS=MR","Sort=A","Dates=H","DateFormat=P","Fill=—","Direction=H","UseDPDF=Y")</f>
        <v>65</v>
      </c>
      <c r="K100" s="13">
        <f>_xll.BDH("HXL US Equity","AGE_OF_OLDEST_DIRECTOR","FY 2021","FY 2021","Currency=USD","Period=FY","BEST_FPERIOD_OVERRIDE=FY","FILING_STATUS=MR","Sort=A","Dates=H","DateFormat=P","Fill=—","Direction=H","UseDPDF=Y")</f>
        <v>66</v>
      </c>
      <c r="L100" s="13">
        <f>_xll.BDH("HXL US Equity","AGE_OF_OLDEST_DIRECTOR","FY 2022","FY 2022","Currency=USD","Period=FY","BEST_FPERIOD_OVERRIDE=FY","FILING_STATUS=MR","Sort=A","Dates=H","DateFormat=P","Fill=—","Direction=H","UseDPDF=Y")</f>
        <v>67</v>
      </c>
    </row>
    <row r="101" spans="1:1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spans="1:12">
      <c r="A102" s="10" t="s">
        <v>156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spans="1:12">
      <c r="A103" s="10" t="s">
        <v>157</v>
      </c>
      <c r="B103" s="10" t="s">
        <v>158</v>
      </c>
      <c r="C103" s="13">
        <f>_xll.BDH("HXL US Equity","INDEPENDENT_DIRECTORS","FY 2013","FY 2013","Currency=USD","Period=FY","BEST_FPERIOD_OVERRIDE=FY","FILING_STATUS=MR","Sort=A","Dates=H","DateFormat=P","Fill=—","Direction=H","UseDPDF=Y")</f>
        <v>9</v>
      </c>
      <c r="D103" s="13">
        <f>_xll.BDH("HXL US Equity","INDEPENDENT_DIRECTORS","FY 2014","FY 2014","Currency=USD","Period=FY","BEST_FPERIOD_OVERRIDE=FY","FILING_STATUS=MR","Sort=A","Dates=H","DateFormat=P","Fill=—","Direction=H","UseDPDF=Y")</f>
        <v>9</v>
      </c>
      <c r="E103" s="13">
        <f>_xll.BDH("HXL US Equity","INDEPENDENT_DIRECTORS","FY 2015","FY 2015","Currency=USD","Period=FY","BEST_FPERIOD_OVERRIDE=FY","FILING_STATUS=MR","Sort=A","Dates=H","DateFormat=P","Fill=—","Direction=H","UseDPDF=Y")</f>
        <v>10</v>
      </c>
      <c r="F103" s="13">
        <f>_xll.BDH("HXL US Equity","INDEPENDENT_DIRECTORS","FY 2016","FY 2016","Currency=USD","Period=FY","BEST_FPERIOD_OVERRIDE=FY","FILING_STATUS=MR","Sort=A","Dates=H","DateFormat=P","Fill=—","Direction=H","UseDPDF=Y")</f>
        <v>10</v>
      </c>
      <c r="G103" s="13">
        <f>_xll.BDH("HXL US Equity","INDEPENDENT_DIRECTORS","FY 2017","FY 2017","Currency=USD","Period=FY","BEST_FPERIOD_OVERRIDE=FY","FILING_STATUS=MR","Sort=A","Dates=H","DateFormat=P","Fill=—","Direction=H","UseDPDF=Y")</f>
        <v>9</v>
      </c>
      <c r="H103" s="13">
        <f>_xll.BDH("HXL US Equity","INDEPENDENT_DIRECTORS","FY 2018","FY 2018","Currency=USD","Period=FY","BEST_FPERIOD_OVERRIDE=FY","FILING_STATUS=MR","Sort=A","Dates=H","DateFormat=P","Fill=—","Direction=H","UseDPDF=Y")</f>
        <v>9</v>
      </c>
      <c r="I103" s="13">
        <f>_xll.BDH("HXL US Equity","INDEPENDENT_DIRECTORS","FY 2019","FY 2019","Currency=USD","Period=FY","BEST_FPERIOD_OVERRIDE=FY","FILING_STATUS=MR","Sort=A","Dates=H","DateFormat=P","Fill=—","Direction=H","UseDPDF=Y")</f>
        <v>8</v>
      </c>
      <c r="J103" s="13">
        <f>_xll.BDH("HXL US Equity","INDEPENDENT_DIRECTORS","FY 2020","FY 2020","Currency=USD","Period=FY","BEST_FPERIOD_OVERRIDE=FY","FILING_STATUS=MR","Sort=A","Dates=H","DateFormat=P","Fill=—","Direction=H","UseDPDF=Y")</f>
        <v>8</v>
      </c>
      <c r="K103" s="13">
        <f>_xll.BDH("HXL US Equity","INDEPENDENT_DIRECTORS","FY 2021","FY 2021","Currency=USD","Period=FY","BEST_FPERIOD_OVERRIDE=FY","FILING_STATUS=MR","Sort=A","Dates=H","DateFormat=P","Fill=—","Direction=H","UseDPDF=Y")</f>
        <v>7</v>
      </c>
      <c r="L103" s="13">
        <f>_xll.BDH("HXL US Equity","INDEPENDENT_DIRECTORS","FY 2022","FY 2022","Currency=USD","Period=FY","BEST_FPERIOD_OVERRIDE=FY","FILING_STATUS=MR","Sort=A","Dates=H","DateFormat=P","Fill=—","Direction=H","UseDPDF=Y")</f>
        <v>7</v>
      </c>
    </row>
    <row r="104" spans="1:1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spans="1:12">
      <c r="A105" s="10" t="s">
        <v>159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spans="1:12">
      <c r="A106" s="10" t="s">
        <v>160</v>
      </c>
      <c r="B106" s="10" t="s">
        <v>161</v>
      </c>
      <c r="C106" s="13">
        <f>_xll.BDH("HXL US Equity","SIZE_OF_NOMINATION_COMMITTEE","FY 2013","FY 2013","Currency=USD","Period=FY","BEST_FPERIOD_OVERRIDE=FY","FILING_STATUS=MR","Sort=A","Dates=H","DateFormat=P","Fill=—","Direction=H","UseDPDF=Y")</f>
        <v>4</v>
      </c>
      <c r="D106" s="13">
        <f>_xll.BDH("HXL US Equity","SIZE_OF_NOMINATION_COMMITTEE","FY 2014","FY 2014","Currency=USD","Period=FY","BEST_FPERIOD_OVERRIDE=FY","FILING_STATUS=MR","Sort=A","Dates=H","DateFormat=P","Fill=—","Direction=H","UseDPDF=Y")</f>
        <v>4</v>
      </c>
      <c r="E106" s="13">
        <f>_xll.BDH("HXL US Equity","SIZE_OF_NOMINATION_COMMITTEE","FY 2015","FY 2015","Currency=USD","Period=FY","BEST_FPERIOD_OVERRIDE=FY","FILING_STATUS=MR","Sort=A","Dates=H","DateFormat=P","Fill=—","Direction=H","UseDPDF=Y")</f>
        <v>4</v>
      </c>
      <c r="F106" s="13">
        <f>_xll.BDH("HXL US Equity","SIZE_OF_NOMINATION_COMMITTEE","FY 2016","FY 2016","Currency=USD","Period=FY","BEST_FPERIOD_OVERRIDE=FY","FILING_STATUS=MR","Sort=A","Dates=H","DateFormat=P","Fill=—","Direction=H","UseDPDF=Y")</f>
        <v>5</v>
      </c>
      <c r="G106" s="13">
        <f>_xll.BDH("HXL US Equity","SIZE_OF_NOMINATION_COMMITTEE","FY 2017","FY 2017","Currency=USD","Period=FY","BEST_FPERIOD_OVERRIDE=FY","FILING_STATUS=MR","Sort=A","Dates=H","DateFormat=P","Fill=—","Direction=H","UseDPDF=Y")</f>
        <v>5</v>
      </c>
      <c r="H106" s="13">
        <f>_xll.BDH("HXL US Equity","SIZE_OF_NOMINATION_COMMITTEE","FY 2018","FY 2018","Currency=USD","Period=FY","BEST_FPERIOD_OVERRIDE=FY","FILING_STATUS=MR","Sort=A","Dates=H","DateFormat=P","Fill=—","Direction=H","UseDPDF=Y")</f>
        <v>4</v>
      </c>
      <c r="I106" s="13">
        <f>_xll.BDH("HXL US Equity","SIZE_OF_NOMINATION_COMMITTEE","FY 2019","FY 2019","Currency=USD","Period=FY","BEST_FPERIOD_OVERRIDE=FY","FILING_STATUS=MR","Sort=A","Dates=H","DateFormat=P","Fill=—","Direction=H","UseDPDF=Y")</f>
        <v>3</v>
      </c>
      <c r="J106" s="13">
        <f>_xll.BDH("HXL US Equity","SIZE_OF_NOMINATION_COMMITTEE","FY 2020","FY 2020","Currency=USD","Period=FY","BEST_FPERIOD_OVERRIDE=FY","FILING_STATUS=MR","Sort=A","Dates=H","DateFormat=P","Fill=—","Direction=H","UseDPDF=Y")</f>
        <v>4</v>
      </c>
      <c r="K106" s="13">
        <f>_xll.BDH("HXL US Equity","SIZE_OF_NOMINATION_COMMITTEE","FY 2021","FY 2021","Currency=USD","Period=FY","BEST_FPERIOD_OVERRIDE=FY","FILING_STATUS=MR","Sort=A","Dates=H","DateFormat=P","Fill=—","Direction=H","UseDPDF=Y")</f>
        <v>4</v>
      </c>
      <c r="L106" s="13">
        <f>_xll.BDH("HXL US Equity","SIZE_OF_NOMINATION_COMMITTEE","FY 2022","FY 2022","Currency=USD","Period=FY","BEST_FPERIOD_OVERRIDE=FY","FILING_STATUS=MR","Sort=A","Dates=H","DateFormat=P","Fill=—","Direction=H","UseDPDF=Y")</f>
        <v>4</v>
      </c>
    </row>
    <row r="107" spans="1:12">
      <c r="A107" s="10" t="s">
        <v>162</v>
      </c>
      <c r="B107" s="10" t="s">
        <v>163</v>
      </c>
      <c r="C107" s="13">
        <f>_xll.BDH("HXL US Equity","NUM_IND_DIR_ON_NOM_CMTE","FY 2013","FY 2013","Currency=USD","Period=FY","BEST_FPERIOD_OVERRIDE=FY","FILING_STATUS=MR","Sort=A","Dates=H","DateFormat=P","Fill=—","Direction=H","UseDPDF=Y")</f>
        <v>4</v>
      </c>
      <c r="D107" s="13">
        <f>_xll.BDH("HXL US Equity","NUM_IND_DIR_ON_NOM_CMTE","FY 2014","FY 2014","Currency=USD","Period=FY","BEST_FPERIOD_OVERRIDE=FY","FILING_STATUS=MR","Sort=A","Dates=H","DateFormat=P","Fill=—","Direction=H","UseDPDF=Y")</f>
        <v>4</v>
      </c>
      <c r="E107" s="13">
        <f>_xll.BDH("HXL US Equity","NUM_IND_DIR_ON_NOM_CMTE","FY 2015","FY 2015","Currency=USD","Period=FY","BEST_FPERIOD_OVERRIDE=FY","FILING_STATUS=MR","Sort=A","Dates=H","DateFormat=P","Fill=—","Direction=H","UseDPDF=Y")</f>
        <v>4</v>
      </c>
      <c r="F107" s="13">
        <f>_xll.BDH("HXL US Equity","NUM_IND_DIR_ON_NOM_CMTE","FY 2016","FY 2016","Currency=USD","Period=FY","BEST_FPERIOD_OVERRIDE=FY","FILING_STATUS=MR","Sort=A","Dates=H","DateFormat=P","Fill=—","Direction=H","UseDPDF=Y")</f>
        <v>5</v>
      </c>
      <c r="G107" s="13">
        <f>_xll.BDH("HXL US Equity","NUM_IND_DIR_ON_NOM_CMTE","FY 2017","FY 2017","Currency=USD","Period=FY","BEST_FPERIOD_OVERRIDE=FY","FILING_STATUS=MR","Sort=A","Dates=H","DateFormat=P","Fill=—","Direction=H","UseDPDF=Y")</f>
        <v>5</v>
      </c>
      <c r="H107" s="13">
        <f>_xll.BDH("HXL US Equity","NUM_IND_DIR_ON_NOM_CMTE","FY 2018","FY 2018","Currency=USD","Period=FY","BEST_FPERIOD_OVERRIDE=FY","FILING_STATUS=MR","Sort=A","Dates=H","DateFormat=P","Fill=—","Direction=H","UseDPDF=Y")</f>
        <v>4</v>
      </c>
      <c r="I107" s="13">
        <f>_xll.BDH("HXL US Equity","NUM_IND_DIR_ON_NOM_CMTE","FY 2019","FY 2019","Currency=USD","Period=FY","BEST_FPERIOD_OVERRIDE=FY","FILING_STATUS=MR","Sort=A","Dates=H","DateFormat=P","Fill=—","Direction=H","UseDPDF=Y")</f>
        <v>3</v>
      </c>
      <c r="J107" s="13">
        <f>_xll.BDH("HXL US Equity","NUM_IND_DIR_ON_NOM_CMTE","FY 2020","FY 2020","Currency=USD","Period=FY","BEST_FPERIOD_OVERRIDE=FY","FILING_STATUS=MR","Sort=A","Dates=H","DateFormat=P","Fill=—","Direction=H","UseDPDF=Y")</f>
        <v>4</v>
      </c>
      <c r="K107" s="13">
        <f>_xll.BDH("HXL US Equity","NUM_IND_DIR_ON_NOM_CMTE","FY 2021","FY 2021","Currency=USD","Period=FY","BEST_FPERIOD_OVERRIDE=FY","FILING_STATUS=MR","Sort=A","Dates=H","DateFormat=P","Fill=—","Direction=H","UseDPDF=Y")</f>
        <v>4</v>
      </c>
      <c r="L107" s="13">
        <f>_xll.BDH("HXL US Equity","NUM_IND_DIR_ON_NOM_CMTE","FY 2022","FY 2022","Currency=USD","Period=FY","BEST_FPERIOD_OVERRIDE=FY","FILING_STATUS=MR","Sort=A","Dates=H","DateFormat=P","Fill=—","Direction=H","UseDPDF=Y")</f>
        <v>4</v>
      </c>
    </row>
    <row r="108" spans="1:12">
      <c r="A108" s="10" t="s">
        <v>164</v>
      </c>
      <c r="B108" s="10" t="s">
        <v>165</v>
      </c>
      <c r="C108" s="13">
        <f>_xll.BDH("HXL US Equity","NUM_OF_NOMINATION_CMTE_MTG","FY 2013","FY 2013","Currency=USD","Period=FY","BEST_FPERIOD_OVERRIDE=FY","FILING_STATUS=MR","Sort=A","Dates=H","DateFormat=P","Fill=—","Direction=H","UseDPDF=Y")</f>
        <v>3</v>
      </c>
      <c r="D108" s="13">
        <f>_xll.BDH("HXL US Equity","NUM_OF_NOMINATION_CMTE_MTG","FY 2014","FY 2014","Currency=USD","Period=FY","BEST_FPERIOD_OVERRIDE=FY","FILING_STATUS=MR","Sort=A","Dates=H","DateFormat=P","Fill=—","Direction=H","UseDPDF=Y")</f>
        <v>2</v>
      </c>
      <c r="E108" s="13">
        <f>_xll.BDH("HXL US Equity","NUM_OF_NOMINATION_CMTE_MTG","FY 2015","FY 2015","Currency=USD","Period=FY","BEST_FPERIOD_OVERRIDE=FY","FILING_STATUS=MR","Sort=A","Dates=H","DateFormat=P","Fill=—","Direction=H","UseDPDF=Y")</f>
        <v>2</v>
      </c>
      <c r="F108" s="13">
        <f>_xll.BDH("HXL US Equity","NUM_OF_NOMINATION_CMTE_MTG","FY 2016","FY 2016","Currency=USD","Period=FY","BEST_FPERIOD_OVERRIDE=FY","FILING_STATUS=MR","Sort=A","Dates=H","DateFormat=P","Fill=—","Direction=H","UseDPDF=Y")</f>
        <v>4</v>
      </c>
      <c r="G108" s="13">
        <f>_xll.BDH("HXL US Equity","NUM_OF_NOMINATION_CMTE_MTG","FY 2017","FY 2017","Currency=USD","Period=FY","BEST_FPERIOD_OVERRIDE=FY","FILING_STATUS=MR","Sort=A","Dates=H","DateFormat=P","Fill=—","Direction=H","UseDPDF=Y")</f>
        <v>4</v>
      </c>
      <c r="H108" s="13">
        <f>_xll.BDH("HXL US Equity","NUM_OF_NOMINATION_CMTE_MTG","FY 2018","FY 2018","Currency=USD","Period=FY","BEST_FPERIOD_OVERRIDE=FY","FILING_STATUS=MR","Sort=A","Dates=H","DateFormat=P","Fill=—","Direction=H","UseDPDF=Y")</f>
        <v>3</v>
      </c>
      <c r="I108" s="13">
        <f>_xll.BDH("HXL US Equity","NUM_OF_NOMINATION_CMTE_MTG","FY 2019","FY 2019","Currency=USD","Period=FY","BEST_FPERIOD_OVERRIDE=FY","FILING_STATUS=MR","Sort=A","Dates=H","DateFormat=P","Fill=—","Direction=H","UseDPDF=Y")</f>
        <v>2</v>
      </c>
      <c r="J108" s="13">
        <f>_xll.BDH("HXL US Equity","NUM_OF_NOMINATION_CMTE_MTG","FY 2020","FY 2020","Currency=USD","Period=FY","BEST_FPERIOD_OVERRIDE=FY","FILING_STATUS=MR","Sort=A","Dates=H","DateFormat=P","Fill=—","Direction=H","UseDPDF=Y")</f>
        <v>3</v>
      </c>
      <c r="K108" s="13">
        <f>_xll.BDH("HXL US Equity","NUM_OF_NOMINATION_CMTE_MTG","FY 2021","FY 2021","Currency=USD","Period=FY","BEST_FPERIOD_OVERRIDE=FY","FILING_STATUS=MR","Sort=A","Dates=H","DateFormat=P","Fill=—","Direction=H","UseDPDF=Y")</f>
        <v>2</v>
      </c>
      <c r="L108" s="13">
        <f>_xll.BDH("HXL US Equity","NUM_OF_NOMINATION_CMTE_MTG","FY 2022","FY 2022","Currency=USD","Period=FY","BEST_FPERIOD_OVERRIDE=FY","FILING_STATUS=MR","Sort=A","Dates=H","DateFormat=P","Fill=—","Direction=H","UseDPDF=Y")</f>
        <v>2</v>
      </c>
    </row>
    <row r="109" spans="1:12">
      <c r="A109" s="10" t="s">
        <v>166</v>
      </c>
      <c r="B109" s="10" t="s">
        <v>167</v>
      </c>
      <c r="C109" s="13">
        <f>_xll.BDH("HXL US Equity","NOMINATION_CMTE_MTG_ATTEND_PCT","FY 2013","FY 2013","Currency=USD","Period=FY","BEST_FPERIOD_OVERRIDE=FY","FILING_STATUS=MR","Sort=A","Dates=H","DateFormat=P","Fill=—","Direction=H","UseDPDF=Y")</f>
        <v>75</v>
      </c>
      <c r="D109" s="13">
        <f>_xll.BDH("HXL US Equity","NOMINATION_CMTE_MTG_ATTEND_PCT","FY 2014","FY 2014","Currency=USD","Period=FY","BEST_FPERIOD_OVERRIDE=FY","FILING_STATUS=MR","Sort=A","Dates=H","DateFormat=P","Fill=—","Direction=H","UseDPDF=Y")</f>
        <v>75</v>
      </c>
      <c r="E109" s="13">
        <f>_xll.BDH("HXL US Equity","NOMINATION_CMTE_MTG_ATTEND_PCT","FY 2015","FY 2015","Currency=USD","Period=FY","BEST_FPERIOD_OVERRIDE=FY","FILING_STATUS=MR","Sort=A","Dates=H","DateFormat=P","Fill=—","Direction=H","UseDPDF=Y")</f>
        <v>75</v>
      </c>
      <c r="F109" s="13">
        <f>_xll.BDH("HXL US Equity","NOMINATION_CMTE_MTG_ATTEND_PCT","FY 2016","FY 2016","Currency=USD","Period=FY","BEST_FPERIOD_OVERRIDE=FY","FILING_STATUS=MR","Sort=A","Dates=H","DateFormat=P","Fill=—","Direction=H","UseDPDF=Y")</f>
        <v>75</v>
      </c>
      <c r="G109" s="13">
        <f>_xll.BDH("HXL US Equity","NOMINATION_CMTE_MTG_ATTEND_PCT","FY 2017","FY 2017","Currency=USD","Period=FY","BEST_FPERIOD_OVERRIDE=FY","FILING_STATUS=MR","Sort=A","Dates=H","DateFormat=P","Fill=—","Direction=H","UseDPDF=Y")</f>
        <v>75</v>
      </c>
      <c r="H109" s="13">
        <f>_xll.BDH("HXL US Equity","NOMINATION_CMTE_MTG_ATTEND_PCT","FY 2018","FY 2018","Currency=USD","Period=FY","BEST_FPERIOD_OVERRIDE=FY","FILING_STATUS=MR","Sort=A","Dates=H","DateFormat=P","Fill=—","Direction=H","UseDPDF=Y")</f>
        <v>75</v>
      </c>
      <c r="I109" s="13">
        <f>_xll.BDH("HXL US Equity","NOMINATION_CMTE_MTG_ATTEND_PCT","FY 2019","FY 2019","Currency=USD","Period=FY","BEST_FPERIOD_OVERRIDE=FY","FILING_STATUS=MR","Sort=A","Dates=H","DateFormat=P","Fill=—","Direction=H","UseDPDF=Y")</f>
        <v>75</v>
      </c>
      <c r="J109" s="13">
        <f>_xll.BDH("HXL US Equity","NOMINATION_CMTE_MTG_ATTEND_PCT","FY 2020","FY 2020","Currency=USD","Period=FY","BEST_FPERIOD_OVERRIDE=FY","FILING_STATUS=MR","Sort=A","Dates=H","DateFormat=P","Fill=—","Direction=H","UseDPDF=Y")</f>
        <v>75</v>
      </c>
      <c r="K109" s="13">
        <f>_xll.BDH("HXL US Equity","NOMINATION_CMTE_MTG_ATTEND_PCT","FY 2021","FY 2021","Currency=USD","Period=FY","BEST_FPERIOD_OVERRIDE=FY","FILING_STATUS=MR","Sort=A","Dates=H","DateFormat=P","Fill=—","Direction=H","UseDPDF=Y")</f>
        <v>75</v>
      </c>
      <c r="L109" s="13">
        <f>_xll.BDH("HXL US Equity","NOMINATION_CMTE_MTG_ATTEND_PCT","FY 2022","FY 2022","Currency=USD","Period=FY","BEST_FPERIOD_OVERRIDE=FY","FILING_STATUS=MR","Sort=A","Dates=H","DateFormat=P","Fill=—","Direction=H","UseDPDF=Y")</f>
        <v>75</v>
      </c>
    </row>
    <row r="110" spans="1:1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spans="1:12">
      <c r="A111" s="10" t="s">
        <v>168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spans="1:12">
      <c r="A112" s="10" t="s">
        <v>169</v>
      </c>
      <c r="B112" s="10" t="s">
        <v>170</v>
      </c>
      <c r="C112" s="11" t="s">
        <v>46</v>
      </c>
      <c r="D112" s="11" t="s">
        <v>46</v>
      </c>
      <c r="E112" s="11" t="s">
        <v>47</v>
      </c>
      <c r="F112" s="11" t="s">
        <v>47</v>
      </c>
      <c r="G112" s="11" t="s">
        <v>47</v>
      </c>
      <c r="H112" s="11" t="s">
        <v>47</v>
      </c>
      <c r="I112" s="11" t="s">
        <v>47</v>
      </c>
      <c r="J112" s="11" t="s">
        <v>47</v>
      </c>
      <c r="K112" s="11" t="s">
        <v>47</v>
      </c>
      <c r="L112" s="11" t="s">
        <v>47</v>
      </c>
    </row>
    <row r="113" spans="1:12">
      <c r="A113" s="10" t="s">
        <v>171</v>
      </c>
      <c r="B113" s="10" t="s">
        <v>172</v>
      </c>
      <c r="C113" s="11" t="s">
        <v>46</v>
      </c>
      <c r="D113" s="11" t="s">
        <v>46</v>
      </c>
      <c r="E113" s="11" t="s">
        <v>47</v>
      </c>
      <c r="F113" s="11" t="s">
        <v>47</v>
      </c>
      <c r="G113" s="11" t="s">
        <v>47</v>
      </c>
      <c r="H113" s="11" t="s">
        <v>47</v>
      </c>
      <c r="I113" s="11" t="s">
        <v>47</v>
      </c>
      <c r="J113" s="11" t="s">
        <v>47</v>
      </c>
      <c r="K113" s="11" t="s">
        <v>47</v>
      </c>
      <c r="L113" s="11" t="s">
        <v>47</v>
      </c>
    </row>
    <row r="114" spans="1:1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spans="1:12">
      <c r="A115" s="10" t="s">
        <v>173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spans="1:12">
      <c r="A116" s="10" t="s">
        <v>174</v>
      </c>
      <c r="B116" s="10" t="s">
        <v>175</v>
      </c>
      <c r="C116" s="13">
        <f>_xll.BDH("HXL US Equity","BOARD_DURATION","FY 2013","FY 2013","Currency=USD","Period=FY","BEST_FPERIOD_OVERRIDE=FY","FILING_STATUS=MR","Sort=A","Dates=H","DateFormat=P","Fill=—","Direction=H","UseDPDF=Y")</f>
        <v>1</v>
      </c>
      <c r="D116" s="13">
        <f>_xll.BDH("HXL US Equity","BOARD_DURATION","FY 2014","FY 2014","Currency=USD","Period=FY","BEST_FPERIOD_OVERRIDE=FY","FILING_STATUS=MR","Sort=A","Dates=H","DateFormat=P","Fill=—","Direction=H","UseDPDF=Y")</f>
        <v>1</v>
      </c>
      <c r="E116" s="13">
        <f>_xll.BDH("HXL US Equity","BOARD_DURATION","FY 2015","FY 2015","Currency=USD","Period=FY","BEST_FPERIOD_OVERRIDE=FY","FILING_STATUS=MR","Sort=A","Dates=H","DateFormat=P","Fill=—","Direction=H","UseDPDF=Y")</f>
        <v>1</v>
      </c>
      <c r="F116" s="13">
        <f>_xll.BDH("HXL US Equity","BOARD_DURATION","FY 2016","FY 2016","Currency=USD","Period=FY","BEST_FPERIOD_OVERRIDE=FY","FILING_STATUS=MR","Sort=A","Dates=H","DateFormat=P","Fill=—","Direction=H","UseDPDF=Y")</f>
        <v>1</v>
      </c>
      <c r="G116" s="13">
        <f>_xll.BDH("HXL US Equity","BOARD_DURATION","FY 2017","FY 2017","Currency=USD","Period=FY","BEST_FPERIOD_OVERRIDE=FY","FILING_STATUS=MR","Sort=A","Dates=H","DateFormat=P","Fill=—","Direction=H","UseDPDF=Y")</f>
        <v>1</v>
      </c>
      <c r="H116" s="13">
        <f>_xll.BDH("HXL US Equity","BOARD_DURATION","FY 2018","FY 2018","Currency=USD","Period=FY","BEST_FPERIOD_OVERRIDE=FY","FILING_STATUS=MR","Sort=A","Dates=H","DateFormat=P","Fill=—","Direction=H","UseDPDF=Y")</f>
        <v>1</v>
      </c>
      <c r="I116" s="13">
        <f>_xll.BDH("HXL US Equity","BOARD_DURATION","FY 2019","FY 2019","Currency=USD","Period=FY","BEST_FPERIOD_OVERRIDE=FY","FILING_STATUS=MR","Sort=A","Dates=H","DateFormat=P","Fill=—","Direction=H","UseDPDF=Y")</f>
        <v>1</v>
      </c>
      <c r="J116" s="13">
        <f>_xll.BDH("HXL US Equity","BOARD_DURATION","FY 2020","FY 2020","Currency=USD","Period=FY","BEST_FPERIOD_OVERRIDE=FY","FILING_STATUS=MR","Sort=A","Dates=H","DateFormat=P","Fill=—","Direction=H","UseDPDF=Y")</f>
        <v>1</v>
      </c>
      <c r="K116" s="13">
        <f>_xll.BDH("HXL US Equity","BOARD_DURATION","FY 2021","FY 2021","Currency=USD","Period=FY","BEST_FPERIOD_OVERRIDE=FY","FILING_STATUS=MR","Sort=A","Dates=H","DateFormat=P","Fill=—","Direction=H","UseDPDF=Y")</f>
        <v>1</v>
      </c>
      <c r="L116" s="13">
        <f>_xll.BDH("HXL US Equity","BOARD_DURATION","FY 2022","FY 2022","Currency=USD","Period=FY","BEST_FPERIOD_OVERRIDE=FY","FILING_STATUS=MR","Sort=A","Dates=H","DateFormat=P","Fill=—","Direction=H","UseDPDF=Y")</f>
        <v>1</v>
      </c>
    </row>
    <row r="117" spans="1:12">
      <c r="A117" s="7" t="s">
        <v>176</v>
      </c>
      <c r="B117" s="7"/>
      <c r="C117" s="7" t="s">
        <v>177</v>
      </c>
      <c r="D117" s="7"/>
      <c r="E117" s="7"/>
      <c r="F117" s="7"/>
      <c r="G117" s="7"/>
      <c r="H117" s="7"/>
      <c r="I117" s="7"/>
      <c r="J117" s="7"/>
      <c r="K117" s="7"/>
      <c r="L11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/>
  <cp:revision/>
  <dcterms:created xsi:type="dcterms:W3CDTF">2013-04-03T15:49:21Z</dcterms:created>
  <dcterms:modified xsi:type="dcterms:W3CDTF">2023-12-04T20:11:04Z</dcterms:modified>
  <cp:category/>
  <cp:contentStatus/>
</cp:coreProperties>
</file>