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ob-my.sharepoint.com/personal/hm23424_bristol_ac_uk/Documents/"/>
    </mc:Choice>
  </mc:AlternateContent>
  <xr:revisionPtr revIDLastSave="0" documentId="8_{21B90BA8-566B-45C1-820B-4A7170F55B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fitability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2" l="1"/>
  <c r="C13" i="2"/>
  <c r="G10" i="2"/>
  <c r="I18" i="2"/>
  <c r="C14" i="2"/>
  <c r="K8" i="2"/>
  <c r="L13" i="2"/>
  <c r="C9" i="2"/>
  <c r="E7" i="2"/>
  <c r="G7" i="2"/>
  <c r="L23" i="2"/>
  <c r="E17" i="2"/>
  <c r="G14" i="2"/>
  <c r="F9" i="2"/>
  <c r="I10" i="2"/>
  <c r="I17" i="2"/>
  <c r="E9" i="2"/>
  <c r="K17" i="2"/>
  <c r="K15" i="2"/>
  <c r="I7" i="2"/>
  <c r="K10" i="2"/>
  <c r="E19" i="2"/>
  <c r="J7" i="2"/>
  <c r="H14" i="2"/>
  <c r="L10" i="2"/>
  <c r="E14" i="2"/>
  <c r="D16" i="2"/>
  <c r="F19" i="2"/>
  <c r="H24" i="2"/>
  <c r="G24" i="2"/>
  <c r="L20" i="2"/>
  <c r="K7" i="2"/>
  <c r="C23" i="2"/>
  <c r="F18" i="2"/>
  <c r="C25" i="2"/>
  <c r="K20" i="2"/>
  <c r="C16" i="2"/>
  <c r="E16" i="2"/>
  <c r="I14" i="2"/>
  <c r="G19" i="2"/>
  <c r="L24" i="2"/>
  <c r="G9" i="2"/>
  <c r="J17" i="2"/>
  <c r="D7" i="2"/>
  <c r="I24" i="2"/>
  <c r="J24" i="2"/>
  <c r="E18" i="2"/>
  <c r="H23" i="2"/>
  <c r="L7" i="2"/>
  <c r="J14" i="2"/>
  <c r="E8" i="2"/>
  <c r="F8" i="2"/>
  <c r="H13" i="2"/>
  <c r="J16" i="2"/>
  <c r="E13" i="2"/>
  <c r="K24" i="2"/>
  <c r="G16" i="2"/>
  <c r="C18" i="2"/>
  <c r="H9" i="2"/>
  <c r="E10" i="2"/>
  <c r="K13" i="2"/>
  <c r="F16" i="2"/>
  <c r="J9" i="2"/>
  <c r="D25" i="2"/>
  <c r="D13" i="2"/>
  <c r="L17" i="2"/>
  <c r="C8" i="2"/>
  <c r="D23" i="2"/>
  <c r="I19" i="2"/>
  <c r="J19" i="2"/>
  <c r="E20" i="2"/>
  <c r="K14" i="2"/>
  <c r="I9" i="2"/>
  <c r="G13" i="2"/>
  <c r="L14" i="2"/>
  <c r="J8" i="2"/>
  <c r="G23" i="2"/>
  <c r="L19" i="2"/>
  <c r="I13" i="2"/>
  <c r="G8" i="2"/>
  <c r="D18" i="2"/>
  <c r="C15" i="2"/>
  <c r="D8" i="2"/>
  <c r="L9" i="2"/>
  <c r="K16" i="2"/>
  <c r="F23" i="2"/>
  <c r="G18" i="2"/>
  <c r="H8" i="2"/>
  <c r="J13" i="2"/>
  <c r="H16" i="2"/>
  <c r="E23" i="2"/>
  <c r="C20" i="2"/>
  <c r="J18" i="2"/>
  <c r="C10" i="2"/>
  <c r="G15" i="2"/>
  <c r="L16" i="2"/>
  <c r="D17" i="2"/>
  <c r="D15" i="2"/>
  <c r="C17" i="2"/>
  <c r="E15" i="2"/>
  <c r="K9" i="2"/>
  <c r="H19" i="2"/>
  <c r="K19" i="2"/>
  <c r="K18" i="2"/>
  <c r="I23" i="2"/>
  <c r="F25" i="2"/>
  <c r="E25" i="2"/>
  <c r="F13" i="2"/>
  <c r="I16" i="2"/>
  <c r="C7" i="2"/>
  <c r="L18" i="2"/>
  <c r="F15" i="2"/>
  <c r="I8" i="2"/>
  <c r="F10" i="2"/>
  <c r="D10" i="2"/>
  <c r="G25" i="2"/>
  <c r="J15" i="2"/>
  <c r="K23" i="2"/>
  <c r="K25" i="2"/>
  <c r="L8" i="2"/>
  <c r="E24" i="2"/>
  <c r="D24" i="2"/>
  <c r="H7" i="2"/>
  <c r="L25" i="2"/>
  <c r="H17" i="2"/>
  <c r="D20" i="2"/>
  <c r="I25" i="2"/>
  <c r="J20" i="2"/>
  <c r="J23" i="2"/>
  <c r="H20" i="2"/>
  <c r="H18" i="2"/>
  <c r="F20" i="2"/>
  <c r="H25" i="2"/>
  <c r="I20" i="2"/>
  <c r="D19" i="2"/>
  <c r="F14" i="2"/>
  <c r="G17" i="2"/>
  <c r="L15" i="2"/>
  <c r="H15" i="2"/>
  <c r="C24" i="2"/>
  <c r="D9" i="2"/>
  <c r="G20" i="2"/>
  <c r="J10" i="2"/>
  <c r="F17" i="2"/>
  <c r="H10" i="2"/>
  <c r="C19" i="2"/>
  <c r="D14" i="2"/>
  <c r="F24" i="2"/>
  <c r="J25" i="2"/>
  <c r="F7" i="2"/>
</calcChain>
</file>

<file path=xl/sharedStrings.xml><?xml version="1.0" encoding="utf-8"?>
<sst xmlns="http://schemas.openxmlformats.org/spreadsheetml/2006/main" count="58" uniqueCount="58">
  <si>
    <t>Hexcel Corp (HXL US) - Profitability</t>
  </si>
  <si>
    <t>In Millions of USD except Per Share</t>
  </si>
  <si>
    <t>FY 2013</t>
  </si>
  <si>
    <t>FY 2014</t>
  </si>
  <si>
    <t>FY 2015</t>
  </si>
  <si>
    <t>FY 2016</t>
  </si>
  <si>
    <t>FY 2017</t>
  </si>
  <si>
    <t>FY 2018</t>
  </si>
  <si>
    <t>FY 2019</t>
  </si>
  <si>
    <t>FY 2020</t>
  </si>
  <si>
    <t>FY 2021</t>
  </si>
  <si>
    <t>FY 2022</t>
  </si>
  <si>
    <t>12 Months Ending</t>
  </si>
  <si>
    <t>12/31/2013</t>
  </si>
  <si>
    <t>12/31/2014</t>
  </si>
  <si>
    <t>12/31/2015</t>
  </si>
  <si>
    <t>12/31/2016</t>
  </si>
  <si>
    <t>12/31/2017</t>
  </si>
  <si>
    <t>12/31/2018</t>
  </si>
  <si>
    <t>12/31/2019</t>
  </si>
  <si>
    <t>12/31/2020</t>
  </si>
  <si>
    <t>12/31/2021</t>
  </si>
  <si>
    <t>12/31/2022</t>
  </si>
  <si>
    <t>Returns</t>
  </si>
  <si>
    <t>Return on Common Equity</t>
  </si>
  <si>
    <t>RETURN_COM_EQY</t>
  </si>
  <si>
    <t>Return on Assets</t>
  </si>
  <si>
    <t>RETURN_ON_ASSET</t>
  </si>
  <si>
    <t>Return on Capital</t>
  </si>
  <si>
    <t>RETURN_ON_CAP</t>
  </si>
  <si>
    <t>Return on Invested Capital</t>
  </si>
  <si>
    <t>RETURN_ON_INV_CAPITAL</t>
  </si>
  <si>
    <t>Margins</t>
  </si>
  <si>
    <t>Gross Margin</t>
  </si>
  <si>
    <t>GROSS_MARGIN</t>
  </si>
  <si>
    <t>EBITDA Margin</t>
  </si>
  <si>
    <t>EBITDA_TO_REVENUE</t>
  </si>
  <si>
    <t>Operating Margin</t>
  </si>
  <si>
    <t>OPER_MARGIN</t>
  </si>
  <si>
    <t>Incremental Operating Margin</t>
  </si>
  <si>
    <t>INCREMENTAL_OPERATING_MARGIN</t>
  </si>
  <si>
    <t>Pretax Margin</t>
  </si>
  <si>
    <t>PRETAX_INC_TO_NET_SALES</t>
  </si>
  <si>
    <t>Income before XO Margin</t>
  </si>
  <si>
    <t>INC_BEF_XO_ITEMS_TO_NET_SALES</t>
  </si>
  <si>
    <t>Net Income Margin</t>
  </si>
  <si>
    <t>PROF_MARGIN</t>
  </si>
  <si>
    <t>Net Income to Common Margin</t>
  </si>
  <si>
    <t>NET_INCOME_TO_COMMON_MARGIN</t>
  </si>
  <si>
    <t>Additional</t>
  </si>
  <si>
    <t>Effective Tax Rate</t>
  </si>
  <si>
    <t>EFF_TAX_RATE</t>
  </si>
  <si>
    <t>Dvd Payout Ratio</t>
  </si>
  <si>
    <t>DVD_PAYOUT_RATIO</t>
  </si>
  <si>
    <t>Sustainable Growth Rate</t>
  </si>
  <si>
    <t>SUSTAIN_GROWTH_RT</t>
  </si>
  <si>
    <t>Source: Bloomberg</t>
  </si>
  <si>
    <t>Right click to show data transparency (not supported for all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</si>
</sst>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5">
    <xf numFmtId="0" fontId="0" fillId="0" borderId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26" fillId="12" borderId="0" applyNumberFormat="0" applyBorder="0" applyAlignment="0" applyProtection="0"/>
    <xf numFmtId="0" fontId="26" fillId="16" borderId="0" applyNumberFormat="0" applyBorder="0" applyAlignment="0" applyProtection="0"/>
    <xf numFmtId="0" fontId="26" fillId="20" borderId="0" applyNumberFormat="0" applyBorder="0" applyAlignment="0" applyProtection="0"/>
    <xf numFmtId="0" fontId="26" fillId="24" borderId="0" applyNumberFormat="0" applyBorder="0" applyAlignment="0" applyProtection="0"/>
    <xf numFmtId="0" fontId="26" fillId="28" borderId="0" applyNumberFormat="0" applyBorder="0" applyAlignment="0" applyProtection="0"/>
    <xf numFmtId="0" fontId="26" fillId="32" borderId="0" applyNumberFormat="0" applyBorder="0" applyAlignment="0" applyProtection="0"/>
    <xf numFmtId="0" fontId="26" fillId="9" borderId="0" applyNumberFormat="0" applyBorder="0" applyAlignment="0" applyProtection="0"/>
    <xf numFmtId="0" fontId="26" fillId="13" borderId="0" applyNumberFormat="0" applyBorder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16" fillId="3" borderId="0" applyNumberFormat="0" applyBorder="0" applyAlignment="0" applyProtection="0"/>
    <xf numFmtId="0" fontId="2" fillId="33" borderId="0"/>
    <xf numFmtId="0" fontId="20" fillId="6" borderId="9" applyNumberFormat="0" applyAlignment="0" applyProtection="0"/>
    <xf numFmtId="0" fontId="22" fillId="7" borderId="12" applyNumberFormat="0" applyAlignment="0" applyProtection="0"/>
    <xf numFmtId="0" fontId="24" fillId="0" borderId="0" applyNumberFormat="0" applyFill="0" applyBorder="0" applyAlignment="0" applyProtection="0"/>
    <xf numFmtId="0" fontId="6" fillId="33" borderId="1">
      <alignment horizontal="right"/>
    </xf>
    <xf numFmtId="0" fontId="5" fillId="34" borderId="0" applyNumberFormat="0" applyBorder="0" applyProtection="0">
      <alignment horizontal="center"/>
    </xf>
    <xf numFmtId="0" fontId="6" fillId="33" borderId="3">
      <alignment horizontal="right"/>
    </xf>
    <xf numFmtId="0" fontId="6" fillId="33" borderId="3">
      <alignment horizontal="left"/>
    </xf>
    <xf numFmtId="0" fontId="9" fillId="35" borderId="4" applyNumberFormat="0" applyAlignment="0" applyProtection="0"/>
    <xf numFmtId="0" fontId="7" fillId="34" borderId="5"/>
    <xf numFmtId="0" fontId="8" fillId="34" borderId="5"/>
    <xf numFmtId="0" fontId="15" fillId="2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8" fillId="5" borderId="9" applyNumberFormat="0" applyAlignment="0" applyProtection="0"/>
    <xf numFmtId="0" fontId="21" fillId="0" borderId="11" applyNumberFormat="0" applyFill="0" applyAlignment="0" applyProtection="0"/>
    <xf numFmtId="0" fontId="17" fillId="4" borderId="0" applyNumberFormat="0" applyBorder="0" applyAlignment="0" applyProtection="0"/>
    <xf numFmtId="0" fontId="10" fillId="8" borderId="13" applyNumberFormat="0" applyFont="0" applyAlignment="0" applyProtection="0"/>
    <xf numFmtId="0" fontId="19" fillId="6" borderId="10" applyNumberFormat="0" applyAlignment="0" applyProtection="0"/>
    <xf numFmtId="0" fontId="11" fillId="0" borderId="0" applyNumberFormat="0" applyFill="0" applyBorder="0" applyAlignment="0" applyProtection="0"/>
    <xf numFmtId="0" fontId="25" fillId="0" borderId="14" applyNumberFormat="0" applyFill="0" applyAlignment="0" applyProtection="0"/>
    <xf numFmtId="0" fontId="23" fillId="0" borderId="0" applyNumberFormat="0" applyFill="0" applyBorder="0" applyAlignment="0" applyProtection="0"/>
    <xf numFmtId="0" fontId="4" fillId="33" borderId="15" applyNumberFormat="0" applyProtection="0">
      <alignment horizontal="left" vertical="center" readingOrder="1"/>
    </xf>
    <xf numFmtId="0" fontId="6" fillId="33" borderId="1">
      <alignment horizontal="left"/>
    </xf>
    <xf numFmtId="3" fontId="1" fillId="34" borderId="2">
      <alignment horizontal="right"/>
    </xf>
    <xf numFmtId="4" fontId="1" fillId="34" borderId="2">
      <alignment horizontal="right"/>
    </xf>
    <xf numFmtId="3" fontId="7" fillId="34" borderId="2">
      <alignment horizontal="right"/>
    </xf>
  </cellStyleXfs>
  <cellXfs count="14">
    <xf numFmtId="0" fontId="0" fillId="0" borderId="0" xfId="0"/>
    <xf numFmtId="0" fontId="2" fillId="33" borderId="0" xfId="26"/>
    <xf numFmtId="0" fontId="5" fillId="34" borderId="0" xfId="31">
      <alignment horizontal="center"/>
    </xf>
    <xf numFmtId="0" fontId="6" fillId="33" borderId="3" xfId="33">
      <alignment horizontal="left"/>
    </xf>
    <xf numFmtId="0" fontId="6" fillId="33" borderId="3" xfId="32">
      <alignment horizontal="right"/>
    </xf>
    <xf numFmtId="0" fontId="6" fillId="33" borderId="1" xfId="30">
      <alignment horizontal="right"/>
    </xf>
    <xf numFmtId="0" fontId="7" fillId="34" borderId="5" xfId="35"/>
    <xf numFmtId="0" fontId="9" fillId="35" borderId="4" xfId="34"/>
    <xf numFmtId="0" fontId="4" fillId="33" borderId="15" xfId="50">
      <alignment horizontal="left" vertical="center" readingOrder="1"/>
    </xf>
    <xf numFmtId="0" fontId="6" fillId="33" borderId="1" xfId="51">
      <alignment horizontal="left"/>
    </xf>
    <xf numFmtId="0" fontId="3" fillId="34" borderId="5" xfId="36" applyFont="1"/>
    <xf numFmtId="3" fontId="1" fillId="34" borderId="2" xfId="52">
      <alignment horizontal="right"/>
    </xf>
    <xf numFmtId="4" fontId="1" fillId="34" borderId="2" xfId="53">
      <alignment horizontal="right"/>
    </xf>
    <xf numFmtId="3" fontId="7" fillId="34" borderId="2" xfId="54">
      <alignment horizontal="right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title_header_row_left" xfId="50" xr:uid="{00000000-0005-0000-0000-00001A000000}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 xr:uid="{00000000-0005-0000-0000-00001E000000}"/>
    <cellStyle name="fa_column_header_bottom_left" xfId="51" xr:uid="{00000000-0005-0000-0000-00001F000000}"/>
    <cellStyle name="fa_column_header_empty" xfId="31" xr:uid="{00000000-0005-0000-0000-000020000000}"/>
    <cellStyle name="fa_column_header_top" xfId="32" xr:uid="{00000000-0005-0000-0000-000021000000}"/>
    <cellStyle name="fa_column_header_top_left" xfId="33" xr:uid="{00000000-0005-0000-0000-000022000000}"/>
    <cellStyle name="fa_data_bold_0_grouped" xfId="54" xr:uid="{00000000-0005-0000-0000-000023000000}"/>
    <cellStyle name="fa_data_standard_0_grouped" xfId="52" xr:uid="{00000000-0005-0000-0000-000024000000}"/>
    <cellStyle name="fa_data_standard_2_grouped" xfId="53" xr:uid="{00000000-0005-0000-0000-000025000000}"/>
    <cellStyle name="fa_footer_italic" xfId="34" xr:uid="{00000000-0005-0000-0000-000026000000}"/>
    <cellStyle name="fa_row_header_bold" xfId="35" xr:uid="{00000000-0005-0000-0000-000027000000}"/>
    <cellStyle name="fa_row_header_standard" xfId="36" xr:uid="{00000000-0005-0000-0000-000028000000}"/>
    <cellStyle name="Good" xfId="37" builtinId="26" customBuiltin="1"/>
    <cellStyle name="Heading 1" xfId="38" builtinId="16" customBuiltin="1"/>
    <cellStyle name="Heading 2" xfId="39" builtinId="17" customBuiltin="1"/>
    <cellStyle name="Heading 3" xfId="40" builtinId="18" customBuiltin="1"/>
    <cellStyle name="Heading 4" xfId="41" builtinId="19" customBuiltin="1"/>
    <cellStyle name="Input" xfId="42" builtinId="20" customBuiltin="1"/>
    <cellStyle name="Linked Cell" xfId="43" builtinId="24" customBuiltin="1"/>
    <cellStyle name="Neutral" xfId="44" builtinId="28" customBuiltin="1"/>
    <cellStyle name="Normal" xfId="0" builtinId="0"/>
    <cellStyle name="Note" xfId="45" builtinId="10" customBuiltin="1"/>
    <cellStyle name="Output" xfId="46" builtinId="21" customBuiltin="1"/>
    <cellStyle name="Title" xfId="47" builtinId="15" customBuiltin="1"/>
    <cellStyle name="Total" xfId="48" builtinId="25" customBuiltin="1"/>
    <cellStyle name="Warning Text" xfId="49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/>
  </sheetViews>
  <sheetFormatPr defaultRowHeight="15"/>
  <cols>
    <col min="1" max="1" width="35.140625" customWidth="1"/>
    <col min="2" max="2" width="0" hidden="1" customWidth="1"/>
    <col min="3" max="12" width="11.8554687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0.25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3" t="s">
        <v>1</v>
      </c>
      <c r="B4" s="3"/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</row>
    <row r="5" spans="1:12">
      <c r="A5" s="9" t="s">
        <v>12</v>
      </c>
      <c r="B5" s="9"/>
      <c r="C5" s="5" t="s">
        <v>13</v>
      </c>
      <c r="D5" s="5" t="s">
        <v>14</v>
      </c>
      <c r="E5" s="5" t="s">
        <v>15</v>
      </c>
      <c r="F5" s="5" t="s">
        <v>16</v>
      </c>
      <c r="G5" s="5" t="s">
        <v>17</v>
      </c>
      <c r="H5" s="5" t="s">
        <v>18</v>
      </c>
      <c r="I5" s="5" t="s">
        <v>19</v>
      </c>
      <c r="J5" s="5" t="s">
        <v>20</v>
      </c>
      <c r="K5" s="5" t="s">
        <v>21</v>
      </c>
      <c r="L5" s="5" t="s">
        <v>22</v>
      </c>
    </row>
    <row r="6" spans="1:12">
      <c r="A6" s="6" t="s">
        <v>23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>
      <c r="A7" s="10" t="s">
        <v>24</v>
      </c>
      <c r="B7" s="10" t="s">
        <v>25</v>
      </c>
      <c r="C7" s="12">
        <f>_xll.BDH("HXL US Equity","RETURN_COM_EQY","FY 2013","FY 2013","Currency=USD","Period=FY","BEST_FPERIOD_OVERRIDE=FY","FILING_STATUS=MR","FA_ADJUSTED=GAAP","Sort=A","Dates=H","DateFormat=P","Fill=—","Direction=H","UseDPDF=Y")</f>
        <v>17.442599999999999</v>
      </c>
      <c r="D7" s="12">
        <f>_xll.BDH("HXL US Equity","RETURN_COM_EQY","FY 2014","FY 2014","Currency=USD","Period=FY","BEST_FPERIOD_OVERRIDE=FY","FILING_STATUS=MR","FA_ADJUSTED=GAAP","Sort=A","Dates=H","DateFormat=P","Fill=—","Direction=H","UseDPDF=Y")</f>
        <v>18.127500000000001</v>
      </c>
      <c r="E7" s="12">
        <f>_xll.BDH("HXL US Equity","RETURN_COM_EQY","FY 2015","FY 2015","Currency=USD","Period=FY","BEST_FPERIOD_OVERRIDE=FY","FILING_STATUS=MR","FA_ADJUSTED=GAAP","Sort=A","Dates=H","DateFormat=P","Fill=—","Direction=H","UseDPDF=Y")</f>
        <v>20.364899999999999</v>
      </c>
      <c r="F7" s="12">
        <f>_xll.BDH("HXL US Equity","RETURN_COM_EQY","FY 2016","FY 2016","Currency=USD","Period=FY","BEST_FPERIOD_OVERRIDE=FY","FILING_STATUS=MR","FA_ADJUSTED=GAAP","Sort=A","Dates=H","DateFormat=P","Fill=—","Direction=H","UseDPDF=Y")</f>
        <v>20.606300000000001</v>
      </c>
      <c r="G7" s="12">
        <f>_xll.BDH("HXL US Equity","RETURN_COM_EQY","FY 2017","FY 2017","Currency=USD","Period=FY","BEST_FPERIOD_OVERRIDE=FY","FILING_STATUS=MR","FA_ADJUSTED=GAAP","Sort=A","Dates=H","DateFormat=P","Fill=—","Direction=H","UseDPDF=Y")</f>
        <v>20.729900000000001</v>
      </c>
      <c r="H7" s="12">
        <f>_xll.BDH("HXL US Equity","RETURN_COM_EQY","FY 2018","FY 2018","Currency=USD","Period=FY","BEST_FPERIOD_OVERRIDE=FY","FILING_STATUS=MR","FA_ADJUSTED=GAAP","Sort=A","Dates=H","DateFormat=P","Fill=—","Direction=H","UseDPDF=Y")</f>
        <v>19.6372</v>
      </c>
      <c r="I7" s="12">
        <f>_xll.BDH("HXL US Equity","RETURN_COM_EQY","FY 2019","FY 2019","Currency=USD","Period=FY","BEST_FPERIOD_OVERRIDE=FY","FILING_STATUS=MR","FA_ADJUSTED=GAAP","Sort=A","Dates=H","DateFormat=P","Fill=—","Direction=H","UseDPDF=Y")</f>
        <v>22.1524</v>
      </c>
      <c r="J7" s="12">
        <f>_xll.BDH("HXL US Equity","RETURN_COM_EQY","FY 2020","FY 2020","Currency=USD","Period=FY","BEST_FPERIOD_OVERRIDE=FY","FILING_STATUS=MR","FA_ADJUSTED=GAAP","Sort=A","Dates=H","DateFormat=P","Fill=—","Direction=H","UseDPDF=Y")</f>
        <v>2.1446000000000001</v>
      </c>
      <c r="K7" s="12">
        <f>_xll.BDH("HXL US Equity","RETURN_COM_EQY","FY 2021","FY 2021","Currency=USD","Period=FY","BEST_FPERIOD_OVERRIDE=FY","FILING_STATUS=MR","FA_ADJUSTED=GAAP","Sort=A","Dates=H","DateFormat=P","Fill=—","Direction=H","UseDPDF=Y")</f>
        <v>1.0749</v>
      </c>
      <c r="L7" s="12">
        <f>_xll.BDH("HXL US Equity","RETURN_COM_EQY","FY 2022","FY 2022","Currency=USD","Period=FY","BEST_FPERIOD_OVERRIDE=FY","FILING_STATUS=MR","FA_ADJUSTED=GAAP","Sort=A","Dates=H","DateFormat=P","Fill=—","Direction=H","UseDPDF=Y")</f>
        <v>8.31</v>
      </c>
    </row>
    <row r="8" spans="1:12">
      <c r="A8" s="10" t="s">
        <v>26</v>
      </c>
      <c r="B8" s="10" t="s">
        <v>27</v>
      </c>
      <c r="C8" s="12">
        <f>_xll.BDH("HXL US Equity","RETURN_ON_ASSET","FY 2013","FY 2013","Currency=USD","Period=FY","BEST_FPERIOD_OVERRIDE=FY","FILING_STATUS=MR","FA_ADJUSTED=GAAP","Sort=A","Dates=H","DateFormat=P","Fill=—","Direction=H","UseDPDF=Y")</f>
        <v>10.927</v>
      </c>
      <c r="D8" s="12">
        <f>_xll.BDH("HXL US Equity","RETURN_ON_ASSET","FY 2014","FY 2014","Currency=USD","Period=FY","BEST_FPERIOD_OVERRIDE=FY","FILING_STATUS=MR","FA_ADJUSTED=GAAP","Sort=A","Dates=H","DateFormat=P","Fill=—","Direction=H","UseDPDF=Y")</f>
        <v>10.8147</v>
      </c>
      <c r="E8" s="12">
        <f>_xll.BDH("HXL US Equity","RETURN_ON_ASSET","FY 2015","FY 2015","Currency=USD","Period=FY","BEST_FPERIOD_OVERRIDE=FY","FILING_STATUS=MR","FA_ADJUSTED=GAAP","Sort=A","Dates=H","DateFormat=P","Fill=—","Direction=H","UseDPDF=Y")</f>
        <v>11.2316</v>
      </c>
      <c r="F8" s="12">
        <f>_xll.BDH("HXL US Equity","RETURN_ON_ASSET","FY 2016","FY 2016","Currency=USD","Period=FY","BEST_FPERIOD_OVERRIDE=FY","FILING_STATUS=MR","FA_ADJUSTED=GAAP","Sort=A","Dates=H","DateFormat=P","Fill=—","Direction=H","UseDPDF=Y")</f>
        <v>10.8893</v>
      </c>
      <c r="G8" s="12">
        <f>_xll.BDH("HXL US Equity","RETURN_ON_ASSET","FY 2017","FY 2017","Currency=USD","Period=FY","BEST_FPERIOD_OVERRIDE=FY","FILING_STATUS=MR","FA_ADJUSTED=GAAP","Sort=A","Dates=H","DateFormat=P","Fill=—","Direction=H","UseDPDF=Y")</f>
        <v>10.9621</v>
      </c>
      <c r="H8" s="12">
        <f>_xll.BDH("HXL US Equity","RETURN_ON_ASSET","FY 2018","FY 2018","Currency=USD","Period=FY","BEST_FPERIOD_OVERRIDE=FY","FILING_STATUS=MR","FA_ADJUSTED=GAAP","Sort=A","Dates=H","DateFormat=P","Fill=—","Direction=H","UseDPDF=Y")</f>
        <v>9.8697999999999997</v>
      </c>
      <c r="I8" s="12">
        <f>_xll.BDH("HXL US Equity","RETURN_ON_ASSET","FY 2019","FY 2019","Currency=USD","Period=FY","BEST_FPERIOD_OVERRIDE=FY","FILING_STATUS=MR","FA_ADJUSTED=GAAP","Sort=A","Dates=H","DateFormat=P","Fill=—","Direction=H","UseDPDF=Y")</f>
        <v>10.3012</v>
      </c>
      <c r="J8" s="12">
        <f>_xll.BDH("HXL US Equity","RETURN_ON_ASSET","FY 2020","FY 2020","Currency=USD","Period=FY","BEST_FPERIOD_OVERRIDE=FY","FILING_STATUS=MR","FA_ADJUSTED=GAAP","Sort=A","Dates=H","DateFormat=P","Fill=—","Direction=H","UseDPDF=Y")</f>
        <v>1.0486</v>
      </c>
      <c r="K8" s="12">
        <f>_xll.BDH("HXL US Equity","RETURN_ON_ASSET","FY 2021","FY 2021","Currency=USD","Period=FY","BEST_FPERIOD_OVERRIDE=FY","FILING_STATUS=MR","FA_ADJUSTED=GAAP","Sort=A","Dates=H","DateFormat=P","Fill=—","Direction=H","UseDPDF=Y")</f>
        <v>0.56120000000000003</v>
      </c>
      <c r="L8" s="12">
        <f>_xll.BDH("HXL US Equity","RETURN_ON_ASSET","FY 2022","FY 2022","Currency=USD","Period=FY","BEST_FPERIOD_OVERRIDE=FY","FILING_STATUS=MR","FA_ADJUSTED=GAAP","Sort=A","Dates=H","DateFormat=P","Fill=—","Direction=H","UseDPDF=Y")</f>
        <v>4.4654999999999996</v>
      </c>
    </row>
    <row r="9" spans="1:12">
      <c r="A9" s="10" t="s">
        <v>28</v>
      </c>
      <c r="B9" s="10" t="s">
        <v>29</v>
      </c>
      <c r="C9" s="12">
        <f>_xll.BDH("HXL US Equity","RETURN_ON_CAP","FY 2013","FY 2013","Currency=USD","Period=FY","BEST_FPERIOD_OVERRIDE=FY","FILING_STATUS=MR","FA_ADJUSTED=GAAP","Sort=A","Dates=H","DateFormat=P","Fill=—","Direction=H","UseDPDF=Y")</f>
        <v>14.2516</v>
      </c>
      <c r="D9" s="12">
        <f>_xll.BDH("HXL US Equity","RETURN_ON_CAP","FY 2014","FY 2014","Currency=USD","Period=FY","BEST_FPERIOD_OVERRIDE=FY","FILING_STATUS=MR","FA_ADJUSTED=GAAP","Sort=A","Dates=H","DateFormat=P","Fill=—","Direction=H","UseDPDF=Y")</f>
        <v>14.222200000000001</v>
      </c>
      <c r="E9" s="12">
        <f>_xll.BDH("HXL US Equity","RETURN_ON_CAP","FY 2015","FY 2015","Currency=USD","Period=FY","BEST_FPERIOD_OVERRIDE=FY","FILING_STATUS=MR","FA_ADJUSTED=GAAP","Sort=A","Dates=H","DateFormat=P","Fill=—","Direction=H","UseDPDF=Y")</f>
        <v>14.911099999999999</v>
      </c>
      <c r="F9" s="12">
        <f>_xll.BDH("HXL US Equity","RETURN_ON_CAP","FY 2016","FY 2016","Currency=USD","Period=FY","BEST_FPERIOD_OVERRIDE=FY","FILING_STATUS=MR","FA_ADJUSTED=GAAP","Sort=A","Dates=H","DateFormat=P","Fill=—","Direction=H","UseDPDF=Y")</f>
        <v>14.417899999999999</v>
      </c>
      <c r="G9" s="12">
        <f>_xll.BDH("HXL US Equity","RETURN_ON_CAP","FY 2017","FY 2017","Currency=USD","Period=FY","BEST_FPERIOD_OVERRIDE=FY","FILING_STATUS=MR","FA_ADJUSTED=GAAP","Sort=A","Dates=H","DateFormat=P","Fill=—","Direction=H","UseDPDF=Y")</f>
        <v>14.5235</v>
      </c>
      <c r="H9" s="12">
        <f>_xll.BDH("HXL US Equity","RETURN_ON_CAP","FY 2018","FY 2018","Currency=USD","Period=FY","BEST_FPERIOD_OVERRIDE=FY","FILING_STATUS=MR","FA_ADJUSTED=GAAP","Sort=A","Dates=H","DateFormat=P","Fill=—","Direction=H","UseDPDF=Y")</f>
        <v>13.405200000000001</v>
      </c>
      <c r="I9" s="12">
        <f>_xll.BDH("HXL US Equity","RETURN_ON_CAP","FY 2019","FY 2019","Currency=USD","Period=FY","BEST_FPERIOD_OVERRIDE=FY","FILING_STATUS=MR","FA_ADJUSTED=GAAP","Sort=A","Dates=H","DateFormat=P","Fill=—","Direction=H","UseDPDF=Y")</f>
        <v>14.1357</v>
      </c>
      <c r="J9" s="12">
        <f>_xll.BDH("HXL US Equity","RETURN_ON_CAP","FY 2020","FY 2020","Currency=USD","Period=FY","BEST_FPERIOD_OVERRIDE=FY","FILING_STATUS=MR","FA_ADJUSTED=GAAP","Sort=A","Dates=H","DateFormat=P","Fill=—","Direction=H","UseDPDF=Y")</f>
        <v>2.5541999999999998</v>
      </c>
      <c r="K9" s="12">
        <f>_xll.BDH("HXL US Equity","RETURN_ON_CAP","FY 2021","FY 2021","Currency=USD","Period=FY","BEST_FPERIOD_OVERRIDE=FY","FILING_STATUS=MR","FA_ADJUSTED=GAAP","Sort=A","Dates=H","DateFormat=P","Fill=—","Direction=H","UseDPDF=Y")</f>
        <v>1.8180000000000001</v>
      </c>
      <c r="L9" s="12">
        <f>_xll.BDH("HXL US Equity","RETURN_ON_CAP","FY 2022","FY 2022","Currency=USD","Period=FY","BEST_FPERIOD_OVERRIDE=FY","FILING_STATUS=MR","FA_ADJUSTED=GAAP","Sort=A","Dates=H","DateFormat=P","Fill=—","Direction=H","UseDPDF=Y")</f>
        <v>6.6085000000000003</v>
      </c>
    </row>
    <row r="10" spans="1:12">
      <c r="A10" s="10" t="s">
        <v>30</v>
      </c>
      <c r="B10" s="10" t="s">
        <v>31</v>
      </c>
      <c r="C10" s="12">
        <f>_xll.BDH("HXL US Equity","RETURN_ON_INV_CAPITAL","FY 2013","FY 2013","Currency=USD","Period=FY","BEST_FPERIOD_OVERRIDE=FY","FILING_STATUS=MR","FA_ADJUSTED=GAAP","Sort=A","Dates=H","DateFormat=P","Fill=—","Direction=H","UseDPDF=Y")</f>
        <v>14.447100000000001</v>
      </c>
      <c r="D10" s="12">
        <f>_xll.BDH("HXL US Equity","RETURN_ON_INV_CAPITAL","FY 2014","FY 2014","Currency=USD","Period=FY","BEST_FPERIOD_OVERRIDE=FY","FILING_STATUS=MR","FA_ADJUSTED=GAAP","Sort=A","Dates=H","DateFormat=P","Fill=—","Direction=H","UseDPDF=Y")</f>
        <v>13.930899999999999</v>
      </c>
      <c r="E10" s="12">
        <f>_xll.BDH("HXL US Equity","RETURN_ON_INV_CAPITAL","FY 2015","FY 2015","Currency=USD","Period=FY","BEST_FPERIOD_OVERRIDE=FY","FILING_STATUS=MR","FA_ADJUSTED=GAAP","Sort=A","Dates=H","DateFormat=P","Fill=—","Direction=H","UseDPDF=Y")</f>
        <v>14.6105</v>
      </c>
      <c r="F10" s="12">
        <f>_xll.BDH("HXL US Equity","RETURN_ON_INV_CAPITAL","FY 2016","FY 2016","Currency=USD","Period=FY","BEST_FPERIOD_OVERRIDE=FY","FILING_STATUS=MR","FA_ADJUSTED=GAAP","Sort=A","Dates=H","DateFormat=P","Fill=—","Direction=H","UseDPDF=Y")</f>
        <v>14.4094</v>
      </c>
      <c r="G10" s="12">
        <f>_xll.BDH("HXL US Equity","RETURN_ON_INV_CAPITAL","FY 2017","FY 2017","Currency=USD","Period=FY","BEST_FPERIOD_OVERRIDE=FY","FILING_STATUS=MR","FA_ADJUSTED=GAAP","Sort=A","Dates=H","DateFormat=P","Fill=—","Direction=H","UseDPDF=Y")</f>
        <v>14.0154</v>
      </c>
      <c r="H10" s="12">
        <f>_xll.BDH("HXL US Equity","RETURN_ON_INV_CAPITAL","FY 2018","FY 2018","Currency=USD","Period=FY","BEST_FPERIOD_OVERRIDE=FY","FILING_STATUS=MR","FA_ADJUSTED=GAAP","Sort=A","Dates=H","DateFormat=P","Fill=—","Direction=H","UseDPDF=Y")</f>
        <v>12.4886</v>
      </c>
      <c r="I10" s="12">
        <f>_xll.BDH("HXL US Equity","RETURN_ON_INV_CAPITAL","FY 2019","FY 2019","Currency=USD","Period=FY","BEST_FPERIOD_OVERRIDE=FY","FILING_STATUS=MR","FA_ADJUSTED=GAAP","Sort=A","Dates=H","DateFormat=P","Fill=—","Direction=H","UseDPDF=Y")</f>
        <v>13.184900000000001</v>
      </c>
      <c r="J10" s="12">
        <f>_xll.BDH("HXL US Equity","RETURN_ON_INV_CAPITAL","FY 2020","FY 2020","Currency=USD","Period=FY","BEST_FPERIOD_OVERRIDE=FY","FILING_STATUS=MR","FA_ADJUSTED=GAAP","Sort=A","Dates=H","DateFormat=P","Fill=—","Direction=H","UseDPDF=Y")</f>
        <v>2.3250999999999999</v>
      </c>
      <c r="K10" s="12">
        <f>_xll.BDH("HXL US Equity","RETURN_ON_INV_CAPITAL","FY 2021","FY 2021","Currency=USD","Period=FY","BEST_FPERIOD_OVERRIDE=FY","FILING_STATUS=MR","FA_ADJUSTED=GAAP","Sort=A","Dates=H","DateFormat=P","Fill=—","Direction=H","UseDPDF=Y")</f>
        <v>1.4996</v>
      </c>
      <c r="L10" s="12">
        <f>_xll.BDH("HXL US Equity","RETURN_ON_INV_CAPITAL","FY 2022","FY 2022","Currency=USD","Period=FY","BEST_FPERIOD_OVERRIDE=FY","FILING_STATUS=MR","FA_ADJUSTED=GAAP","Sort=A","Dates=H","DateFormat=P","Fill=—","Direction=H","UseDPDF=Y")</f>
        <v>6.0491000000000001</v>
      </c>
    </row>
    <row r="11" spans="1:12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1:12">
      <c r="A12" s="6" t="s">
        <v>32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</row>
    <row r="13" spans="1:12">
      <c r="A13" s="10" t="s">
        <v>33</v>
      </c>
      <c r="B13" s="10" t="s">
        <v>34</v>
      </c>
      <c r="C13" s="12">
        <f>_xll.BDH("HXL US Equity","GROSS_MARGIN","FY 2013","FY 2013","Currency=USD","Period=FY","BEST_FPERIOD_OVERRIDE=FY","FILING_STATUS=MR","FA_ADJUSTED=GAAP","Sort=A","Dates=H","DateFormat=P","Fill=—","Direction=H","UseDPDF=Y")</f>
        <v>27.052800000000001</v>
      </c>
      <c r="D13" s="12">
        <f>_xll.BDH("HXL US Equity","GROSS_MARGIN","FY 2014","FY 2014","Currency=USD","Period=FY","BEST_FPERIOD_OVERRIDE=FY","FILING_STATUS=MR","FA_ADJUSTED=GAAP","Sort=A","Dates=H","DateFormat=P","Fill=—","Direction=H","UseDPDF=Y")</f>
        <v>27.421199999999999</v>
      </c>
      <c r="E13" s="12">
        <f>_xll.BDH("HXL US Equity","GROSS_MARGIN","FY 2015","FY 2015","Currency=USD","Period=FY","BEST_FPERIOD_OVERRIDE=FY","FILING_STATUS=MR","FA_ADJUSTED=GAAP","Sort=A","Dates=H","DateFormat=P","Fill=—","Direction=H","UseDPDF=Y")</f>
        <v>28.6267</v>
      </c>
      <c r="F13" s="12">
        <f>_xll.BDH("HXL US Equity","GROSS_MARGIN","FY 2016","FY 2016","Currency=USD","Period=FY","BEST_FPERIOD_OVERRIDE=FY","FILING_STATUS=MR","FA_ADJUSTED=GAAP","Sort=A","Dates=H","DateFormat=P","Fill=—","Direction=H","UseDPDF=Y")</f>
        <v>28.1694</v>
      </c>
      <c r="G13" s="12">
        <f>_xll.BDH("HXL US Equity","GROSS_MARGIN","FY 2017","FY 2017","Currency=USD","Period=FY","BEST_FPERIOD_OVERRIDE=FY","FILING_STATUS=MR","FA_ADJUSTED=GAAP","Sort=A","Dates=H","DateFormat=P","Fill=—","Direction=H","UseDPDF=Y")</f>
        <v>27.9633</v>
      </c>
      <c r="H13" s="12">
        <f>_xll.BDH("HXL US Equity","GROSS_MARGIN","FY 2018","FY 2018","Currency=USD","Period=FY","BEST_FPERIOD_OVERRIDE=FY","FILING_STATUS=MR","FA_ADJUSTED=GAAP","Sort=A","Dates=H","DateFormat=P","Fill=—","Direction=H","UseDPDF=Y")</f>
        <v>26.531500000000001</v>
      </c>
      <c r="I13" s="12">
        <f>_xll.BDH("HXL US Equity","GROSS_MARGIN","FY 2019","FY 2019","Currency=USD","Period=FY","BEST_FPERIOD_OVERRIDE=FY","FILING_STATUS=MR","FA_ADJUSTED=GAAP","Sort=A","Dates=H","DateFormat=P","Fill=—","Direction=H","UseDPDF=Y")</f>
        <v>27.185099999999998</v>
      </c>
      <c r="J13" s="12">
        <f>_xll.BDH("HXL US Equity","GROSS_MARGIN","FY 2020","FY 2020","Currency=USD","Period=FY","BEST_FPERIOD_OVERRIDE=FY","FILING_STATUS=MR","FA_ADJUSTED=GAAP","Sort=A","Dates=H","DateFormat=P","Fill=—","Direction=H","UseDPDF=Y")</f>
        <v>15.954499999999999</v>
      </c>
      <c r="K13" s="12">
        <f>_xll.BDH("HXL US Equity","GROSS_MARGIN","FY 2021","FY 2021","Currency=USD","Period=FY","BEST_FPERIOD_OVERRIDE=FY","FILING_STATUS=MR","FA_ADJUSTED=GAAP","Sort=A","Dates=H","DateFormat=P","Fill=—","Direction=H","UseDPDF=Y")</f>
        <v>18.8797</v>
      </c>
      <c r="L13" s="12">
        <f>_xll.BDH("HXL US Equity","GROSS_MARGIN","FY 2022","FY 2022","Currency=USD","Period=FY","BEST_FPERIOD_OVERRIDE=FY","FILING_STATUS=MR","FA_ADJUSTED=GAAP","Sort=A","Dates=H","DateFormat=P","Fill=—","Direction=H","UseDPDF=Y")</f>
        <v>22.6342</v>
      </c>
    </row>
    <row r="14" spans="1:12">
      <c r="A14" s="10" t="s">
        <v>35</v>
      </c>
      <c r="B14" s="10" t="s">
        <v>36</v>
      </c>
      <c r="C14" s="12">
        <f>_xll.BDH("HXL US Equity","EBITDA_TO_REVENUE","FY 2013","FY 2013","Currency=USD","Period=FY","BEST_FPERIOD_OVERRIDE=FY","FILING_STATUS=MR","FA_ADJUSTED=GAAP","Sort=A","Dates=H","DateFormat=P","Fill=—","Direction=H","UseDPDF=Y")</f>
        <v>19.675799999999999</v>
      </c>
      <c r="D14" s="12">
        <f>_xll.BDH("HXL US Equity","EBITDA_TO_REVENUE","FY 2014","FY 2014","Currency=USD","Period=FY","BEST_FPERIOD_OVERRIDE=FY","FILING_STATUS=MR","FA_ADJUSTED=GAAP","Sort=A","Dates=H","DateFormat=P","Fill=—","Direction=H","UseDPDF=Y")</f>
        <v>20.318000000000001</v>
      </c>
      <c r="E14" s="12">
        <f>_xll.BDH("HXL US Equity","EBITDA_TO_REVENUE","FY 2015","FY 2015","Currency=USD","Period=FY","BEST_FPERIOD_OVERRIDE=FY","FILING_STATUS=MR","FA_ADJUSTED=GAAP","Sort=A","Dates=H","DateFormat=P","Fill=—","Direction=H","UseDPDF=Y")</f>
        <v>21.964300000000001</v>
      </c>
      <c r="F14" s="12">
        <f>_xll.BDH("HXL US Equity","EBITDA_TO_REVENUE","FY 2016","FY 2016","Currency=USD","Period=FY","BEST_FPERIOD_OVERRIDE=FY","FILING_STATUS=MR","FA_ADJUSTED=GAAP","Sort=A","Dates=H","DateFormat=P","Fill=—","Direction=H","UseDPDF=Y")</f>
        <v>22.621400000000001</v>
      </c>
      <c r="G14" s="12">
        <f>_xll.BDH("HXL US Equity","EBITDA_TO_REVENUE","FY 2017","FY 2017","Currency=USD","Period=FY","BEST_FPERIOD_OVERRIDE=FY","FILING_STATUS=MR","FA_ADJUSTED=GAAP","Sort=A","Dates=H","DateFormat=P","Fill=—","Direction=H","UseDPDF=Y")</f>
        <v>23.062899999999999</v>
      </c>
      <c r="H14" s="12">
        <f>_xll.BDH("HXL US Equity","EBITDA_TO_REVENUE","FY 2018","FY 2018","Currency=USD","Period=FY","BEST_FPERIOD_OVERRIDE=FY","FILING_STATUS=MR","FA_ADJUSTED=GAAP","Sort=A","Dates=H","DateFormat=P","Fill=—","Direction=H","UseDPDF=Y")</f>
        <v>22.580100000000002</v>
      </c>
      <c r="I14" s="12">
        <f>_xll.BDH("HXL US Equity","EBITDA_TO_REVENUE","FY 2019","FY 2019","Currency=USD","Period=FY","BEST_FPERIOD_OVERRIDE=FY","FILING_STATUS=MR","FA_ADJUSTED=GAAP","Sort=A","Dates=H","DateFormat=P","Fill=—","Direction=H","UseDPDF=Y")</f>
        <v>24.722999999999999</v>
      </c>
      <c r="J14" s="12">
        <f>_xll.BDH("HXL US Equity","EBITDA_TO_REVENUE","FY 2020","FY 2020","Currency=USD","Period=FY","BEST_FPERIOD_OVERRIDE=FY","FILING_STATUS=MR","FA_ADJUSTED=GAAP","Sort=A","Dates=H","DateFormat=P","Fill=—","Direction=H","UseDPDF=Y")</f>
        <v>11.395099999999999</v>
      </c>
      <c r="K14" s="12">
        <f>_xll.BDH("HXL US Equity","EBITDA_TO_REVENUE","FY 2021","FY 2021","Currency=USD","Period=FY","BEST_FPERIOD_OVERRIDE=FY","FILING_STATUS=MR","FA_ADJUSTED=GAAP","Sort=A","Dates=H","DateFormat=P","Fill=—","Direction=H","UseDPDF=Y")</f>
        <v>15.482799999999999</v>
      </c>
      <c r="L14" s="12">
        <f>_xll.BDH("HXL US Equity","EBITDA_TO_REVENUE","FY 2022","FY 2022","Currency=USD","Period=FY","BEST_FPERIOD_OVERRIDE=FY","FILING_STATUS=MR","FA_ADJUSTED=GAAP","Sort=A","Dates=H","DateFormat=P","Fill=—","Direction=H","UseDPDF=Y")</f>
        <v>20.0672</v>
      </c>
    </row>
    <row r="15" spans="1:12">
      <c r="A15" s="10" t="s">
        <v>37</v>
      </c>
      <c r="B15" s="10" t="s">
        <v>38</v>
      </c>
      <c r="C15" s="12">
        <f>_xll.BDH("HXL US Equity","OPER_MARGIN","FY 2013","FY 2013","Currency=USD","Period=FY","BEST_FPERIOD_OVERRIDE=FY","FILING_STATUS=MR","FA_ADJUSTED=GAAP","Sort=A","Dates=H","DateFormat=P","Fill=—","Direction=H","UseDPDF=Y")</f>
        <v>16.142299999999999</v>
      </c>
      <c r="D15" s="12">
        <f>_xll.BDH("HXL US Equity","OPER_MARGIN","FY 2014","FY 2014","Currency=USD","Period=FY","BEST_FPERIOD_OVERRIDE=FY","FILING_STATUS=MR","FA_ADJUSTED=GAAP","Sort=A","Dates=H","DateFormat=P","Fill=—","Direction=H","UseDPDF=Y")</f>
        <v>16.480699999999999</v>
      </c>
      <c r="E15" s="12">
        <f>_xll.BDH("HXL US Equity","OPER_MARGIN","FY 2015","FY 2015","Currency=USD","Period=FY","BEST_FPERIOD_OVERRIDE=FY","FILING_STATUS=MR","FA_ADJUSTED=GAAP","Sort=A","Dates=H","DateFormat=P","Fill=—","Direction=H","UseDPDF=Y")</f>
        <v>17.859400000000001</v>
      </c>
      <c r="F15" s="12">
        <f>_xll.BDH("HXL US Equity","OPER_MARGIN","FY 2016","FY 2016","Currency=USD","Period=FY","BEST_FPERIOD_OVERRIDE=FY","FILING_STATUS=MR","FA_ADJUSTED=GAAP","Sort=A","Dates=H","DateFormat=P","Fill=—","Direction=H","UseDPDF=Y")</f>
        <v>17.9664</v>
      </c>
      <c r="G15" s="12">
        <f>_xll.BDH("HXL US Equity","OPER_MARGIN","FY 2017","FY 2017","Currency=USD","Period=FY","BEST_FPERIOD_OVERRIDE=FY","FILING_STATUS=MR","FA_ADJUSTED=GAAP","Sort=A","Dates=H","DateFormat=P","Fill=—","Direction=H","UseDPDF=Y")</f>
        <v>17.767199999999999</v>
      </c>
      <c r="H15" s="12">
        <f>_xll.BDH("HXL US Equity","OPER_MARGIN","FY 2018","FY 2018","Currency=USD","Period=FY","BEST_FPERIOD_OVERRIDE=FY","FILING_STATUS=MR","FA_ADJUSTED=GAAP","Sort=A","Dates=H","DateFormat=P","Fill=—","Direction=H","UseDPDF=Y")</f>
        <v>16.956700000000001</v>
      </c>
      <c r="I15" s="12">
        <f>_xll.BDH("HXL US Equity","OPER_MARGIN","FY 2019","FY 2019","Currency=USD","Period=FY","BEST_FPERIOD_OVERRIDE=FY","FILING_STATUS=MR","FA_ADJUSTED=GAAP","Sort=A","Dates=H","DateFormat=P","Fill=—","Direction=H","UseDPDF=Y")</f>
        <v>18.049800000000001</v>
      </c>
      <c r="J15" s="12">
        <f>_xll.BDH("HXL US Equity","OPER_MARGIN","FY 2020","FY 2020","Currency=USD","Period=FY","BEST_FPERIOD_OVERRIDE=FY","FILING_STATUS=MR","FA_ADJUSTED=GAAP","Sort=A","Dates=H","DateFormat=P","Fill=—","Direction=H","UseDPDF=Y")</f>
        <v>0.9385</v>
      </c>
      <c r="K15" s="12">
        <f>_xll.BDH("HXL US Equity","OPER_MARGIN","FY 2021","FY 2021","Currency=USD","Period=FY","BEST_FPERIOD_OVERRIDE=FY","FILING_STATUS=MR","FA_ADJUSTED=GAAP","Sort=A","Dates=H","DateFormat=P","Fill=—","Direction=H","UseDPDF=Y")</f>
        <v>3.9102999999999999</v>
      </c>
      <c r="L15" s="12">
        <f>_xll.BDH("HXL US Equity","OPER_MARGIN","FY 2022","FY 2022","Currency=USD","Period=FY","BEST_FPERIOD_OVERRIDE=FY","FILING_STATUS=MR","FA_ADJUSTED=GAAP","Sort=A","Dates=H","DateFormat=P","Fill=—","Direction=H","UseDPDF=Y")</f>
        <v>11.104799999999999</v>
      </c>
    </row>
    <row r="16" spans="1:12">
      <c r="A16" s="10" t="s">
        <v>39</v>
      </c>
      <c r="B16" s="10" t="s">
        <v>40</v>
      </c>
      <c r="C16" s="12">
        <f>_xll.BDH("HXL US Equity","INCREMENTAL_OPERATING_MARGIN","FY 2013","FY 2013","Currency=USD","Period=FY","BEST_FPERIOD_OVERRIDE=FY","FILING_STATUS=MR","FA_ADJUSTED=GAAP","Sort=A","Dates=H","DateFormat=P","Fill=—","Direction=H","UseDPDF=Y")</f>
        <v>22.1</v>
      </c>
      <c r="D16" s="12">
        <f>_xll.BDH("HXL US Equity","INCREMENTAL_OPERATING_MARGIN","FY 2014","FY 2014","Currency=USD","Period=FY","BEST_FPERIOD_OVERRIDE=FY","FILING_STATUS=MR","FA_ADJUSTED=GAAP","Sort=A","Dates=H","DateFormat=P","Fill=—","Direction=H","UseDPDF=Y")</f>
        <v>19.684200000000001</v>
      </c>
      <c r="E16" s="12">
        <f>_xll.BDH("HXL US Equity","INCREMENTAL_OPERATING_MARGIN","FY 2015","FY 2015","Currency=USD","Period=FY","BEST_FPERIOD_OVERRIDE=FY","FILING_STATUS=MR","FA_ADJUSTED=GAAP","Sort=A","Dates=H","DateFormat=P","Fill=—","Direction=H","UseDPDF=Y")</f>
        <v>466.66669999999999</v>
      </c>
      <c r="F16" s="12">
        <f>_xll.BDH("HXL US Equity","INCREMENTAL_OPERATING_MARGIN","FY 2016","FY 2016","Currency=USD","Period=FY","BEST_FPERIOD_OVERRIDE=FY","FILING_STATUS=MR","FA_ADJUSTED=GAAP","Sort=A","Dates=H","DateFormat=P","Fill=—","Direction=H","UseDPDF=Y")</f>
        <v>19.357099999999999</v>
      </c>
      <c r="G16" s="12">
        <f>_xll.BDH("HXL US Equity","INCREMENTAL_OPERATING_MARGIN","FY 2017","FY 2017","Currency=USD","Period=FY","BEST_FPERIOD_OVERRIDE=FY","FILING_STATUS=MR","FA_ADJUSTED=GAAP","Sort=A","Dates=H","DateFormat=P","Fill=—","Direction=H","UseDPDF=Y")</f>
        <v>-30.645199999999999</v>
      </c>
      <c r="H16" s="12">
        <f>_xll.BDH("HXL US Equity","INCREMENTAL_OPERATING_MARGIN","FY 2018","FY 2018","Currency=USD","Period=FY","BEST_FPERIOD_OVERRIDE=FY","FILING_STATUS=MR","FA_ADJUSTED=GAAP","Sort=A","Dates=H","DateFormat=P","Fill=—","Direction=H","UseDPDF=Y")</f>
        <v>9.5458999999999996</v>
      </c>
      <c r="I16" s="12">
        <f>_xll.BDH("HXL US Equity","INCREMENTAL_OPERATING_MARGIN","FY 2019","FY 2019","Currency=USD","Period=FY","BEST_FPERIOD_OVERRIDE=FY","FILING_STATUS=MR","FA_ADJUSTED=GAAP","Sort=A","Dates=H","DateFormat=P","Fill=—","Direction=H","UseDPDF=Y")</f>
        <v>32.412999999999997</v>
      </c>
      <c r="J16" s="12">
        <f>_xll.BDH("HXL US Equity","INCREMENTAL_OPERATING_MARGIN","FY 2020","FY 2020","Currency=USD","Period=FY","BEST_FPERIOD_OVERRIDE=FY","FILING_STATUS=MR","FA_ADJUSTED=GAAP","Sort=A","Dates=H","DateFormat=P","Fill=—","Direction=H","UseDPDF=Y")</f>
        <v>-48.177700000000002</v>
      </c>
      <c r="K16" s="12" t="str">
        <f>_xll.BDH("HXL US Equity","INCREMENTAL_OPERATING_MARGIN","FY 2021","FY 2021","Currency=USD","Period=FY","BEST_FPERIOD_OVERRIDE=FY","FILING_STATUS=MR","FA_ADJUSTED=GAAP","Sort=A","Dates=H","DateFormat=P","Fill=—","Direction=H","UseDPDF=Y")</f>
        <v>—</v>
      </c>
      <c r="L16" s="12">
        <f>_xll.BDH("HXL US Equity","INCREMENTAL_OPERATING_MARGIN","FY 2022","FY 2022","Currency=USD","Period=FY","BEST_FPERIOD_OVERRIDE=FY","FILING_STATUS=MR","FA_ADJUSTED=GAAP","Sort=A","Dates=H","DateFormat=P","Fill=—","Direction=H","UseDPDF=Y")</f>
        <v>48.774700000000003</v>
      </c>
    </row>
    <row r="17" spans="1:12">
      <c r="A17" s="10" t="s">
        <v>41</v>
      </c>
      <c r="B17" s="10" t="s">
        <v>42</v>
      </c>
      <c r="C17" s="12">
        <f>_xll.BDH("HXL US Equity","PRETAX_INC_TO_NET_SALES","FY 2013","FY 2013","Currency=USD","Period=FY","BEST_FPERIOD_OVERRIDE=FY","FILING_STATUS=MR","FA_ADJUSTED=GAAP","Sort=A","Dates=H","DateFormat=P","Fill=—","Direction=H","UseDPDF=Y")</f>
        <v>15.6477</v>
      </c>
      <c r="D17" s="12">
        <f>_xll.BDH("HXL US Equity","PRETAX_INC_TO_NET_SALES","FY 2014","FY 2014","Currency=USD","Period=FY","BEST_FPERIOD_OVERRIDE=FY","FILING_STATUS=MR","FA_ADJUSTED=GAAP","Sort=A","Dates=H","DateFormat=P","Fill=—","Direction=H","UseDPDF=Y")</f>
        <v>16.022600000000001</v>
      </c>
      <c r="E17" s="12">
        <f>_xll.BDH("HXL US Equity","PRETAX_INC_TO_NET_SALES","FY 2015","FY 2015","Currency=USD","Period=FY","BEST_FPERIOD_OVERRIDE=FY","FILING_STATUS=MR","FA_ADJUSTED=GAAP","Sort=A","Dates=H","DateFormat=P","Fill=—","Direction=H","UseDPDF=Y")</f>
        <v>17.096499999999999</v>
      </c>
      <c r="F17" s="12">
        <f>_xll.BDH("HXL US Equity","PRETAX_INC_TO_NET_SALES","FY 2016","FY 2016","Currency=USD","Period=FY","BEST_FPERIOD_OVERRIDE=FY","FILING_STATUS=MR","FA_ADJUSTED=GAAP","Sort=A","Dates=H","DateFormat=P","Fill=—","Direction=H","UseDPDF=Y")</f>
        <v>16.843800000000002</v>
      </c>
      <c r="G17" s="12">
        <f>_xll.BDH("HXL US Equity","PRETAX_INC_TO_NET_SALES","FY 2017","FY 2017","Currency=USD","Period=FY","BEST_FPERIOD_OVERRIDE=FY","FILING_STATUS=MR","FA_ADJUSTED=GAAP","Sort=A","Dates=H","DateFormat=P","Fill=—","Direction=H","UseDPDF=Y")</f>
        <v>16.378699999999998</v>
      </c>
      <c r="H17" s="12">
        <f>_xll.BDH("HXL US Equity","PRETAX_INC_TO_NET_SALES","FY 2018","FY 2018","Currency=USD","Period=FY","BEST_FPERIOD_OVERRIDE=FY","FILING_STATUS=MR","FA_ADJUSTED=GAAP","Sort=A","Dates=H","DateFormat=P","Fill=—","Direction=H","UseDPDF=Y")</f>
        <v>15.2346</v>
      </c>
      <c r="I17" s="12">
        <f>_xll.BDH("HXL US Equity","PRETAX_INC_TO_NET_SALES","FY 2019","FY 2019","Currency=USD","Period=FY","BEST_FPERIOD_OVERRIDE=FY","FILING_STATUS=MR","FA_ADJUSTED=GAAP","Sort=A","Dates=H","DateFormat=P","Fill=—","Direction=H","UseDPDF=Y")</f>
        <v>16.118400000000001</v>
      </c>
      <c r="J17" s="12">
        <f>_xll.BDH("HXL US Equity","PRETAX_INC_TO_NET_SALES","FY 2020","FY 2020","Currency=USD","Period=FY","BEST_FPERIOD_OVERRIDE=FY","FILING_STATUS=MR","FA_ADJUSTED=GAAP","Sort=A","Dates=H","DateFormat=P","Fill=—","Direction=H","UseDPDF=Y")</f>
        <v>-1.8436999999999999</v>
      </c>
      <c r="K17" s="12">
        <f>_xll.BDH("HXL US Equity","PRETAX_INC_TO_NET_SALES","FY 2021","FY 2021","Currency=USD","Period=FY","BEST_FPERIOD_OVERRIDE=FY","FILING_STATUS=MR","FA_ADJUSTED=GAAP","Sort=A","Dates=H","DateFormat=P","Fill=—","Direction=H","UseDPDF=Y")</f>
        <v>1.6608000000000001</v>
      </c>
      <c r="L17" s="12">
        <f>_xll.BDH("HXL US Equity","PRETAX_INC_TO_NET_SALES","FY 2022","FY 2022","Currency=USD","Period=FY","BEST_FPERIOD_OVERRIDE=FY","FILING_STATUS=MR","FA_ADJUSTED=GAAP","Sort=A","Dates=H","DateFormat=P","Fill=—","Direction=H","UseDPDF=Y")</f>
        <v>9.4947999999999997</v>
      </c>
    </row>
    <row r="18" spans="1:12">
      <c r="A18" s="10" t="s">
        <v>43</v>
      </c>
      <c r="B18" s="10" t="s">
        <v>44</v>
      </c>
      <c r="C18" s="12">
        <f>_xll.BDH("HXL US Equity","INC_BEF_XO_ITEMS_TO_NET_SALES","FY 2013","FY 2013","Currency=USD","Period=FY","BEST_FPERIOD_OVERRIDE=FY","FILING_STATUS=MR","FA_ADJUSTED=GAAP","Sort=A","Dates=H","DateFormat=P","Fill=—","Direction=H","UseDPDF=Y")</f>
        <v>11.1965</v>
      </c>
      <c r="D18" s="12">
        <f>_xll.BDH("HXL US Equity","INC_BEF_XO_ITEMS_TO_NET_SALES","FY 2014","FY 2014","Currency=USD","Period=FY","BEST_FPERIOD_OVERRIDE=FY","FILING_STATUS=MR","FA_ADJUSTED=GAAP","Sort=A","Dates=H","DateFormat=P","Fill=—","Direction=H","UseDPDF=Y")</f>
        <v>11.285399999999999</v>
      </c>
      <c r="E18" s="12">
        <f>_xll.BDH("HXL US Equity","INC_BEF_XO_ITEMS_TO_NET_SALES","FY 2015","FY 2015","Currency=USD","Period=FY","BEST_FPERIOD_OVERRIDE=FY","FILING_STATUS=MR","FA_ADJUSTED=GAAP","Sort=A","Dates=H","DateFormat=P","Fill=—","Direction=H","UseDPDF=Y")</f>
        <v>12.7445</v>
      </c>
      <c r="F18" s="12">
        <f>_xll.BDH("HXL US Equity","INC_BEF_XO_ITEMS_TO_NET_SALES","FY 2016","FY 2016","Currency=USD","Period=FY","BEST_FPERIOD_OVERRIDE=FY","FILING_STATUS=MR","FA_ADJUSTED=GAAP","Sort=A","Dates=H","DateFormat=P","Fill=—","Direction=H","UseDPDF=Y")</f>
        <v>12.463200000000001</v>
      </c>
      <c r="G18" s="12">
        <f>_xll.BDH("HXL US Equity","INC_BEF_XO_ITEMS_TO_NET_SALES","FY 2017","FY 2017","Currency=USD","Period=FY","BEST_FPERIOD_OVERRIDE=FY","FILING_STATUS=MR","FA_ADJUSTED=GAAP","Sort=A","Dates=H","DateFormat=P","Fill=—","Direction=H","UseDPDF=Y")</f>
        <v>14.392099999999999</v>
      </c>
      <c r="H18" s="12">
        <f>_xll.BDH("HXL US Equity","INC_BEF_XO_ITEMS_TO_NET_SALES","FY 2018","FY 2018","Currency=USD","Period=FY","BEST_FPERIOD_OVERRIDE=FY","FILING_STATUS=MR","FA_ADJUSTED=GAAP","Sort=A","Dates=H","DateFormat=P","Fill=—","Direction=H","UseDPDF=Y")</f>
        <v>12.635300000000001</v>
      </c>
      <c r="I18" s="12">
        <f>_xll.BDH("HXL US Equity","INC_BEF_XO_ITEMS_TO_NET_SALES","FY 2019","FY 2019","Currency=USD","Period=FY","BEST_FPERIOD_OVERRIDE=FY","FILING_STATUS=MR","FA_ADJUSTED=GAAP","Sort=A","Dates=H","DateFormat=P","Fill=—","Direction=H","UseDPDF=Y")</f>
        <v>13.0152</v>
      </c>
      <c r="J18" s="12">
        <f>_xll.BDH("HXL US Equity","INC_BEF_XO_ITEMS_TO_NET_SALES","FY 2020","FY 2020","Currency=USD","Period=FY","BEST_FPERIOD_OVERRIDE=FY","FILING_STATUS=MR","FA_ADJUSTED=GAAP","Sort=A","Dates=H","DateFormat=P","Fill=—","Direction=H","UseDPDF=Y")</f>
        <v>2.11</v>
      </c>
      <c r="K18" s="12">
        <f>_xll.BDH("HXL US Equity","INC_BEF_XO_ITEMS_TO_NET_SALES","FY 2021","FY 2021","Currency=USD","Period=FY","BEST_FPERIOD_OVERRIDE=FY","FILING_STATUS=MR","FA_ADJUSTED=GAAP","Sort=A","Dates=H","DateFormat=P","Fill=—","Direction=H","UseDPDF=Y")</f>
        <v>1.2154</v>
      </c>
      <c r="L18" s="12">
        <f>_xll.BDH("HXL US Equity","INC_BEF_XO_ITEMS_TO_NET_SALES","FY 2022","FY 2022","Currency=USD","Period=FY","BEST_FPERIOD_OVERRIDE=FY","FILING_STATUS=MR","FA_ADJUSTED=GAAP","Sort=A","Dates=H","DateFormat=P","Fill=—","Direction=H","UseDPDF=Y")</f>
        <v>8.0053000000000001</v>
      </c>
    </row>
    <row r="19" spans="1:12">
      <c r="A19" s="10" t="s">
        <v>45</v>
      </c>
      <c r="B19" s="10" t="s">
        <v>46</v>
      </c>
      <c r="C19" s="12">
        <f>_xll.BDH("HXL US Equity","PROF_MARGIN","FY 2013","FY 2013","Currency=USD","Period=FY","BEST_FPERIOD_OVERRIDE=FY","FILING_STATUS=MR","FA_ADJUSTED=GAAP","Sort=A","Dates=H","DateFormat=P","Fill=—","Direction=H","UseDPDF=Y")</f>
        <v>11.1965</v>
      </c>
      <c r="D19" s="12">
        <f>_xll.BDH("HXL US Equity","PROF_MARGIN","FY 2014","FY 2014","Currency=USD","Period=FY","BEST_FPERIOD_OVERRIDE=FY","FILING_STATUS=MR","FA_ADJUSTED=GAAP","Sort=A","Dates=H","DateFormat=P","Fill=—","Direction=H","UseDPDF=Y")</f>
        <v>11.285399999999999</v>
      </c>
      <c r="E19" s="12">
        <f>_xll.BDH("HXL US Equity","PROF_MARGIN","FY 2015","FY 2015","Currency=USD","Period=FY","BEST_FPERIOD_OVERRIDE=FY","FILING_STATUS=MR","FA_ADJUSTED=GAAP","Sort=A","Dates=H","DateFormat=P","Fill=—","Direction=H","UseDPDF=Y")</f>
        <v>12.7445</v>
      </c>
      <c r="F19" s="12">
        <f>_xll.BDH("HXL US Equity","PROF_MARGIN","FY 2016","FY 2016","Currency=USD","Period=FY","BEST_FPERIOD_OVERRIDE=FY","FILING_STATUS=MR","FA_ADJUSTED=GAAP","Sort=A","Dates=H","DateFormat=P","Fill=—","Direction=H","UseDPDF=Y")</f>
        <v>12.463200000000001</v>
      </c>
      <c r="G19" s="12">
        <f>_xll.BDH("HXL US Equity","PROF_MARGIN","FY 2017","FY 2017","Currency=USD","Period=FY","BEST_FPERIOD_OVERRIDE=FY","FILING_STATUS=MR","FA_ADJUSTED=GAAP","Sort=A","Dates=H","DateFormat=P","Fill=—","Direction=H","UseDPDF=Y")</f>
        <v>14.392099999999999</v>
      </c>
      <c r="H19" s="12">
        <f>_xll.BDH("HXL US Equity","PROF_MARGIN","FY 2018","FY 2018","Currency=USD","Period=FY","BEST_FPERIOD_OVERRIDE=FY","FILING_STATUS=MR","FA_ADJUSTED=GAAP","Sort=A","Dates=H","DateFormat=P","Fill=—","Direction=H","UseDPDF=Y")</f>
        <v>12.635300000000001</v>
      </c>
      <c r="I19" s="12">
        <f>_xll.BDH("HXL US Equity","PROF_MARGIN","FY 2019","FY 2019","Currency=USD","Period=FY","BEST_FPERIOD_OVERRIDE=FY","FILING_STATUS=MR","FA_ADJUSTED=GAAP","Sort=A","Dates=H","DateFormat=P","Fill=—","Direction=H","UseDPDF=Y")</f>
        <v>13.0152</v>
      </c>
      <c r="J19" s="12">
        <f>_xll.BDH("HXL US Equity","PROF_MARGIN","FY 2020","FY 2020","Currency=USD","Period=FY","BEST_FPERIOD_OVERRIDE=FY","FILING_STATUS=MR","FA_ADJUSTED=GAAP","Sort=A","Dates=H","DateFormat=P","Fill=—","Direction=H","UseDPDF=Y")</f>
        <v>2.11</v>
      </c>
      <c r="K19" s="12">
        <f>_xll.BDH("HXL US Equity","PROF_MARGIN","FY 2021","FY 2021","Currency=USD","Period=FY","BEST_FPERIOD_OVERRIDE=FY","FILING_STATUS=MR","FA_ADJUSTED=GAAP","Sort=A","Dates=H","DateFormat=P","Fill=—","Direction=H","UseDPDF=Y")</f>
        <v>1.2154</v>
      </c>
      <c r="L19" s="12">
        <f>_xll.BDH("HXL US Equity","PROF_MARGIN","FY 2022","FY 2022","Currency=USD","Period=FY","BEST_FPERIOD_OVERRIDE=FY","FILING_STATUS=MR","FA_ADJUSTED=GAAP","Sort=A","Dates=H","DateFormat=P","Fill=—","Direction=H","UseDPDF=Y")</f>
        <v>8.0053000000000001</v>
      </c>
    </row>
    <row r="20" spans="1:12">
      <c r="A20" s="10" t="s">
        <v>47</v>
      </c>
      <c r="B20" s="10" t="s">
        <v>48</v>
      </c>
      <c r="C20" s="12">
        <f>_xll.BDH("HXL US Equity","NET_INCOME_TO_COMMON_MARGIN","FY 2013","FY 2013","Currency=USD","Period=FY","BEST_FPERIOD_OVERRIDE=FY","FILING_STATUS=MR","FA_ADJUSTED=GAAP","Sort=A","Dates=H","DateFormat=P","Fill=—","Direction=H","UseDPDF=Y")</f>
        <v>11.1965</v>
      </c>
      <c r="D20" s="12">
        <f>_xll.BDH("HXL US Equity","NET_INCOME_TO_COMMON_MARGIN","FY 2014","FY 2014","Currency=USD","Period=FY","BEST_FPERIOD_OVERRIDE=FY","FILING_STATUS=MR","FA_ADJUSTED=GAAP","Sort=A","Dates=H","DateFormat=P","Fill=—","Direction=H","UseDPDF=Y")</f>
        <v>11.285399999999999</v>
      </c>
      <c r="E20" s="12">
        <f>_xll.BDH("HXL US Equity","NET_INCOME_TO_COMMON_MARGIN","FY 2015","FY 2015","Currency=USD","Period=FY","BEST_FPERIOD_OVERRIDE=FY","FILING_STATUS=MR","FA_ADJUSTED=GAAP","Sort=A","Dates=H","DateFormat=P","Fill=—","Direction=H","UseDPDF=Y")</f>
        <v>12.7445</v>
      </c>
      <c r="F20" s="12">
        <f>_xll.BDH("HXL US Equity","NET_INCOME_TO_COMMON_MARGIN","FY 2016","FY 2016","Currency=USD","Period=FY","BEST_FPERIOD_OVERRIDE=FY","FILING_STATUS=MR","FA_ADJUSTED=GAAP","Sort=A","Dates=H","DateFormat=P","Fill=—","Direction=H","UseDPDF=Y")</f>
        <v>12.463200000000001</v>
      </c>
      <c r="G20" s="12">
        <f>_xll.BDH("HXL US Equity","NET_INCOME_TO_COMMON_MARGIN","FY 2017","FY 2017","Currency=USD","Period=FY","BEST_FPERIOD_OVERRIDE=FY","FILING_STATUS=MR","FA_ADJUSTED=GAAP","Sort=A","Dates=H","DateFormat=P","Fill=—","Direction=H","UseDPDF=Y")</f>
        <v>14.392099999999999</v>
      </c>
      <c r="H20" s="12">
        <f>_xll.BDH("HXL US Equity","NET_INCOME_TO_COMMON_MARGIN","FY 2018","FY 2018","Currency=USD","Period=FY","BEST_FPERIOD_OVERRIDE=FY","FILING_STATUS=MR","FA_ADJUSTED=GAAP","Sort=A","Dates=H","DateFormat=P","Fill=—","Direction=H","UseDPDF=Y")</f>
        <v>12.635300000000001</v>
      </c>
      <c r="I20" s="12">
        <f>_xll.BDH("HXL US Equity","NET_INCOME_TO_COMMON_MARGIN","FY 2019","FY 2019","Currency=USD","Period=FY","BEST_FPERIOD_OVERRIDE=FY","FILING_STATUS=MR","FA_ADJUSTED=GAAP","Sort=A","Dates=H","DateFormat=P","Fill=—","Direction=H","UseDPDF=Y")</f>
        <v>13.0152</v>
      </c>
      <c r="J20" s="12">
        <f>_xll.BDH("HXL US Equity","NET_INCOME_TO_COMMON_MARGIN","FY 2020","FY 2020","Currency=USD","Period=FY","BEST_FPERIOD_OVERRIDE=FY","FILING_STATUS=MR","FA_ADJUSTED=GAAP","Sort=A","Dates=H","DateFormat=P","Fill=—","Direction=H","UseDPDF=Y")</f>
        <v>2.11</v>
      </c>
      <c r="K20" s="12">
        <f>_xll.BDH("HXL US Equity","NET_INCOME_TO_COMMON_MARGIN","FY 2021","FY 2021","Currency=USD","Period=FY","BEST_FPERIOD_OVERRIDE=FY","FILING_STATUS=MR","FA_ADJUSTED=GAAP","Sort=A","Dates=H","DateFormat=P","Fill=—","Direction=H","UseDPDF=Y")</f>
        <v>1.2154</v>
      </c>
      <c r="L20" s="12">
        <f>_xll.BDH("HXL US Equity","NET_INCOME_TO_COMMON_MARGIN","FY 2022","FY 2022","Currency=USD","Period=FY","BEST_FPERIOD_OVERRIDE=FY","FILING_STATUS=MR","FA_ADJUSTED=GAAP","Sort=A","Dates=H","DateFormat=P","Fill=—","Direction=H","UseDPDF=Y")</f>
        <v>8.0053000000000001</v>
      </c>
    </row>
    <row r="21" spans="1:12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</row>
    <row r="22" spans="1:12">
      <c r="A22" s="6" t="s">
        <v>49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 spans="1:12">
      <c r="A23" s="10" t="s">
        <v>50</v>
      </c>
      <c r="B23" s="10" t="s">
        <v>51</v>
      </c>
      <c r="C23" s="12">
        <f>_xll.BDH("HXL US Equity","EFF_TAX_RATE","FY 2013","FY 2013","Currency=USD","Period=FY","BEST_FPERIOD_OVERRIDE=FY","FILING_STATUS=MR","FA_ADJUSTED=GAAP","Sort=A","Dates=H","DateFormat=P","Fill=—","Direction=H","UseDPDF=Y")</f>
        <v>28.941400000000002</v>
      </c>
      <c r="D23" s="12">
        <f>_xll.BDH("HXL US Equity","EFF_TAX_RATE","FY 2014","FY 2014","Currency=USD","Period=FY","BEST_FPERIOD_OVERRIDE=FY","FILING_STATUS=MR","FA_ADJUSTED=GAAP","Sort=A","Dates=H","DateFormat=P","Fill=—","Direction=H","UseDPDF=Y")</f>
        <v>30.036999999999999</v>
      </c>
      <c r="E23" s="12">
        <f>_xll.BDH("HXL US Equity","EFF_TAX_RATE","FY 2015","FY 2015","Currency=USD","Period=FY","BEST_FPERIOD_OVERRIDE=FY","FILING_STATUS=MR","FA_ADJUSTED=GAAP","Sort=A","Dates=H","DateFormat=P","Fill=—","Direction=H","UseDPDF=Y")</f>
        <v>26.084199999999999</v>
      </c>
      <c r="F23" s="12">
        <f>_xll.BDH("HXL US Equity","EFF_TAX_RATE","FY 2016","FY 2016","Currency=USD","Period=FY","BEST_FPERIOD_OVERRIDE=FY","FILING_STATUS=MR","FA_ADJUSTED=GAAP","Sort=A","Dates=H","DateFormat=P","Fill=—","Direction=H","UseDPDF=Y")</f>
        <v>26.747599999999998</v>
      </c>
      <c r="G23" s="12">
        <f>_xll.BDH("HXL US Equity","EFF_TAX_RATE","FY 2017","FY 2017","Currency=USD","Period=FY","BEST_FPERIOD_OVERRIDE=FY","FILING_STATUS=MR","FA_ADJUSTED=GAAP","Sort=A","Dates=H","DateFormat=P","Fill=—","Direction=H","UseDPDF=Y")</f>
        <v>13.149800000000001</v>
      </c>
      <c r="H23" s="12">
        <f>_xll.BDH("HXL US Equity","EFF_TAX_RATE","FY 2018","FY 2018","Currency=USD","Period=FY","BEST_FPERIOD_OVERRIDE=FY","FILING_STATUS=MR","FA_ADJUSTED=GAAP","Sort=A","Dates=H","DateFormat=P","Fill=—","Direction=H","UseDPDF=Y")</f>
        <v>18.740600000000001</v>
      </c>
      <c r="I23" s="12">
        <f>_xll.BDH("HXL US Equity","EFF_TAX_RATE","FY 2019","FY 2019","Currency=USD","Period=FY","BEST_FPERIOD_OVERRIDE=FY","FILING_STATUS=MR","FA_ADJUSTED=GAAP","Sort=A","Dates=H","DateFormat=P","Fill=—","Direction=H","UseDPDF=Y")</f>
        <v>20.226500000000001</v>
      </c>
      <c r="J23" s="12" t="str">
        <f>_xll.BDH("HXL US Equity","EFF_TAX_RATE","FY 2020","FY 2020","Currency=USD","Period=FY","BEST_FPERIOD_OVERRIDE=FY","FILING_STATUS=MR","FA_ADJUSTED=GAAP","Sort=A","Dates=H","DateFormat=P","Fill=—","Direction=H","UseDPDF=Y")</f>
        <v>—</v>
      </c>
      <c r="K23" s="12">
        <f>_xll.BDH("HXL US Equity","EFF_TAX_RATE","FY 2021","FY 2021","Currency=USD","Period=FY","BEST_FPERIOD_OVERRIDE=FY","FILING_STATUS=MR","FA_ADJUSTED=GAAP","Sort=A","Dates=H","DateFormat=P","Fill=—","Direction=H","UseDPDF=Y")</f>
        <v>26.818200000000001</v>
      </c>
      <c r="L23" s="12">
        <f>_xll.BDH("HXL US Equity","EFF_TAX_RATE","FY 2022","FY 2022","Currency=USD","Period=FY","BEST_FPERIOD_OVERRIDE=FY","FILING_STATUS=MR","FA_ADJUSTED=GAAP","Sort=A","Dates=H","DateFormat=P","Fill=—","Direction=H","UseDPDF=Y")</f>
        <v>21.094799999999999</v>
      </c>
    </row>
    <row r="24" spans="1:12">
      <c r="A24" s="10" t="s">
        <v>52</v>
      </c>
      <c r="B24" s="10" t="s">
        <v>53</v>
      </c>
      <c r="C24" s="12">
        <f>_xll.BDH("HXL US Equity","DVD_PAYOUT_RATIO","FY 2013","FY 2013","Currency=USD","Period=FY","BEST_FPERIOD_OVERRIDE=FY","FILING_STATUS=MR","FA_ADJUSTED=GAAP","Sort=A","Dates=H","DateFormat=P","Fill=—","Direction=H","UseDPDF=Y")</f>
        <v>0</v>
      </c>
      <c r="D24" s="12">
        <f>_xll.BDH("HXL US Equity","DVD_PAYOUT_RATIO","FY 2014","FY 2014","Currency=USD","Period=FY","BEST_FPERIOD_OVERRIDE=FY","FILING_STATUS=MR","FA_ADJUSTED=GAAP","Sort=A","Dates=H","DateFormat=P","Fill=—","Direction=H","UseDPDF=Y")</f>
        <v>0</v>
      </c>
      <c r="E24" s="12">
        <f>_xll.BDH("HXL US Equity","DVD_PAYOUT_RATIO","FY 2015","FY 2015","Currency=USD","Period=FY","BEST_FPERIOD_OVERRIDE=FY","FILING_STATUS=MR","FA_ADJUSTED=GAAP","Sort=A","Dates=H","DateFormat=P","Fill=—","Direction=H","UseDPDF=Y")</f>
        <v>16.155100000000001</v>
      </c>
      <c r="F24" s="12">
        <f>_xll.BDH("HXL US Equity","DVD_PAYOUT_RATIO","FY 2016","FY 2016","Currency=USD","Period=FY","BEST_FPERIOD_OVERRIDE=FY","FILING_STATUS=MR","FA_ADJUSTED=GAAP","Sort=A","Dates=H","DateFormat=P","Fill=—","Direction=H","UseDPDF=Y")</f>
        <v>15.974399999999999</v>
      </c>
      <c r="G24" s="12">
        <f>_xll.BDH("HXL US Equity","DVD_PAYOUT_RATIO","FY 2017","FY 2017","Currency=USD","Period=FY","BEST_FPERIOD_OVERRIDE=FY","FILING_STATUS=MR","FA_ADJUSTED=GAAP","Sort=A","Dates=H","DateFormat=P","Fill=—","Direction=H","UseDPDF=Y")</f>
        <v>14.9937</v>
      </c>
      <c r="H24" s="12">
        <f>_xll.BDH("HXL US Equity","DVD_PAYOUT_RATIO","FY 2018","FY 2018","Currency=USD","Period=FY","BEST_FPERIOD_OVERRIDE=FY","FILING_STATUS=MR","FA_ADJUSTED=GAAP","Sort=A","Dates=H","DateFormat=P","Fill=—","Direction=H","UseDPDF=Y")</f>
        <v>18.2728</v>
      </c>
      <c r="I24" s="12">
        <f>_xll.BDH("HXL US Equity","DVD_PAYOUT_RATIO","FY 2019","FY 2019","Currency=USD","Period=FY","BEST_FPERIOD_OVERRIDE=FY","FILING_STATUS=MR","FA_ADJUSTED=GAAP","Sort=A","Dates=H","DateFormat=P","Fill=—","Direction=H","UseDPDF=Y")</f>
        <v>18.2759</v>
      </c>
      <c r="J24" s="12">
        <f>_xll.BDH("HXL US Equity","DVD_PAYOUT_RATIO","FY 2020","FY 2020","Currency=USD","Period=FY","BEST_FPERIOD_OVERRIDE=FY","FILING_STATUS=MR","FA_ADJUSTED=GAAP","Sort=A","Dates=H","DateFormat=P","Fill=—","Direction=H","UseDPDF=Y")</f>
        <v>44.940100000000001</v>
      </c>
      <c r="K24" s="12">
        <f>_xll.BDH("HXL US Equity","DVD_PAYOUT_RATIO","FY 2021","FY 2021","Currency=USD","Period=FY","BEST_FPERIOD_OVERRIDE=FY","FILING_STATUS=MR","FA_ADJUSTED=GAAP","Sort=A","Dates=H","DateFormat=P","Fill=—","Direction=H","UseDPDF=Y")</f>
        <v>52.235999999999997</v>
      </c>
      <c r="L24" s="12">
        <f>_xll.BDH("HXL US Equity","DVD_PAYOUT_RATIO","FY 2022","FY 2022","Currency=USD","Period=FY","BEST_FPERIOD_OVERRIDE=FY","FILING_STATUS=MR","FA_ADJUSTED=GAAP","Sort=A","Dates=H","DateFormat=P","Fill=—","Direction=H","UseDPDF=Y")</f>
        <v>26.73</v>
      </c>
    </row>
    <row r="25" spans="1:12">
      <c r="A25" s="10" t="s">
        <v>54</v>
      </c>
      <c r="B25" s="10" t="s">
        <v>55</v>
      </c>
      <c r="C25" s="12">
        <f>_xll.BDH("HXL US Equity","SUSTAIN_GROWTH_RT","FY 2013","FY 2013","Currency=USD","Period=FY","BEST_FPERIOD_OVERRIDE=FY","FILING_STATUS=MR","FA_ADJUSTED=GAAP","Sort=A","Dates=H","DateFormat=P","Fill=—","Direction=H","UseDPDF=Y")</f>
        <v>17.442599999999999</v>
      </c>
      <c r="D25" s="12">
        <f>_xll.BDH("HXL US Equity","SUSTAIN_GROWTH_RT","FY 2014","FY 2014","Currency=USD","Period=FY","BEST_FPERIOD_OVERRIDE=FY","FILING_STATUS=MR","FA_ADJUSTED=GAAP","Sort=A","Dates=H","DateFormat=P","Fill=—","Direction=H","UseDPDF=Y")</f>
        <v>18.127500000000001</v>
      </c>
      <c r="E25" s="12">
        <f>_xll.BDH("HXL US Equity","SUSTAIN_GROWTH_RT","FY 2015","FY 2015","Currency=USD","Period=FY","BEST_FPERIOD_OVERRIDE=FY","FILING_STATUS=MR","FA_ADJUSTED=GAAP","Sort=A","Dates=H","DateFormat=P","Fill=—","Direction=H","UseDPDF=Y")</f>
        <v>17.0749</v>
      </c>
      <c r="F25" s="12">
        <f>_xll.BDH("HXL US Equity","SUSTAIN_GROWTH_RT","FY 2016","FY 2016","Currency=USD","Period=FY","BEST_FPERIOD_OVERRIDE=FY","FILING_STATUS=MR","FA_ADJUSTED=GAAP","Sort=A","Dates=H","DateFormat=P","Fill=—","Direction=H","UseDPDF=Y")</f>
        <v>17.314599999999999</v>
      </c>
      <c r="G25" s="12">
        <f>_xll.BDH("HXL US Equity","SUSTAIN_GROWTH_RT","FY 2017","FY 2017","Currency=USD","Period=FY","BEST_FPERIOD_OVERRIDE=FY","FILING_STATUS=MR","FA_ADJUSTED=GAAP","Sort=A","Dates=H","DateFormat=P","Fill=—","Direction=H","UseDPDF=Y")</f>
        <v>17.6218</v>
      </c>
      <c r="H25" s="12">
        <f>_xll.BDH("HXL US Equity","SUSTAIN_GROWTH_RT","FY 2018","FY 2018","Currency=USD","Period=FY","BEST_FPERIOD_OVERRIDE=FY","FILING_STATUS=MR","FA_ADJUSTED=GAAP","Sort=A","Dates=H","DateFormat=P","Fill=—","Direction=H","UseDPDF=Y")</f>
        <v>16.048999999999999</v>
      </c>
      <c r="I25" s="12">
        <f>_xll.BDH("HXL US Equity","SUSTAIN_GROWTH_RT","FY 2019","FY 2019","Currency=USD","Period=FY","BEST_FPERIOD_OVERRIDE=FY","FILING_STATUS=MR","FA_ADJUSTED=GAAP","Sort=A","Dates=H","DateFormat=P","Fill=—","Direction=H","UseDPDF=Y")</f>
        <v>18.1038</v>
      </c>
      <c r="J25" s="12">
        <f>_xll.BDH("HXL US Equity","SUSTAIN_GROWTH_RT","FY 2020","FY 2020","Currency=USD","Period=FY","BEST_FPERIOD_OVERRIDE=FY","FILING_STATUS=MR","FA_ADJUSTED=GAAP","Sort=A","Dates=H","DateFormat=P","Fill=—","Direction=H","UseDPDF=Y")</f>
        <v>1.1808000000000001</v>
      </c>
      <c r="K25" s="12">
        <f>_xll.BDH("HXL US Equity","SUSTAIN_GROWTH_RT","FY 2021","FY 2021","Currency=USD","Period=FY","BEST_FPERIOD_OVERRIDE=FY","FILING_STATUS=MR","FA_ADJUSTED=GAAP","Sort=A","Dates=H","DateFormat=P","Fill=—","Direction=H","UseDPDF=Y")</f>
        <v>0.51339999999999997</v>
      </c>
      <c r="L25" s="12">
        <f>_xll.BDH("HXL US Equity","SUSTAIN_GROWTH_RT","FY 2022","FY 2022","Currency=USD","Period=FY","BEST_FPERIOD_OVERRIDE=FY","FILING_STATUS=MR","FA_ADJUSTED=GAAP","Sort=A","Dates=H","DateFormat=P","Fill=—","Direction=H","UseDPDF=Y")</f>
        <v>6.0888</v>
      </c>
    </row>
    <row r="26" spans="1:12">
      <c r="A26" s="7" t="s">
        <v>56</v>
      </c>
      <c r="B26" s="7"/>
      <c r="C26" s="7" t="s">
        <v>57</v>
      </c>
      <c r="D26" s="7"/>
      <c r="E26" s="7"/>
      <c r="F26" s="7"/>
      <c r="G26" s="7"/>
      <c r="H26" s="7"/>
      <c r="I26" s="7"/>
      <c r="J26" s="7"/>
      <c r="K26" s="7"/>
      <c r="L2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/>
  <cp:revision/>
  <dcterms:created xsi:type="dcterms:W3CDTF">2013-04-03T15:49:21Z</dcterms:created>
  <dcterms:modified xsi:type="dcterms:W3CDTF">2023-12-04T20:13:01Z</dcterms:modified>
  <cp:category/>
  <cp:contentStatus/>
</cp:coreProperties>
</file>