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FED231CD-3A3F-4C46-8383-31C6408CB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quidit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L9" i="2"/>
  <c r="C17" i="2"/>
  <c r="K22" i="2"/>
  <c r="K12" i="2"/>
  <c r="D7" i="2"/>
  <c r="J8" i="2"/>
  <c r="E21" i="2"/>
  <c r="F10" i="2"/>
  <c r="G25" i="2"/>
  <c r="I18" i="2"/>
  <c r="L12" i="2"/>
  <c r="J18" i="2"/>
  <c r="H22" i="2"/>
  <c r="F21" i="2"/>
  <c r="L22" i="2"/>
  <c r="C8" i="2"/>
  <c r="D17" i="2"/>
  <c r="G7" i="2"/>
  <c r="I25" i="2"/>
  <c r="H14" i="2"/>
  <c r="E17" i="2"/>
  <c r="I8" i="2"/>
  <c r="H25" i="2"/>
  <c r="K18" i="2"/>
  <c r="L18" i="2"/>
  <c r="I10" i="2"/>
  <c r="D24" i="2"/>
  <c r="D14" i="2"/>
  <c r="I21" i="2"/>
  <c r="I20" i="2"/>
  <c r="C9" i="2"/>
  <c r="E24" i="2"/>
  <c r="E13" i="2"/>
  <c r="G17" i="2"/>
  <c r="J14" i="2"/>
  <c r="K6" i="2"/>
  <c r="C20" i="2"/>
  <c r="K25" i="2"/>
  <c r="J25" i="2"/>
  <c r="K14" i="2"/>
  <c r="F17" i="2"/>
  <c r="I12" i="2"/>
  <c r="K8" i="2"/>
  <c r="D13" i="2"/>
  <c r="I17" i="2"/>
  <c r="K21" i="2"/>
  <c r="E10" i="2"/>
  <c r="I14" i="2"/>
  <c r="F13" i="2"/>
  <c r="I7" i="2"/>
  <c r="I9" i="2"/>
  <c r="F7" i="2"/>
  <c r="H7" i="2"/>
  <c r="D20" i="2"/>
  <c r="D9" i="2"/>
  <c r="H17" i="2"/>
  <c r="G21" i="2"/>
  <c r="G13" i="2"/>
  <c r="L8" i="2"/>
  <c r="J21" i="2"/>
  <c r="H10" i="2"/>
  <c r="J10" i="2"/>
  <c r="H21" i="2"/>
  <c r="E20" i="2"/>
  <c r="L14" i="2"/>
  <c r="K10" i="2"/>
  <c r="C16" i="2"/>
  <c r="G24" i="2"/>
  <c r="E9" i="2"/>
  <c r="C6" i="2"/>
  <c r="F24" i="2"/>
  <c r="D26" i="2"/>
  <c r="K7" i="2"/>
  <c r="L25" i="2"/>
  <c r="G16" i="2"/>
  <c r="L20" i="2"/>
  <c r="E16" i="2"/>
  <c r="J6" i="2"/>
  <c r="G9" i="2"/>
  <c r="C7" i="2"/>
  <c r="G14" i="2"/>
  <c r="G10" i="2"/>
  <c r="F9" i="2"/>
  <c r="J17" i="2"/>
  <c r="H13" i="2"/>
  <c r="C12" i="2"/>
  <c r="E6" i="2"/>
  <c r="G20" i="2"/>
  <c r="E7" i="2"/>
  <c r="C26" i="2"/>
  <c r="F20" i="2"/>
  <c r="E26" i="2"/>
  <c r="K17" i="2"/>
  <c r="L7" i="2"/>
  <c r="C24" i="2"/>
  <c r="D16" i="2"/>
  <c r="J7" i="2"/>
  <c r="C22" i="2"/>
  <c r="I13" i="2"/>
  <c r="L10" i="2"/>
  <c r="I24" i="2"/>
  <c r="C13" i="2"/>
  <c r="D6" i="2"/>
  <c r="F6" i="2"/>
  <c r="L21" i="2"/>
  <c r="H24" i="2"/>
  <c r="H9" i="2"/>
  <c r="D12" i="2"/>
  <c r="C21" i="2"/>
  <c r="J13" i="2"/>
  <c r="G26" i="2"/>
  <c r="K24" i="2"/>
  <c r="L17" i="2"/>
  <c r="J24" i="2"/>
  <c r="C14" i="2"/>
  <c r="J9" i="2"/>
  <c r="L13" i="2"/>
  <c r="F12" i="2"/>
  <c r="D8" i="2"/>
  <c r="D22" i="2"/>
  <c r="F22" i="2"/>
  <c r="E18" i="2"/>
  <c r="H26" i="2"/>
  <c r="D18" i="2"/>
  <c r="F26" i="2"/>
  <c r="J20" i="2"/>
  <c r="H20" i="2"/>
  <c r="F16" i="2"/>
  <c r="H16" i="2"/>
  <c r="J26" i="2"/>
  <c r="H6" i="2"/>
  <c r="L24" i="2"/>
  <c r="I6" i="2"/>
  <c r="F18" i="2"/>
  <c r="E8" i="2"/>
  <c r="G12" i="2"/>
  <c r="G22" i="2"/>
  <c r="L6" i="2"/>
  <c r="I26" i="2"/>
  <c r="K26" i="2"/>
  <c r="F8" i="2"/>
  <c r="H12" i="2"/>
  <c r="I22" i="2"/>
  <c r="E12" i="2"/>
  <c r="D10" i="2"/>
  <c r="K20" i="2"/>
  <c r="E25" i="2"/>
  <c r="G6" i="2"/>
  <c r="C25" i="2"/>
  <c r="K9" i="2"/>
  <c r="J12" i="2"/>
  <c r="C10" i="2"/>
  <c r="K13" i="2"/>
  <c r="H18" i="2"/>
  <c r="C18" i="2"/>
  <c r="G18" i="2"/>
  <c r="L16" i="2"/>
  <c r="H8" i="2"/>
  <c r="F25" i="2"/>
  <c r="F14" i="2"/>
  <c r="G8" i="2"/>
  <c r="E14" i="2"/>
  <c r="L26" i="2"/>
  <c r="J22" i="2"/>
  <c r="I16" i="2"/>
  <c r="E22" i="2"/>
  <c r="D21" i="2"/>
  <c r="K16" i="2"/>
  <c r="J16" i="2"/>
</calcChain>
</file>

<file path=xl/sharedStrings.xml><?xml version="1.0" encoding="utf-8"?>
<sst xmlns="http://schemas.openxmlformats.org/spreadsheetml/2006/main" count="59" uniqueCount="59">
  <si>
    <t>Rogers Corp (ROG US) - Liquidity</t>
  </si>
  <si>
    <t>In Millions of USD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</si>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</sst>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</cellStyleXfs>
  <cellXfs count="13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8" fillId="35" borderId="4" xfId="34"/>
    <xf numFmtId="0" fontId="4" fillId="33" borderId="15" xfId="49">
      <alignment horizontal="left" vertical="center" readingOrder="1"/>
    </xf>
    <xf numFmtId="0" fontId="6" fillId="33" borderId="1" xfId="50">
      <alignment horizontal="left"/>
    </xf>
    <xf numFmtId="0" fontId="3" fillId="34" borderId="5" xfId="35" applyFont="1"/>
    <xf numFmtId="3" fontId="1" fillId="34" borderId="2" xfId="51">
      <alignment horizontal="right"/>
    </xf>
    <xf numFmtId="164" fontId="1" fillId="34" borderId="2" xfId="52">
      <alignment horizontal="right"/>
    </xf>
    <xf numFmtId="4" fontId="1" fillId="34" borderId="2" xfId="53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9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0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standard_0_grouped" xfId="51" xr:uid="{00000000-0005-0000-0000-000023000000}"/>
    <cellStyle name="fa_data_standard_1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standard" xfId="35" xr:uid="{00000000-0005-0000-0000-000027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12" width="11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8" t="s">
        <v>12</v>
      </c>
      <c r="B5" s="8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>
      <c r="A6" s="9" t="s">
        <v>23</v>
      </c>
      <c r="B6" s="9" t="s">
        <v>24</v>
      </c>
      <c r="C6" s="12">
        <f>_xll.BDH("ROG US Equity","CASH_RATIO","FY 2013","FY 2013","Currency=USD","Period=FY","BEST_FPERIOD_OVERRIDE=FY","FILING_STATUS=MR","Sort=A","Dates=H","DateFormat=P","Fill=—","Direction=H","UseDPDF=Y")</f>
        <v>2.1311</v>
      </c>
      <c r="D6" s="12">
        <f>_xll.BDH("ROG US Equity","CASH_RATIO","FY 2014","FY 2014","Currency=USD","Period=FY","BEST_FPERIOD_OVERRIDE=FY","FILING_STATUS=MR","Sort=A","Dates=H","DateFormat=P","Fill=—","Direction=H","UseDPDF=Y")</f>
        <v>1.9708000000000001</v>
      </c>
      <c r="E6" s="12">
        <f>_xll.BDH("ROG US Equity","CASH_RATIO","FY 2015","FY 2015","Currency=USD","Period=FY","BEST_FPERIOD_OVERRIDE=FY","FILING_STATUS=MR","Sort=A","Dates=H","DateFormat=P","Fill=—","Direction=H","UseDPDF=Y")</f>
        <v>2.6013000000000002</v>
      </c>
      <c r="F6" s="12">
        <f>_xll.BDH("ROG US Equity","CASH_RATIO","FY 2016","FY 2016","Currency=USD","Period=FY","BEST_FPERIOD_OVERRIDE=FY","FILING_STATUS=MR","Sort=A","Dates=H","DateFormat=P","Fill=—","Direction=H","UseDPDF=Y")</f>
        <v>2.2509999999999999</v>
      </c>
      <c r="G6" s="12">
        <f>_xll.BDH("ROG US Equity","CASH_RATIO","FY 2017","FY 2017","Currency=USD","Period=FY","BEST_FPERIOD_OVERRIDE=FY","FILING_STATUS=MR","Sort=A","Dates=H","DateFormat=P","Fill=—","Direction=H","UseDPDF=Y")</f>
        <v>1.5918000000000001</v>
      </c>
      <c r="H6" s="12">
        <f>_xll.BDH("ROG US Equity","CASH_RATIO","FY 2018","FY 2018","Currency=USD","Period=FY","BEST_FPERIOD_OVERRIDE=FY","FILING_STATUS=MR","Sort=A","Dates=H","DateFormat=P","Fill=—","Direction=H","UseDPDF=Y")</f>
        <v>1.5649999999999999</v>
      </c>
      <c r="I6" s="12">
        <f>_xll.BDH("ROG US Equity","CASH_RATIO","FY 2019","FY 2019","Currency=USD","Period=FY","BEST_FPERIOD_OVERRIDE=FY","FILING_STATUS=MR","Sort=A","Dates=H","DateFormat=P","Fill=—","Direction=H","UseDPDF=Y")</f>
        <v>1.6647000000000001</v>
      </c>
      <c r="J6" s="12">
        <f>_xll.BDH("ROG US Equity","CASH_RATIO","FY 2020","FY 2020","Currency=USD","Period=FY","BEST_FPERIOD_OVERRIDE=FY","FILING_STATUS=MR","Sort=A","Dates=H","DateFormat=P","Fill=—","Direction=H","UseDPDF=Y")</f>
        <v>1.7199</v>
      </c>
      <c r="K6" s="12">
        <f>_xll.BDH("ROG US Equity","CASH_RATIO","FY 2021","FY 2021","Currency=USD","Period=FY","BEST_FPERIOD_OVERRIDE=FY","FILING_STATUS=MR","Sort=A","Dates=H","DateFormat=P","Fill=—","Direction=H","UseDPDF=Y")</f>
        <v>1.4169</v>
      </c>
      <c r="L6" s="12">
        <f>_xll.BDH("ROG US Equity","CASH_RATIO","FY 2022","FY 2022","Currency=USD","Period=FY","BEST_FPERIOD_OVERRIDE=FY","FILING_STATUS=MR","Sort=A","Dates=H","DateFormat=P","Fill=—","Direction=H","UseDPDF=Y")</f>
        <v>1.6547000000000001</v>
      </c>
    </row>
    <row r="7" spans="1:12">
      <c r="A7" s="9" t="s">
        <v>25</v>
      </c>
      <c r="B7" s="9" t="s">
        <v>26</v>
      </c>
      <c r="C7" s="12">
        <f>_xll.BDH("ROG US Equity","CUR_RATIO","FY 2013","FY 2013","Currency=USD","Period=FY","BEST_FPERIOD_OVERRIDE=FY","FILING_STATUS=MR","Sort=A","Dates=H","DateFormat=P","Fill=—","Direction=H","UseDPDF=Y")</f>
        <v>4.1948999999999996</v>
      </c>
      <c r="D7" s="12">
        <f>_xll.BDH("ROG US Equity","CUR_RATIO","FY 2014","FY 2014","Currency=USD","Period=FY","BEST_FPERIOD_OVERRIDE=FY","FILING_STATUS=MR","Sort=A","Dates=H","DateFormat=P","Fill=—","Direction=H","UseDPDF=Y")</f>
        <v>3.6379999999999999</v>
      </c>
      <c r="E7" s="12">
        <f>_xll.BDH("ROG US Equity","CUR_RATIO","FY 2015","FY 2015","Currency=USD","Period=FY","BEST_FPERIOD_OVERRIDE=FY","FILING_STATUS=MR","Sort=A","Dates=H","DateFormat=P","Fill=—","Direction=H","UseDPDF=Y")</f>
        <v>5.4504000000000001</v>
      </c>
      <c r="F7" s="12">
        <f>_xll.BDH("ROG US Equity","CUR_RATIO","FY 2016","FY 2016","Currency=USD","Period=FY","BEST_FPERIOD_OVERRIDE=FY","FILING_STATUS=MR","Sort=A","Dates=H","DateFormat=P","Fill=—","Direction=H","UseDPDF=Y")</f>
        <v>4.5303000000000004</v>
      </c>
      <c r="G7" s="12">
        <f>_xll.BDH("ROG US Equity","CUR_RATIO","FY 2017","FY 2017","Currency=USD","Period=FY","BEST_FPERIOD_OVERRIDE=FY","FILING_STATUS=MR","Sort=A","Dates=H","DateFormat=P","Fill=—","Direction=H","UseDPDF=Y")</f>
        <v>3.9937999999999998</v>
      </c>
      <c r="H7" s="12">
        <f>_xll.BDH("ROG US Equity","CUR_RATIO","FY 2018","FY 2018","Currency=USD","Period=FY","BEST_FPERIOD_OVERRIDE=FY","FILING_STATUS=MR","Sort=A","Dates=H","DateFormat=P","Fill=—","Direction=H","UseDPDF=Y")</f>
        <v>4.5324</v>
      </c>
      <c r="I7" s="12">
        <f>_xll.BDH("ROG US Equity","CUR_RATIO","FY 2019","FY 2019","Currency=USD","Period=FY","BEST_FPERIOD_OVERRIDE=FY","FILING_STATUS=MR","Sort=A","Dates=H","DateFormat=P","Fill=—","Direction=H","UseDPDF=Y")</f>
        <v>4.6306000000000003</v>
      </c>
      <c r="J7" s="12">
        <f>_xll.BDH("ROG US Equity","CUR_RATIO","FY 2020","FY 2020","Currency=USD","Period=FY","BEST_FPERIOD_OVERRIDE=FY","FILING_STATUS=MR","Sort=A","Dates=H","DateFormat=P","Fill=—","Direction=H","UseDPDF=Y")</f>
        <v>4.2523</v>
      </c>
      <c r="K7" s="12">
        <f>_xll.BDH("ROG US Equity","CUR_RATIO","FY 2021","FY 2021","Currency=USD","Period=FY","BEST_FPERIOD_OVERRIDE=FY","FILING_STATUS=MR","Sort=A","Dates=H","DateFormat=P","Fill=—","Direction=H","UseDPDF=Y")</f>
        <v>3.5625</v>
      </c>
      <c r="L7" s="12">
        <f>_xll.BDH("ROG US Equity","CUR_RATIO","FY 2022","FY 2022","Currency=USD","Period=FY","BEST_FPERIOD_OVERRIDE=FY","FILING_STATUS=MR","Sort=A","Dates=H","DateFormat=P","Fill=—","Direction=H","UseDPDF=Y")</f>
        <v>4.6294000000000004</v>
      </c>
    </row>
    <row r="8" spans="1:12">
      <c r="A8" s="9" t="s">
        <v>27</v>
      </c>
      <c r="B8" s="9" t="s">
        <v>28</v>
      </c>
      <c r="C8" s="12">
        <f>_xll.BDH("ROG US Equity","QUICK_RATIO","FY 2013","FY 2013","Currency=USD","Period=FY","BEST_FPERIOD_OVERRIDE=FY","FILING_STATUS=MR","Sort=A","Dates=H","DateFormat=P","Fill=—","Direction=H","UseDPDF=Y")</f>
        <v>3.1057999999999999</v>
      </c>
      <c r="D8" s="12">
        <f>_xll.BDH("ROG US Equity","QUICK_RATIO","FY 2014","FY 2014","Currency=USD","Period=FY","BEST_FPERIOD_OVERRIDE=FY","FILING_STATUS=MR","Sort=A","Dates=H","DateFormat=P","Fill=—","Direction=H","UseDPDF=Y")</f>
        <v>2.7932999999999999</v>
      </c>
      <c r="E8" s="12">
        <f>_xll.BDH("ROG US Equity","QUICK_RATIO","FY 2015","FY 2015","Currency=USD","Period=FY","BEST_FPERIOD_OVERRIDE=FY","FILING_STATUS=MR","Sort=A","Dates=H","DateFormat=P","Fill=—","Direction=H","UseDPDF=Y")</f>
        <v>3.8908999999999998</v>
      </c>
      <c r="F8" s="12">
        <f>_xll.BDH("ROG US Equity","QUICK_RATIO","FY 2016","FY 2016","Currency=USD","Period=FY","BEST_FPERIOD_OVERRIDE=FY","FILING_STATUS=MR","Sort=A","Dates=H","DateFormat=P","Fill=—","Direction=H","UseDPDF=Y")</f>
        <v>3.4329999999999998</v>
      </c>
      <c r="G8" s="12">
        <f>_xll.BDH("ROG US Equity","QUICK_RATIO","FY 2017","FY 2017","Currency=USD","Period=FY","BEST_FPERIOD_OVERRIDE=FY","FILING_STATUS=MR","Sort=A","Dates=H","DateFormat=P","Fill=—","Direction=H","UseDPDF=Y")</f>
        <v>2.8269000000000002</v>
      </c>
      <c r="H8" s="12">
        <f>_xll.BDH("ROG US Equity","QUICK_RATIO","FY 2018","FY 2018","Currency=USD","Period=FY","BEST_FPERIOD_OVERRIDE=FY","FILING_STATUS=MR","Sort=A","Dates=H","DateFormat=P","Fill=—","Direction=H","UseDPDF=Y")</f>
        <v>2.9144000000000001</v>
      </c>
      <c r="I8" s="12">
        <f>_xll.BDH("ROG US Equity","QUICK_RATIO","FY 2019","FY 2019","Currency=USD","Period=FY","BEST_FPERIOD_OVERRIDE=FY","FILING_STATUS=MR","Sort=A","Dates=H","DateFormat=P","Fill=—","Direction=H","UseDPDF=Y")</f>
        <v>2.8847999999999998</v>
      </c>
      <c r="J8" s="12">
        <f>_xll.BDH("ROG US Equity","QUICK_RATIO","FY 2020","FY 2020","Currency=USD","Period=FY","BEST_FPERIOD_OVERRIDE=FY","FILING_STATUS=MR","Sort=A","Dates=H","DateFormat=P","Fill=—","Direction=H","UseDPDF=Y")</f>
        <v>2.9253999999999998</v>
      </c>
      <c r="K8" s="12">
        <f>_xll.BDH("ROG US Equity","QUICK_RATIO","FY 2021","FY 2021","Currency=USD","Period=FY","BEST_FPERIOD_OVERRIDE=FY","FILING_STATUS=MR","Sort=A","Dates=H","DateFormat=P","Fill=—","Direction=H","UseDPDF=Y")</f>
        <v>2.4117000000000002</v>
      </c>
      <c r="L8" s="12">
        <f>_xll.BDH("ROG US Equity","QUICK_RATIO","FY 2022","FY 2022","Currency=USD","Period=FY","BEST_FPERIOD_OVERRIDE=FY","FILING_STATUS=MR","Sort=A","Dates=H","DateFormat=P","Fill=—","Direction=H","UseDPDF=Y")</f>
        <v>2.8993000000000002</v>
      </c>
    </row>
    <row r="9" spans="1:12">
      <c r="A9" s="9" t="s">
        <v>29</v>
      </c>
      <c r="B9" s="9" t="s">
        <v>30</v>
      </c>
      <c r="C9" s="12">
        <f>_xll.BDH("ROG US Equity","CFO_TO_AVG_CURRENT_LIABILITIES","FY 2013","FY 2013","Currency=USD","Period=FY","BEST_FPERIOD_OVERRIDE=FY","FILING_STATUS=MR","Sort=A","Dates=H","DateFormat=P","Fill=—","Direction=H","UseDPDF=Y")</f>
        <v>0.89390000000000003</v>
      </c>
      <c r="D9" s="12">
        <f>_xll.BDH("ROG US Equity","CFO_TO_AVG_CURRENT_LIABILITIES","FY 2014","FY 2014","Currency=USD","Period=FY","BEST_FPERIOD_OVERRIDE=FY","FILING_STATUS=MR","Sort=A","Dates=H","DateFormat=P","Fill=—","Direction=H","UseDPDF=Y")</f>
        <v>0.80959999999999999</v>
      </c>
      <c r="E9" s="12">
        <f>_xll.BDH("ROG US Equity","CFO_TO_AVG_CURRENT_LIABILITIES","FY 2015","FY 2015","Currency=USD","Period=FY","BEST_FPERIOD_OVERRIDE=FY","FILING_STATUS=MR","Sort=A","Dates=H","DateFormat=P","Fill=—","Direction=H","UseDPDF=Y")</f>
        <v>0.74260000000000004</v>
      </c>
      <c r="F9" s="12">
        <f>_xll.BDH("ROG US Equity","CFO_TO_AVG_CURRENT_LIABILITIES","FY 2016","FY 2016","Currency=USD","Period=FY","BEST_FPERIOD_OVERRIDE=FY","FILING_STATUS=MR","Sort=A","Dates=H","DateFormat=P","Fill=—","Direction=H","UseDPDF=Y")</f>
        <v>1.3008</v>
      </c>
      <c r="G9" s="12">
        <f>_xll.BDH("ROG US Equity","CFO_TO_AVG_CURRENT_LIABILITIES","FY 2017","FY 2017","Currency=USD","Period=FY","BEST_FPERIOD_OVERRIDE=FY","FILING_STATUS=MR","Sort=A","Dates=H","DateFormat=P","Fill=—","Direction=H","UseDPDF=Y")</f>
        <v>1.2928999999999999</v>
      </c>
      <c r="H9" s="12">
        <f>_xll.BDH("ROG US Equity","CFO_TO_AVG_CURRENT_LIABILITIES","FY 2018","FY 2018","Currency=USD","Period=FY","BEST_FPERIOD_OVERRIDE=FY","FILING_STATUS=MR","Sort=A","Dates=H","DateFormat=P","Fill=—","Direction=H","UseDPDF=Y")</f>
        <v>0.60470000000000002</v>
      </c>
      <c r="I9" s="12">
        <f>_xll.BDH("ROG US Equity","CFO_TO_AVG_CURRENT_LIABILITIES","FY 2019","FY 2019","Currency=USD","Period=FY","BEST_FPERIOD_OVERRIDE=FY","FILING_STATUS=MR","Sort=A","Dates=H","DateFormat=P","Fill=—","Direction=H","UseDPDF=Y")</f>
        <v>1.5556000000000001</v>
      </c>
      <c r="J9" s="12">
        <f>_xll.BDH("ROG US Equity","CFO_TO_AVG_CURRENT_LIABILITIES","FY 2020","FY 2020","Currency=USD","Period=FY","BEST_FPERIOD_OVERRIDE=FY","FILING_STATUS=MR","Sort=A","Dates=H","DateFormat=P","Fill=—","Direction=H","UseDPDF=Y")</f>
        <v>1.5590999999999999</v>
      </c>
      <c r="K9" s="12">
        <f>_xll.BDH("ROG US Equity","CFO_TO_AVG_CURRENT_LIABILITIES","FY 2021","FY 2021","Currency=USD","Period=FY","BEST_FPERIOD_OVERRIDE=FY","FILING_STATUS=MR","Sort=A","Dates=H","DateFormat=P","Fill=—","Direction=H","UseDPDF=Y")</f>
        <v>0.90300000000000002</v>
      </c>
      <c r="L9" s="12">
        <f>_xll.BDH("ROG US Equity","CFO_TO_AVG_CURRENT_LIABILITIES","FY 2022","FY 2022","Currency=USD","Period=FY","BEST_FPERIOD_OVERRIDE=FY","FILING_STATUS=MR","Sort=A","Dates=H","DateFormat=P","Fill=—","Direction=H","UseDPDF=Y")</f>
        <v>0.8448</v>
      </c>
    </row>
    <row r="10" spans="1:12">
      <c r="A10" s="9" t="s">
        <v>31</v>
      </c>
      <c r="B10" s="9" t="s">
        <v>32</v>
      </c>
      <c r="C10" s="12">
        <f>_xll.BDH("ROG US Equity","COM_EQY_TO_TOT_ASSET","FY 2013","FY 2013","Currency=USD","Period=FY","BEST_FPERIOD_OVERRIDE=FY","FILING_STATUS=MR","Sort=A","Dates=H","DateFormat=P","Fill=—","Direction=H","UseDPDF=Y")</f>
        <v>68.878299999999996</v>
      </c>
      <c r="D10" s="12">
        <f>_xll.BDH("ROG US Equity","COM_EQY_TO_TOT_ASSET","FY 2014","FY 2014","Currency=USD","Period=FY","BEST_FPERIOD_OVERRIDE=FY","FILING_STATUS=MR","Sort=A","Dates=H","DateFormat=P","Fill=—","Direction=H","UseDPDF=Y")</f>
        <v>69.878200000000007</v>
      </c>
      <c r="E10" s="12">
        <f>_xll.BDH("ROG US Equity","COM_EQY_TO_TOT_ASSET","FY 2015","FY 2015","Currency=USD","Period=FY","BEST_FPERIOD_OVERRIDE=FY","FILING_STATUS=MR","Sort=A","Dates=H","DateFormat=P","Fill=—","Direction=H","UseDPDF=Y")</f>
        <v>62.834299999999999</v>
      </c>
      <c r="F10" s="12">
        <f>_xll.BDH("ROG US Equity","COM_EQY_TO_TOT_ASSET","FY 2016","FY 2016","Currency=USD","Period=FY","BEST_FPERIOD_OVERRIDE=FY","FILING_STATUS=MR","Sort=A","Dates=H","DateFormat=P","Fill=—","Direction=H","UseDPDF=Y")</f>
        <v>60.1785</v>
      </c>
      <c r="G10" s="12">
        <f>_xll.BDH("ROG US Equity","COM_EQY_TO_TOT_ASSET","FY 2017","FY 2017","Currency=USD","Period=FY","BEST_FPERIOD_OVERRIDE=FY","FILING_STATUS=MR","Sort=A","Dates=H","DateFormat=P","Fill=—","Direction=H","UseDPDF=Y")</f>
        <v>68.131699999999995</v>
      </c>
      <c r="H10" s="12">
        <f>_xll.BDH("ROG US Equity","COM_EQY_TO_TOT_ASSET","FY 2018","FY 2018","Currency=USD","Period=FY","BEST_FPERIOD_OVERRIDE=FY","FILING_STATUS=MR","Sort=A","Dates=H","DateFormat=P","Fill=—","Direction=H","UseDPDF=Y")</f>
        <v>66.309299999999993</v>
      </c>
      <c r="I10" s="12">
        <f>_xll.BDH("ROG US Equity","COM_EQY_TO_TOT_ASSET","FY 2019","FY 2019","Currency=USD","Period=FY","BEST_FPERIOD_OVERRIDE=FY","FILING_STATUS=MR","Sort=A","Dates=H","DateFormat=P","Fill=—","Direction=H","UseDPDF=Y")</f>
        <v>73.351699999999994</v>
      </c>
      <c r="J10" s="12">
        <f>_xll.BDH("ROG US Equity","COM_EQY_TO_TOT_ASSET","FY 2020","FY 2020","Currency=USD","Period=FY","BEST_FPERIOD_OVERRIDE=FY","FILING_STATUS=MR","Sort=A","Dates=H","DateFormat=P","Fill=—","Direction=H","UseDPDF=Y")</f>
        <v>80.755600000000001</v>
      </c>
      <c r="K10" s="12">
        <f>_xll.BDH("ROG US Equity","COM_EQY_TO_TOT_ASSET","FY 2021","FY 2021","Currency=USD","Period=FY","BEST_FPERIOD_OVERRIDE=FY","FILING_STATUS=MR","Sort=A","Dates=H","DateFormat=P","Fill=—","Direction=H","UseDPDF=Y")</f>
        <v>69.993700000000004</v>
      </c>
      <c r="L10" s="12">
        <f>_xll.BDH("ROG US Equity","COM_EQY_TO_TOT_ASSET","FY 2022","FY 2022","Currency=USD","Period=FY","BEST_FPERIOD_OVERRIDE=FY","FILING_STATUS=MR","Sort=A","Dates=H","DateFormat=P","Fill=—","Direction=H","UseDPDF=Y")</f>
        <v>71.221999999999994</v>
      </c>
    </row>
    <row r="11" spans="1:1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9" t="s">
        <v>33</v>
      </c>
      <c r="B12" s="9" t="s">
        <v>34</v>
      </c>
      <c r="C12" s="12">
        <f>_xll.BDH("ROG US Equity","LT_DEBT_TO_TOT_EQY","FY 2013","FY 2013","Currency=USD","Period=FY","BEST_FPERIOD_OVERRIDE=FY","FILING_STATUS=MR","Sort=A","Dates=H","DateFormat=P","Fill=—","Direction=H","UseDPDF=Y")</f>
        <v>12.091200000000001</v>
      </c>
      <c r="D12" s="12">
        <f>_xll.BDH("ROG US Equity","LT_DEBT_TO_TOT_EQY","FY 2014","FY 2014","Currency=USD","Period=FY","BEST_FPERIOD_OVERRIDE=FY","FILING_STATUS=MR","Sort=A","Dates=H","DateFormat=P","Fill=—","Direction=H","UseDPDF=Y")</f>
        <v>4.2568999999999999</v>
      </c>
      <c r="E12" s="12">
        <f>_xll.BDH("ROG US Equity","LT_DEBT_TO_TOT_EQY","FY 2015","FY 2015","Currency=USD","Period=FY","BEST_FPERIOD_OVERRIDE=FY","FILING_STATUS=MR","Sort=A","Dates=H","DateFormat=P","Fill=—","Direction=H","UseDPDF=Y")</f>
        <v>29.6891</v>
      </c>
      <c r="F12" s="12">
        <f>_xll.BDH("ROG US Equity","LT_DEBT_TO_TOT_EQY","FY 2016","FY 2016","Currency=USD","Period=FY","BEST_FPERIOD_OVERRIDE=FY","FILING_STATUS=MR","Sort=A","Dates=H","DateFormat=P","Fill=—","Direction=H","UseDPDF=Y")</f>
        <v>37.100099999999998</v>
      </c>
      <c r="G12" s="12">
        <f>_xll.BDH("ROG US Equity","LT_DEBT_TO_TOT_EQY","FY 2017","FY 2017","Currency=USD","Period=FY","BEST_FPERIOD_OVERRIDE=FY","FILING_STATUS=MR","Sort=A","Dates=H","DateFormat=P","Fill=—","Direction=H","UseDPDF=Y")</f>
        <v>17.0867</v>
      </c>
      <c r="H12" s="12">
        <f>_xll.BDH("ROG US Equity","LT_DEBT_TO_TOT_EQY","FY 2018","FY 2018","Currency=USD","Period=FY","BEST_FPERIOD_OVERRIDE=FY","FILING_STATUS=MR","Sort=A","Dates=H","DateFormat=P","Fill=—","Direction=H","UseDPDF=Y")</f>
        <v>26.933299999999999</v>
      </c>
      <c r="I12" s="12">
        <f>_xll.BDH("ROG US Equity","LT_DEBT_TO_TOT_EQY","FY 2019","FY 2019","Currency=USD","Period=FY","BEST_FPERIOD_OVERRIDE=FY","FILING_STATUS=MR","Sort=A","Dates=H","DateFormat=P","Fill=—","Direction=H","UseDPDF=Y")</f>
        <v>13.863799999999999</v>
      </c>
      <c r="J12" s="12">
        <f>_xll.BDH("ROG US Equity","LT_DEBT_TO_TOT_EQY","FY 2020","FY 2020","Currency=USD","Period=FY","BEST_FPERIOD_OVERRIDE=FY","FILING_STATUS=MR","Sort=A","Dates=H","DateFormat=P","Fill=—","Direction=H","UseDPDF=Y")</f>
        <v>2.6981000000000002</v>
      </c>
      <c r="K12" s="12">
        <f>_xll.BDH("ROG US Equity","LT_DEBT_TO_TOT_EQY","FY 2021","FY 2021","Currency=USD","Period=FY","BEST_FPERIOD_OVERRIDE=FY","FILING_STATUS=MR","Sort=A","Dates=H","DateFormat=P","Fill=—","Direction=H","UseDPDF=Y")</f>
        <v>18.337199999999999</v>
      </c>
      <c r="L12" s="12">
        <f>_xll.BDH("ROG US Equity","LT_DEBT_TO_TOT_EQY","FY 2022","FY 2022","Currency=USD","Period=FY","BEST_FPERIOD_OVERRIDE=FY","FILING_STATUS=MR","Sort=A","Dates=H","DateFormat=P","Fill=—","Direction=H","UseDPDF=Y")</f>
        <v>19.359500000000001</v>
      </c>
    </row>
    <row r="13" spans="1:12">
      <c r="A13" s="9" t="s">
        <v>35</v>
      </c>
      <c r="B13" s="9" t="s">
        <v>36</v>
      </c>
      <c r="C13" s="12">
        <f>_xll.BDH("ROG US Equity","LT_DEBT_TO_TOT_CAP","FY 2013","FY 2013","Currency=USD","Period=FY","BEST_FPERIOD_OVERRIDE=FY","FILING_STATUS=MR","Sort=A","Dates=H","DateFormat=P","Fill=—","Direction=H","UseDPDF=Y")</f>
        <v>10.478199999999999</v>
      </c>
      <c r="D13" s="12">
        <f>_xll.BDH("ROG US Equity","LT_DEBT_TO_TOT_CAP","FY 2014","FY 2014","Currency=USD","Period=FY","BEST_FPERIOD_OVERRIDE=FY","FILING_STATUS=MR","Sort=A","Dates=H","DateFormat=P","Fill=—","Direction=H","UseDPDF=Y")</f>
        <v>3.8578999999999999</v>
      </c>
      <c r="E13" s="12">
        <f>_xll.BDH("ROG US Equity","LT_DEBT_TO_TOT_CAP","FY 2015","FY 2015","Currency=USD","Period=FY","BEST_FPERIOD_OVERRIDE=FY","FILING_STATUS=MR","Sort=A","Dates=H","DateFormat=P","Fill=—","Direction=H","UseDPDF=Y")</f>
        <v>22.794799999999999</v>
      </c>
      <c r="F13" s="12">
        <f>_xll.BDH("ROG US Equity","LT_DEBT_TO_TOT_CAP","FY 2016","FY 2016","Currency=USD","Period=FY","BEST_FPERIOD_OVERRIDE=FY","FILING_STATUS=MR","Sort=A","Dates=H","DateFormat=P","Fill=—","Direction=H","UseDPDF=Y")</f>
        <v>26.936900000000001</v>
      </c>
      <c r="G13" s="12">
        <f>_xll.BDH("ROG US Equity","LT_DEBT_TO_TOT_CAP","FY 2017","FY 2017","Currency=USD","Period=FY","BEST_FPERIOD_OVERRIDE=FY","FILING_STATUS=MR","Sort=A","Dates=H","DateFormat=P","Fill=—","Direction=H","UseDPDF=Y")</f>
        <v>14.5838</v>
      </c>
      <c r="H13" s="12">
        <f>_xll.BDH("ROG US Equity","LT_DEBT_TO_TOT_CAP","FY 2018","FY 2018","Currency=USD","Period=FY","BEST_FPERIOD_OVERRIDE=FY","FILING_STATUS=MR","Sort=A","Dates=H","DateFormat=P","Fill=—","Direction=H","UseDPDF=Y")</f>
        <v>21.2102</v>
      </c>
      <c r="I13" s="12">
        <f>_xll.BDH("ROG US Equity","LT_DEBT_TO_TOT_CAP","FY 2019","FY 2019","Currency=USD","Period=FY","BEST_FPERIOD_OVERRIDE=FY","FILING_STATUS=MR","Sort=A","Dates=H","DateFormat=P","Fill=—","Direction=H","UseDPDF=Y")</f>
        <v>12.144399999999999</v>
      </c>
      <c r="J13" s="12">
        <f>_xll.BDH("ROG US Equity","LT_DEBT_TO_TOT_CAP","FY 2020","FY 2020","Currency=USD","Period=FY","BEST_FPERIOD_OVERRIDE=FY","FILING_STATUS=MR","Sort=A","Dates=H","DateFormat=P","Fill=—","Direction=H","UseDPDF=Y")</f>
        <v>2.6097000000000001</v>
      </c>
      <c r="K13" s="12">
        <f>_xll.BDH("ROG US Equity","LT_DEBT_TO_TOT_CAP","FY 2021","FY 2021","Currency=USD","Period=FY","BEST_FPERIOD_OVERRIDE=FY","FILING_STATUS=MR","Sort=A","Dates=H","DateFormat=P","Fill=—","Direction=H","UseDPDF=Y")</f>
        <v>15.460599999999999</v>
      </c>
      <c r="L13" s="12">
        <f>_xll.BDH("ROG US Equity","LT_DEBT_TO_TOT_CAP","FY 2022","FY 2022","Currency=USD","Period=FY","BEST_FPERIOD_OVERRIDE=FY","FILING_STATUS=MR","Sort=A","Dates=H","DateFormat=P","Fill=—","Direction=H","UseDPDF=Y")</f>
        <v>16.180900000000001</v>
      </c>
    </row>
    <row r="14" spans="1:12">
      <c r="A14" s="9" t="s">
        <v>37</v>
      </c>
      <c r="B14" s="9" t="s">
        <v>38</v>
      </c>
      <c r="C14" s="12">
        <f>_xll.BDH("ROG US Equity","LT_DEBT_TO_TOT_ASSET","FY 2013","FY 2013","Currency=USD","Period=FY","BEST_FPERIOD_OVERRIDE=FY","FILING_STATUS=MR","Sort=A","Dates=H","DateFormat=P","Fill=—","Direction=H","UseDPDF=Y")</f>
        <v>8.3282000000000007</v>
      </c>
      <c r="D14" s="12">
        <f>_xll.BDH("ROG US Equity","LT_DEBT_TO_TOT_ASSET","FY 2014","FY 2014","Currency=USD","Period=FY","BEST_FPERIOD_OVERRIDE=FY","FILING_STATUS=MR","Sort=A","Dates=H","DateFormat=P","Fill=—","Direction=H","UseDPDF=Y")</f>
        <v>2.9746999999999999</v>
      </c>
      <c r="E14" s="12">
        <f>_xll.BDH("ROG US Equity","LT_DEBT_TO_TOT_ASSET","FY 2015","FY 2015","Currency=USD","Period=FY","BEST_FPERIOD_OVERRIDE=FY","FILING_STATUS=MR","Sort=A","Dates=H","DateFormat=P","Fill=—","Direction=H","UseDPDF=Y")</f>
        <v>18.654900000000001</v>
      </c>
      <c r="F14" s="12">
        <f>_xll.BDH("ROG US Equity","LT_DEBT_TO_TOT_ASSET","FY 2016","FY 2016","Currency=USD","Period=FY","BEST_FPERIOD_OVERRIDE=FY","FILING_STATUS=MR","Sort=A","Dates=H","DateFormat=P","Fill=—","Direction=H","UseDPDF=Y")</f>
        <v>22.3263</v>
      </c>
      <c r="G14" s="12">
        <f>_xll.BDH("ROG US Equity","LT_DEBT_TO_TOT_ASSET","FY 2017","FY 2017","Currency=USD","Period=FY","BEST_FPERIOD_OVERRIDE=FY","FILING_STATUS=MR","Sort=A","Dates=H","DateFormat=P","Fill=—","Direction=H","UseDPDF=Y")</f>
        <v>11.641500000000001</v>
      </c>
      <c r="H14" s="12">
        <f>_xll.BDH("ROG US Equity","LT_DEBT_TO_TOT_ASSET","FY 2018","FY 2018","Currency=USD","Period=FY","BEST_FPERIOD_OVERRIDE=FY","FILING_STATUS=MR","Sort=A","Dates=H","DateFormat=P","Fill=—","Direction=H","UseDPDF=Y")</f>
        <v>17.859300000000001</v>
      </c>
      <c r="I14" s="12">
        <f>_xll.BDH("ROG US Equity","LT_DEBT_TO_TOT_ASSET","FY 2019","FY 2019","Currency=USD","Period=FY","BEST_FPERIOD_OVERRIDE=FY","FILING_STATUS=MR","Sort=A","Dates=H","DateFormat=P","Fill=—","Direction=H","UseDPDF=Y")</f>
        <v>10.1693</v>
      </c>
      <c r="J14" s="12">
        <f>_xll.BDH("ROG US Equity","LT_DEBT_TO_TOT_ASSET","FY 2020","FY 2020","Currency=USD","Period=FY","BEST_FPERIOD_OVERRIDE=FY","FILING_STATUS=MR","Sort=A","Dates=H","DateFormat=P","Fill=—","Direction=H","UseDPDF=Y")</f>
        <v>2.1789000000000001</v>
      </c>
      <c r="K14" s="12">
        <f>_xll.BDH("ROG US Equity","LT_DEBT_TO_TOT_ASSET","FY 2021","FY 2021","Currency=USD","Period=FY","BEST_FPERIOD_OVERRIDE=FY","FILING_STATUS=MR","Sort=A","Dates=H","DateFormat=P","Fill=—","Direction=H","UseDPDF=Y")</f>
        <v>12.834899999999999</v>
      </c>
      <c r="L14" s="12">
        <f>_xll.BDH("ROG US Equity","LT_DEBT_TO_TOT_ASSET","FY 2022","FY 2022","Currency=USD","Period=FY","BEST_FPERIOD_OVERRIDE=FY","FILING_STATUS=MR","Sort=A","Dates=H","DateFormat=P","Fill=—","Direction=H","UseDPDF=Y")</f>
        <v>13.7882</v>
      </c>
    </row>
    <row r="15" spans="1:1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9" t="s">
        <v>39</v>
      </c>
      <c r="B16" s="9" t="s">
        <v>40</v>
      </c>
      <c r="C16" s="12">
        <f>_xll.BDH("ROG US Equity","TOT_DEBT_TO_TOT_EQY","FY 2013","FY 2013","Currency=USD","Period=FY","BEST_FPERIOD_OVERRIDE=FY","FILING_STATUS=MR","Sort=A","Dates=H","DateFormat=P","Fill=—","Direction=H","UseDPDF=Y")</f>
        <v>15.3942</v>
      </c>
      <c r="D16" s="12">
        <f>_xll.BDH("ROG US Equity","TOT_DEBT_TO_TOT_EQY","FY 2014","FY 2014","Currency=USD","Period=FY","BEST_FPERIOD_OVERRIDE=FY","FILING_STATUS=MR","Sort=A","Dates=H","DateFormat=P","Fill=—","Direction=H","UseDPDF=Y")</f>
        <v>10.3438</v>
      </c>
      <c r="E16" s="12">
        <f>_xll.BDH("ROG US Equity","TOT_DEBT_TO_TOT_EQY","FY 2015","FY 2015","Currency=USD","Period=FY","BEST_FPERIOD_OVERRIDE=FY","FILING_STATUS=MR","Sort=A","Dates=H","DateFormat=P","Fill=—","Direction=H","UseDPDF=Y")</f>
        <v>30.245000000000001</v>
      </c>
      <c r="F16" s="12">
        <f>_xll.BDH("ROG US Equity","TOT_DEBT_TO_TOT_EQY","FY 2016","FY 2016","Currency=USD","Period=FY","BEST_FPERIOD_OVERRIDE=FY","FILING_STATUS=MR","Sort=A","Dates=H","DateFormat=P","Fill=—","Direction=H","UseDPDF=Y")</f>
        <v>37.729700000000001</v>
      </c>
      <c r="G16" s="12">
        <f>_xll.BDH("ROG US Equity","TOT_DEBT_TO_TOT_EQY","FY 2017","FY 2017","Currency=USD","Period=FY","BEST_FPERIOD_OVERRIDE=FY","FILING_STATUS=MR","Sort=A","Dates=H","DateFormat=P","Fill=—","Direction=H","UseDPDF=Y")</f>
        <v>17.162199999999999</v>
      </c>
      <c r="H16" s="12">
        <f>_xll.BDH("ROG US Equity","TOT_DEBT_TO_TOT_EQY","FY 2018","FY 2018","Currency=USD","Period=FY","BEST_FPERIOD_OVERRIDE=FY","FILING_STATUS=MR","Sort=A","Dates=H","DateFormat=P","Fill=—","Direction=H","UseDPDF=Y")</f>
        <v>26.982900000000001</v>
      </c>
      <c r="I16" s="12">
        <f>_xll.BDH("ROG US Equity","TOT_DEBT_TO_TOT_EQY","FY 2019","FY 2019","Currency=USD","Period=FY","BEST_FPERIOD_OVERRIDE=FY","FILING_STATUS=MR","Sort=A","Dates=H","DateFormat=P","Fill=—","Direction=H","UseDPDF=Y")</f>
        <v>14.157500000000001</v>
      </c>
      <c r="J16" s="12">
        <f>_xll.BDH("ROG US Equity","TOT_DEBT_TO_TOT_EQY","FY 2020","FY 2020","Currency=USD","Period=FY","BEST_FPERIOD_OVERRIDE=FY","FILING_STATUS=MR","Sort=A","Dates=H","DateFormat=P","Fill=—","Direction=H","UseDPDF=Y")</f>
        <v>3.3868</v>
      </c>
      <c r="K16" s="12">
        <f>_xll.BDH("ROG US Equity","TOT_DEBT_TO_TOT_EQY","FY 2021","FY 2021","Currency=USD","Period=FY","BEST_FPERIOD_OVERRIDE=FY","FILING_STATUS=MR","Sort=A","Dates=H","DateFormat=P","Fill=—","Direction=H","UseDPDF=Y")</f>
        <v>18.606000000000002</v>
      </c>
      <c r="L16" s="12">
        <f>_xll.BDH("ROG US Equity","TOT_DEBT_TO_TOT_EQY","FY 2022","FY 2022","Currency=USD","Period=FY","BEST_FPERIOD_OVERRIDE=FY","FILING_STATUS=MR","Sort=A","Dates=H","DateFormat=P","Fill=—","Direction=H","UseDPDF=Y")</f>
        <v>19.644400000000001</v>
      </c>
    </row>
    <row r="17" spans="1:12">
      <c r="A17" s="9" t="s">
        <v>41</v>
      </c>
      <c r="B17" s="9" t="s">
        <v>42</v>
      </c>
      <c r="C17" s="12">
        <f>_xll.BDH("ROG US Equity","TOT_DEBT_TO_TOT_CAP","FY 2013","FY 2013","Currency=USD","Period=FY","BEST_FPERIOD_OVERRIDE=FY","FILING_STATUS=MR","Sort=A","Dates=H","DateFormat=P","Fill=—","Direction=H","UseDPDF=Y")</f>
        <v>13.3405</v>
      </c>
      <c r="D17" s="12">
        <f>_xll.BDH("ROG US Equity","TOT_DEBT_TO_TOT_CAP","FY 2014","FY 2014","Currency=USD","Period=FY","BEST_FPERIOD_OVERRIDE=FY","FILING_STATUS=MR","Sort=A","Dates=H","DateFormat=P","Fill=—","Direction=H","UseDPDF=Y")</f>
        <v>9.3741000000000003</v>
      </c>
      <c r="E17" s="12">
        <f>_xll.BDH("ROG US Equity","TOT_DEBT_TO_TOT_CAP","FY 2015","FY 2015","Currency=USD","Period=FY","BEST_FPERIOD_OVERRIDE=FY","FILING_STATUS=MR","Sort=A","Dates=H","DateFormat=P","Fill=—","Direction=H","UseDPDF=Y")</f>
        <v>23.221599999999999</v>
      </c>
      <c r="F17" s="12">
        <f>_xll.BDH("ROG US Equity","TOT_DEBT_TO_TOT_CAP","FY 2016","FY 2016","Currency=USD","Period=FY","BEST_FPERIOD_OVERRIDE=FY","FILING_STATUS=MR","Sort=A","Dates=H","DateFormat=P","Fill=—","Direction=H","UseDPDF=Y")</f>
        <v>27.393999999999998</v>
      </c>
      <c r="G17" s="12">
        <f>_xll.BDH("ROG US Equity","TOT_DEBT_TO_TOT_CAP","FY 2017","FY 2017","Currency=USD","Period=FY","BEST_FPERIOD_OVERRIDE=FY","FILING_STATUS=MR","Sort=A","Dates=H","DateFormat=P","Fill=—","Direction=H","UseDPDF=Y")</f>
        <v>14.648300000000001</v>
      </c>
      <c r="H17" s="12">
        <f>_xll.BDH("ROG US Equity","TOT_DEBT_TO_TOT_CAP","FY 2018","FY 2018","Currency=USD","Period=FY","BEST_FPERIOD_OVERRIDE=FY","FILING_STATUS=MR","Sort=A","Dates=H","DateFormat=P","Fill=—","Direction=H","UseDPDF=Y")</f>
        <v>21.249199999999998</v>
      </c>
      <c r="I17" s="12">
        <f>_xll.BDH("ROG US Equity","TOT_DEBT_TO_TOT_CAP","FY 2019","FY 2019","Currency=USD","Period=FY","BEST_FPERIOD_OVERRIDE=FY","FILING_STATUS=MR","Sort=A","Dates=H","DateFormat=P","Fill=—","Direction=H","UseDPDF=Y")</f>
        <v>12.4017</v>
      </c>
      <c r="J17" s="12">
        <f>_xll.BDH("ROG US Equity","TOT_DEBT_TO_TOT_CAP","FY 2020","FY 2020","Currency=USD","Period=FY","BEST_FPERIOD_OVERRIDE=FY","FILING_STATUS=MR","Sort=A","Dates=H","DateFormat=P","Fill=—","Direction=H","UseDPDF=Y")</f>
        <v>3.2759</v>
      </c>
      <c r="K17" s="12">
        <f>_xll.BDH("ROG US Equity","TOT_DEBT_TO_TOT_CAP","FY 2021","FY 2021","Currency=USD","Period=FY","BEST_FPERIOD_OVERRIDE=FY","FILING_STATUS=MR","Sort=A","Dates=H","DateFormat=P","Fill=—","Direction=H","UseDPDF=Y")</f>
        <v>15.6873</v>
      </c>
      <c r="L17" s="12">
        <f>_xll.BDH("ROG US Equity","TOT_DEBT_TO_TOT_CAP","FY 2022","FY 2022","Currency=USD","Period=FY","BEST_FPERIOD_OVERRIDE=FY","FILING_STATUS=MR","Sort=A","Dates=H","DateFormat=P","Fill=—","Direction=H","UseDPDF=Y")</f>
        <v>16.419</v>
      </c>
    </row>
    <row r="18" spans="1:12">
      <c r="A18" s="9" t="s">
        <v>43</v>
      </c>
      <c r="B18" s="9" t="s">
        <v>44</v>
      </c>
      <c r="C18" s="12">
        <f>_xll.BDH("ROG US Equity","TOT_DEBT_TO_TOT_ASSET","FY 2013","FY 2013","Currency=USD","Period=FY","BEST_FPERIOD_OVERRIDE=FY","FILING_STATUS=MR","Sort=A","Dates=H","DateFormat=P","Fill=—","Direction=H","UseDPDF=Y")</f>
        <v>10.603300000000001</v>
      </c>
      <c r="D18" s="12">
        <f>_xll.BDH("ROG US Equity","TOT_DEBT_TO_TOT_ASSET","FY 2014","FY 2014","Currency=USD","Period=FY","BEST_FPERIOD_OVERRIDE=FY","FILING_STATUS=MR","Sort=A","Dates=H","DateFormat=P","Fill=—","Direction=H","UseDPDF=Y")</f>
        <v>7.2279999999999998</v>
      </c>
      <c r="E18" s="12">
        <f>_xll.BDH("ROG US Equity","TOT_DEBT_TO_TOT_ASSET","FY 2015","FY 2015","Currency=USD","Period=FY","BEST_FPERIOD_OVERRIDE=FY","FILING_STATUS=MR","Sort=A","Dates=H","DateFormat=P","Fill=—","Direction=H","UseDPDF=Y")</f>
        <v>19.004300000000001</v>
      </c>
      <c r="F18" s="12">
        <f>_xll.BDH("ROG US Equity","TOT_DEBT_TO_TOT_ASSET","FY 2016","FY 2016","Currency=USD","Period=FY","BEST_FPERIOD_OVERRIDE=FY","FILING_STATUS=MR","Sort=A","Dates=H","DateFormat=P","Fill=—","Direction=H","UseDPDF=Y")</f>
        <v>22.705200000000001</v>
      </c>
      <c r="G18" s="12">
        <f>_xll.BDH("ROG US Equity","TOT_DEBT_TO_TOT_ASSET","FY 2017","FY 2017","Currency=USD","Period=FY","BEST_FPERIOD_OVERRIDE=FY","FILING_STATUS=MR","Sort=A","Dates=H","DateFormat=P","Fill=—","Direction=H","UseDPDF=Y")</f>
        <v>11.6929</v>
      </c>
      <c r="H18" s="12">
        <f>_xll.BDH("ROG US Equity","TOT_DEBT_TO_TOT_ASSET","FY 2018","FY 2018","Currency=USD","Period=FY","BEST_FPERIOD_OVERRIDE=FY","FILING_STATUS=MR","Sort=A","Dates=H","DateFormat=P","Fill=—","Direction=H","UseDPDF=Y")</f>
        <v>17.892099999999999</v>
      </c>
      <c r="I18" s="12">
        <f>_xll.BDH("ROG US Equity","TOT_DEBT_TO_TOT_ASSET","FY 2019","FY 2019","Currency=USD","Period=FY","BEST_FPERIOD_OVERRIDE=FY","FILING_STATUS=MR","Sort=A","Dates=H","DateFormat=P","Fill=—","Direction=H","UseDPDF=Y")</f>
        <v>10.3848</v>
      </c>
      <c r="J18" s="12">
        <f>_xll.BDH("ROG US Equity","TOT_DEBT_TO_TOT_ASSET","FY 2020","FY 2020","Currency=USD","Period=FY","BEST_FPERIOD_OVERRIDE=FY","FILING_STATUS=MR","Sort=A","Dates=H","DateFormat=P","Fill=—","Direction=H","UseDPDF=Y")</f>
        <v>2.7349999999999999</v>
      </c>
      <c r="K18" s="12">
        <f>_xll.BDH("ROG US Equity","TOT_DEBT_TO_TOT_ASSET","FY 2021","FY 2021","Currency=USD","Period=FY","BEST_FPERIOD_OVERRIDE=FY","FILING_STATUS=MR","Sort=A","Dates=H","DateFormat=P","Fill=—","Direction=H","UseDPDF=Y")</f>
        <v>13.023</v>
      </c>
      <c r="L18" s="12">
        <f>_xll.BDH("ROG US Equity","TOT_DEBT_TO_TOT_ASSET","FY 2022","FY 2022","Currency=USD","Period=FY","BEST_FPERIOD_OVERRIDE=FY","FILING_STATUS=MR","Sort=A","Dates=H","DateFormat=P","Fill=—","Direction=H","UseDPDF=Y")</f>
        <v>13.991099999999999</v>
      </c>
    </row>
    <row r="19" spans="1:1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9" t="s">
        <v>45</v>
      </c>
      <c r="B20" s="9" t="s">
        <v>46</v>
      </c>
      <c r="C20" s="12">
        <f>_xll.BDH("ROG US Equity","CASH_FLOW_TO_TOT_LIAB","FY 2013","FY 2013","Currency=USD","Period=FY","BEST_FPERIOD_OVERRIDE=FY","FILING_STATUS=MR","Sort=A","Dates=H","DateFormat=P","Fill=—","Direction=H","UseDPDF=Y")</f>
        <v>31.0808</v>
      </c>
      <c r="D20" s="12">
        <f>_xll.BDH("ROG US Equity","CASH_FLOW_TO_TOT_LIAB","FY 2014","FY 2014","Currency=USD","Period=FY","BEST_FPERIOD_OVERRIDE=FY","FILING_STATUS=MR","Sort=A","Dates=H","DateFormat=P","Fill=—","Direction=H","UseDPDF=Y")</f>
        <v>33.658200000000001</v>
      </c>
      <c r="E20" s="12">
        <f>_xll.BDH("ROG US Equity","CASH_FLOW_TO_TOT_LIAB","FY 2015","FY 2015","Currency=USD","Period=FY","BEST_FPERIOD_OVERRIDE=FY","FILING_STATUS=MR","Sort=A","Dates=H","DateFormat=P","Fill=—","Direction=H","UseDPDF=Y")</f>
        <v>21.378799999999998</v>
      </c>
      <c r="F20" s="12">
        <f>_xll.BDH("ROG US Equity","CASH_FLOW_TO_TOT_LIAB","FY 2016","FY 2016","Currency=USD","Period=FY","BEST_FPERIOD_OVERRIDE=FY","FILING_STATUS=MR","Sort=A","Dates=H","DateFormat=P","Fill=—","Direction=H","UseDPDF=Y")</f>
        <v>27.802</v>
      </c>
      <c r="G20" s="12">
        <f>_xll.BDH("ROG US Equity","CASH_FLOW_TO_TOT_LIAB","FY 2017","FY 2017","Currency=USD","Period=FY","BEST_FPERIOD_OVERRIDE=FY","FILING_STATUS=MR","Sort=A","Dates=H","DateFormat=P","Fill=—","Direction=H","UseDPDF=Y")</f>
        <v>38.761000000000003</v>
      </c>
      <c r="H20" s="12">
        <f>_xll.BDH("ROG US Equity","CASH_FLOW_TO_TOT_LIAB","FY 2018","FY 2018","Currency=USD","Period=FY","BEST_FPERIOD_OVERRIDE=FY","FILING_STATUS=MR","Sort=A","Dates=H","DateFormat=P","Fill=—","Direction=H","UseDPDF=Y")</f>
        <v>15.502800000000001</v>
      </c>
      <c r="I20" s="12">
        <f>_xll.BDH("ROG US Equity","CASH_FLOW_TO_TOT_LIAB","FY 2019","FY 2019","Currency=USD","Period=FY","BEST_FPERIOD_OVERRIDE=FY","FILING_STATUS=MR","Sort=A","Dates=H","DateFormat=P","Fill=—","Direction=H","UseDPDF=Y")</f>
        <v>47.548499999999997</v>
      </c>
      <c r="J20" s="12">
        <f>_xll.BDH("ROG US Equity","CASH_FLOW_TO_TOT_LIAB","FY 2020","FY 2020","Currency=USD","Period=FY","BEST_FPERIOD_OVERRIDE=FY","FILING_STATUS=MR","Sort=A","Dates=H","DateFormat=P","Fill=—","Direction=H","UseDPDF=Y")</f>
        <v>67.854500000000002</v>
      </c>
      <c r="K20" s="12">
        <f>_xll.BDH("ROG US Equity","CASH_FLOW_TO_TOT_LIAB","FY 2021","FY 2021","Currency=USD","Period=FY","BEST_FPERIOD_OVERRIDE=FY","FILING_STATUS=MR","Sort=A","Dates=H","DateFormat=P","Fill=—","Direction=H","UseDPDF=Y")</f>
        <v>25.9267</v>
      </c>
      <c r="L20" s="12">
        <f>_xll.BDH("ROG US Equity","CASH_FLOW_TO_TOT_LIAB","FY 2022","FY 2022","Currency=USD","Period=FY","BEST_FPERIOD_OVERRIDE=FY","FILING_STATUS=MR","Sort=A","Dates=H","DateFormat=P","Fill=—","Direction=H","UseDPDF=Y")</f>
        <v>27.327000000000002</v>
      </c>
    </row>
    <row r="21" spans="1:12">
      <c r="A21" s="9" t="s">
        <v>47</v>
      </c>
      <c r="B21" s="9" t="s">
        <v>48</v>
      </c>
      <c r="C21" s="12">
        <f>_xll.BDH("ROG US Equity","CAP_EXPEND_RATIO","FY 2013","FY 2013","Currency=USD","Period=FY","BEST_FPERIOD_OVERRIDE=FY","FILING_STATUS=MR","Sort=A","Dates=H","DateFormat=P","Fill=—","Direction=H","UseDPDF=Y")</f>
        <v>4.6275000000000004</v>
      </c>
      <c r="D21" s="12">
        <f>_xll.BDH("ROG US Equity","CAP_EXPEND_RATIO","FY 2014","FY 2014","Currency=USD","Period=FY","BEST_FPERIOD_OVERRIDE=FY","FILING_STATUS=MR","Sort=A","Dates=H","DateFormat=P","Fill=—","Direction=H","UseDPDF=Y")</f>
        <v>2.9632000000000001</v>
      </c>
      <c r="E21" s="12">
        <f>_xll.BDH("ROG US Equity","CAP_EXPEND_RATIO","FY 2015","FY 2015","Currency=USD","Period=FY","BEST_FPERIOD_OVERRIDE=FY","FILING_STATUS=MR","Sort=A","Dates=H","DateFormat=P","Fill=—","Direction=H","UseDPDF=Y")</f>
        <v>2.9763000000000002</v>
      </c>
      <c r="F21" s="12">
        <f>_xll.BDH("ROG US Equity","CAP_EXPEND_RATIO","FY 2016","FY 2016","Currency=USD","Period=FY","BEST_FPERIOD_OVERRIDE=FY","FILING_STATUS=MR","Sort=A","Dates=H","DateFormat=P","Fill=—","Direction=H","UseDPDF=Y")</f>
        <v>6.4493999999999998</v>
      </c>
      <c r="G21" s="12">
        <f>_xll.BDH("ROG US Equity","CAP_EXPEND_RATIO","FY 2017","FY 2017","Currency=USD","Period=FY","BEST_FPERIOD_OVERRIDE=FY","FILING_STATUS=MR","Sort=A","Dates=H","DateFormat=P","Fill=—","Direction=H","UseDPDF=Y")</f>
        <v>5.1067999999999998</v>
      </c>
      <c r="H21" s="12">
        <f>_xll.BDH("ROG US Equity","CAP_EXPEND_RATIO","FY 2018","FY 2018","Currency=USD","Period=FY","BEST_FPERIOD_OVERRIDE=FY","FILING_STATUS=MR","Sort=A","Dates=H","DateFormat=P","Fill=—","Direction=H","UseDPDF=Y")</f>
        <v>1.4181999999999999</v>
      </c>
      <c r="I21" s="12">
        <f>_xll.BDH("ROG US Equity","CAP_EXPEND_RATIO","FY 2019","FY 2019","Currency=USD","Period=FY","BEST_FPERIOD_OVERRIDE=FY","FILING_STATUS=MR","Sort=A","Dates=H","DateFormat=P","Fill=—","Direction=H","UseDPDF=Y")</f>
        <v>3.1265999999999998</v>
      </c>
      <c r="J21" s="12">
        <f>_xll.BDH("ROG US Equity","CAP_EXPEND_RATIO","FY 2020","FY 2020","Currency=USD","Period=FY","BEST_FPERIOD_OVERRIDE=FY","FILING_STATUS=MR","Sort=A","Dates=H","DateFormat=P","Fill=—","Direction=H","UseDPDF=Y")</f>
        <v>4.0871000000000004</v>
      </c>
      <c r="K21" s="12">
        <f>_xll.BDH("ROG US Equity","CAP_EXPEND_RATIO","FY 2021","FY 2021","Currency=USD","Period=FY","BEST_FPERIOD_OVERRIDE=FY","FILING_STATUS=MR","Sort=A","Dates=H","DateFormat=P","Fill=—","Direction=H","UseDPDF=Y")</f>
        <v>1.7484999999999999</v>
      </c>
      <c r="L21" s="12">
        <f>_xll.BDH("ROG US Equity","CAP_EXPEND_RATIO","FY 2022","FY 2022","Currency=USD","Period=FY","BEST_FPERIOD_OVERRIDE=FY","FILING_STATUS=MR","Sort=A","Dates=H","DateFormat=P","Fill=—","Direction=H","UseDPDF=Y")</f>
        <v>1.1085</v>
      </c>
    </row>
    <row r="22" spans="1:12">
      <c r="A22" s="9" t="s">
        <v>49</v>
      </c>
      <c r="B22" s="9" t="s">
        <v>50</v>
      </c>
      <c r="C22" s="12">
        <f>_xll.BDH("ROG US Equity","ALTMAN_Z_SCORE","FY 2013","FY 2013","Currency=USD","Period=FY","BEST_FPERIOD_OVERRIDE=FY","FILING_STATUS=MR","Sort=A","Dates=H","DateFormat=P","Fill=—","Direction=H","UseDPDF=Y")</f>
        <v>5.1628999999999996</v>
      </c>
      <c r="D22" s="12">
        <f>_xll.BDH("ROG US Equity","ALTMAN_Z_SCORE","FY 2014","FY 2014","Currency=USD","Period=FY","BEST_FPERIOD_OVERRIDE=FY","FILING_STATUS=MR","Sort=A","Dates=H","DateFormat=P","Fill=—","Direction=H","UseDPDF=Y")</f>
        <v>6.3085000000000004</v>
      </c>
      <c r="E22" s="12">
        <f>_xll.BDH("ROG US Equity","ALTMAN_Z_SCORE","FY 2015","FY 2015","Currency=USD","Period=FY","BEST_FPERIOD_OVERRIDE=FY","FILING_STATUS=MR","Sort=A","Dates=H","DateFormat=P","Fill=—","Direction=H","UseDPDF=Y")</f>
        <v>4.6547999999999998</v>
      </c>
      <c r="F22" s="12">
        <f>_xll.BDH("ROG US Equity","ALTMAN_Z_SCORE","FY 2016","FY 2016","Currency=USD","Period=FY","BEST_FPERIOD_OVERRIDE=FY","FILING_STATUS=MR","Sort=A","Dates=H","DateFormat=P","Fill=—","Direction=H","UseDPDF=Y")</f>
        <v>5.0467000000000004</v>
      </c>
      <c r="G22" s="12">
        <f>_xll.BDH("ROG US Equity","ALTMAN_Z_SCORE","FY 2017","FY 2017","Currency=USD","Period=FY","BEST_FPERIOD_OVERRIDE=FY","FILING_STATUS=MR","Sort=A","Dates=H","DateFormat=P","Fill=—","Direction=H","UseDPDF=Y")</f>
        <v>8.5431000000000008</v>
      </c>
      <c r="H22" s="12">
        <f>_xll.BDH("ROG US Equity","ALTMAN_Z_SCORE","FY 2018","FY 2018","Currency=USD","Period=FY","BEST_FPERIOD_OVERRIDE=FY","FILING_STATUS=MR","Sort=A","Dates=H","DateFormat=P","Fill=—","Direction=H","UseDPDF=Y")</f>
        <v>5.8701999999999996</v>
      </c>
      <c r="I22" s="12">
        <f>_xll.BDH("ROG US Equity","ALTMAN_Z_SCORE","FY 2019","FY 2019","Currency=USD","Period=FY","BEST_FPERIOD_OVERRIDE=FY","FILING_STATUS=MR","Sort=A","Dates=H","DateFormat=P","Fill=—","Direction=H","UseDPDF=Y")</f>
        <v>7.4476000000000004</v>
      </c>
      <c r="J22" s="12">
        <f>_xll.BDH("ROG US Equity","ALTMAN_Z_SCORE","FY 2020","FY 2020","Currency=USD","Period=FY","BEST_FPERIOD_OVERRIDE=FY","FILING_STATUS=MR","Sort=A","Dates=H","DateFormat=P","Fill=—","Direction=H","UseDPDF=Y")</f>
        <v>10.2172</v>
      </c>
      <c r="K22" s="12">
        <f>_xll.BDH("ROG US Equity","ALTMAN_Z_SCORE","FY 2021","FY 2021","Currency=USD","Period=FY","BEST_FPERIOD_OVERRIDE=FY","FILING_STATUS=MR","Sort=A","Dates=H","DateFormat=P","Fill=—","Direction=H","UseDPDF=Y")</f>
        <v>9.4361999999999995</v>
      </c>
      <c r="L22" s="12">
        <f>_xll.BDH("ROG US Equity","ALTMAN_Z_SCORE","FY 2022","FY 2022","Currency=USD","Period=FY","BEST_FPERIOD_OVERRIDE=FY","FILING_STATUS=MR","Sort=A","Dates=H","DateFormat=P","Fill=—","Direction=H","UseDPDF=Y")</f>
        <v>5.952</v>
      </c>
    </row>
    <row r="23" spans="1:1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9" t="s">
        <v>51</v>
      </c>
      <c r="B24" s="9" t="s">
        <v>52</v>
      </c>
      <c r="C24" s="11">
        <f>_xll.BDH("ROG US Equity","BS_TOTAL_LINE_OF_CREDIT","FY 2013","FY 2013","Currency=USD","Period=FY","BEST_FPERIOD_OVERRIDE=FY","FILING_STATUS=MR","SCALING_FORMAT=MLN","Sort=A","Dates=H","DateFormat=P","Fill=—","Direction=H","UseDPDF=Y")</f>
        <v>100</v>
      </c>
      <c r="D24" s="11">
        <f>_xll.BDH("ROG US Equity","BS_TOTAL_LINE_OF_CREDIT","FY 2014","FY 2014","Currency=USD","Period=FY","BEST_FPERIOD_OVERRIDE=FY","FILING_STATUS=MR","SCALING_FORMAT=MLN","Sort=A","Dates=H","DateFormat=P","Fill=—","Direction=H","UseDPDF=Y")</f>
        <v>265</v>
      </c>
      <c r="E24" s="11">
        <f>_xll.BDH("ROG US Equity","BS_TOTAL_LINE_OF_CREDIT","FY 2015","FY 2015","Currency=USD","Period=FY","BEST_FPERIOD_OVERRIDE=FY","FILING_STATUS=MR","SCALING_FORMAT=MLN","Sort=A","Dates=H","DateFormat=P","Fill=—","Direction=H","UseDPDF=Y")</f>
        <v>350</v>
      </c>
      <c r="F24" s="11">
        <f>_xll.BDH("ROG US Equity","BS_TOTAL_LINE_OF_CREDIT","FY 2016","FY 2016","Currency=USD","Period=FY","BEST_FPERIOD_OVERRIDE=FY","FILING_STATUS=MR","SCALING_FORMAT=MLN","Sort=A","Dates=H","DateFormat=P","Fill=—","Direction=H","UseDPDF=Y")</f>
        <v>295</v>
      </c>
      <c r="G24" s="11">
        <f>_xll.BDH("ROG US Equity","BS_TOTAL_LINE_OF_CREDIT","FY 2017","FY 2017","Currency=USD","Period=FY","BEST_FPERIOD_OVERRIDE=FY","FILING_STATUS=MR","SCALING_FORMAT=MLN","Sort=A","Dates=H","DateFormat=P","Fill=—","Direction=H","UseDPDF=Y")</f>
        <v>295</v>
      </c>
      <c r="H24" s="11">
        <f>_xll.BDH("ROG US Equity","BS_TOTAL_LINE_OF_CREDIT","FY 2018","FY 2018","Currency=USD","Period=FY","BEST_FPERIOD_OVERRIDE=FY","FILING_STATUS=MR","SCALING_FORMAT=MLN","Sort=A","Dates=H","DateFormat=P","Fill=—","Direction=H","UseDPDF=Y")</f>
        <v>228.5</v>
      </c>
      <c r="I24" s="11">
        <f>_xll.BDH("ROG US Equity","BS_TOTAL_LINE_OF_CREDIT","FY 2019","FY 2019","Currency=USD","Period=FY","BEST_FPERIOD_OVERRIDE=FY","FILING_STATUS=MR","SCALING_FORMAT=MLN","Sort=A","Dates=H","DateFormat=P","Fill=—","Direction=H","UseDPDF=Y")</f>
        <v>450</v>
      </c>
      <c r="J24" s="11" t="str">
        <f>_xll.BDH("ROG US Equity","BS_TOTAL_LINE_OF_CREDIT","FY 2020","FY 2020","Currency=USD","Period=FY","BEST_FPERIOD_OVERRIDE=FY","FILING_STATUS=MR","SCALING_FORMAT=MLN","Sort=A","Dates=H","DateFormat=P","Fill=—","Direction=H","UseDPDF=Y")</f>
        <v>—</v>
      </c>
      <c r="K24" s="11">
        <f>_xll.BDH("ROG US Equity","BS_TOTAL_LINE_OF_CREDIT","FY 2021","FY 2021","Currency=USD","Period=FY","BEST_FPERIOD_OVERRIDE=FY","FILING_STATUS=MR","SCALING_FORMAT=MLN","Sort=A","Dates=H","DateFormat=P","Fill=—","Direction=H","UseDPDF=Y")</f>
        <v>190</v>
      </c>
      <c r="L24" s="11">
        <f>_xll.BDH("ROG US Equity","BS_TOTAL_LINE_OF_CREDIT","FY 2022","FY 2022","Currency=USD","Period=FY","BEST_FPERIOD_OVERRIDE=FY","FILING_STATUS=MR","SCALING_FORMAT=MLN","Sort=A","Dates=H","DateFormat=P","Fill=—","Direction=H","UseDPDF=Y")</f>
        <v>215</v>
      </c>
    </row>
    <row r="25" spans="1:12">
      <c r="A25" s="9" t="s">
        <v>53</v>
      </c>
      <c r="B25" s="9" t="s">
        <v>54</v>
      </c>
      <c r="C25" s="11" t="str">
        <f>_xll.BDH("ROG US Equity","BS_TOTAL_AVAIL_LINE_OF_CREDIT","FY 2013","FY 2013","Currency=USD","Period=FY","BEST_FPERIOD_OVERRIDE=FY","FILING_STATUS=MR","SCALING_FORMAT=MLN","Sort=A","Dates=H","DateFormat=P","Fill=—","Direction=H","UseDPDF=Y")</f>
        <v>—</v>
      </c>
      <c r="D25" s="11">
        <f>_xll.BDH("ROG US Equity","BS_TOTAL_AVAIL_LINE_OF_CREDIT","FY 2014","FY 2014","Currency=USD","Period=FY","BEST_FPERIOD_OVERRIDE=FY","FILING_STATUS=MR","SCALING_FORMAT=MLN","Sort=A","Dates=H","DateFormat=P","Fill=—","Direction=H","UseDPDF=Y")</f>
        <v>205</v>
      </c>
      <c r="E25" s="11">
        <f>_xll.BDH("ROG US Equity","BS_TOTAL_AVAIL_LINE_OF_CREDIT","FY 2015","FY 2015","Currency=USD","Period=FY","BEST_FPERIOD_OVERRIDE=FY","FILING_STATUS=MR","SCALING_FORMAT=MLN","Sort=A","Dates=H","DateFormat=P","Fill=—","Direction=H","UseDPDF=Y")</f>
        <v>350</v>
      </c>
      <c r="F25" s="11">
        <f>_xll.BDH("ROG US Equity","BS_TOTAL_AVAIL_LINE_OF_CREDIT","FY 2016","FY 2016","Currency=USD","Period=FY","BEST_FPERIOD_OVERRIDE=FY","FILING_STATUS=MR","SCALING_FORMAT=MLN","Sort=A","Dates=H","DateFormat=P","Fill=—","Direction=H","UseDPDF=Y")</f>
        <v>295</v>
      </c>
      <c r="G25" s="11">
        <f>_xll.BDH("ROG US Equity","BS_TOTAL_AVAIL_LINE_OF_CREDIT","FY 2017","FY 2017","Currency=USD","Period=FY","BEST_FPERIOD_OVERRIDE=FY","FILING_STATUS=MR","SCALING_FORMAT=MLN","Sort=A","Dates=H","DateFormat=P","Fill=—","Direction=H","UseDPDF=Y")</f>
        <v>295</v>
      </c>
      <c r="H25" s="11">
        <f>_xll.BDH("ROG US Equity","BS_TOTAL_AVAIL_LINE_OF_CREDIT","FY 2018","FY 2018","Currency=USD","Period=FY","BEST_FPERIOD_OVERRIDE=FY","FILING_STATUS=MR","SCALING_FORMAT=MLN","Sort=A","Dates=H","DateFormat=P","Fill=—","Direction=H","UseDPDF=Y")</f>
        <v>228.5</v>
      </c>
      <c r="I25" s="11">
        <f>_xll.BDH("ROG US Equity","BS_TOTAL_AVAIL_LINE_OF_CREDIT","FY 2019","FY 2019","Currency=USD","Period=FY","BEST_FPERIOD_OVERRIDE=FY","FILING_STATUS=MR","SCALING_FORMAT=MLN","Sort=A","Dates=H","DateFormat=P","Fill=—","Direction=H","UseDPDF=Y")</f>
        <v>123</v>
      </c>
      <c r="J25" s="11">
        <f>_xll.BDH("ROG US Equity","BS_TOTAL_AVAIL_LINE_OF_CREDIT","FY 2020","FY 2020","Currency=USD","Period=FY","BEST_FPERIOD_OVERRIDE=FY","FILING_STATUS=MR","SCALING_FORMAT=MLN","Sort=A","Dates=H","DateFormat=P","Fill=—","Direction=H","UseDPDF=Y")</f>
        <v>25</v>
      </c>
      <c r="K25" s="11">
        <f>_xll.BDH("ROG US Equity","BS_TOTAL_AVAIL_LINE_OF_CREDIT","FY 2021","FY 2021","Currency=USD","Period=FY","BEST_FPERIOD_OVERRIDE=FY","FILING_STATUS=MR","SCALING_FORMAT=MLN","Sort=A","Dates=H","DateFormat=P","Fill=—","Direction=H","UseDPDF=Y")</f>
        <v>190</v>
      </c>
      <c r="L25" s="11">
        <f>_xll.BDH("ROG US Equity","BS_TOTAL_AVAIL_LINE_OF_CREDIT","FY 2022","FY 2022","Currency=USD","Period=FY","BEST_FPERIOD_OVERRIDE=FY","FILING_STATUS=MR","SCALING_FORMAT=MLN","Sort=A","Dates=H","DateFormat=P","Fill=—","Direction=H","UseDPDF=Y")</f>
        <v>215</v>
      </c>
    </row>
    <row r="26" spans="1:12">
      <c r="A26" s="9" t="s">
        <v>55</v>
      </c>
      <c r="B26" s="9" t="s">
        <v>56</v>
      </c>
      <c r="C26" s="11" t="str">
        <f>_xll.BDH("ROG US Equity","LINE_OF_CREDIT_UTILIZED_AMOUNT","FY 2013","FY 2013","Currency=USD","Period=FY","BEST_FPERIOD_OVERRIDE=FY","FILING_STATUS=MR","SCALING_FORMAT=MLN","Sort=A","Dates=H","DateFormat=P","Fill=—","Direction=H","UseDPDF=Y")</f>
        <v>—</v>
      </c>
      <c r="D26" s="11">
        <f>_xll.BDH("ROG US Equity","LINE_OF_CREDIT_UTILIZED_AMOUNT","FY 2014","FY 2014","Currency=USD","Period=FY","BEST_FPERIOD_OVERRIDE=FY","FILING_STATUS=MR","SCALING_FORMAT=MLN","Sort=A","Dates=H","DateFormat=P","Fill=—","Direction=H","UseDPDF=Y")</f>
        <v>60</v>
      </c>
      <c r="E26" s="11">
        <f>_xll.BDH("ROG US Equity","LINE_OF_CREDIT_UTILIZED_AMOUNT","FY 2015","FY 2015","Currency=USD","Period=FY","BEST_FPERIOD_OVERRIDE=FY","FILING_STATUS=MR","SCALING_FORMAT=MLN","Sort=A","Dates=H","DateFormat=P","Fill=—","Direction=H","UseDPDF=Y")</f>
        <v>0</v>
      </c>
      <c r="F26" s="11">
        <f>_xll.BDH("ROG US Equity","LINE_OF_CREDIT_UTILIZED_AMOUNT","FY 2016","FY 2016","Currency=USD","Period=FY","BEST_FPERIOD_OVERRIDE=FY","FILING_STATUS=MR","SCALING_FORMAT=MLN","Sort=A","Dates=H","DateFormat=P","Fill=—","Direction=H","UseDPDF=Y")</f>
        <v>0</v>
      </c>
      <c r="G26" s="11">
        <f>_xll.BDH("ROG US Equity","LINE_OF_CREDIT_UTILIZED_AMOUNT","FY 2017","FY 2017","Currency=USD","Period=FY","BEST_FPERIOD_OVERRIDE=FY","FILING_STATUS=MR","SCALING_FORMAT=MLN","Sort=A","Dates=H","DateFormat=P","Fill=—","Direction=H","UseDPDF=Y")</f>
        <v>0</v>
      </c>
      <c r="H26" s="11">
        <f>_xll.BDH("ROG US Equity","LINE_OF_CREDIT_UTILIZED_AMOUNT","FY 2018","FY 2018","Currency=USD","Period=FY","BEST_FPERIOD_OVERRIDE=FY","FILING_STATUS=MR","SCALING_FORMAT=MLN","Sort=A","Dates=H","DateFormat=P","Fill=—","Direction=H","UseDPDF=Y")</f>
        <v>0</v>
      </c>
      <c r="I26" s="11">
        <f>_xll.BDH("ROG US Equity","LINE_OF_CREDIT_UTILIZED_AMOUNT","FY 2019","FY 2019","Currency=USD","Period=FY","BEST_FPERIOD_OVERRIDE=FY","FILING_STATUS=MR","SCALING_FORMAT=MLN","Sort=A","Dates=H","DateFormat=P","Fill=—","Direction=H","UseDPDF=Y")</f>
        <v>327</v>
      </c>
      <c r="J26" s="11" t="str">
        <f>_xll.BDH("ROG US Equity","LINE_OF_CREDIT_UTILIZED_AMOUNT","FY 2020","FY 2020","Currency=USD","Period=FY","BEST_FPERIOD_OVERRIDE=FY","FILING_STATUS=MR","SCALING_FORMAT=MLN","Sort=A","Dates=H","DateFormat=P","Fill=—","Direction=H","UseDPDF=Y")</f>
        <v>—</v>
      </c>
      <c r="K26" s="11">
        <f>_xll.BDH("ROG US Equity","LINE_OF_CREDIT_UTILIZED_AMOUNT","FY 2021","FY 2021","Currency=USD","Period=FY","BEST_FPERIOD_OVERRIDE=FY","FILING_STATUS=MR","SCALING_FORMAT=MLN","Sort=A","Dates=H","DateFormat=P","Fill=—","Direction=H","UseDPDF=Y")</f>
        <v>0</v>
      </c>
      <c r="L26" s="11">
        <f>_xll.BDH("ROG US Equity","LINE_OF_CREDIT_UTILIZED_AMOUNT","FY 2022","FY 2022","Currency=USD","Period=FY","BEST_FPERIOD_OVERRIDE=FY","FILING_STATUS=MR","SCALING_FORMAT=MLN","Sort=A","Dates=H","DateFormat=P","Fill=—","Direction=H","UseDPDF=Y")</f>
        <v>0</v>
      </c>
    </row>
    <row r="27" spans="1:1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6" t="s">
        <v>57</v>
      </c>
      <c r="B28" s="6"/>
      <c r="C28" s="6" t="s">
        <v>58</v>
      </c>
      <c r="D28" s="6"/>
      <c r="E28" s="6"/>
      <c r="F28" s="6"/>
      <c r="G28" s="6"/>
      <c r="H28" s="6"/>
      <c r="I28" s="6"/>
      <c r="J28" s="6"/>
      <c r="K28" s="6"/>
      <c r="L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2023-12-04T20:08:50Z</dcterms:modified>
  <cp:category/>
  <cp:contentStatus/>
</cp:coreProperties>
</file>