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6DF1C0CB-1614-4EF4-9975-2865B26BAA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G - Overview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9" i="2"/>
  <c r="G14" i="2"/>
  <c r="D26" i="2"/>
  <c r="J26" i="2"/>
  <c r="D85" i="2"/>
  <c r="E69" i="2"/>
  <c r="C84" i="2"/>
  <c r="E28" i="2"/>
  <c r="K91" i="2"/>
  <c r="H38" i="2"/>
  <c r="G119" i="2"/>
  <c r="D16" i="2"/>
  <c r="L70" i="2"/>
  <c r="F102" i="2"/>
  <c r="H37" i="2"/>
  <c r="F28" i="2"/>
  <c r="D42" i="2"/>
  <c r="J43" i="2"/>
  <c r="L35" i="2"/>
  <c r="L91" i="2"/>
  <c r="D95" i="2"/>
  <c r="F69" i="2"/>
  <c r="H76" i="2"/>
  <c r="K110" i="2"/>
  <c r="L103" i="2"/>
  <c r="D109" i="2"/>
  <c r="F116" i="2"/>
  <c r="G116" i="2"/>
  <c r="I119" i="2"/>
  <c r="E42" i="2"/>
  <c r="C36" i="2"/>
  <c r="C75" i="2"/>
  <c r="C92" i="2"/>
  <c r="E84" i="2"/>
  <c r="I107" i="2"/>
  <c r="H9" i="2"/>
  <c r="D13" i="2"/>
  <c r="G87" i="2"/>
  <c r="L7" i="2"/>
  <c r="C106" i="2"/>
  <c r="L117" i="2"/>
  <c r="J14" i="2"/>
  <c r="L26" i="2"/>
  <c r="K100" i="2"/>
  <c r="H28" i="2"/>
  <c r="G28" i="2"/>
  <c r="K26" i="2"/>
  <c r="F16" i="2"/>
  <c r="H69" i="2"/>
  <c r="F42" i="2"/>
  <c r="J37" i="2"/>
  <c r="D118" i="2"/>
  <c r="D36" i="2"/>
  <c r="L43" i="2"/>
  <c r="J76" i="2"/>
  <c r="L85" i="2"/>
  <c r="D75" i="2"/>
  <c r="F84" i="2"/>
  <c r="H116" i="2"/>
  <c r="D106" i="2"/>
  <c r="F109" i="2"/>
  <c r="J107" i="2"/>
  <c r="H102" i="2"/>
  <c r="L110" i="2"/>
  <c r="F87" i="2"/>
  <c r="D92" i="2"/>
  <c r="F95" i="2"/>
  <c r="J93" i="2"/>
  <c r="J85" i="2"/>
  <c r="J119" i="2"/>
  <c r="D84" i="2"/>
  <c r="H119" i="2"/>
  <c r="J100" i="2"/>
  <c r="G9" i="2"/>
  <c r="K7" i="2"/>
  <c r="L100" i="2"/>
  <c r="H87" i="2"/>
  <c r="E95" i="2"/>
  <c r="I14" i="2"/>
  <c r="E16" i="2"/>
  <c r="C13" i="2"/>
  <c r="I76" i="2"/>
  <c r="K43" i="2"/>
  <c r="I37" i="2"/>
  <c r="H107" i="2"/>
  <c r="G69" i="2"/>
  <c r="K85" i="2"/>
  <c r="E109" i="2"/>
  <c r="C118" i="2"/>
  <c r="J110" i="2"/>
  <c r="I93" i="2"/>
  <c r="G102" i="2"/>
  <c r="H93" i="2"/>
  <c r="I9" i="2"/>
  <c r="C8" i="2"/>
  <c r="G16" i="2"/>
  <c r="C27" i="2"/>
  <c r="E13" i="2"/>
  <c r="K14" i="2"/>
  <c r="E36" i="2"/>
  <c r="F75" i="2"/>
  <c r="I28" i="2"/>
  <c r="C50" i="2"/>
  <c r="K37" i="2"/>
  <c r="G42" i="2"/>
  <c r="K119" i="2"/>
  <c r="C101" i="2"/>
  <c r="K76" i="2"/>
  <c r="E75" i="2"/>
  <c r="I69" i="2"/>
  <c r="E118" i="2"/>
  <c r="G95" i="2"/>
  <c r="E92" i="2"/>
  <c r="I87" i="2"/>
  <c r="E106" i="2"/>
  <c r="I116" i="2"/>
  <c r="I102" i="2"/>
  <c r="G109" i="2"/>
  <c r="K107" i="2"/>
  <c r="G84" i="2"/>
  <c r="L93" i="2"/>
  <c r="C86" i="2"/>
  <c r="L76" i="2"/>
  <c r="J69" i="2"/>
  <c r="D50" i="2"/>
  <c r="K93" i="2"/>
  <c r="F92" i="2"/>
  <c r="H84" i="2"/>
  <c r="F106" i="2"/>
  <c r="J87" i="2"/>
  <c r="D86" i="2"/>
  <c r="J116" i="2"/>
  <c r="J102" i="2"/>
  <c r="D101" i="2"/>
  <c r="H95" i="2"/>
  <c r="C113" i="2"/>
  <c r="L107" i="2"/>
  <c r="I26" i="2"/>
  <c r="D113" i="2"/>
  <c r="G107" i="2"/>
  <c r="H83" i="2"/>
  <c r="D43" i="2"/>
  <c r="L119" i="2"/>
  <c r="C95" i="2"/>
  <c r="F118" i="2"/>
  <c r="I110" i="2"/>
  <c r="F101" i="2"/>
  <c r="G76" i="2"/>
  <c r="D108" i="2"/>
  <c r="K9" i="2"/>
  <c r="H109" i="2"/>
  <c r="H118" i="2"/>
  <c r="F13" i="2"/>
  <c r="I16" i="2"/>
  <c r="F36" i="2"/>
  <c r="K102" i="2"/>
  <c r="C38" i="2"/>
  <c r="J7" i="2"/>
  <c r="G118" i="2"/>
  <c r="J109" i="2"/>
  <c r="H14" i="2"/>
  <c r="E8" i="2"/>
  <c r="C126" i="2"/>
  <c r="H106" i="2"/>
  <c r="L116" i="2"/>
  <c r="D7" i="2"/>
  <c r="E50" i="2"/>
  <c r="F113" i="2"/>
  <c r="E27" i="2"/>
  <c r="J86" i="2"/>
  <c r="J50" i="2"/>
  <c r="E86" i="2"/>
  <c r="D126" i="2"/>
  <c r="J9" i="2"/>
  <c r="F35" i="2"/>
  <c r="D27" i="2"/>
  <c r="E83" i="2"/>
  <c r="K16" i="2"/>
  <c r="L102" i="2"/>
  <c r="L37" i="2"/>
  <c r="D83" i="2"/>
  <c r="L69" i="2"/>
  <c r="H75" i="2"/>
  <c r="I42" i="2"/>
  <c r="G36" i="2"/>
  <c r="E87" i="2"/>
  <c r="I100" i="2"/>
  <c r="F9" i="2"/>
  <c r="C109" i="2"/>
  <c r="K35" i="2"/>
  <c r="J84" i="2"/>
  <c r="F86" i="2"/>
  <c r="I75" i="2"/>
  <c r="E116" i="2"/>
  <c r="C15" i="2"/>
  <c r="D94" i="2"/>
  <c r="I13" i="2"/>
  <c r="G50" i="2"/>
  <c r="C91" i="2"/>
  <c r="I92" i="2"/>
  <c r="C35" i="2"/>
  <c r="E126" i="2"/>
  <c r="F50" i="2"/>
  <c r="I106" i="2"/>
  <c r="K84" i="2"/>
  <c r="K95" i="2"/>
  <c r="G101" i="2"/>
  <c r="E94" i="2"/>
  <c r="I118" i="2"/>
  <c r="C103" i="2"/>
  <c r="G113" i="2"/>
  <c r="E108" i="2"/>
  <c r="K109" i="2"/>
  <c r="C42" i="2"/>
  <c r="C117" i="2"/>
  <c r="K10" i="2"/>
  <c r="H15" i="2"/>
  <c r="G86" i="2"/>
  <c r="L36" i="2"/>
  <c r="F91" i="2"/>
  <c r="F70" i="2"/>
  <c r="C16" i="2"/>
  <c r="G13" i="2"/>
  <c r="H42" i="2"/>
  <c r="D8" i="2"/>
  <c r="E102" i="2"/>
  <c r="H16" i="2"/>
  <c r="G92" i="2"/>
  <c r="K87" i="2"/>
  <c r="C108" i="2"/>
  <c r="I109" i="2"/>
  <c r="L9" i="2"/>
  <c r="D15" i="2"/>
  <c r="E101" i="2"/>
  <c r="G75" i="2"/>
  <c r="F8" i="2"/>
  <c r="K116" i="2"/>
  <c r="I84" i="2"/>
  <c r="E113" i="2"/>
  <c r="F27" i="2"/>
  <c r="H13" i="2"/>
  <c r="J16" i="2"/>
  <c r="L28" i="2"/>
  <c r="H36" i="2"/>
  <c r="D38" i="2"/>
  <c r="L87" i="2"/>
  <c r="J42" i="2"/>
  <c r="H92" i="2"/>
  <c r="C10" i="2"/>
  <c r="E15" i="2"/>
  <c r="J95" i="2"/>
  <c r="G8" i="2"/>
  <c r="E38" i="2"/>
  <c r="D103" i="2"/>
  <c r="J118" i="2"/>
  <c r="J75" i="2"/>
  <c r="K42" i="2"/>
  <c r="G27" i="2"/>
  <c r="D117" i="2"/>
  <c r="L13" i="2"/>
  <c r="D70" i="2"/>
  <c r="F108" i="2"/>
  <c r="F15" i="2"/>
  <c r="D10" i="2"/>
  <c r="L16" i="2"/>
  <c r="H8" i="2"/>
  <c r="L95" i="2"/>
  <c r="J13" i="2"/>
  <c r="F94" i="2"/>
  <c r="H101" i="2"/>
  <c r="C70" i="2"/>
  <c r="F38" i="2"/>
  <c r="I36" i="2"/>
  <c r="J8" i="2"/>
  <c r="J106" i="2"/>
  <c r="F126" i="2"/>
  <c r="J36" i="2"/>
  <c r="H27" i="2"/>
  <c r="D35" i="2"/>
  <c r="L42" i="2"/>
  <c r="I7" i="2"/>
  <c r="F83" i="2"/>
  <c r="H50" i="2"/>
  <c r="H86" i="2"/>
  <c r="L84" i="2"/>
  <c r="L109" i="2"/>
  <c r="H113" i="2"/>
  <c r="E10" i="2"/>
  <c r="L10" i="2"/>
  <c r="D91" i="2"/>
  <c r="L75" i="2"/>
  <c r="I8" i="2"/>
  <c r="J92" i="2"/>
  <c r="K103" i="2"/>
  <c r="J28" i="2"/>
  <c r="J27" i="2"/>
  <c r="I85" i="2"/>
  <c r="I43" i="2"/>
  <c r="G93" i="2"/>
  <c r="G37" i="2"/>
  <c r="L14" i="2"/>
  <c r="K70" i="2"/>
  <c r="K28" i="2"/>
  <c r="C94" i="2"/>
  <c r="C7" i="2"/>
  <c r="I95" i="2"/>
  <c r="K69" i="2"/>
  <c r="G106" i="2"/>
  <c r="C83" i="2"/>
  <c r="K13" i="2"/>
  <c r="K117" i="2"/>
  <c r="G15" i="2"/>
  <c r="E35" i="2"/>
  <c r="K36" i="2"/>
  <c r="K92" i="2"/>
  <c r="C26" i="2"/>
  <c r="E70" i="2"/>
  <c r="G38" i="2"/>
  <c r="K75" i="2"/>
  <c r="C85" i="2"/>
  <c r="G94" i="2"/>
  <c r="C43" i="2"/>
  <c r="E91" i="2"/>
  <c r="E117" i="2"/>
  <c r="I86" i="2"/>
  <c r="C100" i="2"/>
  <c r="I50" i="2"/>
  <c r="E103" i="2"/>
  <c r="G83" i="2"/>
  <c r="I27" i="2"/>
  <c r="K106" i="2"/>
  <c r="H108" i="2"/>
  <c r="I113" i="2"/>
  <c r="K118" i="2"/>
  <c r="G108" i="2"/>
  <c r="D110" i="2"/>
  <c r="C110" i="2"/>
  <c r="I101" i="2"/>
  <c r="G126" i="2"/>
  <c r="L118" i="2"/>
  <c r="J113" i="2"/>
  <c r="K8" i="2"/>
  <c r="F117" i="2"/>
  <c r="C37" i="2"/>
  <c r="I15" i="2"/>
  <c r="G10" i="2"/>
  <c r="H126" i="2"/>
  <c r="G35" i="2"/>
  <c r="G70" i="2"/>
  <c r="C14" i="2"/>
  <c r="K27" i="2"/>
  <c r="E26" i="2"/>
  <c r="I38" i="2"/>
  <c r="G103" i="2"/>
  <c r="K86" i="2"/>
  <c r="G91" i="2"/>
  <c r="I83" i="2"/>
  <c r="C107" i="2"/>
  <c r="K50" i="2"/>
  <c r="I108" i="2"/>
  <c r="E85" i="2"/>
  <c r="E43" i="2"/>
  <c r="C76" i="2"/>
  <c r="I126" i="2"/>
  <c r="K113" i="2"/>
  <c r="F43" i="2"/>
  <c r="L50" i="2"/>
  <c r="D37" i="2"/>
  <c r="E110" i="2"/>
  <c r="C93" i="2"/>
  <c r="G117" i="2"/>
  <c r="K101" i="2"/>
  <c r="C119" i="2"/>
  <c r="J38" i="2"/>
  <c r="I94" i="2"/>
  <c r="E100" i="2"/>
  <c r="D119" i="2"/>
  <c r="L86" i="2"/>
  <c r="H70" i="2"/>
  <c r="D107" i="2"/>
  <c r="D93" i="2"/>
  <c r="F7" i="2"/>
  <c r="J83" i="2"/>
  <c r="D76" i="2"/>
  <c r="L101" i="2"/>
  <c r="H91" i="2"/>
  <c r="H117" i="2"/>
  <c r="G43" i="2"/>
  <c r="J108" i="2"/>
  <c r="F110" i="2"/>
  <c r="J94" i="2"/>
  <c r="H103" i="2"/>
  <c r="C69" i="2"/>
  <c r="L92" i="2"/>
  <c r="L113" i="2"/>
  <c r="G7" i="2"/>
  <c r="J126" i="2"/>
  <c r="F103" i="2"/>
  <c r="E7" i="2"/>
  <c r="F100" i="2"/>
  <c r="H94" i="2"/>
  <c r="L106" i="2"/>
  <c r="F85" i="2"/>
  <c r="H10" i="2"/>
  <c r="L27" i="2"/>
  <c r="I10" i="2"/>
  <c r="K15" i="2"/>
  <c r="I35" i="2"/>
  <c r="K83" i="2"/>
  <c r="I91" i="2"/>
  <c r="D100" i="2"/>
  <c r="I103" i="2"/>
  <c r="C116" i="2"/>
  <c r="E107" i="2"/>
  <c r="G85" i="2"/>
  <c r="D14" i="2"/>
  <c r="I70" i="2"/>
  <c r="J101" i="2"/>
  <c r="K38" i="2"/>
  <c r="K108" i="2"/>
  <c r="J15" i="2"/>
  <c r="C87" i="2"/>
  <c r="E93" i="2"/>
  <c r="I117" i="2"/>
  <c r="E76" i="2"/>
  <c r="G100" i="2"/>
  <c r="C102" i="2"/>
  <c r="E119" i="2"/>
  <c r="G26" i="2"/>
  <c r="J91" i="2"/>
  <c r="K126" i="2"/>
  <c r="E14" i="2"/>
  <c r="G110" i="2"/>
  <c r="L108" i="2"/>
  <c r="F26" i="2"/>
  <c r="K94" i="2"/>
  <c r="J70" i="2"/>
  <c r="J10" i="2"/>
  <c r="H7" i="2"/>
  <c r="C9" i="2"/>
  <c r="D69" i="2"/>
  <c r="F76" i="2"/>
  <c r="H43" i="2"/>
  <c r="D9" i="2"/>
  <c r="D28" i="2"/>
  <c r="L8" i="2"/>
  <c r="H100" i="2"/>
  <c r="H85" i="2"/>
  <c r="D116" i="2"/>
  <c r="F37" i="2"/>
  <c r="H110" i="2"/>
  <c r="L94" i="2"/>
  <c r="L126" i="2"/>
  <c r="H26" i="2"/>
  <c r="F14" i="2"/>
  <c r="E37" i="2"/>
  <c r="J103" i="2"/>
  <c r="J117" i="2"/>
  <c r="H35" i="2"/>
  <c r="L38" i="2"/>
  <c r="C28" i="2"/>
  <c r="D87" i="2"/>
  <c r="D102" i="2"/>
  <c r="F107" i="2"/>
  <c r="J35" i="2"/>
  <c r="L83" i="2"/>
  <c r="L15" i="2"/>
  <c r="F119" i="2"/>
  <c r="F93" i="2"/>
</calcChain>
</file>

<file path=xl/sharedStrings.xml><?xml version="1.0" encoding="utf-8"?>
<sst xmlns="http://schemas.openxmlformats.org/spreadsheetml/2006/main" count="457" uniqueCount="198">
  <si>
    <t>Rogers Corp (ROG US) - Overview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</si>
  <si>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</si>
  <si>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</si>
  <si>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</si>
  <si>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</si>
  <si>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</si>
  <si>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</si>
  <si>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</si>
  <si>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</si>
  <si>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</si>
  <si>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</si>
  <si>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</si>
  <si>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</si>
  <si>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</si>
  <si>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</si>
  <si>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</si>
  <si>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</si>
  <si>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</si>
  <si>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</si>
  <si>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</si>
  <si>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</si>
  <si>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</si>
  <si>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</si>
  <si>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ESG Financial Materiality Scores</t>
  </si>
  <si>
    <t>BESG ESG Score</t>
  </si>
  <si>
    <t>ESG_SCORE</t>
  </si>
  <si>
    <t>BESG Environmental Pillar Score</t>
  </si>
  <si>
    <t>ENVIRONMENTAL_SCORE</t>
  </si>
  <si>
    <t>BESG Social Pillar Score</t>
  </si>
  <si>
    <t>SOCIAL_SCORE</t>
  </si>
  <si>
    <t>BESG Governance Pillar Score</t>
  </si>
  <si>
    <t>GOVERNANCE_SCORE</t>
  </si>
  <si>
    <t>ESG Disclosure Scores</t>
  </si>
  <si>
    <t>ESG Disclosure Score</t>
  </si>
  <si>
    <t>ESG_DISCLOSURE_SCORE</t>
  </si>
  <si>
    <t>Environmental Disclosure Score</t>
  </si>
  <si>
    <t>ENVIRON_DISCLOSURE_SCORE</t>
  </si>
  <si>
    <t>Social Disclosure Score</t>
  </si>
  <si>
    <t>SOCIAL_DISCLOSURE_SCORE</t>
  </si>
  <si>
    <t>Governance Disclosure Score</t>
  </si>
  <si>
    <t>GOVNCE_DISCLOSURE_SCORE</t>
  </si>
  <si>
    <t>Environmental</t>
  </si>
  <si>
    <t>Air Quality</t>
  </si>
  <si>
    <t>Climate Change</t>
  </si>
  <si>
    <t>Emissions Reduction Initiatives</t>
  </si>
  <si>
    <t>EMISSION_REDUCTION</t>
  </si>
  <si>
    <t>No</t>
  </si>
  <si>
    <t>Yes</t>
  </si>
  <si>
    <t>n/a</t>
  </si>
  <si>
    <t>Climate Change Policy</t>
  </si>
  <si>
    <t>CLIMATE_CHG_POLICY</t>
  </si>
  <si>
    <t>Climate Change Opportunities Discussed</t>
  </si>
  <si>
    <t>CLIMATE_CHG_OPPORTUNITIES</t>
  </si>
  <si>
    <t>Risks of Climate Change Discussed</t>
  </si>
  <si>
    <t>CLIMATE_RISKS</t>
  </si>
  <si>
    <t>GHG Scope 1</t>
  </si>
  <si>
    <t>GHG_SCOPE_1</t>
  </si>
  <si>
    <t>GHG Scope 2 Location-Based</t>
  </si>
  <si>
    <t>GHG_SCOPE_2_LOCATION_BASED</t>
  </si>
  <si>
    <t>GHG Scope 2 Market-Based</t>
  </si>
  <si>
    <t>GHG_SCOPE_2_MARKET_BASED</t>
  </si>
  <si>
    <t>Ecological &amp; Biodiversity Impacts</t>
  </si>
  <si>
    <t>Biodiversity Policy</t>
  </si>
  <si>
    <t>BIODIVERSITY_POLICY</t>
  </si>
  <si>
    <t>Energy</t>
  </si>
  <si>
    <t>Energy Efficiency Policy</t>
  </si>
  <si>
    <t>ENERGY_EFFIC_POLICY</t>
  </si>
  <si>
    <t>Total Energy Consumption</t>
  </si>
  <si>
    <t>ENERGY_CONSUMPTION</t>
  </si>
  <si>
    <t>Electricity Used</t>
  </si>
  <si>
    <t>ELECTRICITY_USED</t>
  </si>
  <si>
    <t>Fuel Used - Natural Gas</t>
  </si>
  <si>
    <t>NAT_GAS_USED</t>
  </si>
  <si>
    <t>Fuel Used - Crude Oil/Diesel</t>
  </si>
  <si>
    <t>OIL_DIESEL_USED</t>
  </si>
  <si>
    <t>Materials &amp; Waste</t>
  </si>
  <si>
    <t>Waste Reduction Policy</t>
  </si>
  <si>
    <t>WASTE_REDUCTION</t>
  </si>
  <si>
    <t>Hazardous Waste</t>
  </si>
  <si>
    <t>HAZARDOUS_WASTE</t>
  </si>
  <si>
    <t>Total Waste</t>
  </si>
  <si>
    <t>TOTAL_WASTE</t>
  </si>
  <si>
    <t>Supply Chain</t>
  </si>
  <si>
    <t>Environmental Supply Chain Management</t>
  </si>
  <si>
    <t>ENVIRON_SUPPLY_MGT</t>
  </si>
  <si>
    <t>Water</t>
  </si>
  <si>
    <t>Water Policy</t>
  </si>
  <si>
    <t>WATER_POLICY</t>
  </si>
  <si>
    <t>Total Water Withdrawal</t>
  </si>
  <si>
    <t>TOTAL_WATER_WITHDRAWAL</t>
  </si>
  <si>
    <t>Social</t>
  </si>
  <si>
    <t>Community &amp; Customers</t>
  </si>
  <si>
    <t>Human Rights Policy</t>
  </si>
  <si>
    <t>HUMAN_RIGHTS_POLICY</t>
  </si>
  <si>
    <t>Policy Against Child Labor</t>
  </si>
  <si>
    <t>POLICY_AGAINST_CHILD_LABOR</t>
  </si>
  <si>
    <t>Quality Assurance and Recall Policy</t>
  </si>
  <si>
    <t>QUALITY_ASSURANCE_AND_RECALL_POL</t>
  </si>
  <si>
    <t>Consumer Data Protection Policy</t>
  </si>
  <si>
    <t>CONSUMER_DATA_PROTECTION_POLICY</t>
  </si>
  <si>
    <t>Diversity</t>
  </si>
  <si>
    <t>Equal Opportunity Policy</t>
  </si>
  <si>
    <t>EQUAL_OPPORTUNITY_POLICY</t>
  </si>
  <si>
    <t>Gender Pay Gap Breakout</t>
  </si>
  <si>
    <t>GENDER_PAY_GAP_BREAKOUT</t>
  </si>
  <si>
    <t>Ethics &amp; Compliance</t>
  </si>
  <si>
    <t>Business Ethics Policy</t>
  </si>
  <si>
    <t>ETHICS_POLICY</t>
  </si>
  <si>
    <t>Anti-Bribery Ethics Policy</t>
  </si>
  <si>
    <t>ANTI_BRIBERY_ETHICS_POLICY</t>
  </si>
  <si>
    <t>Health &amp; Safety</t>
  </si>
  <si>
    <t>Health and Safety Policy</t>
  </si>
  <si>
    <t>HEALTH_SAFETY_POLICY</t>
  </si>
  <si>
    <t>Lost Time Incident Rate - Employees</t>
  </si>
  <si>
    <t>LOST_TIME_INCIDENT_RATE</t>
  </si>
  <si>
    <t>Total Recordable Incident Rate - Employees</t>
  </si>
  <si>
    <t>TOTAL_RECORDABLE_INCIDENT_RATE</t>
  </si>
  <si>
    <t>Human Capital</t>
  </si>
  <si>
    <t>Training Policy</t>
  </si>
  <si>
    <t>TRAINING_POLICY</t>
  </si>
  <si>
    <t>Fair Remuneration Policy</t>
  </si>
  <si>
    <t>FAIR_REMUNERATION_POLICY</t>
  </si>
  <si>
    <t>Number of Employees - CSR</t>
  </si>
  <si>
    <t>NUMBER_EMPLOYEES_CSR</t>
  </si>
  <si>
    <t>Pct Employees Unionized</t>
  </si>
  <si>
    <t>PCT_EMPLOYEES_UNIONIZED</t>
  </si>
  <si>
    <t>Social Supply Chain Management</t>
  </si>
  <si>
    <t>SOCIAL_SUPPLY_CHAIN_MGMT</t>
  </si>
  <si>
    <t>Governance</t>
  </si>
  <si>
    <t>Audit Risk &amp; Oversight</t>
  </si>
  <si>
    <t>Years Auditor Employed</t>
  </si>
  <si>
    <t>YEARS_AUDITOR_EMPLOYED</t>
  </si>
  <si>
    <t>Size of Audit Committee</t>
  </si>
  <si>
    <t>SIZE_OF_AUDIT_COMMITTEE</t>
  </si>
  <si>
    <t>Number of Independent Directors on Audit Committee</t>
  </si>
  <si>
    <t>NUM_IND_DIR_ON_AUD_CMTE</t>
  </si>
  <si>
    <t>Audit Committee Meetings</t>
  </si>
  <si>
    <t>AUDIT_COMMITTEE_MEETINGS</t>
  </si>
  <si>
    <t>Audit Committee Meeting Attendance Percentage</t>
  </si>
  <si>
    <t>AUDIT_COMMITTEE_MTG_ATTEND_PCT</t>
  </si>
  <si>
    <t>Board Composition</t>
  </si>
  <si>
    <t>Company Conducts Board Evaluations</t>
  </si>
  <si>
    <t>COMPANY_CONDUCTS_BRD_EVALUATIONS</t>
  </si>
  <si>
    <t>Board Size</t>
  </si>
  <si>
    <t>BOARD_SIZE</t>
  </si>
  <si>
    <t>Number of Executives / Company Managers</t>
  </si>
  <si>
    <t>NUM_EXECUTIVES_COMP_MANAGERS</t>
  </si>
  <si>
    <t>Number of Non Executive Directors on Board</t>
  </si>
  <si>
    <t>NUM_OF_NONEXEC_DIR_ON_BRD</t>
  </si>
  <si>
    <t>Number of Board Meetings for the Year</t>
  </si>
  <si>
    <t>BOARD_MEETINGS_PER_YR</t>
  </si>
  <si>
    <t>Board Meeting Attendance Pct</t>
  </si>
  <si>
    <t>BOARD_MEETING_ATTENDANCE_PCT</t>
  </si>
  <si>
    <t>Compensation</t>
  </si>
  <si>
    <t>Company Has Executive Share Ownership Guidelines</t>
  </si>
  <si>
    <t>COMP_HAS_EXEC_SH_OWNER_GUIDELNS</t>
  </si>
  <si>
    <t>Director Share Ownership Guidelines</t>
  </si>
  <si>
    <t>DIRECTOR_SH_OWNERSHIP_GUIDELINES</t>
  </si>
  <si>
    <t>Size of Compensation Committee</t>
  </si>
  <si>
    <t>SIZE_OF_COMPENSATION_COMMITTEE</t>
  </si>
  <si>
    <t>Num of Independent Directors on Compensation Cmte</t>
  </si>
  <si>
    <t>NUM_IND_DIR_ON_CMPNSTN_CMTE</t>
  </si>
  <si>
    <t>Number of Compensation Committee Meetings</t>
  </si>
  <si>
    <t>NUM_COMPENSATION_CMTE_MTG</t>
  </si>
  <si>
    <t>Compensation Committee Meeting Attendance %</t>
  </si>
  <si>
    <t>COMPENSATION_CMTE_MTG_ATTEND_PCT</t>
  </si>
  <si>
    <t>Number of Female Executives</t>
  </si>
  <si>
    <t>NUMBER_OF_FEMALE_EXECUTIVES</t>
  </si>
  <si>
    <t>Number of Women on Board</t>
  </si>
  <si>
    <t>NUMBER_OF_WOMEN_ON_BOARD</t>
  </si>
  <si>
    <t>Board Age Limit</t>
  </si>
  <si>
    <t>BOARD_AGE_LIMIT</t>
  </si>
  <si>
    <t>Age of the Youngest Director</t>
  </si>
  <si>
    <t>AGE_OF_YOUNGEST_DIRECTOR</t>
  </si>
  <si>
    <t>Age of the Oldest Director</t>
  </si>
  <si>
    <t>AGE_OF_OLDEST_DIRECTOR</t>
  </si>
  <si>
    <t>Independence</t>
  </si>
  <si>
    <t>Number of Independent Directors</t>
  </si>
  <si>
    <t>INDEPENDENT_DIRECTORS</t>
  </si>
  <si>
    <t>Nominations &amp; Governance Oversight</t>
  </si>
  <si>
    <t>Size of Nomination Committee</t>
  </si>
  <si>
    <t>SIZE_OF_NOMINATION_COMMITTEE</t>
  </si>
  <si>
    <t>Num of Independent Directors on Nomination Cmte</t>
  </si>
  <si>
    <t>NUM_IND_DIR_ON_NOM_CMTE</t>
  </si>
  <si>
    <t>Number of Nomination Committee Meetings</t>
  </si>
  <si>
    <t>NUM_OF_NOMINATION_CMTE_MTG</t>
  </si>
  <si>
    <t>Nomination Committee Meeting Attendance Percentage</t>
  </si>
  <si>
    <t>NOMINATION_CMTE_MTG_ATTEND_PCT</t>
  </si>
  <si>
    <t>Sustainability Governance</t>
  </si>
  <si>
    <t>Verification Type</t>
  </si>
  <si>
    <t>VERIFICATION_TYPE</t>
  </si>
  <si>
    <t>Employee CSR Training</t>
  </si>
  <si>
    <t>EMPLOYEE_CSR_TRAINING</t>
  </si>
  <si>
    <t>Tenure</t>
  </si>
  <si>
    <t>Board Duration (Years)</t>
  </si>
  <si>
    <t>BOARD_DURATION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</si>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</sst>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  <xf numFmtId="4" fontId="7" fillId="34" borderId="2">
      <alignment horizontal="right"/>
    </xf>
  </cellStyleXfs>
  <cellXfs count="16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164" fontId="1" fillId="34" borderId="2" xfId="53">
      <alignment horizontal="right"/>
    </xf>
    <xf numFmtId="4" fontId="1" fillId="34" borderId="2" xfId="54">
      <alignment horizontal="right"/>
    </xf>
    <xf numFmtId="3" fontId="7" fillId="34" borderId="2" xfId="55">
      <alignment horizontal="right"/>
    </xf>
    <xf numFmtId="4" fontId="7" fillId="34" borderId="2" xfId="56">
      <alignment horizontal="right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5" xr:uid="{00000000-0005-0000-0000-000023000000}"/>
    <cellStyle name="fa_data_bold_2_grouped" xfId="56" xr:uid="{00000000-0005-0000-0000-000024000000}"/>
    <cellStyle name="fa_data_standard_0_grouped" xfId="52" xr:uid="{00000000-0005-0000-0000-000025000000}"/>
    <cellStyle name="fa_data_standard_1_grouped" xfId="53" xr:uid="{00000000-0005-0000-0000-000026000000}"/>
    <cellStyle name="fa_data_standard_2_grouped" xfId="54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standard" xfId="36" xr:uid="{00000000-0005-0000-0000-00002A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10" t="s">
        <v>23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>
      <c r="A7" s="10" t="s">
        <v>24</v>
      </c>
      <c r="B7" s="10" t="s">
        <v>25</v>
      </c>
      <c r="C7" s="13" t="str">
        <f>_xll.BDH("ROG US Equity","ESG_SCORE","FY 2013","FY 2013","Currency=USD","Period=FY","BEST_FPERIOD_OVERRIDE=FY","FILING_STATUS=MR","Sort=A","Dates=H","DateFormat=P","Fill=—","Direction=H","UseDPDF=Y")</f>
        <v>—</v>
      </c>
      <c r="D7" s="13" t="str">
        <f>_xll.BDH("ROG US Equity","ESG_SCORE","FY 2014","FY 2014","Currency=USD","Period=FY","BEST_FPERIOD_OVERRIDE=FY","FILING_STATUS=MR","Sort=A","Dates=H","DateFormat=P","Fill=—","Direction=H","UseDPDF=Y")</f>
        <v>—</v>
      </c>
      <c r="E7" s="13" t="str">
        <f>_xll.BDH("ROG US Equity","ESG_SCORE","FY 2015","FY 2015","Currency=USD","Period=FY","BEST_FPERIOD_OVERRIDE=FY","FILING_STATUS=MR","Sort=A","Dates=H","DateFormat=P","Fill=—","Direction=H","UseDPDF=Y")</f>
        <v>—</v>
      </c>
      <c r="F7" s="13" t="str">
        <f>_xll.BDH("ROG US Equity","ESG_SCORE","FY 2016","FY 2016","Currency=USD","Period=FY","BEST_FPERIOD_OVERRIDE=FY","FILING_STATUS=MR","Sort=A","Dates=H","DateFormat=P","Fill=—","Direction=H","UseDPDF=Y")</f>
        <v>—</v>
      </c>
      <c r="G7" s="13" t="str">
        <f>_xll.BDH("ROG US Equity","ESG_SCORE","FY 2017","FY 2017","Currency=USD","Period=FY","BEST_FPERIOD_OVERRIDE=FY","FILING_STATUS=MR","Sort=A","Dates=H","DateFormat=P","Fill=—","Direction=H","UseDPDF=Y")</f>
        <v>—</v>
      </c>
      <c r="H7" s="13" t="str">
        <f>_xll.BDH("ROG US Equity","ESG_SCORE","FY 2018","FY 2018","Currency=USD","Period=FY","BEST_FPERIOD_OVERRIDE=FY","FILING_STATUS=MR","Sort=A","Dates=H","DateFormat=P","Fill=—","Direction=H","UseDPDF=Y")</f>
        <v>—</v>
      </c>
      <c r="I7" s="13" t="str">
        <f>_xll.BDH("ROG US Equity","ESG_SCORE","FY 2019","FY 2019","Currency=USD","Period=FY","BEST_FPERIOD_OVERRIDE=FY","FILING_STATUS=MR","Sort=A","Dates=H","DateFormat=P","Fill=—","Direction=H","UseDPDF=Y")</f>
        <v>—</v>
      </c>
      <c r="J7" s="13" t="str">
        <f>_xll.BDH("ROG US Equity","ESG_SCORE","FY 2020","FY 2020","Currency=USD","Period=FY","BEST_FPERIOD_OVERRIDE=FY","FILING_STATUS=MR","Sort=A","Dates=H","DateFormat=P","Fill=—","Direction=H","UseDPDF=Y")</f>
        <v>—</v>
      </c>
      <c r="K7" s="13">
        <f>_xll.BDH("ROG US Equity","ESG_SCORE","FY 2021","FY 2021","Currency=USD","Period=FY","BEST_FPERIOD_OVERRIDE=FY","FILING_STATUS=MR","Sort=A","Dates=H","DateFormat=P","Fill=—","Direction=H","UseDPDF=Y")</f>
        <v>1.7</v>
      </c>
      <c r="L7" s="13" t="str">
        <f>_xll.BDH("ROG US Equity","ESG_SCORE","FY 2022","FY 2022","Currency=USD","Period=FY","BEST_FPERIOD_OVERRIDE=FY","FILING_STATUS=MR","Sort=A","Dates=H","DateFormat=P","Fill=—","Direction=H","UseDPDF=Y")</f>
        <v>—</v>
      </c>
    </row>
    <row r="8" spans="1:12">
      <c r="A8" s="10" t="s">
        <v>26</v>
      </c>
      <c r="B8" s="10" t="s">
        <v>27</v>
      </c>
      <c r="C8" s="13" t="str">
        <f>_xll.BDH("ROG US Equity","ENVIRONMENTAL_SCORE","FY 2013","FY 2013","Currency=USD","Period=FY","BEST_FPERIOD_OVERRIDE=FY","FILING_STATUS=MR","Sort=A","Dates=H","DateFormat=P","Fill=—","Direction=H","UseDPDF=Y")</f>
        <v>—</v>
      </c>
      <c r="D8" s="13" t="str">
        <f>_xll.BDH("ROG US Equity","ENVIRONMENTAL_SCORE","FY 2014","FY 2014","Currency=USD","Period=FY","BEST_FPERIOD_OVERRIDE=FY","FILING_STATUS=MR","Sort=A","Dates=H","DateFormat=P","Fill=—","Direction=H","UseDPDF=Y")</f>
        <v>—</v>
      </c>
      <c r="E8" s="13" t="str">
        <f>_xll.BDH("ROG US Equity","ENVIRONMENTAL_SCORE","FY 2015","FY 2015","Currency=USD","Period=FY","BEST_FPERIOD_OVERRIDE=FY","FILING_STATUS=MR","Sort=A","Dates=H","DateFormat=P","Fill=—","Direction=H","UseDPDF=Y")</f>
        <v>—</v>
      </c>
      <c r="F8" s="13" t="str">
        <f>_xll.BDH("ROG US Equity","ENVIRONMENTAL_SCORE","FY 2016","FY 2016","Currency=USD","Period=FY","BEST_FPERIOD_OVERRIDE=FY","FILING_STATUS=MR","Sort=A","Dates=H","DateFormat=P","Fill=—","Direction=H","UseDPDF=Y")</f>
        <v>—</v>
      </c>
      <c r="G8" s="13" t="str">
        <f>_xll.BDH("ROG US Equity","ENVIRONMENTAL_SCORE","FY 2017","FY 2017","Currency=USD","Period=FY","BEST_FPERIOD_OVERRIDE=FY","FILING_STATUS=MR","Sort=A","Dates=H","DateFormat=P","Fill=—","Direction=H","UseDPDF=Y")</f>
        <v>—</v>
      </c>
      <c r="H8" s="13" t="str">
        <f>_xll.BDH("ROG US Equity","ENVIRONMENTAL_SCORE","FY 2018","FY 2018","Currency=USD","Period=FY","BEST_FPERIOD_OVERRIDE=FY","FILING_STATUS=MR","Sort=A","Dates=H","DateFormat=P","Fill=—","Direction=H","UseDPDF=Y")</f>
        <v>—</v>
      </c>
      <c r="I8" s="13" t="str">
        <f>_xll.BDH("ROG US Equity","ENVIRONMENTAL_SCORE","FY 2019","FY 2019","Currency=USD","Period=FY","BEST_FPERIOD_OVERRIDE=FY","FILING_STATUS=MR","Sort=A","Dates=H","DateFormat=P","Fill=—","Direction=H","UseDPDF=Y")</f>
        <v>—</v>
      </c>
      <c r="J8" s="13" t="str">
        <f>_xll.BDH("ROG US Equity","ENVIRONMENTAL_SCORE","FY 2020","FY 2020","Currency=USD","Period=FY","BEST_FPERIOD_OVERRIDE=FY","FILING_STATUS=MR","Sort=A","Dates=H","DateFormat=P","Fill=—","Direction=H","UseDPDF=Y")</f>
        <v>—</v>
      </c>
      <c r="K8" s="13">
        <f>_xll.BDH("ROG US Equity","ENVIRONMENTAL_SCORE","FY 2021","FY 2021","Currency=USD","Period=FY","BEST_FPERIOD_OVERRIDE=FY","FILING_STATUS=MR","Sort=A","Dates=H","DateFormat=P","Fill=—","Direction=H","UseDPDF=Y")</f>
        <v>0.22</v>
      </c>
      <c r="L8" s="13" t="str">
        <f>_xll.BDH("ROG US Equity","ENVIRONMENTAL_SCORE","FY 2022","FY 2022","Currency=USD","Period=FY","BEST_FPERIOD_OVERRIDE=FY","FILING_STATUS=MR","Sort=A","Dates=H","DateFormat=P","Fill=—","Direction=H","UseDPDF=Y")</f>
        <v>—</v>
      </c>
    </row>
    <row r="9" spans="1:12">
      <c r="A9" s="10" t="s">
        <v>28</v>
      </c>
      <c r="B9" s="10" t="s">
        <v>29</v>
      </c>
      <c r="C9" s="13" t="str">
        <f>_xll.BDH("ROG US Equity","SOCIAL_SCORE","FY 2013","FY 2013","Currency=USD","Period=FY","BEST_FPERIOD_OVERRIDE=FY","FILING_STATUS=MR","Sort=A","Dates=H","DateFormat=P","Fill=—","Direction=H","UseDPDF=Y")</f>
        <v>—</v>
      </c>
      <c r="D9" s="13" t="str">
        <f>_xll.BDH("ROG US Equity","SOCIAL_SCORE","FY 2014","FY 2014","Currency=USD","Period=FY","BEST_FPERIOD_OVERRIDE=FY","FILING_STATUS=MR","Sort=A","Dates=H","DateFormat=P","Fill=—","Direction=H","UseDPDF=Y")</f>
        <v>—</v>
      </c>
      <c r="E9" s="13" t="str">
        <f>_xll.BDH("ROG US Equity","SOCIAL_SCORE","FY 2015","FY 2015","Currency=USD","Period=FY","BEST_FPERIOD_OVERRIDE=FY","FILING_STATUS=MR","Sort=A","Dates=H","DateFormat=P","Fill=—","Direction=H","UseDPDF=Y")</f>
        <v>—</v>
      </c>
      <c r="F9" s="13" t="str">
        <f>_xll.BDH("ROG US Equity","SOCIAL_SCORE","FY 2016","FY 2016","Currency=USD","Period=FY","BEST_FPERIOD_OVERRIDE=FY","FILING_STATUS=MR","Sort=A","Dates=H","DateFormat=P","Fill=—","Direction=H","UseDPDF=Y")</f>
        <v>—</v>
      </c>
      <c r="G9" s="13" t="str">
        <f>_xll.BDH("ROG US Equity","SOCIAL_SCORE","FY 2017","FY 2017","Currency=USD","Period=FY","BEST_FPERIOD_OVERRIDE=FY","FILING_STATUS=MR","Sort=A","Dates=H","DateFormat=P","Fill=—","Direction=H","UseDPDF=Y")</f>
        <v>—</v>
      </c>
      <c r="H9" s="13" t="str">
        <f>_xll.BDH("ROG US Equity","SOCIAL_SCORE","FY 2018","FY 2018","Currency=USD","Period=FY","BEST_FPERIOD_OVERRIDE=FY","FILING_STATUS=MR","Sort=A","Dates=H","DateFormat=P","Fill=—","Direction=H","UseDPDF=Y")</f>
        <v>—</v>
      </c>
      <c r="I9" s="13" t="str">
        <f>_xll.BDH("ROG US Equity","SOCIAL_SCORE","FY 2019","FY 2019","Currency=USD","Period=FY","BEST_FPERIOD_OVERRIDE=FY","FILING_STATUS=MR","Sort=A","Dates=H","DateFormat=P","Fill=—","Direction=H","UseDPDF=Y")</f>
        <v>—</v>
      </c>
      <c r="J9" s="13" t="str">
        <f>_xll.BDH("ROG US Equity","SOCIAL_SCORE","FY 2020","FY 2020","Currency=USD","Period=FY","BEST_FPERIOD_OVERRIDE=FY","FILING_STATUS=MR","Sort=A","Dates=H","DateFormat=P","Fill=—","Direction=H","UseDPDF=Y")</f>
        <v>—</v>
      </c>
      <c r="K9" s="13">
        <f>_xll.BDH("ROG US Equity","SOCIAL_SCORE","FY 2021","FY 2021","Currency=USD","Period=FY","BEST_FPERIOD_OVERRIDE=FY","FILING_STATUS=MR","Sort=A","Dates=H","DateFormat=P","Fill=—","Direction=H","UseDPDF=Y")</f>
        <v>0.88</v>
      </c>
      <c r="L9" s="13" t="str">
        <f>_xll.BDH("ROG US Equity","SOCIAL_SCORE","FY 2022","FY 2022","Currency=USD","Period=FY","BEST_FPERIOD_OVERRIDE=FY","FILING_STATUS=MR","Sort=A","Dates=H","DateFormat=P","Fill=—","Direction=H","UseDPDF=Y")</f>
        <v>—</v>
      </c>
    </row>
    <row r="10" spans="1:12">
      <c r="A10" s="10" t="s">
        <v>30</v>
      </c>
      <c r="B10" s="10" t="s">
        <v>31</v>
      </c>
      <c r="C10" s="13" t="str">
        <f>_xll.BDH("ROG US Equity","GOVERNANCE_SCORE","FY 2013","FY 2013","Currency=USD","Period=FY","BEST_FPERIOD_OVERRIDE=FY","FILING_STATUS=MR","Sort=A","Dates=H","DateFormat=P","Fill=—","Direction=H","UseDPDF=Y")</f>
        <v>—</v>
      </c>
      <c r="D10" s="13" t="str">
        <f>_xll.BDH("ROG US Equity","GOVERNANCE_SCORE","FY 2014","FY 2014","Currency=USD","Period=FY","BEST_FPERIOD_OVERRIDE=FY","FILING_STATUS=MR","Sort=A","Dates=H","DateFormat=P","Fill=—","Direction=H","UseDPDF=Y")</f>
        <v>—</v>
      </c>
      <c r="E10" s="13" t="str">
        <f>_xll.BDH("ROG US Equity","GOVERNANCE_SCORE","FY 2015","FY 2015","Currency=USD","Period=FY","BEST_FPERIOD_OVERRIDE=FY","FILING_STATUS=MR","Sort=A","Dates=H","DateFormat=P","Fill=—","Direction=H","UseDPDF=Y")</f>
        <v>—</v>
      </c>
      <c r="F10" s="13" t="str">
        <f>_xll.BDH("ROG US Equity","GOVERNANCE_SCORE","FY 2016","FY 2016","Currency=USD","Period=FY","BEST_FPERIOD_OVERRIDE=FY","FILING_STATUS=MR","Sort=A","Dates=H","DateFormat=P","Fill=—","Direction=H","UseDPDF=Y")</f>
        <v>—</v>
      </c>
      <c r="G10" s="13" t="str">
        <f>_xll.BDH("ROG US Equity","GOVERNANCE_SCORE","FY 2017","FY 2017","Currency=USD","Period=FY","BEST_FPERIOD_OVERRIDE=FY","FILING_STATUS=MR","Sort=A","Dates=H","DateFormat=P","Fill=—","Direction=H","UseDPDF=Y")</f>
        <v>—</v>
      </c>
      <c r="H10" s="13" t="str">
        <f>_xll.BDH("ROG US Equity","GOVERNANCE_SCORE","FY 2018","FY 2018","Currency=USD","Period=FY","BEST_FPERIOD_OVERRIDE=FY","FILING_STATUS=MR","Sort=A","Dates=H","DateFormat=P","Fill=—","Direction=H","UseDPDF=Y")</f>
        <v>—</v>
      </c>
      <c r="I10" s="13" t="str">
        <f>_xll.BDH("ROG US Equity","GOVERNANCE_SCORE","FY 2019","FY 2019","Currency=USD","Period=FY","BEST_FPERIOD_OVERRIDE=FY","FILING_STATUS=MR","Sort=A","Dates=H","DateFormat=P","Fill=—","Direction=H","UseDPDF=Y")</f>
        <v>—</v>
      </c>
      <c r="J10" s="13" t="str">
        <f>_xll.BDH("ROG US Equity","GOVERNANCE_SCORE","FY 2020","FY 2020","Currency=USD","Period=FY","BEST_FPERIOD_OVERRIDE=FY","FILING_STATUS=MR","Sort=A","Dates=H","DateFormat=P","Fill=—","Direction=H","UseDPDF=Y")</f>
        <v>—</v>
      </c>
      <c r="K10" s="13">
        <f>_xll.BDH("ROG US Equity","GOVERNANCE_SCORE","FY 2021","FY 2021","Currency=USD","Period=FY","BEST_FPERIOD_OVERRIDE=FY","FILING_STATUS=MR","Sort=A","Dates=H","DateFormat=P","Fill=—","Direction=H","UseDPDF=Y")</f>
        <v>6.91</v>
      </c>
      <c r="L10" s="13" t="str">
        <f>_xll.BDH("ROG US Equity","GOVERNANCE_SCORE","FY 2022","FY 2022","Currency=USD","Period=FY","BEST_FPERIOD_OVERRIDE=FY","FILING_STATUS=MR","Sort=A","Dates=H","DateFormat=P","Fill=—","Direction=H","UseDPDF=Y")</f>
        <v>—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0" t="s">
        <v>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6" t="s">
        <v>33</v>
      </c>
      <c r="B13" s="6" t="s">
        <v>34</v>
      </c>
      <c r="C13" s="15">
        <f>_xll.BDH("ROG US Equity","ESG_DISCLOSURE_SCORE","FY 2013","FY 2013","Currency=USD","Period=FY","BEST_FPERIOD_OVERRIDE=FY","FILING_STATUS=MR","Sort=A","Dates=H","DateFormat=P","Fill=—","Direction=H","UseDPDF=Y")</f>
        <v>31.2544</v>
      </c>
      <c r="D13" s="15">
        <f>_xll.BDH("ROG US Equity","ESG_DISCLOSURE_SCORE","FY 2014","FY 2014","Currency=USD","Period=FY","BEST_FPERIOD_OVERRIDE=FY","FILING_STATUS=MR","Sort=A","Dates=H","DateFormat=P","Fill=—","Direction=H","UseDPDF=Y")</f>
        <v>32.049100000000003</v>
      </c>
      <c r="E13" s="15">
        <f>_xll.BDH("ROG US Equity","ESG_DISCLOSURE_SCORE","FY 2015","FY 2015","Currency=USD","Period=FY","BEST_FPERIOD_OVERRIDE=FY","FILING_STATUS=MR","Sort=A","Dates=H","DateFormat=P","Fill=—","Direction=H","UseDPDF=Y")</f>
        <v>33.477499999999999</v>
      </c>
      <c r="F13" s="15">
        <f>_xll.BDH("ROG US Equity","ESG_DISCLOSURE_SCORE","FY 2016","FY 2016","Currency=USD","Period=FY","BEST_FPERIOD_OVERRIDE=FY","FILING_STATUS=MR","Sort=A","Dates=H","DateFormat=P","Fill=—","Direction=H","UseDPDF=Y")</f>
        <v>39.8551</v>
      </c>
      <c r="G13" s="15">
        <f>_xll.BDH("ROG US Equity","ESG_DISCLOSURE_SCORE","FY 2017","FY 2017","Currency=USD","Period=FY","BEST_FPERIOD_OVERRIDE=FY","FILING_STATUS=MR","Sort=A","Dates=H","DateFormat=P","Fill=—","Direction=H","UseDPDF=Y")</f>
        <v>38.99</v>
      </c>
      <c r="H13" s="15">
        <f>_xll.BDH("ROG US Equity","ESG_DISCLOSURE_SCORE","FY 2018","FY 2018","Currency=USD","Period=FY","BEST_FPERIOD_OVERRIDE=FY","FILING_STATUS=MR","Sort=A","Dates=H","DateFormat=P","Fill=—","Direction=H","UseDPDF=Y")</f>
        <v>33.5077</v>
      </c>
      <c r="I13" s="15">
        <f>_xll.BDH("ROG US Equity","ESG_DISCLOSURE_SCORE","FY 2019","FY 2019","Currency=USD","Period=FY","BEST_FPERIOD_OVERRIDE=FY","FILING_STATUS=MR","Sort=A","Dates=H","DateFormat=P","Fill=—","Direction=H","UseDPDF=Y")</f>
        <v>33.5077</v>
      </c>
      <c r="J13" s="15">
        <f>_xll.BDH("ROG US Equity","ESG_DISCLOSURE_SCORE","FY 2020","FY 2020","Currency=USD","Period=FY","BEST_FPERIOD_OVERRIDE=FY","FILING_STATUS=MR","Sort=A","Dates=H","DateFormat=P","Fill=—","Direction=H","UseDPDF=Y")</f>
        <v>47.862400000000001</v>
      </c>
      <c r="K13" s="15">
        <f>_xll.BDH("ROG US Equity","ESG_DISCLOSURE_SCORE","FY 2021","FY 2021","Currency=USD","Period=FY","BEST_FPERIOD_OVERRIDE=FY","FILING_STATUS=MR","Sort=A","Dates=H","DateFormat=P","Fill=—","Direction=H","UseDPDF=Y")</f>
        <v>33.3065</v>
      </c>
      <c r="L13" s="15" t="str">
        <f>_xll.BDH("ROG US Equity","ESG_DISCLOSURE_SCORE","FY 2022","FY 2022","Currency=USD","Period=FY","BEST_FPERIOD_OVERRIDE=FY","FILING_STATUS=MR","Sort=A","Dates=H","DateFormat=P","Fill=—","Direction=H","UseDPDF=Y")</f>
        <v>—</v>
      </c>
    </row>
    <row r="14" spans="1:12">
      <c r="A14" s="10" t="s">
        <v>35</v>
      </c>
      <c r="B14" s="10" t="s">
        <v>36</v>
      </c>
      <c r="C14" s="13">
        <f>_xll.BDH("ROG US Equity","ENVIRON_DISCLOSURE_SCORE","FY 2013","FY 2013","Currency=USD","Period=FY","BEST_FPERIOD_OVERRIDE=FY","FILING_STATUS=MR","Sort=A","Dates=H","DateFormat=P","Fill=—","Direction=H","UseDPDF=Y")</f>
        <v>0.3322</v>
      </c>
      <c r="D14" s="13">
        <f>_xll.BDH("ROG US Equity","ENVIRON_DISCLOSURE_SCORE","FY 2014","FY 2014","Currency=USD","Period=FY","BEST_FPERIOD_OVERRIDE=FY","FILING_STATUS=MR","Sort=A","Dates=H","DateFormat=P","Fill=—","Direction=H","UseDPDF=Y")</f>
        <v>0.3322</v>
      </c>
      <c r="E14" s="13">
        <f>_xll.BDH("ROG US Equity","ENVIRON_DISCLOSURE_SCORE","FY 2015","FY 2015","Currency=USD","Period=FY","BEST_FPERIOD_OVERRIDE=FY","FILING_STATUS=MR","Sort=A","Dates=H","DateFormat=P","Fill=—","Direction=H","UseDPDF=Y")</f>
        <v>0.84570000000000001</v>
      </c>
      <c r="F14" s="13">
        <f>_xll.BDH("ROG US Equity","ENVIRON_DISCLOSURE_SCORE","FY 2016","FY 2016","Currency=USD","Period=FY","BEST_FPERIOD_OVERRIDE=FY","FILING_STATUS=MR","Sort=A","Dates=H","DateFormat=P","Fill=—","Direction=H","UseDPDF=Y")</f>
        <v>16.4603</v>
      </c>
      <c r="G14" s="13">
        <f>_xll.BDH("ROG US Equity","ENVIRON_DISCLOSURE_SCORE","FY 2017","FY 2017","Currency=USD","Period=FY","BEST_FPERIOD_OVERRIDE=FY","FILING_STATUS=MR","Sort=A","Dates=H","DateFormat=P","Fill=—","Direction=H","UseDPDF=Y")</f>
        <v>16.4603</v>
      </c>
      <c r="H14" s="13">
        <f>_xll.BDH("ROG US Equity","ENVIRON_DISCLOSURE_SCORE","FY 2018","FY 2018","Currency=USD","Period=FY","BEST_FPERIOD_OVERRIDE=FY","FILING_STATUS=MR","Sort=A","Dates=H","DateFormat=P","Fill=—","Direction=H","UseDPDF=Y")</f>
        <v>0</v>
      </c>
      <c r="I14" s="13">
        <f>_xll.BDH("ROG US Equity","ENVIRON_DISCLOSURE_SCORE","FY 2019","FY 2019","Currency=USD","Period=FY","BEST_FPERIOD_OVERRIDE=FY","FILING_STATUS=MR","Sort=A","Dates=H","DateFormat=P","Fill=—","Direction=H","UseDPDF=Y")</f>
        <v>0</v>
      </c>
      <c r="J14" s="13">
        <f>_xll.BDH("ROG US Equity","ENVIRON_DISCLOSURE_SCORE","FY 2020","FY 2020","Currency=USD","Period=FY","BEST_FPERIOD_OVERRIDE=FY","FILING_STATUS=MR","Sort=A","Dates=H","DateFormat=P","Fill=—","Direction=H","UseDPDF=Y")</f>
        <v>35.246099999999998</v>
      </c>
      <c r="K14" s="13">
        <f>_xll.BDH("ROG US Equity","ENVIRON_DISCLOSURE_SCORE","FY 2021","FY 2021","Currency=USD","Period=FY","BEST_FPERIOD_OVERRIDE=FY","FILING_STATUS=MR","Sort=A","Dates=H","DateFormat=P","Fill=—","Direction=H","UseDPDF=Y")</f>
        <v>16.7925</v>
      </c>
      <c r="L14" s="13" t="str">
        <f>_xll.BDH("ROG US Equity","ENVIRON_DISCLOSURE_SCORE","FY 2022","FY 2022","Currency=USD","Period=FY","BEST_FPERIOD_OVERRIDE=FY","FILING_STATUS=MR","Sort=A","Dates=H","DateFormat=P","Fill=—","Direction=H","UseDPDF=Y")</f>
        <v>—</v>
      </c>
    </row>
    <row r="15" spans="1:12">
      <c r="A15" s="10" t="s">
        <v>37</v>
      </c>
      <c r="B15" s="10" t="s">
        <v>38</v>
      </c>
      <c r="C15" s="13">
        <f>_xll.BDH("ROG US Equity","SOCIAL_DISCLOSURE_SCORE","FY 2013","FY 2013","Currency=USD","Period=FY","BEST_FPERIOD_OVERRIDE=FY","FILING_STATUS=MR","Sort=A","Dates=H","DateFormat=P","Fill=—","Direction=H","UseDPDF=Y")</f>
        <v>12.6058</v>
      </c>
      <c r="D15" s="13">
        <f>_xll.BDH("ROG US Equity","SOCIAL_DISCLOSURE_SCORE","FY 2014","FY 2014","Currency=USD","Period=FY","BEST_FPERIOD_OVERRIDE=FY","FILING_STATUS=MR","Sort=A","Dates=H","DateFormat=P","Fill=—","Direction=H","UseDPDF=Y")</f>
        <v>12.6058</v>
      </c>
      <c r="E15" s="13">
        <f>_xll.BDH("ROG US Equity","SOCIAL_DISCLOSURE_SCORE","FY 2015","FY 2015","Currency=USD","Period=FY","BEST_FPERIOD_OVERRIDE=FY","FILING_STATUS=MR","Sort=A","Dates=H","DateFormat=P","Fill=—","Direction=H","UseDPDF=Y")</f>
        <v>12.6058</v>
      </c>
      <c r="F15" s="13">
        <f>_xll.BDH("ROG US Equity","SOCIAL_DISCLOSURE_SCORE","FY 2016","FY 2016","Currency=USD","Period=FY","BEST_FPERIOD_OVERRIDE=FY","FILING_STATUS=MR","Sort=A","Dates=H","DateFormat=P","Fill=—","Direction=H","UseDPDF=Y")</f>
        <v>15.4474</v>
      </c>
      <c r="G15" s="13">
        <f>_xll.BDH("ROG US Equity","SOCIAL_DISCLOSURE_SCORE","FY 2017","FY 2017","Currency=USD","Period=FY","BEST_FPERIOD_OVERRIDE=FY","FILING_STATUS=MR","Sort=A","Dates=H","DateFormat=P","Fill=—","Direction=H","UseDPDF=Y")</f>
        <v>12.8476</v>
      </c>
      <c r="H15" s="13">
        <f>_xll.BDH("ROG US Equity","SOCIAL_DISCLOSURE_SCORE","FY 2018","FY 2018","Currency=USD","Period=FY","BEST_FPERIOD_OVERRIDE=FY","FILING_STATUS=MR","Sort=A","Dates=H","DateFormat=P","Fill=—","Direction=H","UseDPDF=Y")</f>
        <v>12.8476</v>
      </c>
      <c r="I15" s="13">
        <f>_xll.BDH("ROG US Equity","SOCIAL_DISCLOSURE_SCORE","FY 2019","FY 2019","Currency=USD","Period=FY","BEST_FPERIOD_OVERRIDE=FY","FILING_STATUS=MR","Sort=A","Dates=H","DateFormat=P","Fill=—","Direction=H","UseDPDF=Y")</f>
        <v>12.8476</v>
      </c>
      <c r="J15" s="13">
        <f>_xll.BDH("ROG US Equity","SOCIAL_DISCLOSURE_SCORE","FY 2020","FY 2020","Currency=USD","Period=FY","BEST_FPERIOD_OVERRIDE=FY","FILING_STATUS=MR","Sort=A","Dates=H","DateFormat=P","Fill=—","Direction=H","UseDPDF=Y")</f>
        <v>20.7074</v>
      </c>
      <c r="K15" s="13">
        <f>_xll.BDH("ROG US Equity","SOCIAL_DISCLOSURE_SCORE","FY 2021","FY 2021","Currency=USD","Period=FY","BEST_FPERIOD_OVERRIDE=FY","FILING_STATUS=MR","Sort=A","Dates=H","DateFormat=P","Fill=—","Direction=H","UseDPDF=Y")</f>
        <v>17.079799999999999</v>
      </c>
      <c r="L15" s="13" t="str">
        <f>_xll.BDH("ROG US Equity","SOCIAL_DISCLOSURE_SCORE","FY 2022","FY 2022","Currency=USD","Period=FY","BEST_FPERIOD_OVERRIDE=FY","FILING_STATUS=MR","Sort=A","Dates=H","DateFormat=P","Fill=—","Direction=H","UseDPDF=Y")</f>
        <v>—</v>
      </c>
    </row>
    <row r="16" spans="1:12">
      <c r="A16" s="10" t="s">
        <v>39</v>
      </c>
      <c r="B16" s="10" t="s">
        <v>40</v>
      </c>
      <c r="C16" s="13">
        <f>_xll.BDH("ROG US Equity","GOVNCE_DISCLOSURE_SCORE","FY 2013","FY 2013","Currency=USD","Period=FY","BEST_FPERIOD_OVERRIDE=FY","FILING_STATUS=MR","Sort=A","Dates=H","DateFormat=P","Fill=—","Direction=H","UseDPDF=Y")</f>
        <v>80.644199999999998</v>
      </c>
      <c r="D16" s="13">
        <f>_xll.BDH("ROG US Equity","GOVNCE_DISCLOSURE_SCORE","FY 2014","FY 2014","Currency=USD","Period=FY","BEST_FPERIOD_OVERRIDE=FY","FILING_STATUS=MR","Sort=A","Dates=H","DateFormat=P","Fill=—","Direction=H","UseDPDF=Y")</f>
        <v>83.022300000000001</v>
      </c>
      <c r="E16" s="13">
        <f>_xll.BDH("ROG US Equity","GOVNCE_DISCLOSURE_SCORE","FY 2015","FY 2015","Currency=USD","Period=FY","BEST_FPERIOD_OVERRIDE=FY","FILING_STATUS=MR","Sort=A","Dates=H","DateFormat=P","Fill=—","Direction=H","UseDPDF=Y")</f>
        <v>86.7851</v>
      </c>
      <c r="F16" s="13">
        <f>_xll.BDH("ROG US Equity","GOVNCE_DISCLOSURE_SCORE","FY 2016","FY 2016","Currency=USD","Period=FY","BEST_FPERIOD_OVERRIDE=FY","FILING_STATUS=MR","Sort=A","Dates=H","DateFormat=P","Fill=—","Direction=H","UseDPDF=Y")</f>
        <v>87.477400000000003</v>
      </c>
      <c r="G16" s="13">
        <f>_xll.BDH("ROG US Equity","GOVNCE_DISCLOSURE_SCORE","FY 2017","FY 2017","Currency=USD","Period=FY","BEST_FPERIOD_OVERRIDE=FY","FILING_STATUS=MR","Sort=A","Dates=H","DateFormat=P","Fill=—","Direction=H","UseDPDF=Y")</f>
        <v>87.477400000000003</v>
      </c>
      <c r="H16" s="13">
        <f>_xll.BDH("ROG US Equity","GOVNCE_DISCLOSURE_SCORE","FY 2018","FY 2018","Currency=USD","Period=FY","BEST_FPERIOD_OVERRIDE=FY","FILING_STATUS=MR","Sort=A","Dates=H","DateFormat=P","Fill=—","Direction=H","UseDPDF=Y")</f>
        <v>87.477400000000003</v>
      </c>
      <c r="I16" s="13">
        <f>_xll.BDH("ROG US Equity","GOVNCE_DISCLOSURE_SCORE","FY 2019","FY 2019","Currency=USD","Period=FY","BEST_FPERIOD_OVERRIDE=FY","FILING_STATUS=MR","Sort=A","Dates=H","DateFormat=P","Fill=—","Direction=H","UseDPDF=Y")</f>
        <v>87.477400000000003</v>
      </c>
      <c r="J16" s="13">
        <f>_xll.BDH("ROG US Equity","GOVNCE_DISCLOSURE_SCORE","FY 2020","FY 2020","Currency=USD","Period=FY","BEST_FPERIOD_OVERRIDE=FY","FILING_STATUS=MR","Sort=A","Dates=H","DateFormat=P","Fill=—","Direction=H","UseDPDF=Y")</f>
        <v>87.477400000000003</v>
      </c>
      <c r="K16" s="13">
        <f>_xll.BDH("ROG US Equity","GOVNCE_DISCLOSURE_SCORE","FY 2021","FY 2021","Currency=USD","Period=FY","BEST_FPERIOD_OVERRIDE=FY","FILING_STATUS=MR","Sort=A","Dates=H","DateFormat=P","Fill=—","Direction=H","UseDPDF=Y")</f>
        <v>65.924099999999996</v>
      </c>
      <c r="L16" s="13" t="str">
        <f>_xll.BDH("ROG US Equity","GOVNCE_DISCLOSURE_SCORE","FY 2022","FY 2022","Currency=USD","Period=FY","BEST_FPERIOD_OVERRIDE=FY","FILING_STATUS=MR","Sort=A","Dates=H","DateFormat=P","Fill=—","Direction=H","UseDPDF=Y")</f>
        <v>—</v>
      </c>
    </row>
    <row r="17" spans="1:12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6" t="s">
        <v>41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0" t="s">
        <v>42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>
      <c r="A21" s="10" t="s">
        <v>43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10" t="s">
        <v>44</v>
      </c>
      <c r="B22" s="10" t="s">
        <v>45</v>
      </c>
      <c r="C22" s="11" t="s">
        <v>46</v>
      </c>
      <c r="D22" s="11" t="s">
        <v>46</v>
      </c>
      <c r="E22" s="11" t="s">
        <v>46</v>
      </c>
      <c r="F22" s="11" t="s">
        <v>47</v>
      </c>
      <c r="G22" s="11" t="s">
        <v>47</v>
      </c>
      <c r="H22" s="11" t="s">
        <v>46</v>
      </c>
      <c r="I22" s="11" t="s">
        <v>46</v>
      </c>
      <c r="J22" s="11" t="s">
        <v>47</v>
      </c>
      <c r="K22" s="11" t="s">
        <v>47</v>
      </c>
      <c r="L22" s="11" t="s">
        <v>48</v>
      </c>
    </row>
    <row r="23" spans="1:12">
      <c r="A23" s="10" t="s">
        <v>49</v>
      </c>
      <c r="B23" s="10" t="s">
        <v>50</v>
      </c>
      <c r="C23" s="11" t="s">
        <v>46</v>
      </c>
      <c r="D23" s="11" t="s">
        <v>46</v>
      </c>
      <c r="E23" s="11" t="s">
        <v>46</v>
      </c>
      <c r="F23" s="11" t="s">
        <v>46</v>
      </c>
      <c r="G23" s="11" t="s">
        <v>46</v>
      </c>
      <c r="H23" s="11" t="s">
        <v>46</v>
      </c>
      <c r="I23" s="11" t="s">
        <v>46</v>
      </c>
      <c r="J23" s="11" t="s">
        <v>47</v>
      </c>
      <c r="K23" s="11" t="s">
        <v>47</v>
      </c>
      <c r="L23" s="11" t="s">
        <v>48</v>
      </c>
    </row>
    <row r="24" spans="1:12">
      <c r="A24" s="10" t="s">
        <v>51</v>
      </c>
      <c r="B24" s="10" t="s">
        <v>52</v>
      </c>
      <c r="C24" s="11" t="s">
        <v>46</v>
      </c>
      <c r="D24" s="11" t="s">
        <v>46</v>
      </c>
      <c r="E24" s="11" t="s">
        <v>46</v>
      </c>
      <c r="F24" s="11" t="s">
        <v>46</v>
      </c>
      <c r="G24" s="11" t="s">
        <v>46</v>
      </c>
      <c r="H24" s="11" t="s">
        <v>46</v>
      </c>
      <c r="I24" s="11" t="s">
        <v>46</v>
      </c>
      <c r="J24" s="11" t="s">
        <v>46</v>
      </c>
      <c r="K24" s="11" t="s">
        <v>46</v>
      </c>
      <c r="L24" s="11" t="s">
        <v>48</v>
      </c>
    </row>
    <row r="25" spans="1:12">
      <c r="A25" s="10" t="s">
        <v>53</v>
      </c>
      <c r="B25" s="10" t="s">
        <v>54</v>
      </c>
      <c r="C25" s="11" t="s">
        <v>47</v>
      </c>
      <c r="D25" s="11" t="s">
        <v>47</v>
      </c>
      <c r="E25" s="11" t="s">
        <v>46</v>
      </c>
      <c r="F25" s="11" t="s">
        <v>46</v>
      </c>
      <c r="G25" s="11" t="s">
        <v>46</v>
      </c>
      <c r="H25" s="11" t="s">
        <v>46</v>
      </c>
      <c r="I25" s="11" t="s">
        <v>46</v>
      </c>
      <c r="J25" s="11" t="s">
        <v>46</v>
      </c>
      <c r="K25" s="11" t="s">
        <v>46</v>
      </c>
      <c r="L25" s="11" t="s">
        <v>48</v>
      </c>
    </row>
    <row r="26" spans="1:12">
      <c r="A26" s="10" t="s">
        <v>55</v>
      </c>
      <c r="B26" s="10" t="s">
        <v>56</v>
      </c>
      <c r="C26" s="12" t="str">
        <f>_xll.BDH("ROG US Equity","GHG_SCOPE_1","FY 2013","FY 2013","Currency=USD","Period=FY","BEST_FPERIOD_OVERRIDE=FY","FILING_STATUS=MR","Sort=A","Dates=H","DateFormat=P","Fill=—","Direction=H","UseDPDF=Y")</f>
        <v>—</v>
      </c>
      <c r="D26" s="12" t="str">
        <f>_xll.BDH("ROG US Equity","GHG_SCOPE_1","FY 2014","FY 2014","Currency=USD","Period=FY","BEST_FPERIOD_OVERRIDE=FY","FILING_STATUS=MR","Sort=A","Dates=H","DateFormat=P","Fill=—","Direction=H","UseDPDF=Y")</f>
        <v>—</v>
      </c>
      <c r="E26" s="12" t="str">
        <f>_xll.BDH("ROG US Equity","GHG_SCOPE_1","FY 2015","FY 2015","Currency=USD","Period=FY","BEST_FPERIOD_OVERRIDE=FY","FILING_STATUS=MR","Sort=A","Dates=H","DateFormat=P","Fill=—","Direction=H","UseDPDF=Y")</f>
        <v>—</v>
      </c>
      <c r="F26" s="12" t="str">
        <f>_xll.BDH("ROG US Equity","GHG_SCOPE_1","FY 2016","FY 2016","Currency=USD","Period=FY","BEST_FPERIOD_OVERRIDE=FY","FILING_STATUS=MR","Sort=A","Dates=H","DateFormat=P","Fill=—","Direction=H","UseDPDF=Y")</f>
        <v>—</v>
      </c>
      <c r="G26" s="12" t="str">
        <f>_xll.BDH("ROG US Equity","GHG_SCOPE_1","FY 2017","FY 2017","Currency=USD","Period=FY","BEST_FPERIOD_OVERRIDE=FY","FILING_STATUS=MR","Sort=A","Dates=H","DateFormat=P","Fill=—","Direction=H","UseDPDF=Y")</f>
        <v>—</v>
      </c>
      <c r="H26" s="12" t="str">
        <f>_xll.BDH("ROG US Equity","GHG_SCOPE_1","FY 2018","FY 2018","Currency=USD","Period=FY","BEST_FPERIOD_OVERRIDE=FY","FILING_STATUS=MR","Sort=A","Dates=H","DateFormat=P","Fill=—","Direction=H","UseDPDF=Y")</f>
        <v>—</v>
      </c>
      <c r="I26" s="12" t="str">
        <f>_xll.BDH("ROG US Equity","GHG_SCOPE_1","FY 2019","FY 2019","Currency=USD","Period=FY","BEST_FPERIOD_OVERRIDE=FY","FILING_STATUS=MR","Sort=A","Dates=H","DateFormat=P","Fill=—","Direction=H","UseDPDF=Y")</f>
        <v>—</v>
      </c>
      <c r="J26" s="12">
        <f>_xll.BDH("ROG US Equity","GHG_SCOPE_1","FY 2020","FY 2020","Currency=USD","Period=FY","BEST_FPERIOD_OVERRIDE=FY","FILING_STATUS=MR","Sort=A","Dates=H","DateFormat=P","Fill=—","Direction=H","UseDPDF=Y")</f>
        <v>21.074999999999999</v>
      </c>
      <c r="K26" s="12" t="str">
        <f>_xll.BDH("ROG US Equity","GHG_SCOPE_1","FY 2021","FY 2021","Currency=USD","Period=FY","BEST_FPERIOD_OVERRIDE=FY","FILING_STATUS=MR","Sort=A","Dates=H","DateFormat=P","Fill=—","Direction=H","UseDPDF=Y")</f>
        <v>—</v>
      </c>
      <c r="L26" s="12" t="str">
        <f>_xll.BDH("ROG US Equity","GHG_SCOPE_1","FY 2022","FY 2022","Currency=USD","Period=FY","BEST_FPERIOD_OVERRIDE=FY","FILING_STATUS=MR","Sort=A","Dates=H","DateFormat=P","Fill=—","Direction=H","UseDPDF=Y")</f>
        <v>—</v>
      </c>
    </row>
    <row r="27" spans="1:12">
      <c r="A27" s="10" t="s">
        <v>57</v>
      </c>
      <c r="B27" s="10" t="s">
        <v>58</v>
      </c>
      <c r="C27" s="12" t="str">
        <f>_xll.BDH("ROG US Equity","GHG_SCOPE_2_LOCATION_BASED","FY 2013","FY 2013","Currency=USD","Period=FY","BEST_FPERIOD_OVERRIDE=FY","FILING_STATUS=MR","Sort=A","Dates=H","DateFormat=P","Fill=—","Direction=H","UseDPDF=Y")</f>
        <v>—</v>
      </c>
      <c r="D27" s="12" t="str">
        <f>_xll.BDH("ROG US Equity","GHG_SCOPE_2_LOCATION_BASED","FY 2014","FY 2014","Currency=USD","Period=FY","BEST_FPERIOD_OVERRIDE=FY","FILING_STATUS=MR","Sort=A","Dates=H","DateFormat=P","Fill=—","Direction=H","UseDPDF=Y")</f>
        <v>—</v>
      </c>
      <c r="E27" s="12" t="str">
        <f>_xll.BDH("ROG US Equity","GHG_SCOPE_2_LOCATION_BASED","FY 2015","FY 2015","Currency=USD","Period=FY","BEST_FPERIOD_OVERRIDE=FY","FILING_STATUS=MR","Sort=A","Dates=H","DateFormat=P","Fill=—","Direction=H","UseDPDF=Y")</f>
        <v>—</v>
      </c>
      <c r="F27" s="12" t="str">
        <f>_xll.BDH("ROG US Equity","GHG_SCOPE_2_LOCATION_BASED","FY 2016","FY 2016","Currency=USD","Period=FY","BEST_FPERIOD_OVERRIDE=FY","FILING_STATUS=MR","Sort=A","Dates=H","DateFormat=P","Fill=—","Direction=H","UseDPDF=Y")</f>
        <v>—</v>
      </c>
      <c r="G27" s="12" t="str">
        <f>_xll.BDH("ROG US Equity","GHG_SCOPE_2_LOCATION_BASED","FY 2017","FY 2017","Currency=USD","Period=FY","BEST_FPERIOD_OVERRIDE=FY","FILING_STATUS=MR","Sort=A","Dates=H","DateFormat=P","Fill=—","Direction=H","UseDPDF=Y")</f>
        <v>—</v>
      </c>
      <c r="H27" s="12" t="str">
        <f>_xll.BDH("ROG US Equity","GHG_SCOPE_2_LOCATION_BASED","FY 2018","FY 2018","Currency=USD","Period=FY","BEST_FPERIOD_OVERRIDE=FY","FILING_STATUS=MR","Sort=A","Dates=H","DateFormat=P","Fill=—","Direction=H","UseDPDF=Y")</f>
        <v>—</v>
      </c>
      <c r="I27" s="12" t="str">
        <f>_xll.BDH("ROG US Equity","GHG_SCOPE_2_LOCATION_BASED","FY 2019","FY 2019","Currency=USD","Period=FY","BEST_FPERIOD_OVERRIDE=FY","FILING_STATUS=MR","Sort=A","Dates=H","DateFormat=P","Fill=—","Direction=H","UseDPDF=Y")</f>
        <v>—</v>
      </c>
      <c r="J27" s="12">
        <f>_xll.BDH("ROG US Equity","GHG_SCOPE_2_LOCATION_BASED","FY 2020","FY 2020","Currency=USD","Period=FY","BEST_FPERIOD_OVERRIDE=FY","FILING_STATUS=MR","Sort=A","Dates=H","DateFormat=P","Fill=—","Direction=H","UseDPDF=Y")</f>
        <v>46.904000000000003</v>
      </c>
      <c r="K27" s="12" t="str">
        <f>_xll.BDH("ROG US Equity","GHG_SCOPE_2_LOCATION_BASED","FY 2021","FY 2021","Currency=USD","Period=FY","BEST_FPERIOD_OVERRIDE=FY","FILING_STATUS=MR","Sort=A","Dates=H","DateFormat=P","Fill=—","Direction=H","UseDPDF=Y")</f>
        <v>—</v>
      </c>
      <c r="L27" s="12" t="str">
        <f>_xll.BDH("ROG US Equity","GHG_SCOPE_2_LOCATION_BASED","FY 2022","FY 2022","Currency=USD","Period=FY","BEST_FPERIOD_OVERRIDE=FY","FILING_STATUS=MR","Sort=A","Dates=H","DateFormat=P","Fill=—","Direction=H","UseDPDF=Y")</f>
        <v>—</v>
      </c>
    </row>
    <row r="28" spans="1:12">
      <c r="A28" s="10" t="s">
        <v>59</v>
      </c>
      <c r="B28" s="10" t="s">
        <v>60</v>
      </c>
      <c r="C28" s="12" t="str">
        <f>_xll.BDH("ROG US Equity","GHG_SCOPE_2_MARKET_BASED","FY 2013","FY 2013","Currency=USD","Period=FY","BEST_FPERIOD_OVERRIDE=FY","FILING_STATUS=MR","Sort=A","Dates=H","DateFormat=P","Fill=—","Direction=H","UseDPDF=Y")</f>
        <v>—</v>
      </c>
      <c r="D28" s="12" t="str">
        <f>_xll.BDH("ROG US Equity","GHG_SCOPE_2_MARKET_BASED","FY 2014","FY 2014","Currency=USD","Period=FY","BEST_FPERIOD_OVERRIDE=FY","FILING_STATUS=MR","Sort=A","Dates=H","DateFormat=P","Fill=—","Direction=H","UseDPDF=Y")</f>
        <v>—</v>
      </c>
      <c r="E28" s="12" t="str">
        <f>_xll.BDH("ROG US Equity","GHG_SCOPE_2_MARKET_BASED","FY 2015","FY 2015","Currency=USD","Period=FY","BEST_FPERIOD_OVERRIDE=FY","FILING_STATUS=MR","Sort=A","Dates=H","DateFormat=P","Fill=—","Direction=H","UseDPDF=Y")</f>
        <v>—</v>
      </c>
      <c r="F28" s="12" t="str">
        <f>_xll.BDH("ROG US Equity","GHG_SCOPE_2_MARKET_BASED","FY 2016","FY 2016","Currency=USD","Period=FY","BEST_FPERIOD_OVERRIDE=FY","FILING_STATUS=MR","Sort=A","Dates=H","DateFormat=P","Fill=—","Direction=H","UseDPDF=Y")</f>
        <v>—</v>
      </c>
      <c r="G28" s="12" t="str">
        <f>_xll.BDH("ROG US Equity","GHG_SCOPE_2_MARKET_BASED","FY 2017","FY 2017","Currency=USD","Period=FY","BEST_FPERIOD_OVERRIDE=FY","FILING_STATUS=MR","Sort=A","Dates=H","DateFormat=P","Fill=—","Direction=H","UseDPDF=Y")</f>
        <v>—</v>
      </c>
      <c r="H28" s="12" t="str">
        <f>_xll.BDH("ROG US Equity","GHG_SCOPE_2_MARKET_BASED","FY 2018","FY 2018","Currency=USD","Period=FY","BEST_FPERIOD_OVERRIDE=FY","FILING_STATUS=MR","Sort=A","Dates=H","DateFormat=P","Fill=—","Direction=H","UseDPDF=Y")</f>
        <v>—</v>
      </c>
      <c r="I28" s="12" t="str">
        <f>_xll.BDH("ROG US Equity","GHG_SCOPE_2_MARKET_BASED","FY 2019","FY 2019","Currency=USD","Period=FY","BEST_FPERIOD_OVERRIDE=FY","FILING_STATUS=MR","Sort=A","Dates=H","DateFormat=P","Fill=—","Direction=H","UseDPDF=Y")</f>
        <v>—</v>
      </c>
      <c r="J28" s="12">
        <f>_xll.BDH("ROG US Equity","GHG_SCOPE_2_MARKET_BASED","FY 2020","FY 2020","Currency=USD","Period=FY","BEST_FPERIOD_OVERRIDE=FY","FILING_STATUS=MR","Sort=A","Dates=H","DateFormat=P","Fill=—","Direction=H","UseDPDF=Y")</f>
        <v>47.673000000000002</v>
      </c>
      <c r="K28" s="12" t="str">
        <f>_xll.BDH("ROG US Equity","GHG_SCOPE_2_MARKET_BASED","FY 2021","FY 2021","Currency=USD","Period=FY","BEST_FPERIOD_OVERRIDE=FY","FILING_STATUS=MR","Sort=A","Dates=H","DateFormat=P","Fill=—","Direction=H","UseDPDF=Y")</f>
        <v>—</v>
      </c>
      <c r="L28" s="12" t="str">
        <f>_xll.BDH("ROG US Equity","GHG_SCOPE_2_MARKET_BASED","FY 2022","FY 2022","Currency=USD","Period=FY","BEST_FPERIOD_OVERRIDE=FY","FILING_STATUS=MR","Sort=A","Dates=H","DateFormat=P","Fill=—","Direction=H","UseDPDF=Y")</f>
        <v>—</v>
      </c>
    </row>
    <row r="29" spans="1:12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>
      <c r="A30" s="10" t="s">
        <v>61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>
      <c r="A31" s="10" t="s">
        <v>62</v>
      </c>
      <c r="B31" s="10" t="s">
        <v>63</v>
      </c>
      <c r="C31" s="11" t="s">
        <v>46</v>
      </c>
      <c r="D31" s="11" t="s">
        <v>46</v>
      </c>
      <c r="E31" s="11" t="s">
        <v>46</v>
      </c>
      <c r="F31" s="11" t="s">
        <v>46</v>
      </c>
      <c r="G31" s="11" t="s">
        <v>46</v>
      </c>
      <c r="H31" s="11" t="s">
        <v>46</v>
      </c>
      <c r="I31" s="11" t="s">
        <v>46</v>
      </c>
      <c r="J31" s="11" t="s">
        <v>46</v>
      </c>
      <c r="K31" s="11" t="s">
        <v>46</v>
      </c>
      <c r="L31" s="11" t="s">
        <v>48</v>
      </c>
    </row>
    <row r="32" spans="1:1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>
      <c r="A33" s="10" t="s">
        <v>64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>
      <c r="A34" s="10" t="s">
        <v>65</v>
      </c>
      <c r="B34" s="10" t="s">
        <v>66</v>
      </c>
      <c r="C34" s="11" t="s">
        <v>46</v>
      </c>
      <c r="D34" s="11" t="s">
        <v>46</v>
      </c>
      <c r="E34" s="11" t="s">
        <v>46</v>
      </c>
      <c r="F34" s="11" t="s">
        <v>47</v>
      </c>
      <c r="G34" s="11" t="s">
        <v>47</v>
      </c>
      <c r="H34" s="11" t="s">
        <v>46</v>
      </c>
      <c r="I34" s="11" t="s">
        <v>46</v>
      </c>
      <c r="J34" s="11" t="s">
        <v>47</v>
      </c>
      <c r="K34" s="11" t="s">
        <v>47</v>
      </c>
      <c r="L34" s="11" t="s">
        <v>48</v>
      </c>
    </row>
    <row r="35" spans="1:12">
      <c r="A35" s="10" t="s">
        <v>67</v>
      </c>
      <c r="B35" s="10" t="s">
        <v>68</v>
      </c>
      <c r="C35" s="12" t="str">
        <f>_xll.BDH("ROG US Equity","ENERGY_CONSUMPTION","FY 2013","FY 2013","Currency=USD","Period=FY","BEST_FPERIOD_OVERRIDE=FY","FILING_STATUS=MR","Sort=A","Dates=H","DateFormat=P","Fill=—","Direction=H","UseDPDF=Y")</f>
        <v>—</v>
      </c>
      <c r="D35" s="12" t="str">
        <f>_xll.BDH("ROG US Equity","ENERGY_CONSUMPTION","FY 2014","FY 2014","Currency=USD","Period=FY","BEST_FPERIOD_OVERRIDE=FY","FILING_STATUS=MR","Sort=A","Dates=H","DateFormat=P","Fill=—","Direction=H","UseDPDF=Y")</f>
        <v>—</v>
      </c>
      <c r="E35" s="12" t="str">
        <f>_xll.BDH("ROG US Equity","ENERGY_CONSUMPTION","FY 2015","FY 2015","Currency=USD","Period=FY","BEST_FPERIOD_OVERRIDE=FY","FILING_STATUS=MR","Sort=A","Dates=H","DateFormat=P","Fill=—","Direction=H","UseDPDF=Y")</f>
        <v>—</v>
      </c>
      <c r="F35" s="12" t="str">
        <f>_xll.BDH("ROG US Equity","ENERGY_CONSUMPTION","FY 2016","FY 2016","Currency=USD","Period=FY","BEST_FPERIOD_OVERRIDE=FY","FILING_STATUS=MR","Sort=A","Dates=H","DateFormat=P","Fill=—","Direction=H","UseDPDF=Y")</f>
        <v>—</v>
      </c>
      <c r="G35" s="12" t="str">
        <f>_xll.BDH("ROG US Equity","ENERGY_CONSUMPTION","FY 2017","FY 2017","Currency=USD","Period=FY","BEST_FPERIOD_OVERRIDE=FY","FILING_STATUS=MR","Sort=A","Dates=H","DateFormat=P","Fill=—","Direction=H","UseDPDF=Y")</f>
        <v>—</v>
      </c>
      <c r="H35" s="12" t="str">
        <f>_xll.BDH("ROG US Equity","ENERGY_CONSUMPTION","FY 2018","FY 2018","Currency=USD","Period=FY","BEST_FPERIOD_OVERRIDE=FY","FILING_STATUS=MR","Sort=A","Dates=H","DateFormat=P","Fill=—","Direction=H","UseDPDF=Y")</f>
        <v>—</v>
      </c>
      <c r="I35" s="12" t="str">
        <f>_xll.BDH("ROG US Equity","ENERGY_CONSUMPTION","FY 2019","FY 2019","Currency=USD","Period=FY","BEST_FPERIOD_OVERRIDE=FY","FILING_STATUS=MR","Sort=A","Dates=H","DateFormat=P","Fill=—","Direction=H","UseDPDF=Y")</f>
        <v>—</v>
      </c>
      <c r="J35" s="12">
        <f>_xll.BDH("ROG US Equity","ENERGY_CONSUMPTION","FY 2020","FY 2020","Currency=USD","Period=FY","BEST_FPERIOD_OVERRIDE=FY","FILING_STATUS=MR","Sort=A","Dates=H","DateFormat=P","Fill=—","Direction=H","UseDPDF=Y")</f>
        <v>342.84100000000001</v>
      </c>
      <c r="K35" s="12" t="str">
        <f>_xll.BDH("ROG US Equity","ENERGY_CONSUMPTION","FY 2021","FY 2021","Currency=USD","Period=FY","BEST_FPERIOD_OVERRIDE=FY","FILING_STATUS=MR","Sort=A","Dates=H","DateFormat=P","Fill=—","Direction=H","UseDPDF=Y")</f>
        <v>—</v>
      </c>
      <c r="L35" s="12" t="str">
        <f>_xll.BDH("ROG US Equity","ENERGY_CONSUMPTION","FY 2022","FY 2022","Currency=USD","Period=FY","BEST_FPERIOD_OVERRIDE=FY","FILING_STATUS=MR","Sort=A","Dates=H","DateFormat=P","Fill=—","Direction=H","UseDPDF=Y")</f>
        <v>—</v>
      </c>
    </row>
    <row r="36" spans="1:12">
      <c r="A36" s="10" t="s">
        <v>69</v>
      </c>
      <c r="B36" s="10" t="s">
        <v>70</v>
      </c>
      <c r="C36" s="12" t="str">
        <f>_xll.BDH("ROG US Equity","ELECTRICITY_USED","FY 2013","FY 2013","Currency=USD","Period=FY","BEST_FPERIOD_OVERRIDE=FY","FILING_STATUS=MR","Sort=A","Dates=H","DateFormat=P","Fill=—","Direction=H","UseDPDF=Y")</f>
        <v>—</v>
      </c>
      <c r="D36" s="12" t="str">
        <f>_xll.BDH("ROG US Equity","ELECTRICITY_USED","FY 2014","FY 2014","Currency=USD","Period=FY","BEST_FPERIOD_OVERRIDE=FY","FILING_STATUS=MR","Sort=A","Dates=H","DateFormat=P","Fill=—","Direction=H","UseDPDF=Y")</f>
        <v>—</v>
      </c>
      <c r="E36" s="12" t="str">
        <f>_xll.BDH("ROG US Equity","ELECTRICITY_USED","FY 2015","FY 2015","Currency=USD","Period=FY","BEST_FPERIOD_OVERRIDE=FY","FILING_STATUS=MR","Sort=A","Dates=H","DateFormat=P","Fill=—","Direction=H","UseDPDF=Y")</f>
        <v>—</v>
      </c>
      <c r="F36" s="12" t="str">
        <f>_xll.BDH("ROG US Equity","ELECTRICITY_USED","FY 2016","FY 2016","Currency=USD","Period=FY","BEST_FPERIOD_OVERRIDE=FY","FILING_STATUS=MR","Sort=A","Dates=H","DateFormat=P","Fill=—","Direction=H","UseDPDF=Y")</f>
        <v>—</v>
      </c>
      <c r="G36" s="12" t="str">
        <f>_xll.BDH("ROG US Equity","ELECTRICITY_USED","FY 2017","FY 2017","Currency=USD","Period=FY","BEST_FPERIOD_OVERRIDE=FY","FILING_STATUS=MR","Sort=A","Dates=H","DateFormat=P","Fill=—","Direction=H","UseDPDF=Y")</f>
        <v>—</v>
      </c>
      <c r="H36" s="12" t="str">
        <f>_xll.BDH("ROG US Equity","ELECTRICITY_USED","FY 2018","FY 2018","Currency=USD","Period=FY","BEST_FPERIOD_OVERRIDE=FY","FILING_STATUS=MR","Sort=A","Dates=H","DateFormat=P","Fill=—","Direction=H","UseDPDF=Y")</f>
        <v>—</v>
      </c>
      <c r="I36" s="12" t="str">
        <f>_xll.BDH("ROG US Equity","ELECTRICITY_USED","FY 2019","FY 2019","Currency=USD","Period=FY","BEST_FPERIOD_OVERRIDE=FY","FILING_STATUS=MR","Sort=A","Dates=H","DateFormat=P","Fill=—","Direction=H","UseDPDF=Y")</f>
        <v>—</v>
      </c>
      <c r="J36" s="12">
        <f>_xll.BDH("ROG US Equity","ELECTRICITY_USED","FY 2020","FY 2020","Currency=USD","Period=FY","BEST_FPERIOD_OVERRIDE=FY","FILING_STATUS=MR","Sort=A","Dates=H","DateFormat=P","Fill=—","Direction=H","UseDPDF=Y")</f>
        <v>104.63500000000001</v>
      </c>
      <c r="K36" s="12" t="str">
        <f>_xll.BDH("ROG US Equity","ELECTRICITY_USED","FY 2021","FY 2021","Currency=USD","Period=FY","BEST_FPERIOD_OVERRIDE=FY","FILING_STATUS=MR","Sort=A","Dates=H","DateFormat=P","Fill=—","Direction=H","UseDPDF=Y")</f>
        <v>—</v>
      </c>
      <c r="L36" s="12" t="str">
        <f>_xll.BDH("ROG US Equity","ELECTRICITY_USED","FY 2022","FY 2022","Currency=USD","Period=FY","BEST_FPERIOD_OVERRIDE=FY","FILING_STATUS=MR","Sort=A","Dates=H","DateFormat=P","Fill=—","Direction=H","UseDPDF=Y")</f>
        <v>—</v>
      </c>
    </row>
    <row r="37" spans="1:12">
      <c r="A37" s="10" t="s">
        <v>71</v>
      </c>
      <c r="B37" s="10" t="s">
        <v>72</v>
      </c>
      <c r="C37" s="12" t="str">
        <f>_xll.BDH("ROG US Equity","NAT_GAS_USED","FY 2013","FY 2013","Currency=USD","Period=FY","BEST_FPERIOD_OVERRIDE=FY","FILING_STATUS=MR","Sort=A","Dates=H","DateFormat=P","Fill=—","Direction=H","UseDPDF=Y")</f>
        <v>—</v>
      </c>
      <c r="D37" s="12" t="str">
        <f>_xll.BDH("ROG US Equity","NAT_GAS_USED","FY 2014","FY 2014","Currency=USD","Period=FY","BEST_FPERIOD_OVERRIDE=FY","FILING_STATUS=MR","Sort=A","Dates=H","DateFormat=P","Fill=—","Direction=H","UseDPDF=Y")</f>
        <v>—</v>
      </c>
      <c r="E37" s="12" t="str">
        <f>_xll.BDH("ROG US Equity","NAT_GAS_USED","FY 2015","FY 2015","Currency=USD","Period=FY","BEST_FPERIOD_OVERRIDE=FY","FILING_STATUS=MR","Sort=A","Dates=H","DateFormat=P","Fill=—","Direction=H","UseDPDF=Y")</f>
        <v>—</v>
      </c>
      <c r="F37" s="12" t="str">
        <f>_xll.BDH("ROG US Equity","NAT_GAS_USED","FY 2016","FY 2016","Currency=USD","Period=FY","BEST_FPERIOD_OVERRIDE=FY","FILING_STATUS=MR","Sort=A","Dates=H","DateFormat=P","Fill=—","Direction=H","UseDPDF=Y")</f>
        <v>—</v>
      </c>
      <c r="G37" s="12" t="str">
        <f>_xll.BDH("ROG US Equity","NAT_GAS_USED","FY 2017","FY 2017","Currency=USD","Period=FY","BEST_FPERIOD_OVERRIDE=FY","FILING_STATUS=MR","Sort=A","Dates=H","DateFormat=P","Fill=—","Direction=H","UseDPDF=Y")</f>
        <v>—</v>
      </c>
      <c r="H37" s="12" t="str">
        <f>_xll.BDH("ROG US Equity","NAT_GAS_USED","FY 2018","FY 2018","Currency=USD","Period=FY","BEST_FPERIOD_OVERRIDE=FY","FILING_STATUS=MR","Sort=A","Dates=H","DateFormat=P","Fill=—","Direction=H","UseDPDF=Y")</f>
        <v>—</v>
      </c>
      <c r="I37" s="12" t="str">
        <f>_xll.BDH("ROG US Equity","NAT_GAS_USED","FY 2019","FY 2019","Currency=USD","Period=FY","BEST_FPERIOD_OVERRIDE=FY","FILING_STATUS=MR","Sort=A","Dates=H","DateFormat=P","Fill=—","Direction=H","UseDPDF=Y")</f>
        <v>—</v>
      </c>
      <c r="J37" s="12">
        <f>_xll.BDH("ROG US Equity","NAT_GAS_USED","FY 2020","FY 2020","Currency=USD","Period=FY","BEST_FPERIOD_OVERRIDE=FY","FILING_STATUS=MR","Sort=A","Dates=H","DateFormat=P","Fill=—","Direction=H","UseDPDF=Y")</f>
        <v>22280.1</v>
      </c>
      <c r="K37" s="12" t="str">
        <f>_xll.BDH("ROG US Equity","NAT_GAS_USED","FY 2021","FY 2021","Currency=USD","Period=FY","BEST_FPERIOD_OVERRIDE=FY","FILING_STATUS=MR","Sort=A","Dates=H","DateFormat=P","Fill=—","Direction=H","UseDPDF=Y")</f>
        <v>—</v>
      </c>
      <c r="L37" s="12" t="str">
        <f>_xll.BDH("ROG US Equity","NAT_GAS_USED","FY 2022","FY 2022","Currency=USD","Period=FY","BEST_FPERIOD_OVERRIDE=FY","FILING_STATUS=MR","Sort=A","Dates=H","DateFormat=P","Fill=—","Direction=H","UseDPDF=Y")</f>
        <v>—</v>
      </c>
    </row>
    <row r="38" spans="1:12">
      <c r="A38" s="10" t="s">
        <v>73</v>
      </c>
      <c r="B38" s="10" t="s">
        <v>74</v>
      </c>
      <c r="C38" s="12" t="str">
        <f>_xll.BDH("ROG US Equity","OIL_DIESEL_USED","FY 2013","FY 2013","Currency=USD","Period=FY","BEST_FPERIOD_OVERRIDE=FY","FILING_STATUS=MR","Sort=A","Dates=H","DateFormat=P","Fill=—","Direction=H","UseDPDF=Y")</f>
        <v>—</v>
      </c>
      <c r="D38" s="12" t="str">
        <f>_xll.BDH("ROG US Equity","OIL_DIESEL_USED","FY 2014","FY 2014","Currency=USD","Period=FY","BEST_FPERIOD_OVERRIDE=FY","FILING_STATUS=MR","Sort=A","Dates=H","DateFormat=P","Fill=—","Direction=H","UseDPDF=Y")</f>
        <v>—</v>
      </c>
      <c r="E38" s="12" t="str">
        <f>_xll.BDH("ROG US Equity","OIL_DIESEL_USED","FY 2015","FY 2015","Currency=USD","Period=FY","BEST_FPERIOD_OVERRIDE=FY","FILING_STATUS=MR","Sort=A","Dates=H","DateFormat=P","Fill=—","Direction=H","UseDPDF=Y")</f>
        <v>—</v>
      </c>
      <c r="F38" s="12" t="str">
        <f>_xll.BDH("ROG US Equity","OIL_DIESEL_USED","FY 2016","FY 2016","Currency=USD","Period=FY","BEST_FPERIOD_OVERRIDE=FY","FILING_STATUS=MR","Sort=A","Dates=H","DateFormat=P","Fill=—","Direction=H","UseDPDF=Y")</f>
        <v>—</v>
      </c>
      <c r="G38" s="12" t="str">
        <f>_xll.BDH("ROG US Equity","OIL_DIESEL_USED","FY 2017","FY 2017","Currency=USD","Period=FY","BEST_FPERIOD_OVERRIDE=FY","FILING_STATUS=MR","Sort=A","Dates=H","DateFormat=P","Fill=—","Direction=H","UseDPDF=Y")</f>
        <v>—</v>
      </c>
      <c r="H38" s="12" t="str">
        <f>_xll.BDH("ROG US Equity","OIL_DIESEL_USED","FY 2018","FY 2018","Currency=USD","Period=FY","BEST_FPERIOD_OVERRIDE=FY","FILING_STATUS=MR","Sort=A","Dates=H","DateFormat=P","Fill=—","Direction=H","UseDPDF=Y")</f>
        <v>—</v>
      </c>
      <c r="I38" s="12" t="str">
        <f>_xll.BDH("ROG US Equity","OIL_DIESEL_USED","FY 2019","FY 2019","Currency=USD","Period=FY","BEST_FPERIOD_OVERRIDE=FY","FILING_STATUS=MR","Sort=A","Dates=H","DateFormat=P","Fill=—","Direction=H","UseDPDF=Y")</f>
        <v>—</v>
      </c>
      <c r="J38" s="12">
        <f>_xll.BDH("ROG US Equity","OIL_DIESEL_USED","FY 2020","FY 2020","Currency=USD","Period=FY","BEST_FPERIOD_OVERRIDE=FY","FILING_STATUS=MR","Sort=A","Dates=H","DateFormat=P","Fill=—","Direction=H","UseDPDF=Y")</f>
        <v>0.36399999999999999</v>
      </c>
      <c r="K38" s="12" t="str">
        <f>_xll.BDH("ROG US Equity","OIL_DIESEL_USED","FY 2021","FY 2021","Currency=USD","Period=FY","BEST_FPERIOD_OVERRIDE=FY","FILING_STATUS=MR","Sort=A","Dates=H","DateFormat=P","Fill=—","Direction=H","UseDPDF=Y")</f>
        <v>—</v>
      </c>
      <c r="L38" s="12" t="str">
        <f>_xll.BDH("ROG US Equity","OIL_DIESEL_USED","FY 2022","FY 2022","Currency=USD","Period=FY","BEST_FPERIOD_OVERRIDE=FY","FILING_STATUS=MR","Sort=A","Dates=H","DateFormat=P","Fill=—","Direction=H","UseDPDF=Y")</f>
        <v>—</v>
      </c>
    </row>
    <row r="39" spans="1:12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>
      <c r="A40" s="10" t="s">
        <v>75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>
      <c r="A41" s="10" t="s">
        <v>76</v>
      </c>
      <c r="B41" s="10" t="s">
        <v>77</v>
      </c>
      <c r="C41" s="11" t="s">
        <v>46</v>
      </c>
      <c r="D41" s="11" t="s">
        <v>46</v>
      </c>
      <c r="E41" s="11" t="s">
        <v>46</v>
      </c>
      <c r="F41" s="11" t="s">
        <v>47</v>
      </c>
      <c r="G41" s="11" t="s">
        <v>47</v>
      </c>
      <c r="H41" s="11" t="s">
        <v>46</v>
      </c>
      <c r="I41" s="11" t="s">
        <v>46</v>
      </c>
      <c r="J41" s="11" t="s">
        <v>47</v>
      </c>
      <c r="K41" s="11" t="s">
        <v>47</v>
      </c>
      <c r="L41" s="11" t="s">
        <v>48</v>
      </c>
    </row>
    <row r="42" spans="1:12">
      <c r="A42" s="10" t="s">
        <v>78</v>
      </c>
      <c r="B42" s="10" t="s">
        <v>79</v>
      </c>
      <c r="C42" s="12" t="str">
        <f>_xll.BDH("ROG US Equity","HAZARDOUS_WASTE","FY 2013","FY 2013","Currency=USD","Period=FY","BEST_FPERIOD_OVERRIDE=FY","FILING_STATUS=MR","Sort=A","Dates=H","DateFormat=P","Fill=—","Direction=H","UseDPDF=Y")</f>
        <v>—</v>
      </c>
      <c r="D42" s="12" t="str">
        <f>_xll.BDH("ROG US Equity","HAZARDOUS_WASTE","FY 2014","FY 2014","Currency=USD","Period=FY","BEST_FPERIOD_OVERRIDE=FY","FILING_STATUS=MR","Sort=A","Dates=H","DateFormat=P","Fill=—","Direction=H","UseDPDF=Y")</f>
        <v>—</v>
      </c>
      <c r="E42" s="12" t="str">
        <f>_xll.BDH("ROG US Equity","HAZARDOUS_WASTE","FY 2015","FY 2015","Currency=USD","Period=FY","BEST_FPERIOD_OVERRIDE=FY","FILING_STATUS=MR","Sort=A","Dates=H","DateFormat=P","Fill=—","Direction=H","UseDPDF=Y")</f>
        <v>—</v>
      </c>
      <c r="F42" s="12" t="str">
        <f>_xll.BDH("ROG US Equity","HAZARDOUS_WASTE","FY 2016","FY 2016","Currency=USD","Period=FY","BEST_FPERIOD_OVERRIDE=FY","FILING_STATUS=MR","Sort=A","Dates=H","DateFormat=P","Fill=—","Direction=H","UseDPDF=Y")</f>
        <v>—</v>
      </c>
      <c r="G42" s="12" t="str">
        <f>_xll.BDH("ROG US Equity","HAZARDOUS_WASTE","FY 2017","FY 2017","Currency=USD","Period=FY","BEST_FPERIOD_OVERRIDE=FY","FILING_STATUS=MR","Sort=A","Dates=H","DateFormat=P","Fill=—","Direction=H","UseDPDF=Y")</f>
        <v>—</v>
      </c>
      <c r="H42" s="12" t="str">
        <f>_xll.BDH("ROG US Equity","HAZARDOUS_WASTE","FY 2018","FY 2018","Currency=USD","Period=FY","BEST_FPERIOD_OVERRIDE=FY","FILING_STATUS=MR","Sort=A","Dates=H","DateFormat=P","Fill=—","Direction=H","UseDPDF=Y")</f>
        <v>—</v>
      </c>
      <c r="I42" s="12" t="str">
        <f>_xll.BDH("ROG US Equity","HAZARDOUS_WASTE","FY 2019","FY 2019","Currency=USD","Period=FY","BEST_FPERIOD_OVERRIDE=FY","FILING_STATUS=MR","Sort=A","Dates=H","DateFormat=P","Fill=—","Direction=H","UseDPDF=Y")</f>
        <v>—</v>
      </c>
      <c r="J42" s="12">
        <f>_xll.BDH("ROG US Equity","HAZARDOUS_WASTE","FY 2020","FY 2020","Currency=USD","Period=FY","BEST_FPERIOD_OVERRIDE=FY","FILING_STATUS=MR","Sort=A","Dates=H","DateFormat=P","Fill=—","Direction=H","UseDPDF=Y")</f>
        <v>4.6959999999999997</v>
      </c>
      <c r="K42" s="12" t="str">
        <f>_xll.BDH("ROG US Equity","HAZARDOUS_WASTE","FY 2021","FY 2021","Currency=USD","Period=FY","BEST_FPERIOD_OVERRIDE=FY","FILING_STATUS=MR","Sort=A","Dates=H","DateFormat=P","Fill=—","Direction=H","UseDPDF=Y")</f>
        <v>—</v>
      </c>
      <c r="L42" s="12" t="str">
        <f>_xll.BDH("ROG US Equity","HAZARDOUS_WASTE","FY 2022","FY 2022","Currency=USD","Period=FY","BEST_FPERIOD_OVERRIDE=FY","FILING_STATUS=MR","Sort=A","Dates=H","DateFormat=P","Fill=—","Direction=H","UseDPDF=Y")</f>
        <v>—</v>
      </c>
    </row>
    <row r="43" spans="1:12">
      <c r="A43" s="10" t="s">
        <v>80</v>
      </c>
      <c r="B43" s="10" t="s">
        <v>81</v>
      </c>
      <c r="C43" s="12" t="str">
        <f>_xll.BDH("ROG US Equity","TOTAL_WASTE","FY 2013","FY 2013","Currency=USD","Period=FY","BEST_FPERIOD_OVERRIDE=FY","FILING_STATUS=MR","Sort=A","Dates=H","DateFormat=P","Fill=—","Direction=H","UseDPDF=Y")</f>
        <v>—</v>
      </c>
      <c r="D43" s="12" t="str">
        <f>_xll.BDH("ROG US Equity","TOTAL_WASTE","FY 2014","FY 2014","Currency=USD","Period=FY","BEST_FPERIOD_OVERRIDE=FY","FILING_STATUS=MR","Sort=A","Dates=H","DateFormat=P","Fill=—","Direction=H","UseDPDF=Y")</f>
        <v>—</v>
      </c>
      <c r="E43" s="12" t="str">
        <f>_xll.BDH("ROG US Equity","TOTAL_WASTE","FY 2015","FY 2015","Currency=USD","Period=FY","BEST_FPERIOD_OVERRIDE=FY","FILING_STATUS=MR","Sort=A","Dates=H","DateFormat=P","Fill=—","Direction=H","UseDPDF=Y")</f>
        <v>—</v>
      </c>
      <c r="F43" s="12" t="str">
        <f>_xll.BDH("ROG US Equity","TOTAL_WASTE","FY 2016","FY 2016","Currency=USD","Period=FY","BEST_FPERIOD_OVERRIDE=FY","FILING_STATUS=MR","Sort=A","Dates=H","DateFormat=P","Fill=—","Direction=H","UseDPDF=Y")</f>
        <v>—</v>
      </c>
      <c r="G43" s="12" t="str">
        <f>_xll.BDH("ROG US Equity","TOTAL_WASTE","FY 2017","FY 2017","Currency=USD","Period=FY","BEST_FPERIOD_OVERRIDE=FY","FILING_STATUS=MR","Sort=A","Dates=H","DateFormat=P","Fill=—","Direction=H","UseDPDF=Y")</f>
        <v>—</v>
      </c>
      <c r="H43" s="12" t="str">
        <f>_xll.BDH("ROG US Equity","TOTAL_WASTE","FY 2018","FY 2018","Currency=USD","Period=FY","BEST_FPERIOD_OVERRIDE=FY","FILING_STATUS=MR","Sort=A","Dates=H","DateFormat=P","Fill=—","Direction=H","UseDPDF=Y")</f>
        <v>—</v>
      </c>
      <c r="I43" s="12" t="str">
        <f>_xll.BDH("ROG US Equity","TOTAL_WASTE","FY 2019","FY 2019","Currency=USD","Period=FY","BEST_FPERIOD_OVERRIDE=FY","FILING_STATUS=MR","Sort=A","Dates=H","DateFormat=P","Fill=—","Direction=H","UseDPDF=Y")</f>
        <v>—</v>
      </c>
      <c r="J43" s="12">
        <f>_xll.BDH("ROG US Equity","TOTAL_WASTE","FY 2020","FY 2020","Currency=USD","Period=FY","BEST_FPERIOD_OVERRIDE=FY","FILING_STATUS=MR","Sort=A","Dates=H","DateFormat=P","Fill=—","Direction=H","UseDPDF=Y")</f>
        <v>14.255000000000001</v>
      </c>
      <c r="K43" s="12" t="str">
        <f>_xll.BDH("ROG US Equity","TOTAL_WASTE","FY 2021","FY 2021","Currency=USD","Period=FY","BEST_FPERIOD_OVERRIDE=FY","FILING_STATUS=MR","Sort=A","Dates=H","DateFormat=P","Fill=—","Direction=H","UseDPDF=Y")</f>
        <v>—</v>
      </c>
      <c r="L43" s="12" t="str">
        <f>_xll.BDH("ROG US Equity","TOTAL_WASTE","FY 2022","FY 2022","Currency=USD","Period=FY","BEST_FPERIOD_OVERRIDE=FY","FILING_STATUS=MR","Sort=A","Dates=H","DateFormat=P","Fill=—","Direction=H","UseDPDF=Y")</f>
        <v>—</v>
      </c>
    </row>
    <row r="44" spans="1:12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>
      <c r="A45" s="10" t="s">
        <v>82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>
      <c r="A46" s="10" t="s">
        <v>83</v>
      </c>
      <c r="B46" s="10" t="s">
        <v>84</v>
      </c>
      <c r="C46" s="11" t="s">
        <v>46</v>
      </c>
      <c r="D46" s="11" t="s">
        <v>46</v>
      </c>
      <c r="E46" s="11" t="s">
        <v>46</v>
      </c>
      <c r="F46" s="11" t="s">
        <v>47</v>
      </c>
      <c r="G46" s="11" t="s">
        <v>47</v>
      </c>
      <c r="H46" s="11" t="s">
        <v>46</v>
      </c>
      <c r="I46" s="11" t="s">
        <v>46</v>
      </c>
      <c r="J46" s="11" t="s">
        <v>47</v>
      </c>
      <c r="K46" s="11" t="s">
        <v>47</v>
      </c>
      <c r="L46" s="11" t="s">
        <v>48</v>
      </c>
    </row>
    <row r="47" spans="1:1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>
      <c r="A48" s="10" t="s">
        <v>85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>
      <c r="A49" s="10" t="s">
        <v>86</v>
      </c>
      <c r="B49" s="10" t="s">
        <v>87</v>
      </c>
      <c r="C49" s="11" t="s">
        <v>46</v>
      </c>
      <c r="D49" s="11" t="s">
        <v>46</v>
      </c>
      <c r="E49" s="11" t="s">
        <v>47</v>
      </c>
      <c r="F49" s="11" t="s">
        <v>47</v>
      </c>
      <c r="G49" s="11" t="s">
        <v>47</v>
      </c>
      <c r="H49" s="11" t="s">
        <v>46</v>
      </c>
      <c r="I49" s="11" t="s">
        <v>46</v>
      </c>
      <c r="J49" s="11" t="s">
        <v>47</v>
      </c>
      <c r="K49" s="11" t="s">
        <v>47</v>
      </c>
      <c r="L49" s="11" t="s">
        <v>48</v>
      </c>
    </row>
    <row r="50" spans="1:12">
      <c r="A50" s="10" t="s">
        <v>88</v>
      </c>
      <c r="B50" s="10" t="s">
        <v>89</v>
      </c>
      <c r="C50" s="12" t="str">
        <f>_xll.BDH("ROG US Equity","TOTAL_WATER_WITHDRAWAL","FY 2013","FY 2013","Currency=USD","Period=FY","BEST_FPERIOD_OVERRIDE=FY","FILING_STATUS=MR","Sort=A","Dates=H","DateFormat=P","Fill=—","Direction=H","UseDPDF=Y")</f>
        <v>—</v>
      </c>
      <c r="D50" s="12" t="str">
        <f>_xll.BDH("ROG US Equity","TOTAL_WATER_WITHDRAWAL","FY 2014","FY 2014","Currency=USD","Period=FY","BEST_FPERIOD_OVERRIDE=FY","FILING_STATUS=MR","Sort=A","Dates=H","DateFormat=P","Fill=—","Direction=H","UseDPDF=Y")</f>
        <v>—</v>
      </c>
      <c r="E50" s="12" t="str">
        <f>_xll.BDH("ROG US Equity","TOTAL_WATER_WITHDRAWAL","FY 2015","FY 2015","Currency=USD","Period=FY","BEST_FPERIOD_OVERRIDE=FY","FILING_STATUS=MR","Sort=A","Dates=H","DateFormat=P","Fill=—","Direction=H","UseDPDF=Y")</f>
        <v>—</v>
      </c>
      <c r="F50" s="12" t="str">
        <f>_xll.BDH("ROG US Equity","TOTAL_WATER_WITHDRAWAL","FY 2016","FY 2016","Currency=USD","Period=FY","BEST_FPERIOD_OVERRIDE=FY","FILING_STATUS=MR","Sort=A","Dates=H","DateFormat=P","Fill=—","Direction=H","UseDPDF=Y")</f>
        <v>—</v>
      </c>
      <c r="G50" s="12" t="str">
        <f>_xll.BDH("ROG US Equity","TOTAL_WATER_WITHDRAWAL","FY 2017","FY 2017","Currency=USD","Period=FY","BEST_FPERIOD_OVERRIDE=FY","FILING_STATUS=MR","Sort=A","Dates=H","DateFormat=P","Fill=—","Direction=H","UseDPDF=Y")</f>
        <v>—</v>
      </c>
      <c r="H50" s="12" t="str">
        <f>_xll.BDH("ROG US Equity","TOTAL_WATER_WITHDRAWAL","FY 2018","FY 2018","Currency=USD","Period=FY","BEST_FPERIOD_OVERRIDE=FY","FILING_STATUS=MR","Sort=A","Dates=H","DateFormat=P","Fill=—","Direction=H","UseDPDF=Y")</f>
        <v>—</v>
      </c>
      <c r="I50" s="12" t="str">
        <f>_xll.BDH("ROG US Equity","TOTAL_WATER_WITHDRAWAL","FY 2019","FY 2019","Currency=USD","Period=FY","BEST_FPERIOD_OVERRIDE=FY","FILING_STATUS=MR","Sort=A","Dates=H","DateFormat=P","Fill=—","Direction=H","UseDPDF=Y")</f>
        <v>—</v>
      </c>
      <c r="J50" s="12">
        <f>_xll.BDH("ROG US Equity","TOTAL_WATER_WITHDRAWAL","FY 2020","FY 2020","Currency=USD","Period=FY","BEST_FPERIOD_OVERRIDE=FY","FILING_STATUS=MR","Sort=A","Dates=H","DateFormat=P","Fill=—","Direction=H","UseDPDF=Y")</f>
        <v>415.12700000000001</v>
      </c>
      <c r="K50" s="12" t="str">
        <f>_xll.BDH("ROG US Equity","TOTAL_WATER_WITHDRAWAL","FY 2021","FY 2021","Currency=USD","Period=FY","BEST_FPERIOD_OVERRIDE=FY","FILING_STATUS=MR","Sort=A","Dates=H","DateFormat=P","Fill=—","Direction=H","UseDPDF=Y")</f>
        <v>—</v>
      </c>
      <c r="L50" s="12" t="str">
        <f>_xll.BDH("ROG US Equity","TOTAL_WATER_WITHDRAWAL","FY 2022","FY 2022","Currency=USD","Period=FY","BEST_FPERIOD_OVERRIDE=FY","FILING_STATUS=MR","Sort=A","Dates=H","DateFormat=P","Fill=—","Direction=H","UseDPDF=Y")</f>
        <v>—</v>
      </c>
    </row>
    <row r="51" spans="1:1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>
      <c r="A52" s="10" t="s">
        <v>90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>
      <c r="A53" s="10" t="s">
        <v>91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2">
      <c r="A54" s="10" t="s">
        <v>92</v>
      </c>
      <c r="B54" s="10" t="s">
        <v>93</v>
      </c>
      <c r="C54" s="11" t="s">
        <v>46</v>
      </c>
      <c r="D54" s="11" t="s">
        <v>46</v>
      </c>
      <c r="E54" s="11" t="s">
        <v>46</v>
      </c>
      <c r="F54" s="11" t="s">
        <v>47</v>
      </c>
      <c r="G54" s="11" t="s">
        <v>47</v>
      </c>
      <c r="H54" s="11" t="s">
        <v>47</v>
      </c>
      <c r="I54" s="11" t="s">
        <v>47</v>
      </c>
      <c r="J54" s="11" t="s">
        <v>47</v>
      </c>
      <c r="K54" s="11" t="s">
        <v>47</v>
      </c>
      <c r="L54" s="11" t="s">
        <v>47</v>
      </c>
    </row>
    <row r="55" spans="1:12">
      <c r="A55" s="10" t="s">
        <v>94</v>
      </c>
      <c r="B55" s="10" t="s">
        <v>95</v>
      </c>
      <c r="C55" s="11" t="s">
        <v>46</v>
      </c>
      <c r="D55" s="11" t="s">
        <v>46</v>
      </c>
      <c r="E55" s="11" t="s">
        <v>46</v>
      </c>
      <c r="F55" s="11" t="s">
        <v>47</v>
      </c>
      <c r="G55" s="11" t="s">
        <v>47</v>
      </c>
      <c r="H55" s="11" t="s">
        <v>47</v>
      </c>
      <c r="I55" s="11" t="s">
        <v>47</v>
      </c>
      <c r="J55" s="11" t="s">
        <v>47</v>
      </c>
      <c r="K55" s="11" t="s">
        <v>47</v>
      </c>
      <c r="L55" s="11" t="s">
        <v>47</v>
      </c>
    </row>
    <row r="56" spans="1:12">
      <c r="A56" s="10" t="s">
        <v>96</v>
      </c>
      <c r="B56" s="10" t="s">
        <v>97</v>
      </c>
      <c r="C56" s="11" t="s">
        <v>48</v>
      </c>
      <c r="D56" s="11" t="s">
        <v>48</v>
      </c>
      <c r="E56" s="11" t="s">
        <v>48</v>
      </c>
      <c r="F56" s="11" t="s">
        <v>48</v>
      </c>
      <c r="G56" s="11" t="s">
        <v>46</v>
      </c>
      <c r="H56" s="11" t="s">
        <v>46</v>
      </c>
      <c r="I56" s="11" t="s">
        <v>46</v>
      </c>
      <c r="J56" s="11" t="s">
        <v>47</v>
      </c>
      <c r="K56" s="11" t="s">
        <v>47</v>
      </c>
      <c r="L56" s="11" t="s">
        <v>48</v>
      </c>
    </row>
    <row r="57" spans="1:12">
      <c r="A57" s="10" t="s">
        <v>98</v>
      </c>
      <c r="B57" s="10" t="s">
        <v>99</v>
      </c>
      <c r="C57" s="11" t="s">
        <v>48</v>
      </c>
      <c r="D57" s="11" t="s">
        <v>48</v>
      </c>
      <c r="E57" s="11" t="s">
        <v>48</v>
      </c>
      <c r="F57" s="11" t="s">
        <v>48</v>
      </c>
      <c r="G57" s="11" t="s">
        <v>47</v>
      </c>
      <c r="H57" s="11" t="s">
        <v>47</v>
      </c>
      <c r="I57" s="11" t="s">
        <v>47</v>
      </c>
      <c r="J57" s="11" t="s">
        <v>47</v>
      </c>
      <c r="K57" s="11" t="s">
        <v>47</v>
      </c>
      <c r="L57" s="11" t="s">
        <v>47</v>
      </c>
    </row>
    <row r="58" spans="1:1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>
      <c r="A59" s="10" t="s">
        <v>100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>
      <c r="A60" s="10" t="s">
        <v>101</v>
      </c>
      <c r="B60" s="10" t="s">
        <v>102</v>
      </c>
      <c r="C60" s="11" t="s">
        <v>47</v>
      </c>
      <c r="D60" s="11" t="s">
        <v>47</v>
      </c>
      <c r="E60" s="11" t="s">
        <v>47</v>
      </c>
      <c r="F60" s="11" t="s">
        <v>47</v>
      </c>
      <c r="G60" s="11" t="s">
        <v>47</v>
      </c>
      <c r="H60" s="11" t="s">
        <v>47</v>
      </c>
      <c r="I60" s="11" t="s">
        <v>47</v>
      </c>
      <c r="J60" s="11" t="s">
        <v>47</v>
      </c>
      <c r="K60" s="11" t="s">
        <v>47</v>
      </c>
      <c r="L60" s="11" t="s">
        <v>47</v>
      </c>
    </row>
    <row r="61" spans="1:12">
      <c r="A61" s="10" t="s">
        <v>103</v>
      </c>
      <c r="B61" s="10" t="s">
        <v>104</v>
      </c>
      <c r="C61" s="11" t="s">
        <v>48</v>
      </c>
      <c r="D61" s="11" t="s">
        <v>46</v>
      </c>
      <c r="E61" s="11" t="s">
        <v>46</v>
      </c>
      <c r="F61" s="11" t="s">
        <v>46</v>
      </c>
      <c r="G61" s="11" t="s">
        <v>46</v>
      </c>
      <c r="H61" s="11" t="s">
        <v>46</v>
      </c>
      <c r="I61" s="11" t="s">
        <v>46</v>
      </c>
      <c r="J61" s="11" t="s">
        <v>46</v>
      </c>
      <c r="K61" s="11" t="s">
        <v>46</v>
      </c>
      <c r="L61" s="11" t="s">
        <v>48</v>
      </c>
    </row>
    <row r="62" spans="1:1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1:12">
      <c r="A63" s="10" t="s">
        <v>105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1:12">
      <c r="A64" s="10" t="s">
        <v>106</v>
      </c>
      <c r="B64" s="10" t="s">
        <v>107</v>
      </c>
      <c r="C64" s="11" t="s">
        <v>47</v>
      </c>
      <c r="D64" s="11" t="s">
        <v>47</v>
      </c>
      <c r="E64" s="11" t="s">
        <v>47</v>
      </c>
      <c r="F64" s="11" t="s">
        <v>47</v>
      </c>
      <c r="G64" s="11" t="s">
        <v>47</v>
      </c>
      <c r="H64" s="11" t="s">
        <v>47</v>
      </c>
      <c r="I64" s="11" t="s">
        <v>47</v>
      </c>
      <c r="J64" s="11" t="s">
        <v>47</v>
      </c>
      <c r="K64" s="11" t="s">
        <v>47</v>
      </c>
      <c r="L64" s="11" t="s">
        <v>47</v>
      </c>
    </row>
    <row r="65" spans="1:12">
      <c r="A65" s="10" t="s">
        <v>108</v>
      </c>
      <c r="B65" s="10" t="s">
        <v>109</v>
      </c>
      <c r="C65" s="11" t="s">
        <v>47</v>
      </c>
      <c r="D65" s="11" t="s">
        <v>47</v>
      </c>
      <c r="E65" s="11" t="s">
        <v>47</v>
      </c>
      <c r="F65" s="11" t="s">
        <v>47</v>
      </c>
      <c r="G65" s="11" t="s">
        <v>47</v>
      </c>
      <c r="H65" s="11" t="s">
        <v>47</v>
      </c>
      <c r="I65" s="11" t="s">
        <v>47</v>
      </c>
      <c r="J65" s="11" t="s">
        <v>47</v>
      </c>
      <c r="K65" s="11" t="s">
        <v>47</v>
      </c>
      <c r="L65" s="11" t="s">
        <v>47</v>
      </c>
    </row>
    <row r="66" spans="1:1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1:12">
      <c r="A67" s="10" t="s">
        <v>110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>
      <c r="A68" s="10" t="s">
        <v>111</v>
      </c>
      <c r="B68" s="10" t="s">
        <v>112</v>
      </c>
      <c r="C68" s="11" t="s">
        <v>47</v>
      </c>
      <c r="D68" s="11" t="s">
        <v>47</v>
      </c>
      <c r="E68" s="11" t="s">
        <v>47</v>
      </c>
      <c r="F68" s="11" t="s">
        <v>47</v>
      </c>
      <c r="G68" s="11" t="s">
        <v>47</v>
      </c>
      <c r="H68" s="11" t="s">
        <v>47</v>
      </c>
      <c r="I68" s="11" t="s">
        <v>47</v>
      </c>
      <c r="J68" s="11" t="s">
        <v>47</v>
      </c>
      <c r="K68" s="11" t="s">
        <v>47</v>
      </c>
      <c r="L68" s="11" t="s">
        <v>47</v>
      </c>
    </row>
    <row r="69" spans="1:12">
      <c r="A69" s="10" t="s">
        <v>113</v>
      </c>
      <c r="B69" s="10" t="s">
        <v>114</v>
      </c>
      <c r="C69" s="13">
        <f>_xll.BDH("ROG US Equity","LOST_TIME_INCIDENT_RATE","FY 2013","FY 2013","Currency=USD","Period=FY","BEST_FPERIOD_OVERRIDE=FY","FILING_STATUS=MR","Sort=A","Dates=H","DateFormat=P","Fill=—","Direction=H","UseDPDF=Y")</f>
        <v>0.9</v>
      </c>
      <c r="D69" s="13">
        <f>_xll.BDH("ROG US Equity","LOST_TIME_INCIDENT_RATE","FY 2014","FY 2014","Currency=USD","Period=FY","BEST_FPERIOD_OVERRIDE=FY","FILING_STATUS=MR","Sort=A","Dates=H","DateFormat=P","Fill=—","Direction=H","UseDPDF=Y")</f>
        <v>0.7</v>
      </c>
      <c r="E69" s="13">
        <f>_xll.BDH("ROG US Equity","LOST_TIME_INCIDENT_RATE","FY 2015","FY 2015","Currency=USD","Period=FY","BEST_FPERIOD_OVERRIDE=FY","FILING_STATUS=MR","Sort=A","Dates=H","DateFormat=P","Fill=—","Direction=H","UseDPDF=Y")</f>
        <v>0.4</v>
      </c>
      <c r="F69" s="13">
        <f>_xll.BDH("ROG US Equity","LOST_TIME_INCIDENT_RATE","FY 2016","FY 2016","Currency=USD","Period=FY","BEST_FPERIOD_OVERRIDE=FY","FILING_STATUS=MR","Sort=A","Dates=H","DateFormat=P","Fill=—","Direction=H","UseDPDF=Y")</f>
        <v>0.5</v>
      </c>
      <c r="G69" s="13" t="str">
        <f>_xll.BDH("ROG US Equity","LOST_TIME_INCIDENT_RATE","FY 2017","FY 2017","Currency=USD","Period=FY","BEST_FPERIOD_OVERRIDE=FY","FILING_STATUS=MR","Sort=A","Dates=H","DateFormat=P","Fill=—","Direction=H","UseDPDF=Y")</f>
        <v>—</v>
      </c>
      <c r="H69" s="13" t="str">
        <f>_xll.BDH("ROG US Equity","LOST_TIME_INCIDENT_RATE","FY 2018","FY 2018","Currency=USD","Period=FY","BEST_FPERIOD_OVERRIDE=FY","FILING_STATUS=MR","Sort=A","Dates=H","DateFormat=P","Fill=—","Direction=H","UseDPDF=Y")</f>
        <v>—</v>
      </c>
      <c r="I69" s="13" t="str">
        <f>_xll.BDH("ROG US Equity","LOST_TIME_INCIDENT_RATE","FY 2019","FY 2019","Currency=USD","Period=FY","BEST_FPERIOD_OVERRIDE=FY","FILING_STATUS=MR","Sort=A","Dates=H","DateFormat=P","Fill=—","Direction=H","UseDPDF=Y")</f>
        <v>—</v>
      </c>
      <c r="J69" s="13">
        <f>_xll.BDH("ROG US Equity","LOST_TIME_INCIDENT_RATE","FY 2020","FY 2020","Currency=USD","Period=FY","BEST_FPERIOD_OVERRIDE=FY","FILING_STATUS=MR","Sort=A","Dates=H","DateFormat=P","Fill=—","Direction=H","UseDPDF=Y")</f>
        <v>0.5</v>
      </c>
      <c r="K69" s="13" t="str">
        <f>_xll.BDH("ROG US Equity","LOST_TIME_INCIDENT_RATE","FY 2021","FY 2021","Currency=USD","Period=FY","BEST_FPERIOD_OVERRIDE=FY","FILING_STATUS=MR","Sort=A","Dates=H","DateFormat=P","Fill=—","Direction=H","UseDPDF=Y")</f>
        <v>—</v>
      </c>
      <c r="L69" s="13" t="str">
        <f>_xll.BDH("ROG US Equity","LOST_TIME_INCIDENT_RATE","FY 2022","FY 2022","Currency=USD","Period=FY","BEST_FPERIOD_OVERRIDE=FY","FILING_STATUS=MR","Sort=A","Dates=H","DateFormat=P","Fill=—","Direction=H","UseDPDF=Y")</f>
        <v>—</v>
      </c>
    </row>
    <row r="70" spans="1:12">
      <c r="A70" s="10" t="s">
        <v>115</v>
      </c>
      <c r="B70" s="10" t="s">
        <v>116</v>
      </c>
      <c r="C70" s="13">
        <f>_xll.BDH("ROG US Equity","TOTAL_RECORDABLE_INCIDENT_RATE","FY 2013","FY 2013","Currency=USD","Period=FY","BEST_FPERIOD_OVERRIDE=FY","FILING_STATUS=MR","Sort=A","Dates=H","DateFormat=P","Fill=—","Direction=H","UseDPDF=Y")</f>
        <v>2.2000000000000002</v>
      </c>
      <c r="D70" s="13">
        <f>_xll.BDH("ROG US Equity","TOTAL_RECORDABLE_INCIDENT_RATE","FY 2014","FY 2014","Currency=USD","Period=FY","BEST_FPERIOD_OVERRIDE=FY","FILING_STATUS=MR","Sort=A","Dates=H","DateFormat=P","Fill=—","Direction=H","UseDPDF=Y")</f>
        <v>1.8</v>
      </c>
      <c r="E70" s="13">
        <f>_xll.BDH("ROG US Equity","TOTAL_RECORDABLE_INCIDENT_RATE","FY 2015","FY 2015","Currency=USD","Period=FY","BEST_FPERIOD_OVERRIDE=FY","FILING_STATUS=MR","Sort=A","Dates=H","DateFormat=P","Fill=—","Direction=H","UseDPDF=Y")</f>
        <v>1.2</v>
      </c>
      <c r="F70" s="13">
        <f>_xll.BDH("ROG US Equity","TOTAL_RECORDABLE_INCIDENT_RATE","FY 2016","FY 2016","Currency=USD","Period=FY","BEST_FPERIOD_OVERRIDE=FY","FILING_STATUS=MR","Sort=A","Dates=H","DateFormat=P","Fill=—","Direction=H","UseDPDF=Y")</f>
        <v>0.9</v>
      </c>
      <c r="G70" s="13" t="str">
        <f>_xll.BDH("ROG US Equity","TOTAL_RECORDABLE_INCIDENT_RATE","FY 2017","FY 2017","Currency=USD","Period=FY","BEST_FPERIOD_OVERRIDE=FY","FILING_STATUS=MR","Sort=A","Dates=H","DateFormat=P","Fill=—","Direction=H","UseDPDF=Y")</f>
        <v>—</v>
      </c>
      <c r="H70" s="13" t="str">
        <f>_xll.BDH("ROG US Equity","TOTAL_RECORDABLE_INCIDENT_RATE","FY 2018","FY 2018","Currency=USD","Period=FY","BEST_FPERIOD_OVERRIDE=FY","FILING_STATUS=MR","Sort=A","Dates=H","DateFormat=P","Fill=—","Direction=H","UseDPDF=Y")</f>
        <v>—</v>
      </c>
      <c r="I70" s="13" t="str">
        <f>_xll.BDH("ROG US Equity","TOTAL_RECORDABLE_INCIDENT_RATE","FY 2019","FY 2019","Currency=USD","Period=FY","BEST_FPERIOD_OVERRIDE=FY","FILING_STATUS=MR","Sort=A","Dates=H","DateFormat=P","Fill=—","Direction=H","UseDPDF=Y")</f>
        <v>—</v>
      </c>
      <c r="J70" s="13">
        <f>_xll.BDH("ROG US Equity","TOTAL_RECORDABLE_INCIDENT_RATE","FY 2020","FY 2020","Currency=USD","Period=FY","BEST_FPERIOD_OVERRIDE=FY","FILING_STATUS=MR","Sort=A","Dates=H","DateFormat=P","Fill=—","Direction=H","UseDPDF=Y")</f>
        <v>1.3</v>
      </c>
      <c r="K70" s="13" t="str">
        <f>_xll.BDH("ROG US Equity","TOTAL_RECORDABLE_INCIDENT_RATE","FY 2021","FY 2021","Currency=USD","Period=FY","BEST_FPERIOD_OVERRIDE=FY","FILING_STATUS=MR","Sort=A","Dates=H","DateFormat=P","Fill=—","Direction=H","UseDPDF=Y")</f>
        <v>—</v>
      </c>
      <c r="L70" s="13" t="str">
        <f>_xll.BDH("ROG US Equity","TOTAL_RECORDABLE_INCIDENT_RATE","FY 2022","FY 2022","Currency=USD","Period=FY","BEST_FPERIOD_OVERRIDE=FY","FILING_STATUS=MR","Sort=A","Dates=H","DateFormat=P","Fill=—","Direction=H","UseDPDF=Y")</f>
        <v>—</v>
      </c>
    </row>
    <row r="71" spans="1:1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12">
      <c r="A72" s="10" t="s">
        <v>117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1:12">
      <c r="A73" s="10" t="s">
        <v>118</v>
      </c>
      <c r="B73" s="10" t="s">
        <v>119</v>
      </c>
      <c r="C73" s="11" t="s">
        <v>46</v>
      </c>
      <c r="D73" s="11" t="s">
        <v>46</v>
      </c>
      <c r="E73" s="11" t="s">
        <v>46</v>
      </c>
      <c r="F73" s="11" t="s">
        <v>46</v>
      </c>
      <c r="G73" s="11" t="s">
        <v>46</v>
      </c>
      <c r="H73" s="11" t="s">
        <v>46</v>
      </c>
      <c r="I73" s="11" t="s">
        <v>46</v>
      </c>
      <c r="J73" s="11" t="s">
        <v>47</v>
      </c>
      <c r="K73" s="11" t="s">
        <v>47</v>
      </c>
      <c r="L73" s="11" t="s">
        <v>48</v>
      </c>
    </row>
    <row r="74" spans="1:12">
      <c r="A74" s="10" t="s">
        <v>120</v>
      </c>
      <c r="B74" s="10" t="s">
        <v>121</v>
      </c>
      <c r="C74" s="11" t="s">
        <v>46</v>
      </c>
      <c r="D74" s="11" t="s">
        <v>46</v>
      </c>
      <c r="E74" s="11" t="s">
        <v>46</v>
      </c>
      <c r="F74" s="11" t="s">
        <v>46</v>
      </c>
      <c r="G74" s="11" t="s">
        <v>46</v>
      </c>
      <c r="H74" s="11" t="s">
        <v>46</v>
      </c>
      <c r="I74" s="11" t="s">
        <v>46</v>
      </c>
      <c r="J74" s="11" t="s">
        <v>46</v>
      </c>
      <c r="K74" s="11" t="s">
        <v>46</v>
      </c>
      <c r="L74" s="11" t="s">
        <v>48</v>
      </c>
    </row>
    <row r="75" spans="1:12">
      <c r="A75" s="10" t="s">
        <v>122</v>
      </c>
      <c r="B75" s="10" t="s">
        <v>123</v>
      </c>
      <c r="C75" s="13">
        <f>_xll.BDH("ROG US Equity","NUMBER_EMPLOYEES_CSR","FY 2013","FY 2013","Currency=USD","Period=FY","BEST_FPERIOD_OVERRIDE=FY","FILING_STATUS=MR","Sort=A","Dates=H","DateFormat=P","Fill=—","Direction=H","UseDPDF=Y")</f>
        <v>2500</v>
      </c>
      <c r="D75" s="13">
        <f>_xll.BDH("ROG US Equity","NUMBER_EMPLOYEES_CSR","FY 2014","FY 2014","Currency=USD","Period=FY","BEST_FPERIOD_OVERRIDE=FY","FILING_STATUS=MR","Sort=A","Dates=H","DateFormat=P","Fill=—","Direction=H","UseDPDF=Y")</f>
        <v>2800</v>
      </c>
      <c r="E75" s="13">
        <f>_xll.BDH("ROG US Equity","NUMBER_EMPLOYEES_CSR","FY 2015","FY 2015","Currency=USD","Period=FY","BEST_FPERIOD_OVERRIDE=FY","FILING_STATUS=MR","Sort=A","Dates=H","DateFormat=P","Fill=—","Direction=H","UseDPDF=Y")</f>
        <v>2800</v>
      </c>
      <c r="F75" s="13">
        <f>_xll.BDH("ROG US Equity","NUMBER_EMPLOYEES_CSR","FY 2016","FY 2016","Currency=USD","Period=FY","BEST_FPERIOD_OVERRIDE=FY","FILING_STATUS=MR","Sort=A","Dates=H","DateFormat=P","Fill=—","Direction=H","UseDPDF=Y")</f>
        <v>3100</v>
      </c>
      <c r="G75" s="13">
        <f>_xll.BDH("ROG US Equity","NUMBER_EMPLOYEES_CSR","FY 2017","FY 2017","Currency=USD","Period=FY","BEST_FPERIOD_OVERRIDE=FY","FILING_STATUS=MR","Sort=A","Dates=H","DateFormat=P","Fill=—","Direction=H","UseDPDF=Y")</f>
        <v>3400</v>
      </c>
      <c r="H75" s="13">
        <f>_xll.BDH("ROG US Equity","NUMBER_EMPLOYEES_CSR","FY 2018","FY 2018","Currency=USD","Period=FY","BEST_FPERIOD_OVERRIDE=FY","FILING_STATUS=MR","Sort=A","Dates=H","DateFormat=P","Fill=—","Direction=H","UseDPDF=Y")</f>
        <v>3700</v>
      </c>
      <c r="I75" s="13">
        <f>_xll.BDH("ROG US Equity","NUMBER_EMPLOYEES_CSR","FY 2019","FY 2019","Currency=USD","Period=FY","BEST_FPERIOD_OVERRIDE=FY","FILING_STATUS=MR","Sort=A","Dates=H","DateFormat=P","Fill=—","Direction=H","UseDPDF=Y")</f>
        <v>3600</v>
      </c>
      <c r="J75" s="13">
        <f>_xll.BDH("ROG US Equity","NUMBER_EMPLOYEES_CSR","FY 2020","FY 2020","Currency=USD","Period=FY","BEST_FPERIOD_OVERRIDE=FY","FILING_STATUS=MR","Sort=A","Dates=H","DateFormat=P","Fill=—","Direction=H","UseDPDF=Y")</f>
        <v>3350</v>
      </c>
      <c r="K75" s="13">
        <f>_xll.BDH("ROG US Equity","NUMBER_EMPLOYEES_CSR","FY 2021","FY 2021","Currency=USD","Period=FY","BEST_FPERIOD_OVERRIDE=FY","FILING_STATUS=MR","Sort=A","Dates=H","DateFormat=P","Fill=—","Direction=H","UseDPDF=Y")</f>
        <v>3675</v>
      </c>
      <c r="L75" s="13">
        <f>_xll.BDH("ROG US Equity","NUMBER_EMPLOYEES_CSR","FY 2022","FY 2022","Currency=USD","Period=FY","BEST_FPERIOD_OVERRIDE=FY","FILING_STATUS=MR","Sort=A","Dates=H","DateFormat=P","Fill=—","Direction=H","UseDPDF=Y")</f>
        <v>3800</v>
      </c>
    </row>
    <row r="76" spans="1:12">
      <c r="A76" s="10" t="s">
        <v>124</v>
      </c>
      <c r="B76" s="10" t="s">
        <v>125</v>
      </c>
      <c r="C76" s="13" t="str">
        <f>_xll.BDH("ROG US Equity","PCT_EMPLOYEES_UNIONIZED","FY 2013","FY 2013","Currency=USD","Period=FY","BEST_FPERIOD_OVERRIDE=FY","FILING_STATUS=MR","Sort=A","Dates=H","DateFormat=P","Fill=—","Direction=H","UseDPDF=Y")</f>
        <v>—</v>
      </c>
      <c r="D76" s="13" t="str">
        <f>_xll.BDH("ROG US Equity","PCT_EMPLOYEES_UNIONIZED","FY 2014","FY 2014","Currency=USD","Period=FY","BEST_FPERIOD_OVERRIDE=FY","FILING_STATUS=MR","Sort=A","Dates=H","DateFormat=P","Fill=—","Direction=H","UseDPDF=Y")</f>
        <v>—</v>
      </c>
      <c r="E76" s="13" t="str">
        <f>_xll.BDH("ROG US Equity","PCT_EMPLOYEES_UNIONIZED","FY 2015","FY 2015","Currency=USD","Period=FY","BEST_FPERIOD_OVERRIDE=FY","FILING_STATUS=MR","Sort=A","Dates=H","DateFormat=P","Fill=—","Direction=H","UseDPDF=Y")</f>
        <v>—</v>
      </c>
      <c r="F76" s="13" t="str">
        <f>_xll.BDH("ROG US Equity","PCT_EMPLOYEES_UNIONIZED","FY 2016","FY 2016","Currency=USD","Period=FY","BEST_FPERIOD_OVERRIDE=FY","FILING_STATUS=MR","Sort=A","Dates=H","DateFormat=P","Fill=—","Direction=H","UseDPDF=Y")</f>
        <v>—</v>
      </c>
      <c r="G76" s="13" t="str">
        <f>_xll.BDH("ROG US Equity","PCT_EMPLOYEES_UNIONIZED","FY 2017","FY 2017","Currency=USD","Period=FY","BEST_FPERIOD_OVERRIDE=FY","FILING_STATUS=MR","Sort=A","Dates=H","DateFormat=P","Fill=—","Direction=H","UseDPDF=Y")</f>
        <v>—</v>
      </c>
      <c r="H76" s="13" t="str">
        <f>_xll.BDH("ROG US Equity","PCT_EMPLOYEES_UNIONIZED","FY 2018","FY 2018","Currency=USD","Period=FY","BEST_FPERIOD_OVERRIDE=FY","FILING_STATUS=MR","Sort=A","Dates=H","DateFormat=P","Fill=—","Direction=H","UseDPDF=Y")</f>
        <v>—</v>
      </c>
      <c r="I76" s="13" t="str">
        <f>_xll.BDH("ROG US Equity","PCT_EMPLOYEES_UNIONIZED","FY 2019","FY 2019","Currency=USD","Period=FY","BEST_FPERIOD_OVERRIDE=FY","FILING_STATUS=MR","Sort=A","Dates=H","DateFormat=P","Fill=—","Direction=H","UseDPDF=Y")</f>
        <v>—</v>
      </c>
      <c r="J76" s="13">
        <f>_xll.BDH("ROG US Equity","PCT_EMPLOYEES_UNIONIZED","FY 2020","FY 2020","Currency=USD","Period=FY","BEST_FPERIOD_OVERRIDE=FY","FILING_STATUS=MR","Sort=A","Dates=H","DateFormat=P","Fill=—","Direction=H","UseDPDF=Y")</f>
        <v>11.19</v>
      </c>
      <c r="K76" s="13">
        <f>_xll.BDH("ROG US Equity","PCT_EMPLOYEES_UNIONIZED","FY 2021","FY 2021","Currency=USD","Period=FY","BEST_FPERIOD_OVERRIDE=FY","FILING_STATUS=MR","Sort=A","Dates=H","DateFormat=P","Fill=—","Direction=H","UseDPDF=Y")</f>
        <v>11.56</v>
      </c>
      <c r="L76" s="13">
        <f>_xll.BDH("ROG US Equity","PCT_EMPLOYEES_UNIONIZED","FY 2022","FY 2022","Currency=USD","Period=FY","BEST_FPERIOD_OVERRIDE=FY","FILING_STATUS=MR","Sort=A","Dates=H","DateFormat=P","Fill=—","Direction=H","UseDPDF=Y")</f>
        <v>10.53</v>
      </c>
    </row>
    <row r="77" spans="1:1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1:12">
      <c r="A78" s="10" t="s">
        <v>82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1:12">
      <c r="A79" s="10" t="s">
        <v>126</v>
      </c>
      <c r="B79" s="10" t="s">
        <v>127</v>
      </c>
      <c r="C79" s="11" t="s">
        <v>46</v>
      </c>
      <c r="D79" s="11" t="s">
        <v>46</v>
      </c>
      <c r="E79" s="11" t="s">
        <v>46</v>
      </c>
      <c r="F79" s="11" t="s">
        <v>47</v>
      </c>
      <c r="G79" s="11" t="s">
        <v>47</v>
      </c>
      <c r="H79" s="11" t="s">
        <v>47</v>
      </c>
      <c r="I79" s="11" t="s">
        <v>47</v>
      </c>
      <c r="J79" s="11" t="s">
        <v>47</v>
      </c>
      <c r="K79" s="11" t="s">
        <v>47</v>
      </c>
      <c r="L79" s="11" t="s">
        <v>48</v>
      </c>
    </row>
    <row r="80" spans="1:1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>
      <c r="A81" s="10" t="s">
        <v>128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1:12">
      <c r="A82" s="10" t="s">
        <v>129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1:12">
      <c r="A83" s="10" t="s">
        <v>130</v>
      </c>
      <c r="B83" s="10" t="s">
        <v>131</v>
      </c>
      <c r="C83" s="13" t="str">
        <f>_xll.BDH("ROG US Equity","YEARS_AUDITOR_EMPLOYED","FY 2013","FY 2013","Currency=USD","Period=FY","BEST_FPERIOD_OVERRIDE=FY","FILING_STATUS=MR","Sort=A","Dates=H","DateFormat=P","Fill=—","Direction=H","UseDPDF=Y")</f>
        <v>—</v>
      </c>
      <c r="D83" s="13" t="str">
        <f>_xll.BDH("ROG US Equity","YEARS_AUDITOR_EMPLOYED","FY 2014","FY 2014","Currency=USD","Period=FY","BEST_FPERIOD_OVERRIDE=FY","FILING_STATUS=MR","Sort=A","Dates=H","DateFormat=P","Fill=—","Direction=H","UseDPDF=Y")</f>
        <v>—</v>
      </c>
      <c r="E83" s="13">
        <f>_xll.BDH("ROG US Equity","YEARS_AUDITOR_EMPLOYED","FY 2015","FY 2015","Currency=USD","Period=FY","BEST_FPERIOD_OVERRIDE=FY","FILING_STATUS=MR","Sort=A","Dates=H","DateFormat=P","Fill=—","Direction=H","UseDPDF=Y")</f>
        <v>1</v>
      </c>
      <c r="F83" s="13">
        <f>_xll.BDH("ROG US Equity","YEARS_AUDITOR_EMPLOYED","FY 2016","FY 2016","Currency=USD","Period=FY","BEST_FPERIOD_OVERRIDE=FY","FILING_STATUS=MR","Sort=A","Dates=H","DateFormat=P","Fill=—","Direction=H","UseDPDF=Y")</f>
        <v>2</v>
      </c>
      <c r="G83" s="13">
        <f>_xll.BDH("ROG US Equity","YEARS_AUDITOR_EMPLOYED","FY 2017","FY 2017","Currency=USD","Period=FY","BEST_FPERIOD_OVERRIDE=FY","FILING_STATUS=MR","Sort=A","Dates=H","DateFormat=P","Fill=—","Direction=H","UseDPDF=Y")</f>
        <v>3</v>
      </c>
      <c r="H83" s="13">
        <f>_xll.BDH("ROG US Equity","YEARS_AUDITOR_EMPLOYED","FY 2018","FY 2018","Currency=USD","Period=FY","BEST_FPERIOD_OVERRIDE=FY","FILING_STATUS=MR","Sort=A","Dates=H","DateFormat=P","Fill=—","Direction=H","UseDPDF=Y")</f>
        <v>4</v>
      </c>
      <c r="I83" s="13">
        <f>_xll.BDH("ROG US Equity","YEARS_AUDITOR_EMPLOYED","FY 2019","FY 2019","Currency=USD","Period=FY","BEST_FPERIOD_OVERRIDE=FY","FILING_STATUS=MR","Sort=A","Dates=H","DateFormat=P","Fill=—","Direction=H","UseDPDF=Y")</f>
        <v>5</v>
      </c>
      <c r="J83" s="13">
        <f>_xll.BDH("ROG US Equity","YEARS_AUDITOR_EMPLOYED","FY 2020","FY 2020","Currency=USD","Period=FY","BEST_FPERIOD_OVERRIDE=FY","FILING_STATUS=MR","Sort=A","Dates=H","DateFormat=P","Fill=—","Direction=H","UseDPDF=Y")</f>
        <v>6</v>
      </c>
      <c r="K83" s="13">
        <f>_xll.BDH("ROG US Equity","YEARS_AUDITOR_EMPLOYED","FY 2021","FY 2021","Currency=USD","Period=FY","BEST_FPERIOD_OVERRIDE=FY","FILING_STATUS=MR","Sort=A","Dates=H","DateFormat=P","Fill=—","Direction=H","UseDPDF=Y")</f>
        <v>7</v>
      </c>
      <c r="L83" s="13">
        <f>_xll.BDH("ROG US Equity","YEARS_AUDITOR_EMPLOYED","FY 2022","FY 2022","Currency=USD","Period=FY","BEST_FPERIOD_OVERRIDE=FY","FILING_STATUS=MR","Sort=A","Dates=H","DateFormat=P","Fill=—","Direction=H","UseDPDF=Y")</f>
        <v>8</v>
      </c>
    </row>
    <row r="84" spans="1:12">
      <c r="A84" s="10" t="s">
        <v>132</v>
      </c>
      <c r="B84" s="10" t="s">
        <v>133</v>
      </c>
      <c r="C84" s="13">
        <f>_xll.BDH("ROG US Equity","SIZE_OF_AUDIT_COMMITTEE","FY 2013","FY 2013","Currency=USD","Period=FY","BEST_FPERIOD_OVERRIDE=FY","FILING_STATUS=MR","Sort=A","Dates=H","DateFormat=P","Fill=—","Direction=H","UseDPDF=Y")</f>
        <v>4</v>
      </c>
      <c r="D84" s="13">
        <f>_xll.BDH("ROG US Equity","SIZE_OF_AUDIT_COMMITTEE","FY 2014","FY 2014","Currency=USD","Period=FY","BEST_FPERIOD_OVERRIDE=FY","FILING_STATUS=MR","Sort=A","Dates=H","DateFormat=P","Fill=—","Direction=H","UseDPDF=Y")</f>
        <v>5</v>
      </c>
      <c r="E84" s="13">
        <f>_xll.BDH("ROG US Equity","SIZE_OF_AUDIT_COMMITTEE","FY 2015","FY 2015","Currency=USD","Period=FY","BEST_FPERIOD_OVERRIDE=FY","FILING_STATUS=MR","Sort=A","Dates=H","DateFormat=P","Fill=—","Direction=H","UseDPDF=Y")</f>
        <v>5</v>
      </c>
      <c r="F84" s="13">
        <f>_xll.BDH("ROG US Equity","SIZE_OF_AUDIT_COMMITTEE","FY 2016","FY 2016","Currency=USD","Period=FY","BEST_FPERIOD_OVERRIDE=FY","FILING_STATUS=MR","Sort=A","Dates=H","DateFormat=P","Fill=—","Direction=H","UseDPDF=Y")</f>
        <v>5</v>
      </c>
      <c r="G84" s="13">
        <f>_xll.BDH("ROG US Equity","SIZE_OF_AUDIT_COMMITTEE","FY 2017","FY 2017","Currency=USD","Period=FY","BEST_FPERIOD_OVERRIDE=FY","FILING_STATUS=MR","Sort=A","Dates=H","DateFormat=P","Fill=—","Direction=H","UseDPDF=Y")</f>
        <v>5</v>
      </c>
      <c r="H84" s="13">
        <f>_xll.BDH("ROG US Equity","SIZE_OF_AUDIT_COMMITTEE","FY 2018","FY 2018","Currency=USD","Period=FY","BEST_FPERIOD_OVERRIDE=FY","FILING_STATUS=MR","Sort=A","Dates=H","DateFormat=P","Fill=—","Direction=H","UseDPDF=Y")</f>
        <v>5</v>
      </c>
      <c r="I84" s="13">
        <f>_xll.BDH("ROG US Equity","SIZE_OF_AUDIT_COMMITTEE","FY 2019","FY 2019","Currency=USD","Period=FY","BEST_FPERIOD_OVERRIDE=FY","FILING_STATUS=MR","Sort=A","Dates=H","DateFormat=P","Fill=—","Direction=H","UseDPDF=Y")</f>
        <v>5</v>
      </c>
      <c r="J84" s="13">
        <f>_xll.BDH("ROG US Equity","SIZE_OF_AUDIT_COMMITTEE","FY 2020","FY 2020","Currency=USD","Period=FY","BEST_FPERIOD_OVERRIDE=FY","FILING_STATUS=MR","Sort=A","Dates=H","DateFormat=P","Fill=—","Direction=H","UseDPDF=Y")</f>
        <v>5</v>
      </c>
      <c r="K84" s="13">
        <f>_xll.BDH("ROG US Equity","SIZE_OF_AUDIT_COMMITTEE","FY 2021","FY 2021","Currency=USD","Period=FY","BEST_FPERIOD_OVERRIDE=FY","FILING_STATUS=MR","Sort=A","Dates=H","DateFormat=P","Fill=—","Direction=H","UseDPDF=Y")</f>
        <v>6</v>
      </c>
      <c r="L84" s="13">
        <f>_xll.BDH("ROG US Equity","SIZE_OF_AUDIT_COMMITTEE","FY 2022","FY 2022","Currency=USD","Period=FY","BEST_FPERIOD_OVERRIDE=FY","FILING_STATUS=MR","Sort=A","Dates=H","DateFormat=P","Fill=—","Direction=H","UseDPDF=Y")</f>
        <v>8</v>
      </c>
    </row>
    <row r="85" spans="1:12">
      <c r="A85" s="10" t="s">
        <v>134</v>
      </c>
      <c r="B85" s="10" t="s">
        <v>135</v>
      </c>
      <c r="C85" s="13">
        <f>_xll.BDH("ROG US Equity","NUM_IND_DIR_ON_AUD_CMTE","FY 2013","FY 2013","Currency=USD","Period=FY","BEST_FPERIOD_OVERRIDE=FY","FILING_STATUS=MR","Sort=A","Dates=H","DateFormat=P","Fill=—","Direction=H","UseDPDF=Y")</f>
        <v>4</v>
      </c>
      <c r="D85" s="13">
        <f>_xll.BDH("ROG US Equity","NUM_IND_DIR_ON_AUD_CMTE","FY 2014","FY 2014","Currency=USD","Period=FY","BEST_FPERIOD_OVERRIDE=FY","FILING_STATUS=MR","Sort=A","Dates=H","DateFormat=P","Fill=—","Direction=H","UseDPDF=Y")</f>
        <v>5</v>
      </c>
      <c r="E85" s="13">
        <f>_xll.BDH("ROG US Equity","NUM_IND_DIR_ON_AUD_CMTE","FY 2015","FY 2015","Currency=USD","Period=FY","BEST_FPERIOD_OVERRIDE=FY","FILING_STATUS=MR","Sort=A","Dates=H","DateFormat=P","Fill=—","Direction=H","UseDPDF=Y")</f>
        <v>5</v>
      </c>
      <c r="F85" s="13">
        <f>_xll.BDH("ROG US Equity","NUM_IND_DIR_ON_AUD_CMTE","FY 2016","FY 2016","Currency=USD","Period=FY","BEST_FPERIOD_OVERRIDE=FY","FILING_STATUS=MR","Sort=A","Dates=H","DateFormat=P","Fill=—","Direction=H","UseDPDF=Y")</f>
        <v>5</v>
      </c>
      <c r="G85" s="13">
        <f>_xll.BDH("ROG US Equity","NUM_IND_DIR_ON_AUD_CMTE","FY 2017","FY 2017","Currency=USD","Period=FY","BEST_FPERIOD_OVERRIDE=FY","FILING_STATUS=MR","Sort=A","Dates=H","DateFormat=P","Fill=—","Direction=H","UseDPDF=Y")</f>
        <v>5</v>
      </c>
      <c r="H85" s="13">
        <f>_xll.BDH("ROG US Equity","NUM_IND_DIR_ON_AUD_CMTE","FY 2018","FY 2018","Currency=USD","Period=FY","BEST_FPERIOD_OVERRIDE=FY","FILING_STATUS=MR","Sort=A","Dates=H","DateFormat=P","Fill=—","Direction=H","UseDPDF=Y")</f>
        <v>5</v>
      </c>
      <c r="I85" s="13">
        <f>_xll.BDH("ROG US Equity","NUM_IND_DIR_ON_AUD_CMTE","FY 2019","FY 2019","Currency=USD","Period=FY","BEST_FPERIOD_OVERRIDE=FY","FILING_STATUS=MR","Sort=A","Dates=H","DateFormat=P","Fill=—","Direction=H","UseDPDF=Y")</f>
        <v>5</v>
      </c>
      <c r="J85" s="13">
        <f>_xll.BDH("ROG US Equity","NUM_IND_DIR_ON_AUD_CMTE","FY 2020","FY 2020","Currency=USD","Period=FY","BEST_FPERIOD_OVERRIDE=FY","FILING_STATUS=MR","Sort=A","Dates=H","DateFormat=P","Fill=—","Direction=H","UseDPDF=Y")</f>
        <v>5</v>
      </c>
      <c r="K85" s="13">
        <f>_xll.BDH("ROG US Equity","NUM_IND_DIR_ON_AUD_CMTE","FY 2021","FY 2021","Currency=USD","Period=FY","BEST_FPERIOD_OVERRIDE=FY","FILING_STATUS=MR","Sort=A","Dates=H","DateFormat=P","Fill=—","Direction=H","UseDPDF=Y")</f>
        <v>6</v>
      </c>
      <c r="L85" s="13">
        <f>_xll.BDH("ROG US Equity","NUM_IND_DIR_ON_AUD_CMTE","FY 2022","FY 2022","Currency=USD","Period=FY","BEST_FPERIOD_OVERRIDE=FY","FILING_STATUS=MR","Sort=A","Dates=H","DateFormat=P","Fill=—","Direction=H","UseDPDF=Y")</f>
        <v>8</v>
      </c>
    </row>
    <row r="86" spans="1:12">
      <c r="A86" s="10" t="s">
        <v>136</v>
      </c>
      <c r="B86" s="10" t="s">
        <v>137</v>
      </c>
      <c r="C86" s="13">
        <f>_xll.BDH("ROG US Equity","AUDIT_COMMITTEE_MEETINGS","FY 2013","FY 2013","Currency=USD","Period=FY","BEST_FPERIOD_OVERRIDE=FY","FILING_STATUS=MR","Sort=A","Dates=H","DateFormat=P","Fill=—","Direction=H","UseDPDF=Y")</f>
        <v>5</v>
      </c>
      <c r="D86" s="13">
        <f>_xll.BDH("ROG US Equity","AUDIT_COMMITTEE_MEETINGS","FY 2014","FY 2014","Currency=USD","Period=FY","BEST_FPERIOD_OVERRIDE=FY","FILING_STATUS=MR","Sort=A","Dates=H","DateFormat=P","Fill=—","Direction=H","UseDPDF=Y")</f>
        <v>8</v>
      </c>
      <c r="E86" s="13">
        <f>_xll.BDH("ROG US Equity","AUDIT_COMMITTEE_MEETINGS","FY 2015","FY 2015","Currency=USD","Period=FY","BEST_FPERIOD_OVERRIDE=FY","FILING_STATUS=MR","Sort=A","Dates=H","DateFormat=P","Fill=—","Direction=H","UseDPDF=Y")</f>
        <v>10</v>
      </c>
      <c r="F86" s="13">
        <f>_xll.BDH("ROG US Equity","AUDIT_COMMITTEE_MEETINGS","FY 2016","FY 2016","Currency=USD","Period=FY","BEST_FPERIOD_OVERRIDE=FY","FILING_STATUS=MR","Sort=A","Dates=H","DateFormat=P","Fill=—","Direction=H","UseDPDF=Y")</f>
        <v>8</v>
      </c>
      <c r="G86" s="13">
        <f>_xll.BDH("ROG US Equity","AUDIT_COMMITTEE_MEETINGS","FY 2017","FY 2017","Currency=USD","Period=FY","BEST_FPERIOD_OVERRIDE=FY","FILING_STATUS=MR","Sort=A","Dates=H","DateFormat=P","Fill=—","Direction=H","UseDPDF=Y")</f>
        <v>9</v>
      </c>
      <c r="H86" s="13">
        <f>_xll.BDH("ROG US Equity","AUDIT_COMMITTEE_MEETINGS","FY 2018","FY 2018","Currency=USD","Period=FY","BEST_FPERIOD_OVERRIDE=FY","FILING_STATUS=MR","Sort=A","Dates=H","DateFormat=P","Fill=—","Direction=H","UseDPDF=Y")</f>
        <v>9</v>
      </c>
      <c r="I86" s="13">
        <f>_xll.BDH("ROG US Equity","AUDIT_COMMITTEE_MEETINGS","FY 2019","FY 2019","Currency=USD","Period=FY","BEST_FPERIOD_OVERRIDE=FY","FILING_STATUS=MR","Sort=A","Dates=H","DateFormat=P","Fill=—","Direction=H","UseDPDF=Y")</f>
        <v>9</v>
      </c>
      <c r="J86" s="13">
        <f>_xll.BDH("ROG US Equity","AUDIT_COMMITTEE_MEETINGS","FY 2020","FY 2020","Currency=USD","Period=FY","BEST_FPERIOD_OVERRIDE=FY","FILING_STATUS=MR","Sort=A","Dates=H","DateFormat=P","Fill=—","Direction=H","UseDPDF=Y")</f>
        <v>10</v>
      </c>
      <c r="K86" s="13" t="str">
        <f>_xll.BDH("ROG US Equity","AUDIT_COMMITTEE_MEETINGS","FY 2021","FY 2021","Currency=USD","Period=FY","BEST_FPERIOD_OVERRIDE=FY","FILING_STATUS=MR","Sort=A","Dates=H","DateFormat=P","Fill=—","Direction=H","UseDPDF=Y")</f>
        <v>—</v>
      </c>
      <c r="L86" s="13">
        <f>_xll.BDH("ROG US Equity","AUDIT_COMMITTEE_MEETINGS","FY 2022","FY 2022","Currency=USD","Period=FY","BEST_FPERIOD_OVERRIDE=FY","FILING_STATUS=MR","Sort=A","Dates=H","DateFormat=P","Fill=—","Direction=H","UseDPDF=Y")</f>
        <v>9</v>
      </c>
    </row>
    <row r="87" spans="1:12">
      <c r="A87" s="10" t="s">
        <v>138</v>
      </c>
      <c r="B87" s="10" t="s">
        <v>139</v>
      </c>
      <c r="C87" s="13">
        <f>_xll.BDH("ROG US Equity","AUDIT_COMMITTEE_MTG_ATTEND_PCT","FY 2013","FY 2013","Currency=USD","Period=FY","BEST_FPERIOD_OVERRIDE=FY","FILING_STATUS=MR","Sort=A","Dates=H","DateFormat=P","Fill=—","Direction=H","UseDPDF=Y")</f>
        <v>75</v>
      </c>
      <c r="D87" s="13">
        <f>_xll.BDH("ROG US Equity","AUDIT_COMMITTEE_MTG_ATTEND_PCT","FY 2014","FY 2014","Currency=USD","Period=FY","BEST_FPERIOD_OVERRIDE=FY","FILING_STATUS=MR","Sort=A","Dates=H","DateFormat=P","Fill=—","Direction=H","UseDPDF=Y")</f>
        <v>75</v>
      </c>
      <c r="E87" s="13">
        <f>_xll.BDH("ROG US Equity","AUDIT_COMMITTEE_MTG_ATTEND_PCT","FY 2015","FY 2015","Currency=USD","Period=FY","BEST_FPERIOD_OVERRIDE=FY","FILING_STATUS=MR","Sort=A","Dates=H","DateFormat=P","Fill=—","Direction=H","UseDPDF=Y")</f>
        <v>75</v>
      </c>
      <c r="F87" s="13">
        <f>_xll.BDH("ROG US Equity","AUDIT_COMMITTEE_MTG_ATTEND_PCT","FY 2016","FY 2016","Currency=USD","Period=FY","BEST_FPERIOD_OVERRIDE=FY","FILING_STATUS=MR","Sort=A","Dates=H","DateFormat=P","Fill=—","Direction=H","UseDPDF=Y")</f>
        <v>75</v>
      </c>
      <c r="G87" s="13">
        <f>_xll.BDH("ROG US Equity","AUDIT_COMMITTEE_MTG_ATTEND_PCT","FY 2017","FY 2017","Currency=USD","Period=FY","BEST_FPERIOD_OVERRIDE=FY","FILING_STATUS=MR","Sort=A","Dates=H","DateFormat=P","Fill=—","Direction=H","UseDPDF=Y")</f>
        <v>75</v>
      </c>
      <c r="H87" s="13">
        <f>_xll.BDH("ROG US Equity","AUDIT_COMMITTEE_MTG_ATTEND_PCT","FY 2018","FY 2018","Currency=USD","Period=FY","BEST_FPERIOD_OVERRIDE=FY","FILING_STATUS=MR","Sort=A","Dates=H","DateFormat=P","Fill=—","Direction=H","UseDPDF=Y")</f>
        <v>75</v>
      </c>
      <c r="I87" s="13">
        <f>_xll.BDH("ROG US Equity","AUDIT_COMMITTEE_MTG_ATTEND_PCT","FY 2019","FY 2019","Currency=USD","Period=FY","BEST_FPERIOD_OVERRIDE=FY","FILING_STATUS=MR","Sort=A","Dates=H","DateFormat=P","Fill=—","Direction=H","UseDPDF=Y")</f>
        <v>95</v>
      </c>
      <c r="J87" s="13">
        <f>_xll.BDH("ROG US Equity","AUDIT_COMMITTEE_MTG_ATTEND_PCT","FY 2020","FY 2020","Currency=USD","Period=FY","BEST_FPERIOD_OVERRIDE=FY","FILING_STATUS=MR","Sort=A","Dates=H","DateFormat=P","Fill=—","Direction=H","UseDPDF=Y")</f>
        <v>100</v>
      </c>
      <c r="K87" s="13" t="str">
        <f>_xll.BDH("ROG US Equity","AUDIT_COMMITTEE_MTG_ATTEND_PCT","FY 2021","FY 2021","Currency=USD","Period=FY","BEST_FPERIOD_OVERRIDE=FY","FILING_STATUS=MR","Sort=A","Dates=H","DateFormat=P","Fill=—","Direction=H","UseDPDF=Y")</f>
        <v>—</v>
      </c>
      <c r="L87" s="13">
        <f>_xll.BDH("ROG US Equity","AUDIT_COMMITTEE_MTG_ATTEND_PCT","FY 2022","FY 2022","Currency=USD","Period=FY","BEST_FPERIOD_OVERRIDE=FY","FILING_STATUS=MR","Sort=A","Dates=H","DateFormat=P","Fill=—","Direction=H","UseDPDF=Y")</f>
        <v>75</v>
      </c>
    </row>
    <row r="88" spans="1:12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1:12">
      <c r="A89" s="10" t="s">
        <v>140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>
      <c r="A90" s="10" t="s">
        <v>141</v>
      </c>
      <c r="B90" s="10" t="s">
        <v>142</v>
      </c>
      <c r="C90" s="11" t="s">
        <v>48</v>
      </c>
      <c r="D90" s="11" t="s">
        <v>48</v>
      </c>
      <c r="E90" s="11" t="s">
        <v>47</v>
      </c>
      <c r="F90" s="11" t="s">
        <v>47</v>
      </c>
      <c r="G90" s="11" t="s">
        <v>47</v>
      </c>
      <c r="H90" s="11" t="s">
        <v>47</v>
      </c>
      <c r="I90" s="11" t="s">
        <v>47</v>
      </c>
      <c r="J90" s="11" t="s">
        <v>47</v>
      </c>
      <c r="K90" s="11" t="s">
        <v>47</v>
      </c>
      <c r="L90" s="11" t="s">
        <v>47</v>
      </c>
    </row>
    <row r="91" spans="1:12">
      <c r="A91" s="10" t="s">
        <v>143</v>
      </c>
      <c r="B91" s="10" t="s">
        <v>144</v>
      </c>
      <c r="C91" s="13">
        <f>_xll.BDH("ROG US Equity","BOARD_SIZE","FY 2013","FY 2013","Currency=USD","Period=FY","BEST_FPERIOD_OVERRIDE=FY","FILING_STATUS=MR","Sort=A","Dates=H","DateFormat=P","Fill=—","Direction=H","UseDPDF=Y")</f>
        <v>9</v>
      </c>
      <c r="D91" s="13">
        <f>_xll.BDH("ROG US Equity","BOARD_SIZE","FY 2014","FY 2014","Currency=USD","Period=FY","BEST_FPERIOD_OVERRIDE=FY","FILING_STATUS=MR","Sort=A","Dates=H","DateFormat=P","Fill=—","Direction=H","UseDPDF=Y")</f>
        <v>9</v>
      </c>
      <c r="E91" s="13">
        <f>_xll.BDH("ROG US Equity","BOARD_SIZE","FY 2015","FY 2015","Currency=USD","Period=FY","BEST_FPERIOD_OVERRIDE=FY","FILING_STATUS=MR","Sort=A","Dates=H","DateFormat=P","Fill=—","Direction=H","UseDPDF=Y")</f>
        <v>9</v>
      </c>
      <c r="F91" s="13">
        <f>_xll.BDH("ROG US Equity","BOARD_SIZE","FY 2016","FY 2016","Currency=USD","Period=FY","BEST_FPERIOD_OVERRIDE=FY","FILING_STATUS=MR","Sort=A","Dates=H","DateFormat=P","Fill=—","Direction=H","UseDPDF=Y")</f>
        <v>8</v>
      </c>
      <c r="G91" s="13">
        <f>_xll.BDH("ROG US Equity","BOARD_SIZE","FY 2017","FY 2017","Currency=USD","Period=FY","BEST_FPERIOD_OVERRIDE=FY","FILING_STATUS=MR","Sort=A","Dates=H","DateFormat=P","Fill=—","Direction=H","UseDPDF=Y")</f>
        <v>8</v>
      </c>
      <c r="H91" s="13">
        <f>_xll.BDH("ROG US Equity","BOARD_SIZE","FY 2018","FY 2018","Currency=USD","Period=FY","BEST_FPERIOD_OVERRIDE=FY","FILING_STATUS=MR","Sort=A","Dates=H","DateFormat=P","Fill=—","Direction=H","UseDPDF=Y")</f>
        <v>8</v>
      </c>
      <c r="I91" s="13">
        <f>_xll.BDH("ROG US Equity","BOARD_SIZE","FY 2019","FY 2019","Currency=USD","Period=FY","BEST_FPERIOD_OVERRIDE=FY","FILING_STATUS=MR","Sort=A","Dates=H","DateFormat=P","Fill=—","Direction=H","UseDPDF=Y")</f>
        <v>8</v>
      </c>
      <c r="J91" s="13">
        <f>_xll.BDH("ROG US Equity","BOARD_SIZE","FY 2020","FY 2020","Currency=USD","Period=FY","BEST_FPERIOD_OVERRIDE=FY","FILING_STATUS=MR","Sort=A","Dates=H","DateFormat=P","Fill=—","Direction=H","UseDPDF=Y")</f>
        <v>9</v>
      </c>
      <c r="K91" s="13">
        <f>_xll.BDH("ROG US Equity","BOARD_SIZE","FY 2021","FY 2021","Currency=USD","Period=FY","BEST_FPERIOD_OVERRIDE=FY","FILING_STATUS=MR","Sort=A","Dates=H","DateFormat=P","Fill=—","Direction=H","UseDPDF=Y")</f>
        <v>9</v>
      </c>
      <c r="L91" s="13">
        <f>_xll.BDH("ROG US Equity","BOARD_SIZE","FY 2022","FY 2022","Currency=USD","Period=FY","BEST_FPERIOD_OVERRIDE=FY","FILING_STATUS=MR","Sort=A","Dates=H","DateFormat=P","Fill=—","Direction=H","UseDPDF=Y")</f>
        <v>9</v>
      </c>
    </row>
    <row r="92" spans="1:12">
      <c r="A92" s="10" t="s">
        <v>145</v>
      </c>
      <c r="B92" s="10" t="s">
        <v>146</v>
      </c>
      <c r="C92" s="13">
        <f>_xll.BDH("ROG US Equity","NUM_EXECUTIVES_COMP_MANAGERS","FY 2013","FY 2013","Currency=USD","Period=FY","BEST_FPERIOD_OVERRIDE=FY","FILING_STATUS=MR","Sort=A","Dates=H","DateFormat=P","Fill=—","Direction=H","UseDPDF=Y")</f>
        <v>11</v>
      </c>
      <c r="D92" s="13">
        <f>_xll.BDH("ROG US Equity","NUM_EXECUTIVES_COMP_MANAGERS","FY 2014","FY 2014","Currency=USD","Period=FY","BEST_FPERIOD_OVERRIDE=FY","FILING_STATUS=MR","Sort=A","Dates=H","DateFormat=P","Fill=—","Direction=H","UseDPDF=Y")</f>
        <v>9</v>
      </c>
      <c r="E92" s="13">
        <f>_xll.BDH("ROG US Equity","NUM_EXECUTIVES_COMP_MANAGERS","FY 2015","FY 2015","Currency=USD","Period=FY","BEST_FPERIOD_OVERRIDE=FY","FILING_STATUS=MR","Sort=A","Dates=H","DateFormat=P","Fill=—","Direction=H","UseDPDF=Y")</f>
        <v>8</v>
      </c>
      <c r="F92" s="13">
        <f>_xll.BDH("ROG US Equity","NUM_EXECUTIVES_COMP_MANAGERS","FY 2016","FY 2016","Currency=USD","Period=FY","BEST_FPERIOD_OVERRIDE=FY","FILING_STATUS=MR","Sort=A","Dates=H","DateFormat=P","Fill=—","Direction=H","UseDPDF=Y")</f>
        <v>8</v>
      </c>
      <c r="G92" s="13">
        <f>_xll.BDH("ROG US Equity","NUM_EXECUTIVES_COMP_MANAGERS","FY 2017","FY 2017","Currency=USD","Period=FY","BEST_FPERIOD_OVERRIDE=FY","FILING_STATUS=MR","Sort=A","Dates=H","DateFormat=P","Fill=—","Direction=H","UseDPDF=Y")</f>
        <v>9</v>
      </c>
      <c r="H92" s="13">
        <f>_xll.BDH("ROG US Equity","NUM_EXECUTIVES_COMP_MANAGERS","FY 2018","FY 2018","Currency=USD","Period=FY","BEST_FPERIOD_OVERRIDE=FY","FILING_STATUS=MR","Sort=A","Dates=H","DateFormat=P","Fill=—","Direction=H","UseDPDF=Y")</f>
        <v>6</v>
      </c>
      <c r="I92" s="13">
        <f>_xll.BDH("ROG US Equity","NUM_EXECUTIVES_COMP_MANAGERS","FY 2019","FY 2019","Currency=USD","Period=FY","BEST_FPERIOD_OVERRIDE=FY","FILING_STATUS=MR","Sort=A","Dates=H","DateFormat=P","Fill=—","Direction=H","UseDPDF=Y")</f>
        <v>6</v>
      </c>
      <c r="J92" s="13">
        <f>_xll.BDH("ROG US Equity","NUM_EXECUTIVES_COMP_MANAGERS","FY 2020","FY 2020","Currency=USD","Period=FY","BEST_FPERIOD_OVERRIDE=FY","FILING_STATUS=MR","Sort=A","Dates=H","DateFormat=P","Fill=—","Direction=H","UseDPDF=Y")</f>
        <v>8</v>
      </c>
      <c r="K92" s="13">
        <f>_xll.BDH("ROG US Equity","NUM_EXECUTIVES_COMP_MANAGERS","FY 2021","FY 2021","Currency=USD","Period=FY","BEST_FPERIOD_OVERRIDE=FY","FILING_STATUS=MR","Sort=A","Dates=H","DateFormat=P","Fill=—","Direction=H","UseDPDF=Y")</f>
        <v>8</v>
      </c>
      <c r="L92" s="13">
        <f>_xll.BDH("ROG US Equity","NUM_EXECUTIVES_COMP_MANAGERS","FY 2022","FY 2022","Currency=USD","Period=FY","BEST_FPERIOD_OVERRIDE=FY","FILING_STATUS=MR","Sort=A","Dates=H","DateFormat=P","Fill=—","Direction=H","UseDPDF=Y")</f>
        <v>5</v>
      </c>
    </row>
    <row r="93" spans="1:12">
      <c r="A93" s="10" t="s">
        <v>147</v>
      </c>
      <c r="B93" s="10" t="s">
        <v>148</v>
      </c>
      <c r="C93" s="13">
        <f>_xll.BDH("ROG US Equity","NUM_OF_NONEXEC_DIR_ON_BRD","FY 2013","FY 2013","Currency=USD","Period=FY","BEST_FPERIOD_OVERRIDE=FY","FILING_STATUS=MR","Sort=A","Dates=H","DateFormat=P","Fill=—","Direction=H","UseDPDF=Y")</f>
        <v>8</v>
      </c>
      <c r="D93" s="13">
        <f>_xll.BDH("ROG US Equity","NUM_OF_NONEXEC_DIR_ON_BRD","FY 2014","FY 2014","Currency=USD","Period=FY","BEST_FPERIOD_OVERRIDE=FY","FILING_STATUS=MR","Sort=A","Dates=H","DateFormat=P","Fill=—","Direction=H","UseDPDF=Y")</f>
        <v>8</v>
      </c>
      <c r="E93" s="13">
        <f>_xll.BDH("ROG US Equity","NUM_OF_NONEXEC_DIR_ON_BRD","FY 2015","FY 2015","Currency=USD","Period=FY","BEST_FPERIOD_OVERRIDE=FY","FILING_STATUS=MR","Sort=A","Dates=H","DateFormat=P","Fill=—","Direction=H","UseDPDF=Y")</f>
        <v>8</v>
      </c>
      <c r="F93" s="13">
        <f>_xll.BDH("ROG US Equity","NUM_OF_NONEXEC_DIR_ON_BRD","FY 2016","FY 2016","Currency=USD","Period=FY","BEST_FPERIOD_OVERRIDE=FY","FILING_STATUS=MR","Sort=A","Dates=H","DateFormat=P","Fill=—","Direction=H","UseDPDF=Y")</f>
        <v>7</v>
      </c>
      <c r="G93" s="13">
        <f>_xll.BDH("ROG US Equity","NUM_OF_NONEXEC_DIR_ON_BRD","FY 2017","FY 2017","Currency=USD","Period=FY","BEST_FPERIOD_OVERRIDE=FY","FILING_STATUS=MR","Sort=A","Dates=H","DateFormat=P","Fill=—","Direction=H","UseDPDF=Y")</f>
        <v>7</v>
      </c>
      <c r="H93" s="13">
        <f>_xll.BDH("ROG US Equity","NUM_OF_NONEXEC_DIR_ON_BRD","FY 2018","FY 2018","Currency=USD","Period=FY","BEST_FPERIOD_OVERRIDE=FY","FILING_STATUS=MR","Sort=A","Dates=H","DateFormat=P","Fill=—","Direction=H","UseDPDF=Y")</f>
        <v>7</v>
      </c>
      <c r="I93" s="13">
        <f>_xll.BDH("ROG US Equity","NUM_OF_NONEXEC_DIR_ON_BRD","FY 2019","FY 2019","Currency=USD","Period=FY","BEST_FPERIOD_OVERRIDE=FY","FILING_STATUS=MR","Sort=A","Dates=H","DateFormat=P","Fill=—","Direction=H","UseDPDF=Y")</f>
        <v>7</v>
      </c>
      <c r="J93" s="13">
        <f>_xll.BDH("ROG US Equity","NUM_OF_NONEXEC_DIR_ON_BRD","FY 2020","FY 2020","Currency=USD","Period=FY","BEST_FPERIOD_OVERRIDE=FY","FILING_STATUS=MR","Sort=A","Dates=H","DateFormat=P","Fill=—","Direction=H","UseDPDF=Y")</f>
        <v>8</v>
      </c>
      <c r="K93" s="13">
        <f>_xll.BDH("ROG US Equity","NUM_OF_NONEXEC_DIR_ON_BRD","FY 2021","FY 2021","Currency=USD","Period=FY","BEST_FPERIOD_OVERRIDE=FY","FILING_STATUS=MR","Sort=A","Dates=H","DateFormat=P","Fill=—","Direction=H","UseDPDF=Y")</f>
        <v>8</v>
      </c>
      <c r="L93" s="13">
        <f>_xll.BDH("ROG US Equity","NUM_OF_NONEXEC_DIR_ON_BRD","FY 2022","FY 2022","Currency=USD","Period=FY","BEST_FPERIOD_OVERRIDE=FY","FILING_STATUS=MR","Sort=A","Dates=H","DateFormat=P","Fill=—","Direction=H","UseDPDF=Y")</f>
        <v>8</v>
      </c>
    </row>
    <row r="94" spans="1:12">
      <c r="A94" s="10" t="s">
        <v>149</v>
      </c>
      <c r="B94" s="10" t="s">
        <v>150</v>
      </c>
      <c r="C94" s="13">
        <f>_xll.BDH("ROG US Equity","BOARD_MEETINGS_PER_YR","FY 2013","FY 2013","Currency=USD","Period=FY","BEST_FPERIOD_OVERRIDE=FY","FILING_STATUS=MR","Sort=A","Dates=H","DateFormat=P","Fill=—","Direction=H","UseDPDF=Y")</f>
        <v>6</v>
      </c>
      <c r="D94" s="13">
        <f>_xll.BDH("ROG US Equity","BOARD_MEETINGS_PER_YR","FY 2014","FY 2014","Currency=USD","Period=FY","BEST_FPERIOD_OVERRIDE=FY","FILING_STATUS=MR","Sort=A","Dates=H","DateFormat=P","Fill=—","Direction=H","UseDPDF=Y")</f>
        <v>9</v>
      </c>
      <c r="E94" s="13">
        <f>_xll.BDH("ROG US Equity","BOARD_MEETINGS_PER_YR","FY 2015","FY 2015","Currency=USD","Period=FY","BEST_FPERIOD_OVERRIDE=FY","FILING_STATUS=MR","Sort=A","Dates=H","DateFormat=P","Fill=—","Direction=H","UseDPDF=Y")</f>
        <v>6</v>
      </c>
      <c r="F94" s="13">
        <f>_xll.BDH("ROG US Equity","BOARD_MEETINGS_PER_YR","FY 2016","FY 2016","Currency=USD","Period=FY","BEST_FPERIOD_OVERRIDE=FY","FILING_STATUS=MR","Sort=A","Dates=H","DateFormat=P","Fill=—","Direction=H","UseDPDF=Y")</f>
        <v>7</v>
      </c>
      <c r="G94" s="13">
        <f>_xll.BDH("ROG US Equity","BOARD_MEETINGS_PER_YR","FY 2017","FY 2017","Currency=USD","Period=FY","BEST_FPERIOD_OVERRIDE=FY","FILING_STATUS=MR","Sort=A","Dates=H","DateFormat=P","Fill=—","Direction=H","UseDPDF=Y")</f>
        <v>5</v>
      </c>
      <c r="H94" s="13">
        <f>_xll.BDH("ROG US Equity","BOARD_MEETINGS_PER_YR","FY 2018","FY 2018","Currency=USD","Period=FY","BEST_FPERIOD_OVERRIDE=FY","FILING_STATUS=MR","Sort=A","Dates=H","DateFormat=P","Fill=—","Direction=H","UseDPDF=Y")</f>
        <v>8</v>
      </c>
      <c r="I94" s="13">
        <f>_xll.BDH("ROG US Equity","BOARD_MEETINGS_PER_YR","FY 2019","FY 2019","Currency=USD","Period=FY","BEST_FPERIOD_OVERRIDE=FY","FILING_STATUS=MR","Sort=A","Dates=H","DateFormat=P","Fill=—","Direction=H","UseDPDF=Y")</f>
        <v>5</v>
      </c>
      <c r="J94" s="13">
        <f>_xll.BDH("ROG US Equity","BOARD_MEETINGS_PER_YR","FY 2020","FY 2020","Currency=USD","Period=FY","BEST_FPERIOD_OVERRIDE=FY","FILING_STATUS=MR","Sort=A","Dates=H","DateFormat=P","Fill=—","Direction=H","UseDPDF=Y")</f>
        <v>10</v>
      </c>
      <c r="K94" s="13" t="str">
        <f>_xll.BDH("ROG US Equity","BOARD_MEETINGS_PER_YR","FY 2021","FY 2021","Currency=USD","Period=FY","BEST_FPERIOD_OVERRIDE=FY","FILING_STATUS=MR","Sort=A","Dates=H","DateFormat=P","Fill=—","Direction=H","UseDPDF=Y")</f>
        <v>—</v>
      </c>
      <c r="L94" s="13">
        <f>_xll.BDH("ROG US Equity","BOARD_MEETINGS_PER_YR","FY 2022","FY 2022","Currency=USD","Period=FY","BEST_FPERIOD_OVERRIDE=FY","FILING_STATUS=MR","Sort=A","Dates=H","DateFormat=P","Fill=—","Direction=H","UseDPDF=Y")</f>
        <v>12</v>
      </c>
    </row>
    <row r="95" spans="1:12">
      <c r="A95" s="10" t="s">
        <v>151</v>
      </c>
      <c r="B95" s="10" t="s">
        <v>152</v>
      </c>
      <c r="C95" s="13" t="str">
        <f>_xll.BDH("ROG US Equity","BOARD_MEETING_ATTENDANCE_PCT","FY 2013","FY 2013","Currency=USD","Period=FY","BEST_FPERIOD_OVERRIDE=FY","FILING_STATUS=MR","Sort=A","Dates=H","DateFormat=P","Fill=—","Direction=H","UseDPDF=Y")</f>
        <v>—</v>
      </c>
      <c r="D95" s="13">
        <f>_xll.BDH("ROG US Equity","BOARD_MEETING_ATTENDANCE_PCT","FY 2014","FY 2014","Currency=USD","Period=FY","BEST_FPERIOD_OVERRIDE=FY","FILING_STATUS=MR","Sort=A","Dates=H","DateFormat=P","Fill=—","Direction=H","UseDPDF=Y")</f>
        <v>75</v>
      </c>
      <c r="E95" s="13">
        <f>_xll.BDH("ROG US Equity","BOARD_MEETING_ATTENDANCE_PCT","FY 2015","FY 2015","Currency=USD","Period=FY","BEST_FPERIOD_OVERRIDE=FY","FILING_STATUS=MR","Sort=A","Dates=H","DateFormat=P","Fill=—","Direction=H","UseDPDF=Y")</f>
        <v>75</v>
      </c>
      <c r="F95" s="13">
        <f>_xll.BDH("ROG US Equity","BOARD_MEETING_ATTENDANCE_PCT","FY 2016","FY 2016","Currency=USD","Period=FY","BEST_FPERIOD_OVERRIDE=FY","FILING_STATUS=MR","Sort=A","Dates=H","DateFormat=P","Fill=—","Direction=H","UseDPDF=Y")</f>
        <v>75</v>
      </c>
      <c r="G95" s="13">
        <f>_xll.BDH("ROG US Equity","BOARD_MEETING_ATTENDANCE_PCT","FY 2017","FY 2017","Currency=USD","Period=FY","BEST_FPERIOD_OVERRIDE=FY","FILING_STATUS=MR","Sort=A","Dates=H","DateFormat=P","Fill=—","Direction=H","UseDPDF=Y")</f>
        <v>75</v>
      </c>
      <c r="H95" s="13">
        <f>_xll.BDH("ROG US Equity","BOARD_MEETING_ATTENDANCE_PCT","FY 2018","FY 2018","Currency=USD","Period=FY","BEST_FPERIOD_OVERRIDE=FY","FILING_STATUS=MR","Sort=A","Dates=H","DateFormat=P","Fill=—","Direction=H","UseDPDF=Y")</f>
        <v>75</v>
      </c>
      <c r="I95" s="13">
        <f>_xll.BDH("ROG US Equity","BOARD_MEETING_ATTENDANCE_PCT","FY 2019","FY 2019","Currency=USD","Period=FY","BEST_FPERIOD_OVERRIDE=FY","FILING_STATUS=MR","Sort=A","Dates=H","DateFormat=P","Fill=—","Direction=H","UseDPDF=Y")</f>
        <v>95</v>
      </c>
      <c r="J95" s="13">
        <f>_xll.BDH("ROG US Equity","BOARD_MEETING_ATTENDANCE_PCT","FY 2020","FY 2020","Currency=USD","Period=FY","BEST_FPERIOD_OVERRIDE=FY","FILING_STATUS=MR","Sort=A","Dates=H","DateFormat=P","Fill=—","Direction=H","UseDPDF=Y")</f>
        <v>100</v>
      </c>
      <c r="K95" s="13" t="str">
        <f>_xll.BDH("ROG US Equity","BOARD_MEETING_ATTENDANCE_PCT","FY 2021","FY 2021","Currency=USD","Period=FY","BEST_FPERIOD_OVERRIDE=FY","FILING_STATUS=MR","Sort=A","Dates=H","DateFormat=P","Fill=—","Direction=H","UseDPDF=Y")</f>
        <v>—</v>
      </c>
      <c r="L95" s="13">
        <f>_xll.BDH("ROG US Equity","BOARD_MEETING_ATTENDANCE_PCT","FY 2022","FY 2022","Currency=USD","Period=FY","BEST_FPERIOD_OVERRIDE=FY","FILING_STATUS=MR","Sort=A","Dates=H","DateFormat=P","Fill=—","Direction=H","UseDPDF=Y")</f>
        <v>98</v>
      </c>
    </row>
    <row r="96" spans="1:1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>
      <c r="A97" s="10" t="s">
        <v>153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>
      <c r="A98" s="10" t="s">
        <v>154</v>
      </c>
      <c r="B98" s="10" t="s">
        <v>155</v>
      </c>
      <c r="C98" s="11" t="s">
        <v>48</v>
      </c>
      <c r="D98" s="11" t="s">
        <v>48</v>
      </c>
      <c r="E98" s="11" t="s">
        <v>47</v>
      </c>
      <c r="F98" s="11" t="s">
        <v>47</v>
      </c>
      <c r="G98" s="11" t="s">
        <v>47</v>
      </c>
      <c r="H98" s="11" t="s">
        <v>47</v>
      </c>
      <c r="I98" s="11" t="s">
        <v>47</v>
      </c>
      <c r="J98" s="11" t="s">
        <v>47</v>
      </c>
      <c r="K98" s="11" t="s">
        <v>47</v>
      </c>
      <c r="L98" s="11" t="s">
        <v>47</v>
      </c>
    </row>
    <row r="99" spans="1:12">
      <c r="A99" s="10" t="s">
        <v>156</v>
      </c>
      <c r="B99" s="10" t="s">
        <v>157</v>
      </c>
      <c r="C99" s="11" t="s">
        <v>48</v>
      </c>
      <c r="D99" s="11" t="s">
        <v>48</v>
      </c>
      <c r="E99" s="11" t="s">
        <v>46</v>
      </c>
      <c r="F99" s="11" t="s">
        <v>47</v>
      </c>
      <c r="G99" s="11" t="s">
        <v>47</v>
      </c>
      <c r="H99" s="11" t="s">
        <v>47</v>
      </c>
      <c r="I99" s="11" t="s">
        <v>47</v>
      </c>
      <c r="J99" s="11" t="s">
        <v>47</v>
      </c>
      <c r="K99" s="11" t="s">
        <v>47</v>
      </c>
      <c r="L99" s="11" t="s">
        <v>47</v>
      </c>
    </row>
    <row r="100" spans="1:12">
      <c r="A100" s="10" t="s">
        <v>158</v>
      </c>
      <c r="B100" s="10" t="s">
        <v>159</v>
      </c>
      <c r="C100" s="13">
        <f>_xll.BDH("ROG US Equity","SIZE_OF_COMPENSATION_COMMITTEE","FY 2013","FY 2013","Currency=USD","Period=FY","BEST_FPERIOD_OVERRIDE=FY","FILING_STATUS=MR","Sort=A","Dates=H","DateFormat=P","Fill=—","Direction=H","UseDPDF=Y")</f>
        <v>5</v>
      </c>
      <c r="D100" s="13">
        <f>_xll.BDH("ROG US Equity","SIZE_OF_COMPENSATION_COMMITTEE","FY 2014","FY 2014","Currency=USD","Period=FY","BEST_FPERIOD_OVERRIDE=FY","FILING_STATUS=MR","Sort=A","Dates=H","DateFormat=P","Fill=—","Direction=H","UseDPDF=Y")</f>
        <v>5</v>
      </c>
      <c r="E100" s="13">
        <f>_xll.BDH("ROG US Equity","SIZE_OF_COMPENSATION_COMMITTEE","FY 2015","FY 2015","Currency=USD","Period=FY","BEST_FPERIOD_OVERRIDE=FY","FILING_STATUS=MR","Sort=A","Dates=H","DateFormat=P","Fill=—","Direction=H","UseDPDF=Y")</f>
        <v>5</v>
      </c>
      <c r="F100" s="13">
        <f>_xll.BDH("ROG US Equity","SIZE_OF_COMPENSATION_COMMITTEE","FY 2016","FY 2016","Currency=USD","Period=FY","BEST_FPERIOD_OVERRIDE=FY","FILING_STATUS=MR","Sort=A","Dates=H","DateFormat=P","Fill=—","Direction=H","UseDPDF=Y")</f>
        <v>5</v>
      </c>
      <c r="G100" s="13">
        <f>_xll.BDH("ROG US Equity","SIZE_OF_COMPENSATION_COMMITTEE","FY 2017","FY 2017","Currency=USD","Period=FY","BEST_FPERIOD_OVERRIDE=FY","FILING_STATUS=MR","Sort=A","Dates=H","DateFormat=P","Fill=—","Direction=H","UseDPDF=Y")</f>
        <v>5</v>
      </c>
      <c r="H100" s="13">
        <f>_xll.BDH("ROG US Equity","SIZE_OF_COMPENSATION_COMMITTEE","FY 2018","FY 2018","Currency=USD","Period=FY","BEST_FPERIOD_OVERRIDE=FY","FILING_STATUS=MR","Sort=A","Dates=H","DateFormat=P","Fill=—","Direction=H","UseDPDF=Y")</f>
        <v>5</v>
      </c>
      <c r="I100" s="13">
        <f>_xll.BDH("ROG US Equity","SIZE_OF_COMPENSATION_COMMITTEE","FY 2019","FY 2019","Currency=USD","Period=FY","BEST_FPERIOD_OVERRIDE=FY","FILING_STATUS=MR","Sort=A","Dates=H","DateFormat=P","Fill=—","Direction=H","UseDPDF=Y")</f>
        <v>5</v>
      </c>
      <c r="J100" s="13">
        <f>_xll.BDH("ROG US Equity","SIZE_OF_COMPENSATION_COMMITTEE","FY 2020","FY 2020","Currency=USD","Period=FY","BEST_FPERIOD_OVERRIDE=FY","FILING_STATUS=MR","Sort=A","Dates=H","DateFormat=P","Fill=—","Direction=H","UseDPDF=Y")</f>
        <v>5</v>
      </c>
      <c r="K100" s="13">
        <f>_xll.BDH("ROG US Equity","SIZE_OF_COMPENSATION_COMMITTEE","FY 2021","FY 2021","Currency=USD","Period=FY","BEST_FPERIOD_OVERRIDE=FY","FILING_STATUS=MR","Sort=A","Dates=H","DateFormat=P","Fill=—","Direction=H","UseDPDF=Y")</f>
        <v>5</v>
      </c>
      <c r="L100" s="13">
        <f>_xll.BDH("ROG US Equity","SIZE_OF_COMPENSATION_COMMITTEE","FY 2022","FY 2022","Currency=USD","Period=FY","BEST_FPERIOD_OVERRIDE=FY","FILING_STATUS=MR","Sort=A","Dates=H","DateFormat=P","Fill=—","Direction=H","UseDPDF=Y")</f>
        <v>6</v>
      </c>
    </row>
    <row r="101" spans="1:12">
      <c r="A101" s="10" t="s">
        <v>160</v>
      </c>
      <c r="B101" s="10" t="s">
        <v>161</v>
      </c>
      <c r="C101" s="13">
        <f>_xll.BDH("ROG US Equity","NUM_IND_DIR_ON_CMPNSTN_CMTE","FY 2013","FY 2013","Currency=USD","Period=FY","BEST_FPERIOD_OVERRIDE=FY","FILING_STATUS=MR","Sort=A","Dates=H","DateFormat=P","Fill=—","Direction=H","UseDPDF=Y")</f>
        <v>5</v>
      </c>
      <c r="D101" s="13">
        <f>_xll.BDH("ROG US Equity","NUM_IND_DIR_ON_CMPNSTN_CMTE","FY 2014","FY 2014","Currency=USD","Period=FY","BEST_FPERIOD_OVERRIDE=FY","FILING_STATUS=MR","Sort=A","Dates=H","DateFormat=P","Fill=—","Direction=H","UseDPDF=Y")</f>
        <v>5</v>
      </c>
      <c r="E101" s="13">
        <f>_xll.BDH("ROG US Equity","NUM_IND_DIR_ON_CMPNSTN_CMTE","FY 2015","FY 2015","Currency=USD","Period=FY","BEST_FPERIOD_OVERRIDE=FY","FILING_STATUS=MR","Sort=A","Dates=H","DateFormat=P","Fill=—","Direction=H","UseDPDF=Y")</f>
        <v>5</v>
      </c>
      <c r="F101" s="13">
        <f>_xll.BDH("ROG US Equity","NUM_IND_DIR_ON_CMPNSTN_CMTE","FY 2016","FY 2016","Currency=USD","Period=FY","BEST_FPERIOD_OVERRIDE=FY","FILING_STATUS=MR","Sort=A","Dates=H","DateFormat=P","Fill=—","Direction=H","UseDPDF=Y")</f>
        <v>5</v>
      </c>
      <c r="G101" s="13">
        <f>_xll.BDH("ROG US Equity","NUM_IND_DIR_ON_CMPNSTN_CMTE","FY 2017","FY 2017","Currency=USD","Period=FY","BEST_FPERIOD_OVERRIDE=FY","FILING_STATUS=MR","Sort=A","Dates=H","DateFormat=P","Fill=—","Direction=H","UseDPDF=Y")</f>
        <v>5</v>
      </c>
      <c r="H101" s="13">
        <f>_xll.BDH("ROG US Equity","NUM_IND_DIR_ON_CMPNSTN_CMTE","FY 2018","FY 2018","Currency=USD","Period=FY","BEST_FPERIOD_OVERRIDE=FY","FILING_STATUS=MR","Sort=A","Dates=H","DateFormat=P","Fill=—","Direction=H","UseDPDF=Y")</f>
        <v>5</v>
      </c>
      <c r="I101" s="13">
        <f>_xll.BDH("ROG US Equity","NUM_IND_DIR_ON_CMPNSTN_CMTE","FY 2019","FY 2019","Currency=USD","Period=FY","BEST_FPERIOD_OVERRIDE=FY","FILING_STATUS=MR","Sort=A","Dates=H","DateFormat=P","Fill=—","Direction=H","UseDPDF=Y")</f>
        <v>5</v>
      </c>
      <c r="J101" s="13">
        <f>_xll.BDH("ROG US Equity","NUM_IND_DIR_ON_CMPNSTN_CMTE","FY 2020","FY 2020","Currency=USD","Period=FY","BEST_FPERIOD_OVERRIDE=FY","FILING_STATUS=MR","Sort=A","Dates=H","DateFormat=P","Fill=—","Direction=H","UseDPDF=Y")</f>
        <v>5</v>
      </c>
      <c r="K101" s="13">
        <f>_xll.BDH("ROG US Equity","NUM_IND_DIR_ON_CMPNSTN_CMTE","FY 2021","FY 2021","Currency=USD","Period=FY","BEST_FPERIOD_OVERRIDE=FY","FILING_STATUS=MR","Sort=A","Dates=H","DateFormat=P","Fill=—","Direction=H","UseDPDF=Y")</f>
        <v>5</v>
      </c>
      <c r="L101" s="13">
        <f>_xll.BDH("ROG US Equity","NUM_IND_DIR_ON_CMPNSTN_CMTE","FY 2022","FY 2022","Currency=USD","Period=FY","BEST_FPERIOD_OVERRIDE=FY","FILING_STATUS=MR","Sort=A","Dates=H","DateFormat=P","Fill=—","Direction=H","UseDPDF=Y")</f>
        <v>6</v>
      </c>
    </row>
    <row r="102" spans="1:12">
      <c r="A102" s="10" t="s">
        <v>162</v>
      </c>
      <c r="B102" s="10" t="s">
        <v>163</v>
      </c>
      <c r="C102" s="13">
        <f>_xll.BDH("ROG US Equity","NUM_COMPENSATION_CMTE_MTG","FY 2013","FY 2013","Currency=USD","Period=FY","BEST_FPERIOD_OVERRIDE=FY","FILING_STATUS=MR","Sort=A","Dates=H","DateFormat=P","Fill=—","Direction=H","UseDPDF=Y")</f>
        <v>9</v>
      </c>
      <c r="D102" s="13">
        <f>_xll.BDH("ROG US Equity","NUM_COMPENSATION_CMTE_MTG","FY 2014","FY 2014","Currency=USD","Period=FY","BEST_FPERIOD_OVERRIDE=FY","FILING_STATUS=MR","Sort=A","Dates=H","DateFormat=P","Fill=—","Direction=H","UseDPDF=Y")</f>
        <v>7</v>
      </c>
      <c r="E102" s="13">
        <f>_xll.BDH("ROG US Equity","NUM_COMPENSATION_CMTE_MTG","FY 2015","FY 2015","Currency=USD","Period=FY","BEST_FPERIOD_OVERRIDE=FY","FILING_STATUS=MR","Sort=A","Dates=H","DateFormat=P","Fill=—","Direction=H","UseDPDF=Y")</f>
        <v>8</v>
      </c>
      <c r="F102" s="13">
        <f>_xll.BDH("ROG US Equity","NUM_COMPENSATION_CMTE_MTG","FY 2016","FY 2016","Currency=USD","Period=FY","BEST_FPERIOD_OVERRIDE=FY","FILING_STATUS=MR","Sort=A","Dates=H","DateFormat=P","Fill=—","Direction=H","UseDPDF=Y")</f>
        <v>7</v>
      </c>
      <c r="G102" s="13">
        <f>_xll.BDH("ROG US Equity","NUM_COMPENSATION_CMTE_MTG","FY 2017","FY 2017","Currency=USD","Period=FY","BEST_FPERIOD_OVERRIDE=FY","FILING_STATUS=MR","Sort=A","Dates=H","DateFormat=P","Fill=—","Direction=H","UseDPDF=Y")</f>
        <v>6</v>
      </c>
      <c r="H102" s="13">
        <f>_xll.BDH("ROG US Equity","NUM_COMPENSATION_CMTE_MTG","FY 2018","FY 2018","Currency=USD","Period=FY","BEST_FPERIOD_OVERRIDE=FY","FILING_STATUS=MR","Sort=A","Dates=H","DateFormat=P","Fill=—","Direction=H","UseDPDF=Y")</f>
        <v>5</v>
      </c>
      <c r="I102" s="13">
        <f>_xll.BDH("ROG US Equity","NUM_COMPENSATION_CMTE_MTG","FY 2019","FY 2019","Currency=USD","Period=FY","BEST_FPERIOD_OVERRIDE=FY","FILING_STATUS=MR","Sort=A","Dates=H","DateFormat=P","Fill=—","Direction=H","UseDPDF=Y")</f>
        <v>5</v>
      </c>
      <c r="J102" s="13">
        <f>_xll.BDH("ROG US Equity","NUM_COMPENSATION_CMTE_MTG","FY 2020","FY 2020","Currency=USD","Period=FY","BEST_FPERIOD_OVERRIDE=FY","FILING_STATUS=MR","Sort=A","Dates=H","DateFormat=P","Fill=—","Direction=H","UseDPDF=Y")</f>
        <v>5</v>
      </c>
      <c r="K102" s="13" t="str">
        <f>_xll.BDH("ROG US Equity","NUM_COMPENSATION_CMTE_MTG","FY 2021","FY 2021","Currency=USD","Period=FY","BEST_FPERIOD_OVERRIDE=FY","FILING_STATUS=MR","Sort=A","Dates=H","DateFormat=P","Fill=—","Direction=H","UseDPDF=Y")</f>
        <v>—</v>
      </c>
      <c r="L102" s="13">
        <f>_xll.BDH("ROG US Equity","NUM_COMPENSATION_CMTE_MTG","FY 2022","FY 2022","Currency=USD","Period=FY","BEST_FPERIOD_OVERRIDE=FY","FILING_STATUS=MR","Sort=A","Dates=H","DateFormat=P","Fill=—","Direction=H","UseDPDF=Y")</f>
        <v>5</v>
      </c>
    </row>
    <row r="103" spans="1:12">
      <c r="A103" s="10" t="s">
        <v>164</v>
      </c>
      <c r="B103" s="10" t="s">
        <v>165</v>
      </c>
      <c r="C103" s="13">
        <f>_xll.BDH("ROG US Equity","COMPENSATION_CMTE_MTG_ATTEND_PCT","FY 2013","FY 2013","Currency=USD","Period=FY","BEST_FPERIOD_OVERRIDE=FY","FILING_STATUS=MR","Sort=A","Dates=H","DateFormat=P","Fill=—","Direction=H","UseDPDF=Y")</f>
        <v>75</v>
      </c>
      <c r="D103" s="13">
        <f>_xll.BDH("ROG US Equity","COMPENSATION_CMTE_MTG_ATTEND_PCT","FY 2014","FY 2014","Currency=USD","Period=FY","BEST_FPERIOD_OVERRIDE=FY","FILING_STATUS=MR","Sort=A","Dates=H","DateFormat=P","Fill=—","Direction=H","UseDPDF=Y")</f>
        <v>75</v>
      </c>
      <c r="E103" s="13">
        <f>_xll.BDH("ROG US Equity","COMPENSATION_CMTE_MTG_ATTEND_PCT","FY 2015","FY 2015","Currency=USD","Period=FY","BEST_FPERIOD_OVERRIDE=FY","FILING_STATUS=MR","Sort=A","Dates=H","DateFormat=P","Fill=—","Direction=H","UseDPDF=Y")</f>
        <v>75</v>
      </c>
      <c r="F103" s="13">
        <f>_xll.BDH("ROG US Equity","COMPENSATION_CMTE_MTG_ATTEND_PCT","FY 2016","FY 2016","Currency=USD","Period=FY","BEST_FPERIOD_OVERRIDE=FY","FILING_STATUS=MR","Sort=A","Dates=H","DateFormat=P","Fill=—","Direction=H","UseDPDF=Y")</f>
        <v>75</v>
      </c>
      <c r="G103" s="13">
        <f>_xll.BDH("ROG US Equity","COMPENSATION_CMTE_MTG_ATTEND_PCT","FY 2017","FY 2017","Currency=USD","Period=FY","BEST_FPERIOD_OVERRIDE=FY","FILING_STATUS=MR","Sort=A","Dates=H","DateFormat=P","Fill=—","Direction=H","UseDPDF=Y")</f>
        <v>75</v>
      </c>
      <c r="H103" s="13">
        <f>_xll.BDH("ROG US Equity","COMPENSATION_CMTE_MTG_ATTEND_PCT","FY 2018","FY 2018","Currency=USD","Period=FY","BEST_FPERIOD_OVERRIDE=FY","FILING_STATUS=MR","Sort=A","Dates=H","DateFormat=P","Fill=—","Direction=H","UseDPDF=Y")</f>
        <v>75</v>
      </c>
      <c r="I103" s="13">
        <f>_xll.BDH("ROG US Equity","COMPENSATION_CMTE_MTG_ATTEND_PCT","FY 2019","FY 2019","Currency=USD","Period=FY","BEST_FPERIOD_OVERRIDE=FY","FILING_STATUS=MR","Sort=A","Dates=H","DateFormat=P","Fill=—","Direction=H","UseDPDF=Y")</f>
        <v>95</v>
      </c>
      <c r="J103" s="13">
        <f>_xll.BDH("ROG US Equity","COMPENSATION_CMTE_MTG_ATTEND_PCT","FY 2020","FY 2020","Currency=USD","Period=FY","BEST_FPERIOD_OVERRIDE=FY","FILING_STATUS=MR","Sort=A","Dates=H","DateFormat=P","Fill=—","Direction=H","UseDPDF=Y")</f>
        <v>100</v>
      </c>
      <c r="K103" s="13" t="str">
        <f>_xll.BDH("ROG US Equity","COMPENSATION_CMTE_MTG_ATTEND_PCT","FY 2021","FY 2021","Currency=USD","Period=FY","BEST_FPERIOD_OVERRIDE=FY","FILING_STATUS=MR","Sort=A","Dates=H","DateFormat=P","Fill=—","Direction=H","UseDPDF=Y")</f>
        <v>—</v>
      </c>
      <c r="L103" s="13">
        <f>_xll.BDH("ROG US Equity","COMPENSATION_CMTE_MTG_ATTEND_PCT","FY 2022","FY 2022","Currency=USD","Period=FY","BEST_FPERIOD_OVERRIDE=FY","FILING_STATUS=MR","Sort=A","Dates=H","DateFormat=P","Fill=—","Direction=H","UseDPDF=Y")</f>
        <v>75</v>
      </c>
    </row>
    <row r="104" spans="1:1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1:12">
      <c r="A105" s="10" t="s">
        <v>100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1:12">
      <c r="A106" s="10" t="s">
        <v>166</v>
      </c>
      <c r="B106" s="10" t="s">
        <v>167</v>
      </c>
      <c r="C106" s="13">
        <f>_xll.BDH("ROG US Equity","NUMBER_OF_FEMALE_EXECUTIVES","FY 2013","FY 2013","Currency=USD","Period=FY","BEST_FPERIOD_OVERRIDE=FY","FILING_STATUS=MR","Sort=A","Dates=H","DateFormat=P","Fill=—","Direction=H","UseDPDF=Y")</f>
        <v>2</v>
      </c>
      <c r="D106" s="13">
        <f>_xll.BDH("ROG US Equity","NUMBER_OF_FEMALE_EXECUTIVES","FY 2014","FY 2014","Currency=USD","Period=FY","BEST_FPERIOD_OVERRIDE=FY","FILING_STATUS=MR","Sort=A","Dates=H","DateFormat=P","Fill=—","Direction=H","UseDPDF=Y")</f>
        <v>2</v>
      </c>
      <c r="E106" s="13">
        <f>_xll.BDH("ROG US Equity","NUMBER_OF_FEMALE_EXECUTIVES","FY 2015","FY 2015","Currency=USD","Period=FY","BEST_FPERIOD_OVERRIDE=FY","FILING_STATUS=MR","Sort=A","Dates=H","DateFormat=P","Fill=—","Direction=H","UseDPDF=Y")</f>
        <v>2</v>
      </c>
      <c r="F106" s="13">
        <f>_xll.BDH("ROG US Equity","NUMBER_OF_FEMALE_EXECUTIVES","FY 2016","FY 2016","Currency=USD","Period=FY","BEST_FPERIOD_OVERRIDE=FY","FILING_STATUS=MR","Sort=A","Dates=H","DateFormat=P","Fill=—","Direction=H","UseDPDF=Y")</f>
        <v>2</v>
      </c>
      <c r="G106" s="13">
        <f>_xll.BDH("ROG US Equity","NUMBER_OF_FEMALE_EXECUTIVES","FY 2017","FY 2017","Currency=USD","Period=FY","BEST_FPERIOD_OVERRIDE=FY","FILING_STATUS=MR","Sort=A","Dates=H","DateFormat=P","Fill=—","Direction=H","UseDPDF=Y")</f>
        <v>2</v>
      </c>
      <c r="H106" s="13">
        <f>_xll.BDH("ROG US Equity","NUMBER_OF_FEMALE_EXECUTIVES","FY 2018","FY 2018","Currency=USD","Period=FY","BEST_FPERIOD_OVERRIDE=FY","FILING_STATUS=MR","Sort=A","Dates=H","DateFormat=P","Fill=—","Direction=H","UseDPDF=Y")</f>
        <v>1</v>
      </c>
      <c r="I106" s="13">
        <f>_xll.BDH("ROG US Equity","NUMBER_OF_FEMALE_EXECUTIVES","FY 2019","FY 2019","Currency=USD","Period=FY","BEST_FPERIOD_OVERRIDE=FY","FILING_STATUS=MR","Sort=A","Dates=H","DateFormat=P","Fill=—","Direction=H","UseDPDF=Y")</f>
        <v>1</v>
      </c>
      <c r="J106" s="13">
        <f>_xll.BDH("ROG US Equity","NUMBER_OF_FEMALE_EXECUTIVES","FY 2020","FY 2020","Currency=USD","Period=FY","BEST_FPERIOD_OVERRIDE=FY","FILING_STATUS=MR","Sort=A","Dates=H","DateFormat=P","Fill=—","Direction=H","UseDPDF=Y")</f>
        <v>0</v>
      </c>
      <c r="K106" s="13">
        <f>_xll.BDH("ROG US Equity","NUMBER_OF_FEMALE_EXECUTIVES","FY 2021","FY 2021","Currency=USD","Period=FY","BEST_FPERIOD_OVERRIDE=FY","FILING_STATUS=MR","Sort=A","Dates=H","DateFormat=P","Fill=—","Direction=H","UseDPDF=Y")</f>
        <v>0</v>
      </c>
      <c r="L106" s="13">
        <f>_xll.BDH("ROG US Equity","NUMBER_OF_FEMALE_EXECUTIVES","FY 2022","FY 2022","Currency=USD","Period=FY","BEST_FPERIOD_OVERRIDE=FY","FILING_STATUS=MR","Sort=A","Dates=H","DateFormat=P","Fill=—","Direction=H","UseDPDF=Y")</f>
        <v>0</v>
      </c>
    </row>
    <row r="107" spans="1:12">
      <c r="A107" s="10" t="s">
        <v>168</v>
      </c>
      <c r="B107" s="10" t="s">
        <v>169</v>
      </c>
      <c r="C107" s="13">
        <f>_xll.BDH("ROG US Equity","NUMBER_OF_WOMEN_ON_BOARD","FY 2013","FY 2013","Currency=USD","Period=FY","BEST_FPERIOD_OVERRIDE=FY","FILING_STATUS=MR","Sort=A","Dates=H","DateFormat=P","Fill=—","Direction=H","UseDPDF=Y")</f>
        <v>1</v>
      </c>
      <c r="D107" s="13">
        <f>_xll.BDH("ROG US Equity","NUMBER_OF_WOMEN_ON_BOARD","FY 2014","FY 2014","Currency=USD","Period=FY","BEST_FPERIOD_OVERRIDE=FY","FILING_STATUS=MR","Sort=A","Dates=H","DateFormat=P","Fill=—","Direction=H","UseDPDF=Y")</f>
        <v>2</v>
      </c>
      <c r="E107" s="13">
        <f>_xll.BDH("ROG US Equity","NUMBER_OF_WOMEN_ON_BOARD","FY 2015","FY 2015","Currency=USD","Period=FY","BEST_FPERIOD_OVERRIDE=FY","FILING_STATUS=MR","Sort=A","Dates=H","DateFormat=P","Fill=—","Direction=H","UseDPDF=Y")</f>
        <v>2</v>
      </c>
      <c r="F107" s="13">
        <f>_xll.BDH("ROG US Equity","NUMBER_OF_WOMEN_ON_BOARD","FY 2016","FY 2016","Currency=USD","Period=FY","BEST_FPERIOD_OVERRIDE=FY","FILING_STATUS=MR","Sort=A","Dates=H","DateFormat=P","Fill=—","Direction=H","UseDPDF=Y")</f>
        <v>2</v>
      </c>
      <c r="G107" s="13">
        <f>_xll.BDH("ROG US Equity","NUMBER_OF_WOMEN_ON_BOARD","FY 2017","FY 2017","Currency=USD","Period=FY","BEST_FPERIOD_OVERRIDE=FY","FILING_STATUS=MR","Sort=A","Dates=H","DateFormat=P","Fill=—","Direction=H","UseDPDF=Y")</f>
        <v>2</v>
      </c>
      <c r="H107" s="13">
        <f>_xll.BDH("ROG US Equity","NUMBER_OF_WOMEN_ON_BOARD","FY 2018","FY 2018","Currency=USD","Period=FY","BEST_FPERIOD_OVERRIDE=FY","FILING_STATUS=MR","Sort=A","Dates=H","DateFormat=P","Fill=—","Direction=H","UseDPDF=Y")</f>
        <v>2</v>
      </c>
      <c r="I107" s="13">
        <f>_xll.BDH("ROG US Equity","NUMBER_OF_WOMEN_ON_BOARD","FY 2019","FY 2019","Currency=USD","Period=FY","BEST_FPERIOD_OVERRIDE=FY","FILING_STATUS=MR","Sort=A","Dates=H","DateFormat=P","Fill=—","Direction=H","UseDPDF=Y")</f>
        <v>2</v>
      </c>
      <c r="J107" s="13">
        <f>_xll.BDH("ROG US Equity","NUMBER_OF_WOMEN_ON_BOARD","FY 2020","FY 2020","Currency=USD","Period=FY","BEST_FPERIOD_OVERRIDE=FY","FILING_STATUS=MR","Sort=A","Dates=H","DateFormat=P","Fill=—","Direction=H","UseDPDF=Y")</f>
        <v>3</v>
      </c>
      <c r="K107" s="13">
        <f>_xll.BDH("ROG US Equity","NUMBER_OF_WOMEN_ON_BOARD","FY 2021","FY 2021","Currency=USD","Period=FY","BEST_FPERIOD_OVERRIDE=FY","FILING_STATUS=MR","Sort=A","Dates=H","DateFormat=P","Fill=—","Direction=H","UseDPDF=Y")</f>
        <v>3</v>
      </c>
      <c r="L107" s="13">
        <f>_xll.BDH("ROG US Equity","NUMBER_OF_WOMEN_ON_BOARD","FY 2022","FY 2022","Currency=USD","Period=FY","BEST_FPERIOD_OVERRIDE=FY","FILING_STATUS=MR","Sort=A","Dates=H","DateFormat=P","Fill=—","Direction=H","UseDPDF=Y")</f>
        <v>2</v>
      </c>
    </row>
    <row r="108" spans="1:12">
      <c r="A108" s="10" t="s">
        <v>170</v>
      </c>
      <c r="B108" s="10" t="s">
        <v>171</v>
      </c>
      <c r="C108" s="13">
        <f>_xll.BDH("ROG US Equity","BOARD_AGE_LIMIT","FY 2013","FY 2013","Currency=USD","Period=FY","BEST_FPERIOD_OVERRIDE=FY","FILING_STATUS=MR","Sort=A","Dates=H","DateFormat=P","Fill=—","Direction=H","UseDPDF=Y")</f>
        <v>72</v>
      </c>
      <c r="D108" s="13">
        <f>_xll.BDH("ROG US Equity","BOARD_AGE_LIMIT","FY 2014","FY 2014","Currency=USD","Period=FY","BEST_FPERIOD_OVERRIDE=FY","FILING_STATUS=MR","Sort=A","Dates=H","DateFormat=P","Fill=—","Direction=H","UseDPDF=Y")</f>
        <v>72</v>
      </c>
      <c r="E108" s="13">
        <f>_xll.BDH("ROG US Equity","BOARD_AGE_LIMIT","FY 2015","FY 2015","Currency=USD","Period=FY","BEST_FPERIOD_OVERRIDE=FY","FILING_STATUS=MR","Sort=A","Dates=H","DateFormat=P","Fill=—","Direction=H","UseDPDF=Y")</f>
        <v>72</v>
      </c>
      <c r="F108" s="13">
        <f>_xll.BDH("ROG US Equity","BOARD_AGE_LIMIT","FY 2016","FY 2016","Currency=USD","Period=FY","BEST_FPERIOD_OVERRIDE=FY","FILING_STATUS=MR","Sort=A","Dates=H","DateFormat=P","Fill=—","Direction=H","UseDPDF=Y")</f>
        <v>72</v>
      </c>
      <c r="G108" s="13">
        <f>_xll.BDH("ROG US Equity","BOARD_AGE_LIMIT","FY 2017","FY 2017","Currency=USD","Period=FY","BEST_FPERIOD_OVERRIDE=FY","FILING_STATUS=MR","Sort=A","Dates=H","DateFormat=P","Fill=—","Direction=H","UseDPDF=Y")</f>
        <v>72</v>
      </c>
      <c r="H108" s="13">
        <f>_xll.BDH("ROG US Equity","BOARD_AGE_LIMIT","FY 2018","FY 2018","Currency=USD","Period=FY","BEST_FPERIOD_OVERRIDE=FY","FILING_STATUS=MR","Sort=A","Dates=H","DateFormat=P","Fill=—","Direction=H","UseDPDF=Y")</f>
        <v>72</v>
      </c>
      <c r="I108" s="13">
        <f>_xll.BDH("ROG US Equity","BOARD_AGE_LIMIT","FY 2019","FY 2019","Currency=USD","Period=FY","BEST_FPERIOD_OVERRIDE=FY","FILING_STATUS=MR","Sort=A","Dates=H","DateFormat=P","Fill=—","Direction=H","UseDPDF=Y")</f>
        <v>72</v>
      </c>
      <c r="J108" s="13">
        <f>_xll.BDH("ROG US Equity","BOARD_AGE_LIMIT","FY 2020","FY 2020","Currency=USD","Period=FY","BEST_FPERIOD_OVERRIDE=FY","FILING_STATUS=MR","Sort=A","Dates=H","DateFormat=P","Fill=—","Direction=H","UseDPDF=Y")</f>
        <v>72</v>
      </c>
      <c r="K108" s="13">
        <f>_xll.BDH("ROG US Equity","BOARD_AGE_LIMIT","FY 2021","FY 2021","Currency=USD","Period=FY","BEST_FPERIOD_OVERRIDE=FY","FILING_STATUS=MR","Sort=A","Dates=H","DateFormat=P","Fill=—","Direction=H","UseDPDF=Y")</f>
        <v>72</v>
      </c>
      <c r="L108" s="13">
        <f>_xll.BDH("ROG US Equity","BOARD_AGE_LIMIT","FY 2022","FY 2022","Currency=USD","Period=FY","BEST_FPERIOD_OVERRIDE=FY","FILING_STATUS=MR","Sort=A","Dates=H","DateFormat=P","Fill=—","Direction=H","UseDPDF=Y")</f>
        <v>72</v>
      </c>
    </row>
    <row r="109" spans="1:12">
      <c r="A109" s="10" t="s">
        <v>172</v>
      </c>
      <c r="B109" s="10" t="s">
        <v>173</v>
      </c>
      <c r="C109" s="13">
        <f>_xll.BDH("ROG US Equity","AGE_OF_YOUNGEST_DIRECTOR","FY 2013","FY 2013","Currency=USD","Period=FY","BEST_FPERIOD_OVERRIDE=FY","FILING_STATUS=MR","Sort=A","Dates=H","DateFormat=P","Fill=—","Direction=H","UseDPDF=Y")</f>
        <v>54</v>
      </c>
      <c r="D109" s="13">
        <f>_xll.BDH("ROG US Equity","AGE_OF_YOUNGEST_DIRECTOR","FY 2014","FY 2014","Currency=USD","Period=FY","BEST_FPERIOD_OVERRIDE=FY","FILING_STATUS=MR","Sort=A","Dates=H","DateFormat=P","Fill=—","Direction=H","UseDPDF=Y")</f>
        <v>55</v>
      </c>
      <c r="E109" s="13">
        <f>_xll.BDH("ROG US Equity","AGE_OF_YOUNGEST_DIRECTOR","FY 2015","FY 2015","Currency=USD","Period=FY","BEST_FPERIOD_OVERRIDE=FY","FILING_STATUS=MR","Sort=A","Dates=H","DateFormat=P","Fill=—","Direction=H","UseDPDF=Y")</f>
        <v>56</v>
      </c>
      <c r="F109" s="13">
        <f>_xll.BDH("ROG US Equity","AGE_OF_YOUNGEST_DIRECTOR","FY 2016","FY 2016","Currency=USD","Period=FY","BEST_FPERIOD_OVERRIDE=FY","FILING_STATUS=MR","Sort=A","Dates=H","DateFormat=P","Fill=—","Direction=H","UseDPDF=Y")</f>
        <v>57</v>
      </c>
      <c r="G109" s="13">
        <f>_xll.BDH("ROG US Equity","AGE_OF_YOUNGEST_DIRECTOR","FY 2017","FY 2017","Currency=USD","Period=FY","BEST_FPERIOD_OVERRIDE=FY","FILING_STATUS=MR","Sort=A","Dates=H","DateFormat=P","Fill=—","Direction=H","UseDPDF=Y")</f>
        <v>58</v>
      </c>
      <c r="H109" s="13">
        <f>_xll.BDH("ROG US Equity","AGE_OF_YOUNGEST_DIRECTOR","FY 2018","FY 2018","Currency=USD","Period=FY","BEST_FPERIOD_OVERRIDE=FY","FILING_STATUS=MR","Sort=A","Dates=H","DateFormat=P","Fill=—","Direction=H","UseDPDF=Y")</f>
        <v>59</v>
      </c>
      <c r="I109" s="13">
        <f>_xll.BDH("ROG US Equity","AGE_OF_YOUNGEST_DIRECTOR","FY 2019","FY 2019","Currency=USD","Period=FY","BEST_FPERIOD_OVERRIDE=FY","FILING_STATUS=MR","Sort=A","Dates=H","DateFormat=P","Fill=—","Direction=H","UseDPDF=Y")</f>
        <v>60</v>
      </c>
      <c r="J109" s="13">
        <f>_xll.BDH("ROG US Equity","AGE_OF_YOUNGEST_DIRECTOR","FY 2020","FY 2020","Currency=USD","Period=FY","BEST_FPERIOD_OVERRIDE=FY","FILING_STATUS=MR","Sort=A","Dates=H","DateFormat=P","Fill=—","Direction=H","UseDPDF=Y")</f>
        <v>47</v>
      </c>
      <c r="K109" s="13">
        <f>_xll.BDH("ROG US Equity","AGE_OF_YOUNGEST_DIRECTOR","FY 2021","FY 2021","Currency=USD","Period=FY","BEST_FPERIOD_OVERRIDE=FY","FILING_STATUS=MR","Sort=A","Dates=H","DateFormat=P","Fill=—","Direction=H","UseDPDF=Y")</f>
        <v>48</v>
      </c>
      <c r="L109" s="13">
        <f>_xll.BDH("ROG US Equity","AGE_OF_YOUNGEST_DIRECTOR","FY 2022","FY 2022","Currency=USD","Period=FY","BEST_FPERIOD_OVERRIDE=FY","FILING_STATUS=MR","Sort=A","Dates=H","DateFormat=P","Fill=—","Direction=H","UseDPDF=Y")</f>
        <v>49</v>
      </c>
    </row>
    <row r="110" spans="1:12">
      <c r="A110" s="10" t="s">
        <v>174</v>
      </c>
      <c r="B110" s="10" t="s">
        <v>175</v>
      </c>
      <c r="C110" s="13">
        <f>_xll.BDH("ROG US Equity","AGE_OF_OLDEST_DIRECTOR","FY 2013","FY 2013","Currency=USD","Period=FY","BEST_FPERIOD_OVERRIDE=FY","FILING_STATUS=MR","Sort=A","Dates=H","DateFormat=P","Fill=—","Direction=H","UseDPDF=Y")</f>
        <v>72</v>
      </c>
      <c r="D110" s="13">
        <f>_xll.BDH("ROG US Equity","AGE_OF_OLDEST_DIRECTOR","FY 2014","FY 2014","Currency=USD","Period=FY","BEST_FPERIOD_OVERRIDE=FY","FILING_STATUS=MR","Sort=A","Dates=H","DateFormat=P","Fill=—","Direction=H","UseDPDF=Y")</f>
        <v>73</v>
      </c>
      <c r="E110" s="13">
        <f>_xll.BDH("ROG US Equity","AGE_OF_OLDEST_DIRECTOR","FY 2015","FY 2015","Currency=USD","Period=FY","BEST_FPERIOD_OVERRIDE=FY","FILING_STATUS=MR","Sort=A","Dates=H","DateFormat=P","Fill=—","Direction=H","UseDPDF=Y")</f>
        <v>74</v>
      </c>
      <c r="F110" s="13">
        <f>_xll.BDH("ROG US Equity","AGE_OF_OLDEST_DIRECTOR","FY 2016","FY 2016","Currency=USD","Period=FY","BEST_FPERIOD_OVERRIDE=FY","FILING_STATUS=MR","Sort=A","Dates=H","DateFormat=P","Fill=—","Direction=H","UseDPDF=Y")</f>
        <v>72</v>
      </c>
      <c r="G110" s="13">
        <f>_xll.BDH("ROG US Equity","AGE_OF_OLDEST_DIRECTOR","FY 2017","FY 2017","Currency=USD","Period=FY","BEST_FPERIOD_OVERRIDE=FY","FILING_STATUS=MR","Sort=A","Dates=H","DateFormat=P","Fill=—","Direction=H","UseDPDF=Y")</f>
        <v>66</v>
      </c>
      <c r="H110" s="13">
        <f>_xll.BDH("ROG US Equity","AGE_OF_OLDEST_DIRECTOR","FY 2018","FY 2018","Currency=USD","Period=FY","BEST_FPERIOD_OVERRIDE=FY","FILING_STATUS=MR","Sort=A","Dates=H","DateFormat=P","Fill=—","Direction=H","UseDPDF=Y")</f>
        <v>67</v>
      </c>
      <c r="I110" s="13">
        <f>_xll.BDH("ROG US Equity","AGE_OF_OLDEST_DIRECTOR","FY 2019","FY 2019","Currency=USD","Period=FY","BEST_FPERIOD_OVERRIDE=FY","FILING_STATUS=MR","Sort=A","Dates=H","DateFormat=P","Fill=—","Direction=H","UseDPDF=Y")</f>
        <v>68</v>
      </c>
      <c r="J110" s="13">
        <f>_xll.BDH("ROG US Equity","AGE_OF_OLDEST_DIRECTOR","FY 2020","FY 2020","Currency=USD","Period=FY","BEST_FPERIOD_OVERRIDE=FY","FILING_STATUS=MR","Sort=A","Dates=H","DateFormat=P","Fill=—","Direction=H","UseDPDF=Y")</f>
        <v>69</v>
      </c>
      <c r="K110" s="13">
        <f>_xll.BDH("ROG US Equity","AGE_OF_OLDEST_DIRECTOR","FY 2021","FY 2021","Currency=USD","Period=FY","BEST_FPERIOD_OVERRIDE=FY","FILING_STATUS=MR","Sort=A","Dates=H","DateFormat=P","Fill=—","Direction=H","UseDPDF=Y")</f>
        <v>70</v>
      </c>
      <c r="L110" s="13">
        <f>_xll.BDH("ROG US Equity","AGE_OF_OLDEST_DIRECTOR","FY 2022","FY 2022","Currency=USD","Period=FY","BEST_FPERIOD_OVERRIDE=FY","FILING_STATUS=MR","Sort=A","Dates=H","DateFormat=P","Fill=—","Direction=H","UseDPDF=Y")</f>
        <v>71</v>
      </c>
    </row>
    <row r="111" spans="1:1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2">
      <c r="A112" s="10" t="s">
        <v>176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12">
      <c r="A113" s="10" t="s">
        <v>177</v>
      </c>
      <c r="B113" s="10" t="s">
        <v>178</v>
      </c>
      <c r="C113" s="13">
        <f>_xll.BDH("ROG US Equity","INDEPENDENT_DIRECTORS","FY 2013","FY 2013","Currency=USD","Period=FY","BEST_FPERIOD_OVERRIDE=FY","FILING_STATUS=MR","Sort=A","Dates=H","DateFormat=P","Fill=—","Direction=H","UseDPDF=Y")</f>
        <v>8</v>
      </c>
      <c r="D113" s="13">
        <f>_xll.BDH("ROG US Equity","INDEPENDENT_DIRECTORS","FY 2014","FY 2014","Currency=USD","Period=FY","BEST_FPERIOD_OVERRIDE=FY","FILING_STATUS=MR","Sort=A","Dates=H","DateFormat=P","Fill=—","Direction=H","UseDPDF=Y")</f>
        <v>8</v>
      </c>
      <c r="E113" s="13">
        <f>_xll.BDH("ROG US Equity","INDEPENDENT_DIRECTORS","FY 2015","FY 2015","Currency=USD","Period=FY","BEST_FPERIOD_OVERRIDE=FY","FILING_STATUS=MR","Sort=A","Dates=H","DateFormat=P","Fill=—","Direction=H","UseDPDF=Y")</f>
        <v>8</v>
      </c>
      <c r="F113" s="13">
        <f>_xll.BDH("ROG US Equity","INDEPENDENT_DIRECTORS","FY 2016","FY 2016","Currency=USD","Period=FY","BEST_FPERIOD_OVERRIDE=FY","FILING_STATUS=MR","Sort=A","Dates=H","DateFormat=P","Fill=—","Direction=H","UseDPDF=Y")</f>
        <v>7</v>
      </c>
      <c r="G113" s="13">
        <f>_xll.BDH("ROG US Equity","INDEPENDENT_DIRECTORS","FY 2017","FY 2017","Currency=USD","Period=FY","BEST_FPERIOD_OVERRIDE=FY","FILING_STATUS=MR","Sort=A","Dates=H","DateFormat=P","Fill=—","Direction=H","UseDPDF=Y")</f>
        <v>7</v>
      </c>
      <c r="H113" s="13">
        <f>_xll.BDH("ROG US Equity","INDEPENDENT_DIRECTORS","FY 2018","FY 2018","Currency=USD","Period=FY","BEST_FPERIOD_OVERRIDE=FY","FILING_STATUS=MR","Sort=A","Dates=H","DateFormat=P","Fill=—","Direction=H","UseDPDF=Y")</f>
        <v>7</v>
      </c>
      <c r="I113" s="13">
        <f>_xll.BDH("ROG US Equity","INDEPENDENT_DIRECTORS","FY 2019","FY 2019","Currency=USD","Period=FY","BEST_FPERIOD_OVERRIDE=FY","FILING_STATUS=MR","Sort=A","Dates=H","DateFormat=P","Fill=—","Direction=H","UseDPDF=Y")</f>
        <v>7</v>
      </c>
      <c r="J113" s="13">
        <f>_xll.BDH("ROG US Equity","INDEPENDENT_DIRECTORS","FY 2020","FY 2020","Currency=USD","Period=FY","BEST_FPERIOD_OVERRIDE=FY","FILING_STATUS=MR","Sort=A","Dates=H","DateFormat=P","Fill=—","Direction=H","UseDPDF=Y")</f>
        <v>8</v>
      </c>
      <c r="K113" s="13">
        <f>_xll.BDH("ROG US Equity","INDEPENDENT_DIRECTORS","FY 2021","FY 2021","Currency=USD","Period=FY","BEST_FPERIOD_OVERRIDE=FY","FILING_STATUS=MR","Sort=A","Dates=H","DateFormat=P","Fill=—","Direction=H","UseDPDF=Y")</f>
        <v>8</v>
      </c>
      <c r="L113" s="13">
        <f>_xll.BDH("ROG US Equity","INDEPENDENT_DIRECTORS","FY 2022","FY 2022","Currency=USD","Period=FY","BEST_FPERIOD_OVERRIDE=FY","FILING_STATUS=MR","Sort=A","Dates=H","DateFormat=P","Fill=—","Direction=H","UseDPDF=Y")</f>
        <v>8</v>
      </c>
    </row>
    <row r="114" spans="1:1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12">
      <c r="A115" s="10" t="s">
        <v>179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12">
      <c r="A116" s="10" t="s">
        <v>180</v>
      </c>
      <c r="B116" s="10" t="s">
        <v>181</v>
      </c>
      <c r="C116" s="13">
        <f>_xll.BDH("ROG US Equity","SIZE_OF_NOMINATION_COMMITTEE","FY 2013","FY 2013","Currency=USD","Period=FY","BEST_FPERIOD_OVERRIDE=FY","FILING_STATUS=MR","Sort=A","Dates=H","DateFormat=P","Fill=—","Direction=H","UseDPDF=Y")</f>
        <v>5</v>
      </c>
      <c r="D116" s="13">
        <f>_xll.BDH("ROG US Equity","SIZE_OF_NOMINATION_COMMITTEE","FY 2014","FY 2014","Currency=USD","Period=FY","BEST_FPERIOD_OVERRIDE=FY","FILING_STATUS=MR","Sort=A","Dates=H","DateFormat=P","Fill=—","Direction=H","UseDPDF=Y")</f>
        <v>5</v>
      </c>
      <c r="E116" s="13">
        <f>_xll.BDH("ROG US Equity","SIZE_OF_NOMINATION_COMMITTEE","FY 2015","FY 2015","Currency=USD","Period=FY","BEST_FPERIOD_OVERRIDE=FY","FILING_STATUS=MR","Sort=A","Dates=H","DateFormat=P","Fill=—","Direction=H","UseDPDF=Y")</f>
        <v>4</v>
      </c>
      <c r="F116" s="13">
        <f>_xll.BDH("ROG US Equity","SIZE_OF_NOMINATION_COMMITTEE","FY 2016","FY 2016","Currency=USD","Period=FY","BEST_FPERIOD_OVERRIDE=FY","FILING_STATUS=MR","Sort=A","Dates=H","DateFormat=P","Fill=—","Direction=H","UseDPDF=Y")</f>
        <v>4</v>
      </c>
      <c r="G116" s="13">
        <f>_xll.BDH("ROG US Equity","SIZE_OF_NOMINATION_COMMITTEE","FY 2017","FY 2017","Currency=USD","Period=FY","BEST_FPERIOD_OVERRIDE=FY","FILING_STATUS=MR","Sort=A","Dates=H","DateFormat=P","Fill=—","Direction=H","UseDPDF=Y")</f>
        <v>4</v>
      </c>
      <c r="H116" s="13">
        <f>_xll.BDH("ROG US Equity","SIZE_OF_NOMINATION_COMMITTEE","FY 2018","FY 2018","Currency=USD","Period=FY","BEST_FPERIOD_OVERRIDE=FY","FILING_STATUS=MR","Sort=A","Dates=H","DateFormat=P","Fill=—","Direction=H","UseDPDF=Y")</f>
        <v>4</v>
      </c>
      <c r="I116" s="13">
        <f>_xll.BDH("ROG US Equity","SIZE_OF_NOMINATION_COMMITTEE","FY 2019","FY 2019","Currency=USD","Period=FY","BEST_FPERIOD_OVERRIDE=FY","FILING_STATUS=MR","Sort=A","Dates=H","DateFormat=P","Fill=—","Direction=H","UseDPDF=Y")</f>
        <v>3</v>
      </c>
      <c r="J116" s="13">
        <f>_xll.BDH("ROG US Equity","SIZE_OF_NOMINATION_COMMITTEE","FY 2020","FY 2020","Currency=USD","Period=FY","BEST_FPERIOD_OVERRIDE=FY","FILING_STATUS=MR","Sort=A","Dates=H","DateFormat=P","Fill=—","Direction=H","UseDPDF=Y")</f>
        <v>4</v>
      </c>
      <c r="K116" s="13">
        <f>_xll.BDH("ROG US Equity","SIZE_OF_NOMINATION_COMMITTEE","FY 2021","FY 2021","Currency=USD","Period=FY","BEST_FPERIOD_OVERRIDE=FY","FILING_STATUS=MR","Sort=A","Dates=H","DateFormat=P","Fill=—","Direction=H","UseDPDF=Y")</f>
        <v>5</v>
      </c>
      <c r="L116" s="13">
        <f>_xll.BDH("ROG US Equity","SIZE_OF_NOMINATION_COMMITTEE","FY 2022","FY 2022","Currency=USD","Period=FY","BEST_FPERIOD_OVERRIDE=FY","FILING_STATUS=MR","Sort=A","Dates=H","DateFormat=P","Fill=—","Direction=H","UseDPDF=Y")</f>
        <v>5</v>
      </c>
    </row>
    <row r="117" spans="1:12">
      <c r="A117" s="10" t="s">
        <v>182</v>
      </c>
      <c r="B117" s="10" t="s">
        <v>183</v>
      </c>
      <c r="C117" s="13">
        <f>_xll.BDH("ROG US Equity","NUM_IND_DIR_ON_NOM_CMTE","FY 2013","FY 2013","Currency=USD","Period=FY","BEST_FPERIOD_OVERRIDE=FY","FILING_STATUS=MR","Sort=A","Dates=H","DateFormat=P","Fill=—","Direction=H","UseDPDF=Y")</f>
        <v>5</v>
      </c>
      <c r="D117" s="13">
        <f>_xll.BDH("ROG US Equity","NUM_IND_DIR_ON_NOM_CMTE","FY 2014","FY 2014","Currency=USD","Period=FY","BEST_FPERIOD_OVERRIDE=FY","FILING_STATUS=MR","Sort=A","Dates=H","DateFormat=P","Fill=—","Direction=H","UseDPDF=Y")</f>
        <v>5</v>
      </c>
      <c r="E117" s="13">
        <f>_xll.BDH("ROG US Equity","NUM_IND_DIR_ON_NOM_CMTE","FY 2015","FY 2015","Currency=USD","Period=FY","BEST_FPERIOD_OVERRIDE=FY","FILING_STATUS=MR","Sort=A","Dates=H","DateFormat=P","Fill=—","Direction=H","UseDPDF=Y")</f>
        <v>4</v>
      </c>
      <c r="F117" s="13">
        <f>_xll.BDH("ROG US Equity","NUM_IND_DIR_ON_NOM_CMTE","FY 2016","FY 2016","Currency=USD","Period=FY","BEST_FPERIOD_OVERRIDE=FY","FILING_STATUS=MR","Sort=A","Dates=H","DateFormat=P","Fill=—","Direction=H","UseDPDF=Y")</f>
        <v>4</v>
      </c>
      <c r="G117" s="13">
        <f>_xll.BDH("ROG US Equity","NUM_IND_DIR_ON_NOM_CMTE","FY 2017","FY 2017","Currency=USD","Period=FY","BEST_FPERIOD_OVERRIDE=FY","FILING_STATUS=MR","Sort=A","Dates=H","DateFormat=P","Fill=—","Direction=H","UseDPDF=Y")</f>
        <v>4</v>
      </c>
      <c r="H117" s="13">
        <f>_xll.BDH("ROG US Equity","NUM_IND_DIR_ON_NOM_CMTE","FY 2018","FY 2018","Currency=USD","Period=FY","BEST_FPERIOD_OVERRIDE=FY","FILING_STATUS=MR","Sort=A","Dates=H","DateFormat=P","Fill=—","Direction=H","UseDPDF=Y")</f>
        <v>4</v>
      </c>
      <c r="I117" s="13">
        <f>_xll.BDH("ROG US Equity","NUM_IND_DIR_ON_NOM_CMTE","FY 2019","FY 2019","Currency=USD","Period=FY","BEST_FPERIOD_OVERRIDE=FY","FILING_STATUS=MR","Sort=A","Dates=H","DateFormat=P","Fill=—","Direction=H","UseDPDF=Y")</f>
        <v>3</v>
      </c>
      <c r="J117" s="13">
        <f>_xll.BDH("ROG US Equity","NUM_IND_DIR_ON_NOM_CMTE","FY 2020","FY 2020","Currency=USD","Period=FY","BEST_FPERIOD_OVERRIDE=FY","FILING_STATUS=MR","Sort=A","Dates=H","DateFormat=P","Fill=—","Direction=H","UseDPDF=Y")</f>
        <v>4</v>
      </c>
      <c r="K117" s="13">
        <f>_xll.BDH("ROG US Equity","NUM_IND_DIR_ON_NOM_CMTE","FY 2021","FY 2021","Currency=USD","Period=FY","BEST_FPERIOD_OVERRIDE=FY","FILING_STATUS=MR","Sort=A","Dates=H","DateFormat=P","Fill=—","Direction=H","UseDPDF=Y")</f>
        <v>5</v>
      </c>
      <c r="L117" s="13">
        <f>_xll.BDH("ROG US Equity","NUM_IND_DIR_ON_NOM_CMTE","FY 2022","FY 2022","Currency=USD","Period=FY","BEST_FPERIOD_OVERRIDE=FY","FILING_STATUS=MR","Sort=A","Dates=H","DateFormat=P","Fill=—","Direction=H","UseDPDF=Y")</f>
        <v>5</v>
      </c>
    </row>
    <row r="118" spans="1:12">
      <c r="A118" s="10" t="s">
        <v>184</v>
      </c>
      <c r="B118" s="10" t="s">
        <v>185</v>
      </c>
      <c r="C118" s="13">
        <f>_xll.BDH("ROG US Equity","NUM_OF_NOMINATION_CMTE_MTG","FY 2013","FY 2013","Currency=USD","Period=FY","BEST_FPERIOD_OVERRIDE=FY","FILING_STATUS=MR","Sort=A","Dates=H","DateFormat=P","Fill=—","Direction=H","UseDPDF=Y")</f>
        <v>4</v>
      </c>
      <c r="D118" s="13">
        <f>_xll.BDH("ROG US Equity","NUM_OF_NOMINATION_CMTE_MTG","FY 2014","FY 2014","Currency=USD","Period=FY","BEST_FPERIOD_OVERRIDE=FY","FILING_STATUS=MR","Sort=A","Dates=H","DateFormat=P","Fill=—","Direction=H","UseDPDF=Y")</f>
        <v>5</v>
      </c>
      <c r="E118" s="13">
        <f>_xll.BDH("ROG US Equity","NUM_OF_NOMINATION_CMTE_MTG","FY 2015","FY 2015","Currency=USD","Period=FY","BEST_FPERIOD_OVERRIDE=FY","FILING_STATUS=MR","Sort=A","Dates=H","DateFormat=P","Fill=—","Direction=H","UseDPDF=Y")</f>
        <v>5</v>
      </c>
      <c r="F118" s="13">
        <f>_xll.BDH("ROG US Equity","NUM_OF_NOMINATION_CMTE_MTG","FY 2016","FY 2016","Currency=USD","Period=FY","BEST_FPERIOD_OVERRIDE=FY","FILING_STATUS=MR","Sort=A","Dates=H","DateFormat=P","Fill=—","Direction=H","UseDPDF=Y")</f>
        <v>4</v>
      </c>
      <c r="G118" s="13">
        <f>_xll.BDH("ROG US Equity","NUM_OF_NOMINATION_CMTE_MTG","FY 2017","FY 2017","Currency=USD","Period=FY","BEST_FPERIOD_OVERRIDE=FY","FILING_STATUS=MR","Sort=A","Dates=H","DateFormat=P","Fill=—","Direction=H","UseDPDF=Y")</f>
        <v>5</v>
      </c>
      <c r="H118" s="13">
        <f>_xll.BDH("ROG US Equity","NUM_OF_NOMINATION_CMTE_MTG","FY 2018","FY 2018","Currency=USD","Period=FY","BEST_FPERIOD_OVERRIDE=FY","FILING_STATUS=MR","Sort=A","Dates=H","DateFormat=P","Fill=—","Direction=H","UseDPDF=Y")</f>
        <v>5</v>
      </c>
      <c r="I118" s="13">
        <f>_xll.BDH("ROG US Equity","NUM_OF_NOMINATION_CMTE_MTG","FY 2019","FY 2019","Currency=USD","Period=FY","BEST_FPERIOD_OVERRIDE=FY","FILING_STATUS=MR","Sort=A","Dates=H","DateFormat=P","Fill=—","Direction=H","UseDPDF=Y")</f>
        <v>5</v>
      </c>
      <c r="J118" s="13">
        <f>_xll.BDH("ROG US Equity","NUM_OF_NOMINATION_CMTE_MTG","FY 2020","FY 2020","Currency=USD","Period=FY","BEST_FPERIOD_OVERRIDE=FY","FILING_STATUS=MR","Sort=A","Dates=H","DateFormat=P","Fill=—","Direction=H","UseDPDF=Y")</f>
        <v>5</v>
      </c>
      <c r="K118" s="13" t="str">
        <f>_xll.BDH("ROG US Equity","NUM_OF_NOMINATION_CMTE_MTG","FY 2021","FY 2021","Currency=USD","Period=FY","BEST_FPERIOD_OVERRIDE=FY","FILING_STATUS=MR","Sort=A","Dates=H","DateFormat=P","Fill=—","Direction=H","UseDPDF=Y")</f>
        <v>—</v>
      </c>
      <c r="L118" s="13">
        <f>_xll.BDH("ROG US Equity","NUM_OF_NOMINATION_CMTE_MTG","FY 2022","FY 2022","Currency=USD","Period=FY","BEST_FPERIOD_OVERRIDE=FY","FILING_STATUS=MR","Sort=A","Dates=H","DateFormat=P","Fill=—","Direction=H","UseDPDF=Y")</f>
        <v>5</v>
      </c>
    </row>
    <row r="119" spans="1:12">
      <c r="A119" s="10" t="s">
        <v>186</v>
      </c>
      <c r="B119" s="10" t="s">
        <v>187</v>
      </c>
      <c r="C119" s="13">
        <f>_xll.BDH("ROG US Equity","NOMINATION_CMTE_MTG_ATTEND_PCT","FY 2013","FY 2013","Currency=USD","Period=FY","BEST_FPERIOD_OVERRIDE=FY","FILING_STATUS=MR","Sort=A","Dates=H","DateFormat=P","Fill=—","Direction=H","UseDPDF=Y")</f>
        <v>75</v>
      </c>
      <c r="D119" s="13">
        <f>_xll.BDH("ROG US Equity","NOMINATION_CMTE_MTG_ATTEND_PCT","FY 2014","FY 2014","Currency=USD","Period=FY","BEST_FPERIOD_OVERRIDE=FY","FILING_STATUS=MR","Sort=A","Dates=H","DateFormat=P","Fill=—","Direction=H","UseDPDF=Y")</f>
        <v>75</v>
      </c>
      <c r="E119" s="13">
        <f>_xll.BDH("ROG US Equity","NOMINATION_CMTE_MTG_ATTEND_PCT","FY 2015","FY 2015","Currency=USD","Period=FY","BEST_FPERIOD_OVERRIDE=FY","FILING_STATUS=MR","Sort=A","Dates=H","DateFormat=P","Fill=—","Direction=H","UseDPDF=Y")</f>
        <v>75</v>
      </c>
      <c r="F119" s="13">
        <f>_xll.BDH("ROG US Equity","NOMINATION_CMTE_MTG_ATTEND_PCT","FY 2016","FY 2016","Currency=USD","Period=FY","BEST_FPERIOD_OVERRIDE=FY","FILING_STATUS=MR","Sort=A","Dates=H","DateFormat=P","Fill=—","Direction=H","UseDPDF=Y")</f>
        <v>75</v>
      </c>
      <c r="G119" s="13">
        <f>_xll.BDH("ROG US Equity","NOMINATION_CMTE_MTG_ATTEND_PCT","FY 2017","FY 2017","Currency=USD","Period=FY","BEST_FPERIOD_OVERRIDE=FY","FILING_STATUS=MR","Sort=A","Dates=H","DateFormat=P","Fill=—","Direction=H","UseDPDF=Y")</f>
        <v>75</v>
      </c>
      <c r="H119" s="13">
        <f>_xll.BDH("ROG US Equity","NOMINATION_CMTE_MTG_ATTEND_PCT","FY 2018","FY 2018","Currency=USD","Period=FY","BEST_FPERIOD_OVERRIDE=FY","FILING_STATUS=MR","Sort=A","Dates=H","DateFormat=P","Fill=—","Direction=H","UseDPDF=Y")</f>
        <v>75</v>
      </c>
      <c r="I119" s="13">
        <f>_xll.BDH("ROG US Equity","NOMINATION_CMTE_MTG_ATTEND_PCT","FY 2019","FY 2019","Currency=USD","Period=FY","BEST_FPERIOD_OVERRIDE=FY","FILING_STATUS=MR","Sort=A","Dates=H","DateFormat=P","Fill=—","Direction=H","UseDPDF=Y")</f>
        <v>95</v>
      </c>
      <c r="J119" s="13">
        <f>_xll.BDH("ROG US Equity","NOMINATION_CMTE_MTG_ATTEND_PCT","FY 2020","FY 2020","Currency=USD","Period=FY","BEST_FPERIOD_OVERRIDE=FY","FILING_STATUS=MR","Sort=A","Dates=H","DateFormat=P","Fill=—","Direction=H","UseDPDF=Y")</f>
        <v>100</v>
      </c>
      <c r="K119" s="13" t="str">
        <f>_xll.BDH("ROG US Equity","NOMINATION_CMTE_MTG_ATTEND_PCT","FY 2021","FY 2021","Currency=USD","Period=FY","BEST_FPERIOD_OVERRIDE=FY","FILING_STATUS=MR","Sort=A","Dates=H","DateFormat=P","Fill=—","Direction=H","UseDPDF=Y")</f>
        <v>—</v>
      </c>
      <c r="L119" s="13">
        <f>_xll.BDH("ROG US Equity","NOMINATION_CMTE_MTG_ATTEND_PCT","FY 2022","FY 2022","Currency=USD","Period=FY","BEST_FPERIOD_OVERRIDE=FY","FILING_STATUS=MR","Sort=A","Dates=H","DateFormat=P","Fill=—","Direction=H","UseDPDF=Y")</f>
        <v>75</v>
      </c>
    </row>
    <row r="120" spans="1:1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1:12">
      <c r="A121" s="10" t="s">
        <v>188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spans="1:12">
      <c r="A122" s="10" t="s">
        <v>189</v>
      </c>
      <c r="B122" s="10" t="s">
        <v>190</v>
      </c>
      <c r="C122" s="11" t="s">
        <v>46</v>
      </c>
      <c r="D122" s="11" t="s">
        <v>46</v>
      </c>
      <c r="E122" s="11" t="s">
        <v>46</v>
      </c>
      <c r="F122" s="11" t="s">
        <v>46</v>
      </c>
      <c r="G122" s="11" t="s">
        <v>46</v>
      </c>
      <c r="H122" s="11" t="s">
        <v>46</v>
      </c>
      <c r="I122" s="11" t="s">
        <v>46</v>
      </c>
      <c r="J122" s="11" t="s">
        <v>46</v>
      </c>
      <c r="K122" s="11" t="s">
        <v>46</v>
      </c>
      <c r="L122" s="11" t="s">
        <v>48</v>
      </c>
    </row>
    <row r="123" spans="1:12">
      <c r="A123" s="10" t="s">
        <v>191</v>
      </c>
      <c r="B123" s="10" t="s">
        <v>192</v>
      </c>
      <c r="C123" s="11" t="s">
        <v>46</v>
      </c>
      <c r="D123" s="11" t="s">
        <v>46</v>
      </c>
      <c r="E123" s="11" t="s">
        <v>46</v>
      </c>
      <c r="F123" s="11" t="s">
        <v>46</v>
      </c>
      <c r="G123" s="11" t="s">
        <v>46</v>
      </c>
      <c r="H123" s="11" t="s">
        <v>46</v>
      </c>
      <c r="I123" s="11" t="s">
        <v>46</v>
      </c>
      <c r="J123" s="11" t="s">
        <v>46</v>
      </c>
      <c r="K123" s="11" t="s">
        <v>46</v>
      </c>
      <c r="L123" s="11" t="s">
        <v>48</v>
      </c>
    </row>
    <row r="124" spans="1:1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spans="1:12">
      <c r="A125" s="10" t="s">
        <v>193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1:12">
      <c r="A126" s="10" t="s">
        <v>194</v>
      </c>
      <c r="B126" s="10" t="s">
        <v>195</v>
      </c>
      <c r="C126" s="13">
        <f>_xll.BDH("ROG US Equity","BOARD_DURATION","FY 2013","FY 2013","Currency=USD","Period=FY","BEST_FPERIOD_OVERRIDE=FY","FILING_STATUS=MR","Sort=A","Dates=H","DateFormat=P","Fill=—","Direction=H","UseDPDF=Y")</f>
        <v>1</v>
      </c>
      <c r="D126" s="13">
        <f>_xll.BDH("ROG US Equity","BOARD_DURATION","FY 2014","FY 2014","Currency=USD","Period=FY","BEST_FPERIOD_OVERRIDE=FY","FILING_STATUS=MR","Sort=A","Dates=H","DateFormat=P","Fill=—","Direction=H","UseDPDF=Y")</f>
        <v>1</v>
      </c>
      <c r="E126" s="13">
        <f>_xll.BDH("ROG US Equity","BOARD_DURATION","FY 2015","FY 2015","Currency=USD","Period=FY","BEST_FPERIOD_OVERRIDE=FY","FILING_STATUS=MR","Sort=A","Dates=H","DateFormat=P","Fill=—","Direction=H","UseDPDF=Y")</f>
        <v>1</v>
      </c>
      <c r="F126" s="13">
        <f>_xll.BDH("ROG US Equity","BOARD_DURATION","FY 2016","FY 2016","Currency=USD","Period=FY","BEST_FPERIOD_OVERRIDE=FY","FILING_STATUS=MR","Sort=A","Dates=H","DateFormat=P","Fill=—","Direction=H","UseDPDF=Y")</f>
        <v>1</v>
      </c>
      <c r="G126" s="13">
        <f>_xll.BDH("ROG US Equity","BOARD_DURATION","FY 2017","FY 2017","Currency=USD","Period=FY","BEST_FPERIOD_OVERRIDE=FY","FILING_STATUS=MR","Sort=A","Dates=H","DateFormat=P","Fill=—","Direction=H","UseDPDF=Y")</f>
        <v>1</v>
      </c>
      <c r="H126" s="13">
        <f>_xll.BDH("ROG US Equity","BOARD_DURATION","FY 2018","FY 2018","Currency=USD","Period=FY","BEST_FPERIOD_OVERRIDE=FY","FILING_STATUS=MR","Sort=A","Dates=H","DateFormat=P","Fill=—","Direction=H","UseDPDF=Y")</f>
        <v>1</v>
      </c>
      <c r="I126" s="13">
        <f>_xll.BDH("ROG US Equity","BOARD_DURATION","FY 2019","FY 2019","Currency=USD","Period=FY","BEST_FPERIOD_OVERRIDE=FY","FILING_STATUS=MR","Sort=A","Dates=H","DateFormat=P","Fill=—","Direction=H","UseDPDF=Y")</f>
        <v>1</v>
      </c>
      <c r="J126" s="13">
        <f>_xll.BDH("ROG US Equity","BOARD_DURATION","FY 2020","FY 2020","Currency=USD","Period=FY","BEST_FPERIOD_OVERRIDE=FY","FILING_STATUS=MR","Sort=A","Dates=H","DateFormat=P","Fill=—","Direction=H","UseDPDF=Y")</f>
        <v>1</v>
      </c>
      <c r="K126" s="13">
        <f>_xll.BDH("ROG US Equity","BOARD_DURATION","FY 2021","FY 2021","Currency=USD","Period=FY","BEST_FPERIOD_OVERRIDE=FY","FILING_STATUS=MR","Sort=A","Dates=H","DateFormat=P","Fill=—","Direction=H","UseDPDF=Y")</f>
        <v>1</v>
      </c>
      <c r="L126" s="13">
        <f>_xll.BDH("ROG US Equity","BOARD_DURATION","FY 2022","FY 2022","Currency=USD","Period=FY","BEST_FPERIOD_OVERRIDE=FY","FILING_STATUS=MR","Sort=A","Dates=H","DateFormat=P","Fill=—","Direction=H","UseDPDF=Y")</f>
        <v>1</v>
      </c>
    </row>
    <row r="127" spans="1:12">
      <c r="A127" s="7" t="s">
        <v>196</v>
      </c>
      <c r="B127" s="7"/>
      <c r="C127" s="7" t="s">
        <v>197</v>
      </c>
      <c r="D127" s="7"/>
      <c r="E127" s="7"/>
      <c r="F127" s="7"/>
      <c r="G127" s="7"/>
      <c r="H127" s="7"/>
      <c r="I127" s="7"/>
      <c r="J127" s="7"/>
      <c r="K127" s="7"/>
      <c r="L1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2023-12-04T20:08:12Z</dcterms:modified>
  <cp:category/>
  <cp:contentStatus/>
</cp:coreProperties>
</file>