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b-my.sharepoint.com/personal/hm23424_bristol_ac_uk/Documents/"/>
    </mc:Choice>
  </mc:AlternateContent>
  <xr:revisionPtr revIDLastSave="0" documentId="8_{2DAFDCC5-FA0B-4A51-8EB6-EE0AE413FA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fitabilit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/>
  <c r="I7" i="2"/>
  <c r="G19" i="2"/>
  <c r="F19" i="2"/>
  <c r="H14" i="2"/>
  <c r="L20" i="2"/>
  <c r="H24" i="2"/>
  <c r="I24" i="2"/>
  <c r="F9" i="2"/>
  <c r="C16" i="2"/>
  <c r="E9" i="2"/>
  <c r="K17" i="2"/>
  <c r="C23" i="2"/>
  <c r="H9" i="2"/>
  <c r="J7" i="2"/>
  <c r="I17" i="2"/>
  <c r="F16" i="2"/>
  <c r="L17" i="2"/>
  <c r="D13" i="2"/>
  <c r="H19" i="2"/>
  <c r="D23" i="2"/>
  <c r="J14" i="2"/>
  <c r="E16" i="2"/>
  <c r="D16" i="2"/>
  <c r="K24" i="2"/>
  <c r="G14" i="2"/>
  <c r="C8" i="2"/>
  <c r="J24" i="2"/>
  <c r="L14" i="2"/>
  <c r="E13" i="2"/>
  <c r="F13" i="2"/>
  <c r="L24" i="2"/>
  <c r="G9" i="2"/>
  <c r="G16" i="2"/>
  <c r="D18" i="2"/>
  <c r="I19" i="2"/>
  <c r="J19" i="2"/>
  <c r="H16" i="2"/>
  <c r="J9" i="2"/>
  <c r="K9" i="2"/>
  <c r="K19" i="2"/>
  <c r="C25" i="2"/>
  <c r="D25" i="2"/>
  <c r="F23" i="2"/>
  <c r="K10" i="2"/>
  <c r="C15" i="2"/>
  <c r="E8" i="2"/>
  <c r="I16" i="2"/>
  <c r="E18" i="2"/>
  <c r="G13" i="2"/>
  <c r="J17" i="2"/>
  <c r="C13" i="2"/>
  <c r="G23" i="2"/>
  <c r="K20" i="2"/>
  <c r="H13" i="2"/>
  <c r="E23" i="2"/>
  <c r="D8" i="2"/>
  <c r="F8" i="2"/>
  <c r="C18" i="2"/>
  <c r="G8" i="2"/>
  <c r="J16" i="2"/>
  <c r="I13" i="2"/>
  <c r="L7" i="2"/>
  <c r="L19" i="2"/>
  <c r="C10" i="2"/>
  <c r="K14" i="2"/>
  <c r="C20" i="2"/>
  <c r="E25" i="2"/>
  <c r="H8" i="2"/>
  <c r="H23" i="2"/>
  <c r="F18" i="2"/>
  <c r="G18" i="2"/>
  <c r="I9" i="2"/>
  <c r="K16" i="2"/>
  <c r="I14" i="2"/>
  <c r="L16" i="2"/>
  <c r="E15" i="2"/>
  <c r="I23" i="2"/>
  <c r="L9" i="2"/>
  <c r="F15" i="2"/>
  <c r="D10" i="2"/>
  <c r="J13" i="2"/>
  <c r="D15" i="2"/>
  <c r="H18" i="2"/>
  <c r="D20" i="2"/>
  <c r="J23" i="2"/>
  <c r="G25" i="2"/>
  <c r="E19" i="2"/>
  <c r="H25" i="2"/>
  <c r="E20" i="2"/>
  <c r="I8" i="2"/>
  <c r="C17" i="2"/>
  <c r="K23" i="2"/>
  <c r="G15" i="2"/>
  <c r="C7" i="2"/>
  <c r="F20" i="2"/>
  <c r="L10" i="2"/>
  <c r="H15" i="2"/>
  <c r="K7" i="2"/>
  <c r="K13" i="2"/>
  <c r="C14" i="2"/>
  <c r="F25" i="2"/>
  <c r="E10" i="2"/>
  <c r="F10" i="2"/>
  <c r="I18" i="2"/>
  <c r="L13" i="2"/>
  <c r="D7" i="2"/>
  <c r="I20" i="2"/>
  <c r="F17" i="2"/>
  <c r="H10" i="2"/>
  <c r="E14" i="2"/>
  <c r="K8" i="2"/>
  <c r="J15" i="2"/>
  <c r="D17" i="2"/>
  <c r="H20" i="2"/>
  <c r="J8" i="2"/>
  <c r="I15" i="2"/>
  <c r="K18" i="2"/>
  <c r="J25" i="2"/>
  <c r="L25" i="2"/>
  <c r="L15" i="2"/>
  <c r="I10" i="2"/>
  <c r="L8" i="2"/>
  <c r="G7" i="2"/>
  <c r="K25" i="2"/>
  <c r="I25" i="2"/>
  <c r="G10" i="2"/>
  <c r="K15" i="2"/>
  <c r="D9" i="2"/>
  <c r="J10" i="2"/>
  <c r="F7" i="2"/>
  <c r="F24" i="2"/>
  <c r="E24" i="2"/>
  <c r="H17" i="2"/>
  <c r="J20" i="2"/>
  <c r="L23" i="2"/>
  <c r="E17" i="2"/>
  <c r="F14" i="2"/>
  <c r="L18" i="2"/>
  <c r="G20" i="2"/>
  <c r="E7" i="2"/>
  <c r="D24" i="2"/>
  <c r="D19" i="2"/>
  <c r="J18" i="2"/>
  <c r="C9" i="2"/>
  <c r="C24" i="2"/>
  <c r="D14" i="2"/>
  <c r="G17" i="2"/>
  <c r="C19" i="2"/>
  <c r="H7" i="2"/>
</calcChain>
</file>

<file path=xl/sharedStrings.xml><?xml version="1.0" encoding="utf-8"?>
<sst xmlns="http://schemas.openxmlformats.org/spreadsheetml/2006/main" count="58" uniqueCount="58">
  <si>
    <t>Rogers Corp (ROG US) - Profitability</t>
  </si>
  <si>
    <t>In Millions of USD except Per Share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</si>
  <si>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</si>
  <si>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</si>
  <si>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</si>
  <si>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</si>
  <si>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</si>
  <si>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</si>
  <si>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</si>
  <si>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</si>
  <si>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</si>
  <si>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</si>
  <si>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12 Months Ending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</si>
  <si>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</si>
  <si>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</si>
  <si>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</si>
  <si>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</si>
  <si>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</si>
  <si>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</si>
  <si>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</si>
  <si>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</si>
  <si>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</si>
  <si>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</si>
  <si>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</si>
  <si>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</si>
  <si>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</si>
  <si>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</si>
  <si>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</si>
  <si>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</si>
  <si>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</si>
  <si>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</si>
  <si>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</si>
  <si>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</si>
  <si>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Gross Margin</t>
  </si>
  <si>
    <t>GROSS_MARGIN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</si>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</sst>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/>
    <xf numFmtId="0" fontId="5" fillId="34" borderId="0" xfId="31">
      <alignment horizontal="center"/>
    </xf>
    <xf numFmtId="0" fontId="6" fillId="33" borderId="3" xfId="33">
      <alignment horizontal="left"/>
    </xf>
    <xf numFmtId="0" fontId="6" fillId="33" borderId="3" xfId="32">
      <alignment horizontal="right"/>
    </xf>
    <xf numFmtId="0" fontId="6" fillId="33" borderId="1" xfId="30">
      <alignment horizontal="right"/>
    </xf>
    <xf numFmtId="0" fontId="7" fillId="34" borderId="5" xfId="35"/>
    <xf numFmtId="0" fontId="9" fillId="35" borderId="4" xfId="34"/>
    <xf numFmtId="0" fontId="4" fillId="33" borderId="15" xfId="50">
      <alignment horizontal="left" vertical="center" readingOrder="1"/>
    </xf>
    <xf numFmtId="0" fontId="6" fillId="33" borderId="1" xfId="51">
      <alignment horizontal="left"/>
    </xf>
    <xf numFmtId="0" fontId="3" fillId="34" borderId="5" xfId="36" applyFont="1"/>
    <xf numFmtId="3" fontId="1" fillId="34" borderId="2" xfId="52">
      <alignment horizontal="right"/>
    </xf>
    <xf numFmtId="4" fontId="1" fillId="34" borderId="2" xfId="53">
      <alignment horizontal="right"/>
    </xf>
    <xf numFmtId="3" fontId="7" fillId="34" borderId="2" xfId="54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4" xr:uid="{00000000-0005-0000-0000-000023000000}"/>
    <cellStyle name="fa_data_standard_0_grouped" xfId="52" xr:uid="{00000000-0005-0000-0000-000024000000}"/>
    <cellStyle name="fa_data_standard_2_grouped" xfId="53" xr:uid="{00000000-0005-0000-0000-000025000000}"/>
    <cellStyle name="fa_footer_italic" xfId="34" xr:uid="{00000000-0005-0000-0000-000026000000}"/>
    <cellStyle name="fa_row_header_bold" xfId="35" xr:uid="{00000000-0005-0000-0000-000027000000}"/>
    <cellStyle name="fa_row_header_standard" xfId="36" xr:uid="{00000000-0005-0000-0000-000028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/>
  </sheetViews>
  <sheetFormatPr defaultRowHeight="15"/>
  <cols>
    <col min="1" max="1" width="35.140625" customWidth="1"/>
    <col min="2" max="2" width="0" hidden="1" customWidth="1"/>
    <col min="3" max="12" width="11.8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>
      <c r="A6" s="6" t="s">
        <v>23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>
      <c r="A7" s="10" t="s">
        <v>24</v>
      </c>
      <c r="B7" s="10" t="s">
        <v>25</v>
      </c>
      <c r="C7" s="12">
        <f>_xll.BDH("ROG US Equity","RETURN_COM_EQY","FY 2013","FY 2013","Currency=USD","Period=FY","BEST_FPERIOD_OVERRIDE=FY","FILING_STATUS=MR","FA_ADJUSTED=GAAP","Sort=A","Dates=H","DateFormat=P","Fill=—","Direction=H","UseDPDF=Y")</f>
        <v>7.6310000000000002</v>
      </c>
      <c r="D7" s="12">
        <f>_xll.BDH("ROG US Equity","RETURN_COM_EQY","FY 2014","FY 2014","Currency=USD","Period=FY","BEST_FPERIOD_OVERRIDE=FY","FILING_STATUS=MR","FA_ADJUSTED=GAAP","Sort=A","Dates=H","DateFormat=P","Fill=—","Direction=H","UseDPDF=Y")</f>
        <v>9.3475000000000001</v>
      </c>
      <c r="E7" s="12">
        <f>_xll.BDH("ROG US Equity","RETURN_COM_EQY","FY 2015","FY 2015","Currency=USD","Period=FY","BEST_FPERIOD_OVERRIDE=FY","FILING_STATUS=MR","FA_ADJUSTED=GAAP","Sort=A","Dates=H","DateFormat=P","Fill=—","Direction=H","UseDPDF=Y")</f>
        <v>7.9054000000000002</v>
      </c>
      <c r="F7" s="12">
        <f>_xll.BDH("ROG US Equity","RETURN_COM_EQY","FY 2016","FY 2016","Currency=USD","Period=FY","BEST_FPERIOD_OVERRIDE=FY","FILING_STATUS=MR","FA_ADJUSTED=GAAP","Sort=A","Dates=H","DateFormat=P","Fill=—","Direction=H","UseDPDF=Y")</f>
        <v>7.9128999999999996</v>
      </c>
      <c r="G7" s="12">
        <f>_xll.BDH("ROG US Equity","RETURN_COM_EQY","FY 2017","FY 2017","Currency=USD","Period=FY","BEST_FPERIOD_OVERRIDE=FY","FILING_STATUS=MR","FA_ADJUSTED=GAAP","Sort=A","Dates=H","DateFormat=P","Fill=—","Direction=H","UseDPDF=Y")</f>
        <v>11.4748</v>
      </c>
      <c r="H7" s="12">
        <f>_xll.BDH("ROG US Equity","RETURN_COM_EQY","FY 2018","FY 2018","Currency=USD","Period=FY","BEST_FPERIOD_OVERRIDE=FY","FILING_STATUS=MR","FA_ADJUSTED=GAAP","Sort=A","Dates=H","DateFormat=P","Fill=—","Direction=H","UseDPDF=Y")</f>
        <v>10.8553</v>
      </c>
      <c r="I7" s="12">
        <f>_xll.BDH("ROG US Equity","RETURN_COM_EQY","FY 2019","FY 2019","Currency=USD","Period=FY","BEST_FPERIOD_OVERRIDE=FY","FILING_STATUS=MR","FA_ADJUSTED=GAAP","Sort=A","Dates=H","DateFormat=P","Fill=—","Direction=H","UseDPDF=Y")</f>
        <v>5.3101000000000003</v>
      </c>
      <c r="J7" s="12">
        <f>_xll.BDH("ROG US Equity","RETURN_COM_EQY","FY 2020","FY 2020","Currency=USD","Period=FY","BEST_FPERIOD_OVERRIDE=FY","FILING_STATUS=MR","FA_ADJUSTED=GAAP","Sort=A","Dates=H","DateFormat=P","Fill=—","Direction=H","UseDPDF=Y")</f>
        <v>5.1150000000000002</v>
      </c>
      <c r="K7" s="12">
        <f>_xll.BDH("ROG US Equity","RETURN_COM_EQY","FY 2021","FY 2021","Currency=USD","Period=FY","BEST_FPERIOD_OVERRIDE=FY","FILING_STATUS=MR","FA_ADJUSTED=GAAP","Sort=A","Dates=H","DateFormat=P","Fill=—","Direction=H","UseDPDF=Y")</f>
        <v>10.1075</v>
      </c>
      <c r="L7" s="12">
        <f>_xll.BDH("ROG US Equity","RETURN_COM_EQY","FY 2022","FY 2022","Currency=USD","Period=FY","BEST_FPERIOD_OVERRIDE=FY","FILING_STATUS=MR","FA_ADJUSTED=GAAP","Sort=A","Dates=H","DateFormat=P","Fill=—","Direction=H","UseDPDF=Y")</f>
        <v>10.1799</v>
      </c>
    </row>
    <row r="8" spans="1:12">
      <c r="A8" s="10" t="s">
        <v>26</v>
      </c>
      <c r="B8" s="10" t="s">
        <v>27</v>
      </c>
      <c r="C8" s="12">
        <f>_xll.BDH("ROG US Equity","RETURN_ON_ASSET","FY 2013","FY 2013","Currency=USD","Period=FY","BEST_FPERIOD_OVERRIDE=FY","FILING_STATUS=MR","FA_ADJUSTED=GAAP","Sort=A","Dates=H","DateFormat=P","Fill=—","Direction=H","UseDPDF=Y")</f>
        <v>4.8209</v>
      </c>
      <c r="D8" s="12">
        <f>_xll.BDH("ROG US Equity","RETURN_ON_ASSET","FY 2014","FY 2014","Currency=USD","Period=FY","BEST_FPERIOD_OVERRIDE=FY","FILING_STATUS=MR","FA_ADJUSTED=GAAP","Sort=A","Dates=H","DateFormat=P","Fill=—","Direction=H","UseDPDF=Y")</f>
        <v>6.4861000000000004</v>
      </c>
      <c r="E8" s="12">
        <f>_xll.BDH("ROG US Equity","RETURN_ON_ASSET","FY 2015","FY 2015","Currency=USD","Period=FY","BEST_FPERIOD_OVERRIDE=FY","FILING_STATUS=MR","FA_ADJUSTED=GAAP","Sort=A","Dates=H","DateFormat=P","Fill=—","Direction=H","UseDPDF=Y")</f>
        <v>5.2316000000000003</v>
      </c>
      <c r="F8" s="12">
        <f>_xll.BDH("ROG US Equity","RETURN_ON_ASSET","FY 2016","FY 2016","Currency=USD","Period=FY","BEST_FPERIOD_OVERRIDE=FY","FILING_STATUS=MR","FA_ADJUSTED=GAAP","Sort=A","Dates=H","DateFormat=P","Fill=—","Direction=H","UseDPDF=Y")</f>
        <v>4.8601999999999999</v>
      </c>
      <c r="G8" s="12">
        <f>_xll.BDH("ROG US Equity","RETURN_ON_ASSET","FY 2017","FY 2017","Currency=USD","Period=FY","BEST_FPERIOD_OVERRIDE=FY","FILING_STATUS=MR","FA_ADJUSTED=GAAP","Sort=A","Dates=H","DateFormat=P","Fill=—","Direction=H","UseDPDF=Y")</f>
        <v>7.3760000000000003</v>
      </c>
      <c r="H8" s="12">
        <f>_xll.BDH("ROG US Equity","RETURN_ON_ASSET","FY 2018","FY 2018","Currency=USD","Period=FY","BEST_FPERIOD_OVERRIDE=FY","FILING_STATUS=MR","FA_ADJUSTED=GAAP","Sort=A","Dates=H","DateFormat=P","Fill=—","Direction=H","UseDPDF=Y")</f>
        <v>7.2906000000000004</v>
      </c>
      <c r="I8" s="12">
        <f>_xll.BDH("ROG US Equity","RETURN_ON_ASSET","FY 2019","FY 2019","Currency=USD","Period=FY","BEST_FPERIOD_OVERRIDE=FY","FILING_STATUS=MR","FA_ADJUSTED=GAAP","Sort=A","Dates=H","DateFormat=P","Fill=—","Direction=H","UseDPDF=Y")</f>
        <v>3.7075999999999998</v>
      </c>
      <c r="J8" s="12">
        <f>_xll.BDH("ROG US Equity","RETURN_ON_ASSET","FY 2020","FY 2020","Currency=USD","Period=FY","BEST_FPERIOD_OVERRIDE=FY","FILING_STATUS=MR","FA_ADJUSTED=GAAP","Sort=A","Dates=H","DateFormat=P","Fill=—","Direction=H","UseDPDF=Y")</f>
        <v>3.9405999999999999</v>
      </c>
      <c r="K8" s="12">
        <f>_xll.BDH("ROG US Equity","RETURN_ON_ASSET","FY 2021","FY 2021","Currency=USD","Period=FY","BEST_FPERIOD_OVERRIDE=FY","FILING_STATUS=MR","FA_ADJUSTED=GAAP","Sort=A","Dates=H","DateFormat=P","Fill=—","Direction=H","UseDPDF=Y")</f>
        <v>7.5549999999999997</v>
      </c>
      <c r="L8" s="12">
        <f>_xll.BDH("ROG US Equity","RETURN_ON_ASSET","FY 2022","FY 2022","Currency=USD","Period=FY","BEST_FPERIOD_OVERRIDE=FY","FILING_STATUS=MR","FA_ADJUSTED=GAAP","Sort=A","Dates=H","DateFormat=P","Fill=—","Direction=H","UseDPDF=Y")</f>
        <v>7.1886999999999999</v>
      </c>
    </row>
    <row r="9" spans="1:12">
      <c r="A9" s="10" t="s">
        <v>28</v>
      </c>
      <c r="B9" s="10" t="s">
        <v>29</v>
      </c>
      <c r="C9" s="12" t="str">
        <f>_xll.BDH("ROG US Equity","RETURN_ON_CAP","FY 2013","FY 2013","Currency=USD","Period=FY","BEST_FPERIOD_OVERRIDE=FY","FILING_STATUS=MR","FA_ADJUSTED=GAAP","Sort=A","Dates=H","DateFormat=P","Fill=—","Direction=H","UseDPDF=Y")</f>
        <v>—</v>
      </c>
      <c r="D9" s="12" t="str">
        <f>_xll.BDH("ROG US Equity","RETURN_ON_CAP","FY 2014","FY 2014","Currency=USD","Period=FY","BEST_FPERIOD_OVERRIDE=FY","FILING_STATUS=MR","FA_ADJUSTED=GAAP","Sort=A","Dates=H","DateFormat=P","Fill=—","Direction=H","UseDPDF=Y")</f>
        <v>—</v>
      </c>
      <c r="E9" s="12">
        <f>_xll.BDH("ROG US Equity","RETURN_ON_CAP","FY 2015","FY 2015","Currency=USD","Period=FY","BEST_FPERIOD_OVERRIDE=FY","FILING_STATUS=MR","FA_ADJUSTED=GAAP","Sort=A","Dates=H","DateFormat=P","Fill=—","Direction=H","UseDPDF=Y")</f>
        <v>7.0179</v>
      </c>
      <c r="F9" s="12">
        <f>_xll.BDH("ROG US Equity","RETURN_ON_CAP","FY 2016","FY 2016","Currency=USD","Period=FY","BEST_FPERIOD_OVERRIDE=FY","FILING_STATUS=MR","FA_ADJUSTED=GAAP","Sort=A","Dates=H","DateFormat=P","Fill=—","Direction=H","UseDPDF=Y")</f>
        <v>6.1805000000000003</v>
      </c>
      <c r="G9" s="12">
        <f>_xll.BDH("ROG US Equity","RETURN_ON_CAP","FY 2017","FY 2017","Currency=USD","Period=FY","BEST_FPERIOD_OVERRIDE=FY","FILING_STATUS=MR","FA_ADJUSTED=GAAP","Sort=A","Dates=H","DateFormat=P","Fill=—","Direction=H","UseDPDF=Y")</f>
        <v>9.4903999999999993</v>
      </c>
      <c r="H9" s="12">
        <f>_xll.BDH("ROG US Equity","RETURN_ON_CAP","FY 2018","FY 2018","Currency=USD","Period=FY","BEST_FPERIOD_OVERRIDE=FY","FILING_STATUS=MR","FA_ADJUSTED=GAAP","Sort=A","Dates=H","DateFormat=P","Fill=—","Direction=H","UseDPDF=Y")</f>
        <v>9.4063999999999997</v>
      </c>
      <c r="I9" s="12">
        <f>_xll.BDH("ROG US Equity","RETURN_ON_CAP","FY 2019","FY 2019","Currency=USD","Period=FY","BEST_FPERIOD_OVERRIDE=FY","FILING_STATUS=MR","FA_ADJUSTED=GAAP","Sort=A","Dates=H","DateFormat=P","Fill=—","Direction=H","UseDPDF=Y")</f>
        <v>4.9656000000000002</v>
      </c>
      <c r="J9" s="12">
        <f>_xll.BDH("ROG US Equity","RETURN_ON_CAP","FY 2020","FY 2020","Currency=USD","Period=FY","BEST_FPERIOD_OVERRIDE=FY","FILING_STATUS=MR","FA_ADJUSTED=GAAP","Sort=A","Dates=H","DateFormat=P","Fill=—","Direction=H","UseDPDF=Y")</f>
        <v>5.2035</v>
      </c>
      <c r="K9" s="12">
        <f>_xll.BDH("ROG US Equity","RETURN_ON_CAP","FY 2021","FY 2021","Currency=USD","Period=FY","BEST_FPERIOD_OVERRIDE=FY","FILING_STATUS=MR","FA_ADJUSTED=GAAP","Sort=A","Dates=H","DateFormat=P","Fill=—","Direction=H","UseDPDF=Y")</f>
        <v>9.2599</v>
      </c>
      <c r="L9" s="12">
        <f>_xll.BDH("ROG US Equity","RETURN_ON_CAP","FY 2022","FY 2022","Currency=USD","Period=FY","BEST_FPERIOD_OVERRIDE=FY","FILING_STATUS=MR","FA_ADJUSTED=GAAP","Sort=A","Dates=H","DateFormat=P","Fill=—","Direction=H","UseDPDF=Y")</f>
        <v>9.1257999999999999</v>
      </c>
    </row>
    <row r="10" spans="1:12">
      <c r="A10" s="10" t="s">
        <v>30</v>
      </c>
      <c r="B10" s="10" t="s">
        <v>31</v>
      </c>
      <c r="C10" s="12">
        <f>_xll.BDH("ROG US Equity","RETURN_ON_INV_CAPITAL","FY 2013","FY 2013","Currency=USD","Period=FY","BEST_FPERIOD_OVERRIDE=FY","FILING_STATUS=MR","FA_ADJUSTED=GAAP","Sort=A","Dates=H","DateFormat=P","Fill=—","Direction=H","UseDPDF=Y")</f>
        <v>7.1642999999999999</v>
      </c>
      <c r="D10" s="12">
        <f>_xll.BDH("ROG US Equity","RETURN_ON_INV_CAPITAL","FY 2014","FY 2014","Currency=USD","Period=FY","BEST_FPERIOD_OVERRIDE=FY","FILING_STATUS=MR","FA_ADJUSTED=GAAP","Sort=A","Dates=H","DateFormat=P","Fill=—","Direction=H","UseDPDF=Y")</f>
        <v>8.7735000000000003</v>
      </c>
      <c r="E10" s="12">
        <f>_xll.BDH("ROG US Equity","RETURN_ON_INV_CAPITAL","FY 2015","FY 2015","Currency=USD","Period=FY","BEST_FPERIOD_OVERRIDE=FY","FILING_STATUS=MR","FA_ADJUSTED=GAAP","Sort=A","Dates=H","DateFormat=P","Fill=—","Direction=H","UseDPDF=Y")</f>
        <v>7.4006999999999996</v>
      </c>
      <c r="F10" s="12">
        <f>_xll.BDH("ROG US Equity","RETURN_ON_INV_CAPITAL","FY 2016","FY 2016","Currency=USD","Period=FY","BEST_FPERIOD_OVERRIDE=FY","FILING_STATUS=MR","FA_ADJUSTED=GAAP","Sort=A","Dates=H","DateFormat=P","Fill=—","Direction=H","UseDPDF=Y")</f>
        <v>5.7680999999999996</v>
      </c>
      <c r="G10" s="12">
        <f>_xll.BDH("ROG US Equity","RETURN_ON_INV_CAPITAL","FY 2017","FY 2017","Currency=USD","Period=FY","BEST_FPERIOD_OVERRIDE=FY","FILING_STATUS=MR","FA_ADJUSTED=GAAP","Sort=A","Dates=H","DateFormat=P","Fill=—","Direction=H","UseDPDF=Y")</f>
        <v>8.7904</v>
      </c>
      <c r="H10" s="12">
        <f>_xll.BDH("ROG US Equity","RETURN_ON_INV_CAPITAL","FY 2018","FY 2018","Currency=USD","Period=FY","BEST_FPERIOD_OVERRIDE=FY","FILING_STATUS=MR","FA_ADJUSTED=GAAP","Sort=A","Dates=H","DateFormat=P","Fill=—","Direction=H","UseDPDF=Y")</f>
        <v>8.9304000000000006</v>
      </c>
      <c r="I10" s="12">
        <f>_xll.BDH("ROG US Equity","RETURN_ON_INV_CAPITAL","FY 2019","FY 2019","Currency=USD","Period=FY","BEST_FPERIOD_OVERRIDE=FY","FILING_STATUS=MR","FA_ADJUSTED=GAAP","Sort=A","Dates=H","DateFormat=P","Fill=—","Direction=H","UseDPDF=Y")</f>
        <v>13.736800000000001</v>
      </c>
      <c r="J10" s="12">
        <f>_xll.BDH("ROG US Equity","RETURN_ON_INV_CAPITAL","FY 2020","FY 2020","Currency=USD","Period=FY","BEST_FPERIOD_OVERRIDE=FY","FILING_STATUS=MR","FA_ADJUSTED=GAAP","Sort=A","Dates=H","DateFormat=P","Fill=—","Direction=H","UseDPDF=Y")</f>
        <v>4.6139999999999999</v>
      </c>
      <c r="K10" s="12">
        <f>_xll.BDH("ROG US Equity","RETURN_ON_INV_CAPITAL","FY 2021","FY 2021","Currency=USD","Period=FY","BEST_FPERIOD_OVERRIDE=FY","FILING_STATUS=MR","FA_ADJUSTED=GAAP","Sort=A","Dates=H","DateFormat=P","Fill=—","Direction=H","UseDPDF=Y")</f>
        <v>8.3953000000000007</v>
      </c>
      <c r="L10" s="12">
        <f>_xll.BDH("ROG US Equity","RETURN_ON_INV_CAPITAL","FY 2022","FY 2022","Currency=USD","Period=FY","BEST_FPERIOD_OVERRIDE=FY","FILING_STATUS=MR","FA_ADJUSTED=GAAP","Sort=A","Dates=H","DateFormat=P","Fill=—","Direction=H","UseDPDF=Y")</f>
        <v>8.8178999999999998</v>
      </c>
    </row>
    <row r="11" spans="1:12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>
      <c r="A12" s="6" t="s">
        <v>32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0" t="s">
        <v>33</v>
      </c>
      <c r="B13" s="10" t="s">
        <v>34</v>
      </c>
      <c r="C13" s="12">
        <f>_xll.BDH("ROG US Equity","GROSS_MARGIN","FY 2013","FY 2013","Currency=USD","Period=FY","BEST_FPERIOD_OVERRIDE=FY","FILING_STATUS=MR","FA_ADJUSTED=GAAP","Sort=A","Dates=H","DateFormat=P","Fill=—","Direction=H","UseDPDF=Y")</f>
        <v>34.9221</v>
      </c>
      <c r="D13" s="12">
        <f>_xll.BDH("ROG US Equity","GROSS_MARGIN","FY 2014","FY 2014","Currency=USD","Period=FY","BEST_FPERIOD_OVERRIDE=FY","FILING_STATUS=MR","FA_ADJUSTED=GAAP","Sort=A","Dates=H","DateFormat=P","Fill=—","Direction=H","UseDPDF=Y")</f>
        <v>38.426699999999997</v>
      </c>
      <c r="E13" s="12">
        <f>_xll.BDH("ROG US Equity","GROSS_MARGIN","FY 2015","FY 2015","Currency=USD","Period=FY","BEST_FPERIOD_OVERRIDE=FY","FILING_STATUS=MR","FA_ADJUSTED=GAAP","Sort=A","Dates=H","DateFormat=P","Fill=—","Direction=H","UseDPDF=Y")</f>
        <v>36.692599999999999</v>
      </c>
      <c r="F13" s="12">
        <f>_xll.BDH("ROG US Equity","GROSS_MARGIN","FY 2016","FY 2016","Currency=USD","Period=FY","BEST_FPERIOD_OVERRIDE=FY","FILING_STATUS=MR","FA_ADJUSTED=GAAP","Sort=A","Dates=H","DateFormat=P","Fill=—","Direction=H","UseDPDF=Y")</f>
        <v>38.013100000000001</v>
      </c>
      <c r="G13" s="12">
        <f>_xll.BDH("ROG US Equity","GROSS_MARGIN","FY 2017","FY 2017","Currency=USD","Period=FY","BEST_FPERIOD_OVERRIDE=FY","FILING_STATUS=MR","FA_ADJUSTED=GAAP","Sort=A","Dates=H","DateFormat=P","Fill=—","Direction=H","UseDPDF=Y")</f>
        <v>38.801299999999998</v>
      </c>
      <c r="H13" s="12">
        <f>_xll.BDH("ROG US Equity","GROSS_MARGIN","FY 2018","FY 2018","Currency=USD","Period=FY","BEST_FPERIOD_OVERRIDE=FY","FILING_STATUS=MR","FA_ADJUSTED=GAAP","Sort=A","Dates=H","DateFormat=P","Fill=—","Direction=H","UseDPDF=Y")</f>
        <v>35.352800000000002</v>
      </c>
      <c r="I13" s="12">
        <f>_xll.BDH("ROG US Equity","GROSS_MARGIN","FY 2019","FY 2019","Currency=USD","Period=FY","BEST_FPERIOD_OVERRIDE=FY","FILING_STATUS=MR","FA_ADJUSTED=GAAP","Sort=A","Dates=H","DateFormat=P","Fill=—","Direction=H","UseDPDF=Y")</f>
        <v>34.988999999999997</v>
      </c>
      <c r="J13" s="12">
        <f>_xll.BDH("ROG US Equity","GROSS_MARGIN","FY 2020","FY 2020","Currency=USD","Period=FY","BEST_FPERIOD_OVERRIDE=FY","FILING_STATUS=MR","FA_ADJUSTED=GAAP","Sort=A","Dates=H","DateFormat=P","Fill=—","Direction=H","UseDPDF=Y")</f>
        <v>36.360100000000003</v>
      </c>
      <c r="K13" s="12">
        <f>_xll.BDH("ROG US Equity","GROSS_MARGIN","FY 2021","FY 2021","Currency=USD","Period=FY","BEST_FPERIOD_OVERRIDE=FY","FILING_STATUS=MR","FA_ADJUSTED=GAAP","Sort=A","Dates=H","DateFormat=P","Fill=—","Direction=H","UseDPDF=Y")</f>
        <v>37.425699999999999</v>
      </c>
      <c r="L13" s="12">
        <f>_xll.BDH("ROG US Equity","GROSS_MARGIN","FY 2022","FY 2022","Currency=USD","Period=FY","BEST_FPERIOD_OVERRIDE=FY","FILING_STATUS=MR","FA_ADJUSTED=GAAP","Sort=A","Dates=H","DateFormat=P","Fill=—","Direction=H","UseDPDF=Y")</f>
        <v>33.054400000000001</v>
      </c>
    </row>
    <row r="14" spans="1:12">
      <c r="A14" s="10" t="s">
        <v>35</v>
      </c>
      <c r="B14" s="10" t="s">
        <v>36</v>
      </c>
      <c r="C14" s="12">
        <f>_xll.BDH("ROG US Equity","EBITDA_TO_REVENUE","FY 2013","FY 2013","Currency=USD","Period=FY","BEST_FPERIOD_OVERRIDE=FY","FILING_STATUS=MR","FA_ADJUSTED=GAAP","Sort=A","Dates=H","DateFormat=P","Fill=—","Direction=H","UseDPDF=Y")</f>
        <v>14.071400000000001</v>
      </c>
      <c r="D14" s="12">
        <f>_xll.BDH("ROG US Equity","EBITDA_TO_REVENUE","FY 2014","FY 2014","Currency=USD","Period=FY","BEST_FPERIOD_OVERRIDE=FY","FILING_STATUS=MR","FA_ADJUSTED=GAAP","Sort=A","Dates=H","DateFormat=P","Fill=—","Direction=H","UseDPDF=Y")</f>
        <v>17.598099999999999</v>
      </c>
      <c r="E14" s="12">
        <f>_xll.BDH("ROG US Equity","EBITDA_TO_REVENUE","FY 2015","FY 2015","Currency=USD","Period=FY","BEST_FPERIOD_OVERRIDE=FY","FILING_STATUS=MR","FA_ADJUSTED=GAAP","Sort=A","Dates=H","DateFormat=P","Fill=—","Direction=H","UseDPDF=Y")</f>
        <v>17.196999999999999</v>
      </c>
      <c r="F14" s="12">
        <f>_xll.BDH("ROG US Equity","EBITDA_TO_REVENUE","FY 2016","FY 2016","Currency=USD","Period=FY","BEST_FPERIOD_OVERRIDE=FY","FILING_STATUS=MR","FA_ADJUSTED=GAAP","Sort=A","Dates=H","DateFormat=P","Fill=—","Direction=H","UseDPDF=Y")</f>
        <v>18.5428</v>
      </c>
      <c r="G14" s="12">
        <f>_xll.BDH("ROG US Equity","EBITDA_TO_REVENUE","FY 2017","FY 2017","Currency=USD","Period=FY","BEST_FPERIOD_OVERRIDE=FY","FILING_STATUS=MR","FA_ADJUSTED=GAAP","Sort=A","Dates=H","DateFormat=P","Fill=—","Direction=H","UseDPDF=Y")</f>
        <v>21.299499999999998</v>
      </c>
      <c r="H14" s="12">
        <f>_xll.BDH("ROG US Equity","EBITDA_TO_REVENUE","FY 2018","FY 2018","Currency=USD","Period=FY","BEST_FPERIOD_OVERRIDE=FY","FILING_STATUS=MR","FA_ADJUSTED=GAAP","Sort=A","Dates=H","DateFormat=P","Fill=—","Direction=H","UseDPDF=Y")</f>
        <v>18.517299999999999</v>
      </c>
      <c r="I14" s="12">
        <f>_xll.BDH("ROG US Equity","EBITDA_TO_REVENUE","FY 2019","FY 2019","Currency=USD","Period=FY","BEST_FPERIOD_OVERRIDE=FY","FILING_STATUS=MR","FA_ADJUSTED=GAAP","Sort=A","Dates=H","DateFormat=P","Fill=—","Direction=H","UseDPDF=Y")</f>
        <v>18.119700000000002</v>
      </c>
      <c r="J14" s="12">
        <f>_xll.BDH("ROG US Equity","EBITDA_TO_REVENUE","FY 2020","FY 2020","Currency=USD","Period=FY","BEST_FPERIOD_OVERRIDE=FY","FILING_STATUS=MR","FA_ADJUSTED=GAAP","Sort=A","Dates=H","DateFormat=P","Fill=—","Direction=H","UseDPDF=Y")</f>
        <v>17.694900000000001</v>
      </c>
      <c r="K14" s="12">
        <f>_xll.BDH("ROG US Equity","EBITDA_TO_REVENUE","FY 2021","FY 2021","Currency=USD","Period=FY","BEST_FPERIOD_OVERRIDE=FY","FILING_STATUS=MR","FA_ADJUSTED=GAAP","Sort=A","Dates=H","DateFormat=P","Fill=—","Direction=H","UseDPDF=Y")</f>
        <v>17.5228</v>
      </c>
      <c r="L14" s="12">
        <f>_xll.BDH("ROG US Equity","EBITDA_TO_REVENUE","FY 2022","FY 2022","Currency=USD","Period=FY","BEST_FPERIOD_OVERRIDE=FY","FILING_STATUS=MR","FA_ADJUSTED=GAAP","Sort=A","Dates=H","DateFormat=P","Fill=—","Direction=H","UseDPDF=Y")</f>
        <v>19.883099999999999</v>
      </c>
    </row>
    <row r="15" spans="1:12">
      <c r="A15" s="10" t="s">
        <v>37</v>
      </c>
      <c r="B15" s="10" t="s">
        <v>38</v>
      </c>
      <c r="C15" s="12">
        <f>_xll.BDH("ROG US Equity","OPER_MARGIN","FY 2013","FY 2013","Currency=USD","Period=FY","BEST_FPERIOD_OVERRIDE=FY","FILING_STATUS=MR","FA_ADJUSTED=GAAP","Sort=A","Dates=H","DateFormat=P","Fill=—","Direction=H","UseDPDF=Y")</f>
        <v>9.1686999999999994</v>
      </c>
      <c r="D15" s="12">
        <f>_xll.BDH("ROG US Equity","OPER_MARGIN","FY 2014","FY 2014","Currency=USD","Period=FY","BEST_FPERIOD_OVERRIDE=FY","FILING_STATUS=MR","FA_ADJUSTED=GAAP","Sort=A","Dates=H","DateFormat=P","Fill=—","Direction=H","UseDPDF=Y")</f>
        <v>13.298299999999999</v>
      </c>
      <c r="E15" s="12">
        <f>_xll.BDH("ROG US Equity","OPER_MARGIN","FY 2015","FY 2015","Currency=USD","Period=FY","BEST_FPERIOD_OVERRIDE=FY","FILING_STATUS=MR","FA_ADJUSTED=GAAP","Sort=A","Dates=H","DateFormat=P","Fill=—","Direction=H","UseDPDF=Y")</f>
        <v>11.888</v>
      </c>
      <c r="F15" s="12">
        <f>_xll.BDH("ROG US Equity","OPER_MARGIN","FY 2016","FY 2016","Currency=USD","Period=FY","BEST_FPERIOD_OVERRIDE=FY","FILING_STATUS=MR","FA_ADJUSTED=GAAP","Sort=A","Dates=H","DateFormat=P","Fill=—","Direction=H","UseDPDF=Y")</f>
        <v>12.776199999999999</v>
      </c>
      <c r="G15" s="12">
        <f>_xll.BDH("ROG US Equity","OPER_MARGIN","FY 2017","FY 2017","Currency=USD","Period=FY","BEST_FPERIOD_OVERRIDE=FY","FILING_STATUS=MR","FA_ADJUSTED=GAAP","Sort=A","Dates=H","DateFormat=P","Fill=—","Direction=H","UseDPDF=Y")</f>
        <v>15.9284</v>
      </c>
      <c r="H15" s="12">
        <f>_xll.BDH("ROG US Equity","OPER_MARGIN","FY 2018","FY 2018","Currency=USD","Period=FY","BEST_FPERIOD_OVERRIDE=FY","FILING_STATUS=MR","FA_ADJUSTED=GAAP","Sort=A","Dates=H","DateFormat=P","Fill=—","Direction=H","UseDPDF=Y")</f>
        <v>12.821300000000001</v>
      </c>
      <c r="I15" s="12">
        <f>_xll.BDH("ROG US Equity","OPER_MARGIN","FY 2019","FY 2019","Currency=USD","Period=FY","BEST_FPERIOD_OVERRIDE=FY","FILING_STATUS=MR","FA_ADJUSTED=GAAP","Sort=A","Dates=H","DateFormat=P","Fill=—","Direction=H","UseDPDF=Y")</f>
        <v>12.2994</v>
      </c>
      <c r="J15" s="12">
        <f>_xll.BDH("ROG US Equity","OPER_MARGIN","FY 2020","FY 2020","Currency=USD","Period=FY","BEST_FPERIOD_OVERRIDE=FY","FILING_STATUS=MR","FA_ADJUSTED=GAAP","Sort=A","Dates=H","DateFormat=P","Fill=—","Direction=H","UseDPDF=Y")</f>
        <v>8.3896999999999995</v>
      </c>
      <c r="K15" s="12">
        <f>_xll.BDH("ROG US Equity","OPER_MARGIN","FY 2021","FY 2021","Currency=USD","Period=FY","BEST_FPERIOD_OVERRIDE=FY","FILING_STATUS=MR","FA_ADJUSTED=GAAP","Sort=A","Dates=H","DateFormat=P","Fill=—","Direction=H","UseDPDF=Y")</f>
        <v>12.561199999999999</v>
      </c>
      <c r="L15" s="12">
        <f>_xll.BDH("ROG US Equity","OPER_MARGIN","FY 2022","FY 2022","Currency=USD","Period=FY","BEST_FPERIOD_OVERRIDE=FY","FILING_STATUS=MR","FA_ADJUSTED=GAAP","Sort=A","Dates=H","DateFormat=P","Fill=—","Direction=H","UseDPDF=Y")</f>
        <v>14.8719</v>
      </c>
    </row>
    <row r="16" spans="1:12">
      <c r="A16" s="10" t="s">
        <v>39</v>
      </c>
      <c r="B16" s="10" t="s">
        <v>40</v>
      </c>
      <c r="C16" s="12">
        <f>_xll.BDH("ROG US Equity","INCREMENTAL_OPERATING_MARGIN","FY 2013","FY 2013","Currency=USD","Period=FY","BEST_FPERIOD_OVERRIDE=FY","FILING_STATUS=MR","FA_ADJUSTED=GAAP","Sort=A","Dates=H","DateFormat=P","Fill=—","Direction=H","UseDPDF=Y")</f>
        <v>60.990200000000002</v>
      </c>
      <c r="D16" s="12">
        <f>_xll.BDH("ROG US Equity","INCREMENTAL_OPERATING_MARGIN","FY 2014","FY 2014","Currency=USD","Period=FY","BEST_FPERIOD_OVERRIDE=FY","FILING_STATUS=MR","FA_ADJUSTED=GAAP","Sort=A","Dates=H","DateFormat=P","Fill=—","Direction=H","UseDPDF=Y")</f>
        <v>43.526400000000002</v>
      </c>
      <c r="E16" s="12" t="str">
        <f>_xll.BDH("ROG US Equity","INCREMENTAL_OPERATING_MARGIN","FY 2015","FY 2015","Currency=USD","Period=FY","BEST_FPERIOD_OVERRIDE=FY","FILING_STATUS=MR","FA_ADJUSTED=GAAP","Sort=A","Dates=H","DateFormat=P","Fill=—","Direction=H","UseDPDF=Y")</f>
        <v>—</v>
      </c>
      <c r="F16" s="12">
        <f>_xll.BDH("ROG US Equity","INCREMENTAL_OPERATING_MARGIN","FY 2016","FY 2016","Currency=USD","Period=FY","BEST_FPERIOD_OVERRIDE=FY","FILING_STATUS=MR","FA_ADJUSTED=GAAP","Sort=A","Dates=H","DateFormat=P","Fill=—","Direction=H","UseDPDF=Y")</f>
        <v>51.085999999999999</v>
      </c>
      <c r="G16" s="12">
        <f>_xll.BDH("ROG US Equity","INCREMENTAL_OPERATING_MARGIN","FY 2017","FY 2017","Currency=USD","Period=FY","BEST_FPERIOD_OVERRIDE=FY","FILING_STATUS=MR","FA_ADJUSTED=GAAP","Sort=A","Dates=H","DateFormat=P","Fill=—","Direction=H","UseDPDF=Y")</f>
        <v>28.487400000000001</v>
      </c>
      <c r="H16" s="12" t="str">
        <f>_xll.BDH("ROG US Equity","INCREMENTAL_OPERATING_MARGIN","FY 2018","FY 2018","Currency=USD","Period=FY","BEST_FPERIOD_OVERRIDE=FY","FILING_STATUS=MR","FA_ADJUSTED=GAAP","Sort=A","Dates=H","DateFormat=P","Fill=—","Direction=H","UseDPDF=Y")</f>
        <v>—</v>
      </c>
      <c r="I16" s="12" t="str">
        <f>_xll.BDH("ROG US Equity","INCREMENTAL_OPERATING_MARGIN","FY 2019","FY 2019","Currency=USD","Period=FY","BEST_FPERIOD_OVERRIDE=FY","FILING_STATUS=MR","FA_ADJUSTED=GAAP","Sort=A","Dates=H","DateFormat=P","Fill=—","Direction=H","UseDPDF=Y")</f>
        <v>—</v>
      </c>
      <c r="J16" s="12">
        <f>_xll.BDH("ROG US Equity","INCREMENTAL_OPERATING_MARGIN","FY 2020","FY 2020","Currency=USD","Period=FY","BEST_FPERIOD_OVERRIDE=FY","FILING_STATUS=MR","FA_ADJUSTED=GAAP","Sort=A","Dates=H","DateFormat=P","Fill=—","Direction=H","UseDPDF=Y")</f>
        <v>-45.096499999999999</v>
      </c>
      <c r="K16" s="12">
        <f>_xll.BDH("ROG US Equity","INCREMENTAL_OPERATING_MARGIN","FY 2021","FY 2021","Currency=USD","Period=FY","BEST_FPERIOD_OVERRIDE=FY","FILING_STATUS=MR","FA_ADJUSTED=GAAP","Sort=A","Dates=H","DateFormat=P","Fill=—","Direction=H","UseDPDF=Y")</f>
        <v>38.255499999999998</v>
      </c>
      <c r="L16" s="12">
        <f>_xll.BDH("ROG US Equity","INCREMENTAL_OPERATING_MARGIN","FY 2022","FY 2022","Currency=USD","Period=FY","BEST_FPERIOD_OVERRIDE=FY","FILING_STATUS=MR","FA_ADJUSTED=GAAP","Sort=A","Dates=H","DateFormat=P","Fill=—","Direction=H","UseDPDF=Y")</f>
        <v>71.176699999999997</v>
      </c>
    </row>
    <row r="17" spans="1:12">
      <c r="A17" s="10" t="s">
        <v>41</v>
      </c>
      <c r="B17" s="10" t="s">
        <v>42</v>
      </c>
      <c r="C17" s="12">
        <f>_xll.BDH("ROG US Equity","PRETAX_INC_TO_NET_SALES","FY 2013","FY 2013","Currency=USD","Period=FY","BEST_FPERIOD_OVERRIDE=FY","FILING_STATUS=MR","FA_ADJUSTED=GAAP","Sort=A","Dates=H","DateFormat=P","Fill=—","Direction=H","UseDPDF=Y")</f>
        <v>9.0952000000000002</v>
      </c>
      <c r="D17" s="12">
        <f>_xll.BDH("ROG US Equity","PRETAX_INC_TO_NET_SALES","FY 2014","FY 2014","Currency=USD","Period=FY","BEST_FPERIOD_OVERRIDE=FY","FILING_STATUS=MR","FA_ADJUSTED=GAAP","Sort=A","Dates=H","DateFormat=P","Fill=—","Direction=H","UseDPDF=Y")</f>
        <v>13.2956</v>
      </c>
      <c r="E17" s="12">
        <f>_xll.BDH("ROG US Equity","PRETAX_INC_TO_NET_SALES","FY 2015","FY 2015","Currency=USD","Period=FY","BEST_FPERIOD_OVERRIDE=FY","FILING_STATUS=MR","FA_ADJUSTED=GAAP","Sort=A","Dates=H","DateFormat=P","Fill=—","Direction=H","UseDPDF=Y")</f>
        <v>10.3163</v>
      </c>
      <c r="F17" s="12">
        <f>_xll.BDH("ROG US Equity","PRETAX_INC_TO_NET_SALES","FY 2016","FY 2016","Currency=USD","Period=FY","BEST_FPERIOD_OVERRIDE=FY","FILING_STATUS=MR","FA_ADJUSTED=GAAP","Sort=A","Dates=H","DateFormat=P","Fill=—","Direction=H","UseDPDF=Y")</f>
        <v>12.5367</v>
      </c>
      <c r="G17" s="12">
        <f>_xll.BDH("ROG US Equity","PRETAX_INC_TO_NET_SALES","FY 2017","FY 2017","Currency=USD","Period=FY","BEST_FPERIOD_OVERRIDE=FY","FILING_STATUS=MR","FA_ADJUSTED=GAAP","Sort=A","Dates=H","DateFormat=P","Fill=—","Direction=H","UseDPDF=Y")</f>
        <v>16.189800000000002</v>
      </c>
      <c r="H17" s="12">
        <f>_xll.BDH("ROG US Equity","PRETAX_INC_TO_NET_SALES","FY 2018","FY 2018","Currency=USD","Period=FY","BEST_FPERIOD_OVERRIDE=FY","FILING_STATUS=MR","FA_ADJUSTED=GAAP","Sort=A","Dates=H","DateFormat=P","Fill=—","Direction=H","UseDPDF=Y")</f>
        <v>12.5799</v>
      </c>
      <c r="I17" s="12">
        <f>_xll.BDH("ROG US Equity","PRETAX_INC_TO_NET_SALES","FY 2019","FY 2019","Currency=USD","Period=FY","BEST_FPERIOD_OVERRIDE=FY","FILING_STATUS=MR","FA_ADJUSTED=GAAP","Sort=A","Dates=H","DateFormat=P","Fill=—","Direction=H","UseDPDF=Y")</f>
        <v>6.1369999999999996</v>
      </c>
      <c r="J17" s="12">
        <f>_xll.BDH("ROG US Equity","PRETAX_INC_TO_NET_SALES","FY 2020","FY 2020","Currency=USD","Period=FY","BEST_FPERIOD_OVERRIDE=FY","FILING_STATUS=MR","FA_ADJUSTED=GAAP","Sort=A","Dates=H","DateFormat=P","Fill=—","Direction=H","UseDPDF=Y")</f>
        <v>8.5391999999999992</v>
      </c>
      <c r="K17" s="12">
        <f>_xll.BDH("ROG US Equity","PRETAX_INC_TO_NET_SALES","FY 2021","FY 2021","Currency=USD","Period=FY","BEST_FPERIOD_OVERRIDE=FY","FILING_STATUS=MR","FA_ADJUSTED=GAAP","Sort=A","Dates=H","DateFormat=P","Fill=—","Direction=H","UseDPDF=Y")</f>
        <v>13.5365</v>
      </c>
      <c r="L17" s="12">
        <f>_xll.BDH("ROG US Equity","PRETAX_INC_TO_NET_SALES","FY 2022","FY 2022","Currency=USD","Period=FY","BEST_FPERIOD_OVERRIDE=FY","FILING_STATUS=MR","FA_ADJUSTED=GAAP","Sort=A","Dates=H","DateFormat=P","Fill=—","Direction=H","UseDPDF=Y")</f>
        <v>14.454700000000001</v>
      </c>
    </row>
    <row r="18" spans="1:12">
      <c r="A18" s="10" t="s">
        <v>43</v>
      </c>
      <c r="B18" s="10" t="s">
        <v>44</v>
      </c>
      <c r="C18" s="12">
        <f>_xll.BDH("ROG US Equity","INC_BEF_XO_ITEMS_TO_NET_SALES","FY 2013","FY 2013","Currency=USD","Period=FY","BEST_FPERIOD_OVERRIDE=FY","FILING_STATUS=MR","FA_ADJUSTED=GAAP","Sort=A","Dates=H","DateFormat=P","Fill=—","Direction=H","UseDPDF=Y")</f>
        <v>7.0065999999999997</v>
      </c>
      <c r="D18" s="12">
        <f>_xll.BDH("ROG US Equity","INC_BEF_XO_ITEMS_TO_NET_SALES","FY 2014","FY 2014","Currency=USD","Period=FY","BEST_FPERIOD_OVERRIDE=FY","FILING_STATUS=MR","FA_ADJUSTED=GAAP","Sort=A","Dates=H","DateFormat=P","Fill=—","Direction=H","UseDPDF=Y")</f>
        <v>8.7430000000000003</v>
      </c>
      <c r="E18" s="12">
        <f>_xll.BDH("ROG US Equity","INC_BEF_XO_ITEMS_TO_NET_SALES","FY 2015","FY 2015","Currency=USD","Period=FY","BEST_FPERIOD_OVERRIDE=FY","FILING_STATUS=MR","FA_ADJUSTED=GAAP","Sort=A","Dates=H","DateFormat=P","Fill=—","Direction=H","UseDPDF=Y")</f>
        <v>7.2211999999999996</v>
      </c>
      <c r="F18" s="12">
        <f>_xll.BDH("ROG US Equity","INC_BEF_XO_ITEMS_TO_NET_SALES","FY 2016","FY 2016","Currency=USD","Period=FY","BEST_FPERIOD_OVERRIDE=FY","FILING_STATUS=MR","FA_ADJUSTED=GAAP","Sort=A","Dates=H","DateFormat=P","Fill=—","Direction=H","UseDPDF=Y")</f>
        <v>7.3567</v>
      </c>
      <c r="G18" s="12">
        <f>_xll.BDH("ROG US Equity","INC_BEF_XO_ITEMS_TO_NET_SALES","FY 2017","FY 2017","Currency=USD","Period=FY","BEST_FPERIOD_OVERRIDE=FY","FILING_STATUS=MR","FA_ADJUSTED=GAAP","Sort=A","Dates=H","DateFormat=P","Fill=—","Direction=H","UseDPDF=Y")</f>
        <v>9.7995999999999999</v>
      </c>
      <c r="H18" s="12">
        <f>_xll.BDH("ROG US Equity","INC_BEF_XO_ITEMS_TO_NET_SALES","FY 2018","FY 2018","Currency=USD","Period=FY","BEST_FPERIOD_OVERRIDE=FY","FILING_STATUS=MR","FA_ADJUSTED=GAAP","Sort=A","Dates=H","DateFormat=P","Fill=—","Direction=H","UseDPDF=Y")</f>
        <v>9.9705999999999992</v>
      </c>
      <c r="I18" s="12">
        <f>_xll.BDH("ROG US Equity","INC_BEF_XO_ITEMS_TO_NET_SALES","FY 2019","FY 2019","Currency=USD","Period=FY","BEST_FPERIOD_OVERRIDE=FY","FILING_STATUS=MR","FA_ADJUSTED=GAAP","Sort=A","Dates=H","DateFormat=P","Fill=—","Direction=H","UseDPDF=Y")</f>
        <v>5.2679</v>
      </c>
      <c r="J18" s="12">
        <f>_xll.BDH("ROG US Equity","INC_BEF_XO_ITEMS_TO_NET_SALES","FY 2020","FY 2020","Currency=USD","Period=FY","BEST_FPERIOD_OVERRIDE=FY","FILING_STATUS=MR","FA_ADJUSTED=GAAP","Sort=A","Dates=H","DateFormat=P","Fill=—","Direction=H","UseDPDF=Y")</f>
        <v>6.2286000000000001</v>
      </c>
      <c r="K18" s="12">
        <f>_xll.BDH("ROG US Equity","INC_BEF_XO_ITEMS_TO_NET_SALES","FY 2021","FY 2021","Currency=USD","Period=FY","BEST_FPERIOD_OVERRIDE=FY","FILING_STATUS=MR","FA_ADJUSTED=GAAP","Sort=A","Dates=H","DateFormat=P","Fill=—","Direction=H","UseDPDF=Y")</f>
        <v>11.591200000000001</v>
      </c>
      <c r="L18" s="12">
        <f>_xll.BDH("ROG US Equity","INC_BEF_XO_ITEMS_TO_NET_SALES","FY 2022","FY 2022","Currency=USD","Period=FY","BEST_FPERIOD_OVERRIDE=FY","FILING_STATUS=MR","FA_ADJUSTED=GAAP","Sort=A","Dates=H","DateFormat=P","Fill=—","Direction=H","UseDPDF=Y")</f>
        <v>12.0091</v>
      </c>
    </row>
    <row r="19" spans="1:12">
      <c r="A19" s="10" t="s">
        <v>45</v>
      </c>
      <c r="B19" s="10" t="s">
        <v>46</v>
      </c>
      <c r="C19" s="12">
        <f>_xll.BDH("ROG US Equity","PROF_MARGIN","FY 2013","FY 2013","Currency=USD","Period=FY","BEST_FPERIOD_OVERRIDE=FY","FILING_STATUS=MR","FA_ADJUSTED=GAAP","Sort=A","Dates=H","DateFormat=P","Fill=—","Direction=H","UseDPDF=Y")</f>
        <v>7.0255000000000001</v>
      </c>
      <c r="D19" s="12">
        <f>_xll.BDH("ROG US Equity","PROF_MARGIN","FY 2014","FY 2014","Currency=USD","Period=FY","BEST_FPERIOD_OVERRIDE=FY","FILING_STATUS=MR","FA_ADJUSTED=GAAP","Sort=A","Dates=H","DateFormat=P","Fill=—","Direction=H","UseDPDF=Y")</f>
        <v>8.7430000000000003</v>
      </c>
      <c r="E19" s="12">
        <f>_xll.BDH("ROG US Equity","PROF_MARGIN","FY 2015","FY 2015","Currency=USD","Period=FY","BEST_FPERIOD_OVERRIDE=FY","FILING_STATUS=MR","FA_ADJUSTED=GAAP","Sort=A","Dates=H","DateFormat=P","Fill=—","Direction=H","UseDPDF=Y")</f>
        <v>7.2211999999999996</v>
      </c>
      <c r="F19" s="12">
        <f>_xll.BDH("ROG US Equity","PROF_MARGIN","FY 2016","FY 2016","Currency=USD","Period=FY","BEST_FPERIOD_OVERRIDE=FY","FILING_STATUS=MR","FA_ADJUSTED=GAAP","Sort=A","Dates=H","DateFormat=P","Fill=—","Direction=H","UseDPDF=Y")</f>
        <v>7.3567</v>
      </c>
      <c r="G19" s="12">
        <f>_xll.BDH("ROG US Equity","PROF_MARGIN","FY 2017","FY 2017","Currency=USD","Period=FY","BEST_FPERIOD_OVERRIDE=FY","FILING_STATUS=MR","FA_ADJUSTED=GAAP","Sort=A","Dates=H","DateFormat=P","Fill=—","Direction=H","UseDPDF=Y")</f>
        <v>9.7995999999999999</v>
      </c>
      <c r="H19" s="12">
        <f>_xll.BDH("ROG US Equity","PROF_MARGIN","FY 2018","FY 2018","Currency=USD","Period=FY","BEST_FPERIOD_OVERRIDE=FY","FILING_STATUS=MR","FA_ADJUSTED=GAAP","Sort=A","Dates=H","DateFormat=P","Fill=—","Direction=H","UseDPDF=Y")</f>
        <v>9.9705999999999992</v>
      </c>
      <c r="I19" s="12">
        <f>_xll.BDH("ROG US Equity","PROF_MARGIN","FY 2019","FY 2019","Currency=USD","Period=FY","BEST_FPERIOD_OVERRIDE=FY","FILING_STATUS=MR","FA_ADJUSTED=GAAP","Sort=A","Dates=H","DateFormat=P","Fill=—","Direction=H","UseDPDF=Y")</f>
        <v>5.2679</v>
      </c>
      <c r="J19" s="12">
        <f>_xll.BDH("ROG US Equity","PROF_MARGIN","FY 2020","FY 2020","Currency=USD","Period=FY","BEST_FPERIOD_OVERRIDE=FY","FILING_STATUS=MR","FA_ADJUSTED=GAAP","Sort=A","Dates=H","DateFormat=P","Fill=—","Direction=H","UseDPDF=Y")</f>
        <v>6.2286000000000001</v>
      </c>
      <c r="K19" s="12">
        <f>_xll.BDH("ROG US Equity","PROF_MARGIN","FY 2021","FY 2021","Currency=USD","Period=FY","BEST_FPERIOD_OVERRIDE=FY","FILING_STATUS=MR","FA_ADJUSTED=GAAP","Sort=A","Dates=H","DateFormat=P","Fill=—","Direction=H","UseDPDF=Y")</f>
        <v>11.591200000000001</v>
      </c>
      <c r="L19" s="12">
        <f>_xll.BDH("ROG US Equity","PROF_MARGIN","FY 2022","FY 2022","Currency=USD","Period=FY","BEST_FPERIOD_OVERRIDE=FY","FILING_STATUS=MR","FA_ADJUSTED=GAAP","Sort=A","Dates=H","DateFormat=P","Fill=—","Direction=H","UseDPDF=Y")</f>
        <v>12.0091</v>
      </c>
    </row>
    <row r="20" spans="1:12">
      <c r="A20" s="10" t="s">
        <v>47</v>
      </c>
      <c r="B20" s="10" t="s">
        <v>48</v>
      </c>
      <c r="C20" s="12">
        <f>_xll.BDH("ROG US Equity","NET_INCOME_TO_COMMON_MARGIN","FY 2013","FY 2013","Currency=USD","Period=FY","BEST_FPERIOD_OVERRIDE=FY","FILING_STATUS=MR","FA_ADJUSTED=GAAP","Sort=A","Dates=H","DateFormat=P","Fill=—","Direction=H","UseDPDF=Y")</f>
        <v>7.0255000000000001</v>
      </c>
      <c r="D20" s="12">
        <f>_xll.BDH("ROG US Equity","NET_INCOME_TO_COMMON_MARGIN","FY 2014","FY 2014","Currency=USD","Period=FY","BEST_FPERIOD_OVERRIDE=FY","FILING_STATUS=MR","FA_ADJUSTED=GAAP","Sort=A","Dates=H","DateFormat=P","Fill=—","Direction=H","UseDPDF=Y")</f>
        <v>8.7430000000000003</v>
      </c>
      <c r="E20" s="12">
        <f>_xll.BDH("ROG US Equity","NET_INCOME_TO_COMMON_MARGIN","FY 2015","FY 2015","Currency=USD","Period=FY","BEST_FPERIOD_OVERRIDE=FY","FILING_STATUS=MR","FA_ADJUSTED=GAAP","Sort=A","Dates=H","DateFormat=P","Fill=—","Direction=H","UseDPDF=Y")</f>
        <v>7.2211999999999996</v>
      </c>
      <c r="F20" s="12">
        <f>_xll.BDH("ROG US Equity","NET_INCOME_TO_COMMON_MARGIN","FY 2016","FY 2016","Currency=USD","Period=FY","BEST_FPERIOD_OVERRIDE=FY","FILING_STATUS=MR","FA_ADJUSTED=GAAP","Sort=A","Dates=H","DateFormat=P","Fill=—","Direction=H","UseDPDF=Y")</f>
        <v>7.3567</v>
      </c>
      <c r="G20" s="12">
        <f>_xll.BDH("ROG US Equity","NET_INCOME_TO_COMMON_MARGIN","FY 2017","FY 2017","Currency=USD","Period=FY","BEST_FPERIOD_OVERRIDE=FY","FILING_STATUS=MR","FA_ADJUSTED=GAAP","Sort=A","Dates=H","DateFormat=P","Fill=—","Direction=H","UseDPDF=Y")</f>
        <v>9.7995999999999999</v>
      </c>
      <c r="H20" s="12">
        <f>_xll.BDH("ROG US Equity","NET_INCOME_TO_COMMON_MARGIN","FY 2018","FY 2018","Currency=USD","Period=FY","BEST_FPERIOD_OVERRIDE=FY","FILING_STATUS=MR","FA_ADJUSTED=GAAP","Sort=A","Dates=H","DateFormat=P","Fill=—","Direction=H","UseDPDF=Y")</f>
        <v>9.9705999999999992</v>
      </c>
      <c r="I20" s="12">
        <f>_xll.BDH("ROG US Equity","NET_INCOME_TO_COMMON_MARGIN","FY 2019","FY 2019","Currency=USD","Period=FY","BEST_FPERIOD_OVERRIDE=FY","FILING_STATUS=MR","FA_ADJUSTED=GAAP","Sort=A","Dates=H","DateFormat=P","Fill=—","Direction=H","UseDPDF=Y")</f>
        <v>5.2679</v>
      </c>
      <c r="J20" s="12">
        <f>_xll.BDH("ROG US Equity","NET_INCOME_TO_COMMON_MARGIN","FY 2020","FY 2020","Currency=USD","Period=FY","BEST_FPERIOD_OVERRIDE=FY","FILING_STATUS=MR","FA_ADJUSTED=GAAP","Sort=A","Dates=H","DateFormat=P","Fill=—","Direction=H","UseDPDF=Y")</f>
        <v>6.2286000000000001</v>
      </c>
      <c r="K20" s="12">
        <f>_xll.BDH("ROG US Equity","NET_INCOME_TO_COMMON_MARGIN","FY 2021","FY 2021","Currency=USD","Period=FY","BEST_FPERIOD_OVERRIDE=FY","FILING_STATUS=MR","FA_ADJUSTED=GAAP","Sort=A","Dates=H","DateFormat=P","Fill=—","Direction=H","UseDPDF=Y")</f>
        <v>11.591200000000001</v>
      </c>
      <c r="L20" s="12">
        <f>_xll.BDH("ROG US Equity","NET_INCOME_TO_COMMON_MARGIN","FY 2022","FY 2022","Currency=USD","Period=FY","BEST_FPERIOD_OVERRIDE=FY","FILING_STATUS=MR","FA_ADJUSTED=GAAP","Sort=A","Dates=H","DateFormat=P","Fill=—","Direction=H","UseDPDF=Y")</f>
        <v>12.0091</v>
      </c>
    </row>
    <row r="21" spans="1:12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>
      <c r="A22" s="6" t="s">
        <v>49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>
      <c r="A23" s="10" t="s">
        <v>50</v>
      </c>
      <c r="B23" s="10" t="s">
        <v>51</v>
      </c>
      <c r="C23" s="12">
        <f>_xll.BDH("ROG US Equity","EFF_TAX_RATE","FY 2013","FY 2013","Currency=USD","Period=FY","BEST_FPERIOD_OVERRIDE=FY","FILING_STATUS=MR","FA_ADJUSTED=GAAP","Sort=A","Dates=H","DateFormat=P","Fill=—","Direction=H","UseDPDF=Y")</f>
        <v>22.964099999999998</v>
      </c>
      <c r="D23" s="12">
        <f>_xll.BDH("ROG US Equity","EFF_TAX_RATE","FY 2014","FY 2014","Currency=USD","Period=FY","BEST_FPERIOD_OVERRIDE=FY","FILING_STATUS=MR","FA_ADJUSTED=GAAP","Sort=A","Dates=H","DateFormat=P","Fill=—","Direction=H","UseDPDF=Y")</f>
        <v>34.241100000000003</v>
      </c>
      <c r="E23" s="12">
        <f>_xll.BDH("ROG US Equity","EFF_TAX_RATE","FY 2015","FY 2015","Currency=USD","Period=FY","BEST_FPERIOD_OVERRIDE=FY","FILING_STATUS=MR","FA_ADJUSTED=GAAP","Sort=A","Dates=H","DateFormat=P","Fill=—","Direction=H","UseDPDF=Y")</f>
        <v>30.0017</v>
      </c>
      <c r="F23" s="12">
        <f>_xll.BDH("ROG US Equity","EFF_TAX_RATE","FY 2016","FY 2016","Currency=USD","Period=FY","BEST_FPERIOD_OVERRIDE=FY","FILING_STATUS=MR","FA_ADJUSTED=GAAP","Sort=A","Dates=H","DateFormat=P","Fill=—","Direction=H","UseDPDF=Y")</f>
        <v>41.3187</v>
      </c>
      <c r="G23" s="12">
        <f>_xll.BDH("ROG US Equity","EFF_TAX_RATE","FY 2017","FY 2017","Currency=USD","Period=FY","BEST_FPERIOD_OVERRIDE=FY","FILING_STATUS=MR","FA_ADJUSTED=GAAP","Sort=A","Dates=H","DateFormat=P","Fill=—","Direction=H","UseDPDF=Y")</f>
        <v>39.470399999999998</v>
      </c>
      <c r="H23" s="12">
        <f>_xll.BDH("ROG US Equity","EFF_TAX_RATE","FY 2018","FY 2018","Currency=USD","Period=FY","BEST_FPERIOD_OVERRIDE=FY","FILING_STATUS=MR","FA_ADJUSTED=GAAP","Sort=A","Dates=H","DateFormat=P","Fill=—","Direction=H","UseDPDF=Y")</f>
        <v>20.741700000000002</v>
      </c>
      <c r="I23" s="12">
        <f>_xll.BDH("ROG US Equity","EFF_TAX_RATE","FY 2019","FY 2019","Currency=USD","Period=FY","BEST_FPERIOD_OVERRIDE=FY","FILING_STATUS=MR","FA_ADJUSTED=GAAP","Sort=A","Dates=H","DateFormat=P","Fill=—","Direction=H","UseDPDF=Y")</f>
        <v>14.162100000000001</v>
      </c>
      <c r="J23" s="12">
        <f>_xll.BDH("ROG US Equity","EFF_TAX_RATE","FY 2020","FY 2020","Currency=USD","Period=FY","BEST_FPERIOD_OVERRIDE=FY","FILING_STATUS=MR","FA_ADJUSTED=GAAP","Sort=A","Dates=H","DateFormat=P","Fill=—","Direction=H","UseDPDF=Y")</f>
        <v>27.0581</v>
      </c>
      <c r="K23" s="12">
        <f>_xll.BDH("ROG US Equity","EFF_TAX_RATE","FY 2021","FY 2021","Currency=USD","Period=FY","BEST_FPERIOD_OVERRIDE=FY","FILING_STATUS=MR","FA_ADJUSTED=GAAP","Sort=A","Dates=H","DateFormat=P","Fill=—","Direction=H","UseDPDF=Y")</f>
        <v>14.3704</v>
      </c>
      <c r="L23" s="12">
        <f>_xll.BDH("ROG US Equity","EFF_TAX_RATE","FY 2022","FY 2022","Currency=USD","Period=FY","BEST_FPERIOD_OVERRIDE=FY","FILING_STATUS=MR","FA_ADJUSTED=GAAP","Sort=A","Dates=H","DateFormat=P","Fill=—","Direction=H","UseDPDF=Y")</f>
        <v>16.9191</v>
      </c>
    </row>
    <row r="24" spans="1:12">
      <c r="A24" s="10" t="s">
        <v>52</v>
      </c>
      <c r="B24" s="10" t="s">
        <v>53</v>
      </c>
      <c r="C24" s="12">
        <f>_xll.BDH("ROG US Equity","DVD_PAYOUT_RATIO","FY 2013","FY 2013","Currency=USD","Period=FY","BEST_FPERIOD_OVERRIDE=FY","FILING_STATUS=MR","FA_ADJUSTED=GAAP","Sort=A","Dates=H","DateFormat=P","Fill=—","Direction=H","UseDPDF=Y")</f>
        <v>0</v>
      </c>
      <c r="D24" s="12">
        <f>_xll.BDH("ROG US Equity","DVD_PAYOUT_RATIO","FY 2014","FY 2014","Currency=USD","Period=FY","BEST_FPERIOD_OVERRIDE=FY","FILING_STATUS=MR","FA_ADJUSTED=GAAP","Sort=A","Dates=H","DateFormat=P","Fill=—","Direction=H","UseDPDF=Y")</f>
        <v>0</v>
      </c>
      <c r="E24" s="12">
        <f>_xll.BDH("ROG US Equity","DVD_PAYOUT_RATIO","FY 2015","FY 2015","Currency=USD","Period=FY","BEST_FPERIOD_OVERRIDE=FY","FILING_STATUS=MR","FA_ADJUSTED=GAAP","Sort=A","Dates=H","DateFormat=P","Fill=—","Direction=H","UseDPDF=Y")</f>
        <v>0</v>
      </c>
      <c r="F24" s="12">
        <f>_xll.BDH("ROG US Equity","DVD_PAYOUT_RATIO","FY 2016","FY 2016","Currency=USD","Period=FY","BEST_FPERIOD_OVERRIDE=FY","FILING_STATUS=MR","FA_ADJUSTED=GAAP","Sort=A","Dates=H","DateFormat=P","Fill=—","Direction=H","UseDPDF=Y")</f>
        <v>0</v>
      </c>
      <c r="G24" s="12">
        <f>_xll.BDH("ROG US Equity","DVD_PAYOUT_RATIO","FY 2017","FY 2017","Currency=USD","Period=FY","BEST_FPERIOD_OVERRIDE=FY","FILING_STATUS=MR","FA_ADJUSTED=GAAP","Sort=A","Dates=H","DateFormat=P","Fill=—","Direction=H","UseDPDF=Y")</f>
        <v>0</v>
      </c>
      <c r="H24" s="12">
        <f>_xll.BDH("ROG US Equity","DVD_PAYOUT_RATIO","FY 2018","FY 2018","Currency=USD","Period=FY","BEST_FPERIOD_OVERRIDE=FY","FILING_STATUS=MR","FA_ADJUSTED=GAAP","Sort=A","Dates=H","DateFormat=P","Fill=—","Direction=H","UseDPDF=Y")</f>
        <v>0</v>
      </c>
      <c r="I24" s="12">
        <f>_xll.BDH("ROG US Equity","DVD_PAYOUT_RATIO","FY 2019","FY 2019","Currency=USD","Period=FY","BEST_FPERIOD_OVERRIDE=FY","FILING_STATUS=MR","FA_ADJUSTED=GAAP","Sort=A","Dates=H","DateFormat=P","Fill=—","Direction=H","UseDPDF=Y")</f>
        <v>0</v>
      </c>
      <c r="J24" s="12">
        <f>_xll.BDH("ROG US Equity","DVD_PAYOUT_RATIO","FY 2020","FY 2020","Currency=USD","Period=FY","BEST_FPERIOD_OVERRIDE=FY","FILING_STATUS=MR","FA_ADJUSTED=GAAP","Sort=A","Dates=H","DateFormat=P","Fill=—","Direction=H","UseDPDF=Y")</f>
        <v>0</v>
      </c>
      <c r="K24" s="12">
        <f>_xll.BDH("ROG US Equity","DVD_PAYOUT_RATIO","FY 2021","FY 2021","Currency=USD","Period=FY","BEST_FPERIOD_OVERRIDE=FY","FILING_STATUS=MR","FA_ADJUSTED=GAAP","Sort=A","Dates=H","DateFormat=P","Fill=—","Direction=H","UseDPDF=Y")</f>
        <v>0</v>
      </c>
      <c r="L24" s="12">
        <f>_xll.BDH("ROG US Equity","DVD_PAYOUT_RATIO","FY 2022","FY 2022","Currency=USD","Period=FY","BEST_FPERIOD_OVERRIDE=FY","FILING_STATUS=MR","FA_ADJUSTED=GAAP","Sort=A","Dates=H","DateFormat=P","Fill=—","Direction=H","UseDPDF=Y")</f>
        <v>0</v>
      </c>
    </row>
    <row r="25" spans="1:12">
      <c r="A25" s="10" t="s">
        <v>54</v>
      </c>
      <c r="B25" s="10" t="s">
        <v>55</v>
      </c>
      <c r="C25" s="12">
        <f>_xll.BDH("ROG US Equity","SUSTAIN_GROWTH_RT","FY 2013","FY 2013","Currency=USD","Period=FY","BEST_FPERIOD_OVERRIDE=FY","FILING_STATUS=MR","FA_ADJUSTED=GAAP","Sort=A","Dates=H","DateFormat=P","Fill=—","Direction=H","UseDPDF=Y")</f>
        <v>7.6310000000000002</v>
      </c>
      <c r="D25" s="12">
        <f>_xll.BDH("ROG US Equity","SUSTAIN_GROWTH_RT","FY 2014","FY 2014","Currency=USD","Period=FY","BEST_FPERIOD_OVERRIDE=FY","FILING_STATUS=MR","FA_ADJUSTED=GAAP","Sort=A","Dates=H","DateFormat=P","Fill=—","Direction=H","UseDPDF=Y")</f>
        <v>9.3475000000000001</v>
      </c>
      <c r="E25" s="12">
        <f>_xll.BDH("ROG US Equity","SUSTAIN_GROWTH_RT","FY 2015","FY 2015","Currency=USD","Period=FY","BEST_FPERIOD_OVERRIDE=FY","FILING_STATUS=MR","FA_ADJUSTED=GAAP","Sort=A","Dates=H","DateFormat=P","Fill=—","Direction=H","UseDPDF=Y")</f>
        <v>7.9054000000000002</v>
      </c>
      <c r="F25" s="12">
        <f>_xll.BDH("ROG US Equity","SUSTAIN_GROWTH_RT","FY 2016","FY 2016","Currency=USD","Period=FY","BEST_FPERIOD_OVERRIDE=FY","FILING_STATUS=MR","FA_ADJUSTED=GAAP","Sort=A","Dates=H","DateFormat=P","Fill=—","Direction=H","UseDPDF=Y")</f>
        <v>7.9128999999999996</v>
      </c>
      <c r="G25" s="12">
        <f>_xll.BDH("ROG US Equity","SUSTAIN_GROWTH_RT","FY 2017","FY 2017","Currency=USD","Period=FY","BEST_FPERIOD_OVERRIDE=FY","FILING_STATUS=MR","FA_ADJUSTED=GAAP","Sort=A","Dates=H","DateFormat=P","Fill=—","Direction=H","UseDPDF=Y")</f>
        <v>11.4748</v>
      </c>
      <c r="H25" s="12">
        <f>_xll.BDH("ROG US Equity","SUSTAIN_GROWTH_RT","FY 2018","FY 2018","Currency=USD","Period=FY","BEST_FPERIOD_OVERRIDE=FY","FILING_STATUS=MR","FA_ADJUSTED=GAAP","Sort=A","Dates=H","DateFormat=P","Fill=—","Direction=H","UseDPDF=Y")</f>
        <v>10.8553</v>
      </c>
      <c r="I25" s="12">
        <f>_xll.BDH("ROG US Equity","SUSTAIN_GROWTH_RT","FY 2019","FY 2019","Currency=USD","Period=FY","BEST_FPERIOD_OVERRIDE=FY","FILING_STATUS=MR","FA_ADJUSTED=GAAP","Sort=A","Dates=H","DateFormat=P","Fill=—","Direction=H","UseDPDF=Y")</f>
        <v>5.3101000000000003</v>
      </c>
      <c r="J25" s="12">
        <f>_xll.BDH("ROG US Equity","SUSTAIN_GROWTH_RT","FY 2020","FY 2020","Currency=USD","Period=FY","BEST_FPERIOD_OVERRIDE=FY","FILING_STATUS=MR","FA_ADJUSTED=GAAP","Sort=A","Dates=H","DateFormat=P","Fill=—","Direction=H","UseDPDF=Y")</f>
        <v>5.1150000000000002</v>
      </c>
      <c r="K25" s="12">
        <f>_xll.BDH("ROG US Equity","SUSTAIN_GROWTH_RT","FY 2021","FY 2021","Currency=USD","Period=FY","BEST_FPERIOD_OVERRIDE=FY","FILING_STATUS=MR","FA_ADJUSTED=GAAP","Sort=A","Dates=H","DateFormat=P","Fill=—","Direction=H","UseDPDF=Y")</f>
        <v>10.1075</v>
      </c>
      <c r="L25" s="12">
        <f>_xll.BDH("ROG US Equity","SUSTAIN_GROWTH_RT","FY 2022","FY 2022","Currency=USD","Period=FY","BEST_FPERIOD_OVERRIDE=FY","FILING_STATUS=MR","FA_ADJUSTED=GAAP","Sort=A","Dates=H","DateFormat=P","Fill=—","Direction=H","UseDPDF=Y")</f>
        <v>10.1799</v>
      </c>
    </row>
    <row r="26" spans="1:12">
      <c r="A26" s="7" t="s">
        <v>56</v>
      </c>
      <c r="B26" s="7"/>
      <c r="C26" s="7" t="s">
        <v>57</v>
      </c>
      <c r="D26" s="7"/>
      <c r="E26" s="7"/>
      <c r="F26" s="7"/>
      <c r="G26" s="7"/>
      <c r="H26" s="7"/>
      <c r="I26" s="7"/>
      <c r="J26" s="7"/>
      <c r="K26" s="7"/>
      <c r="L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/>
  <cp:revision/>
  <dcterms:created xsi:type="dcterms:W3CDTF">2013-04-03T15:49:21Z</dcterms:created>
  <dcterms:modified xsi:type="dcterms:W3CDTF">2023-12-04T20:08:26Z</dcterms:modified>
  <cp:category/>
  <cp:contentStatus/>
</cp:coreProperties>
</file>