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EEE1729DynamicsTF\HCA\"/>
    </mc:Choice>
  </mc:AlternateContent>
  <xr:revisionPtr revIDLastSave="0" documentId="13_ncr:1_{A1425B56-9B49-47E7-9473-D14FC6A2EAF2}" xr6:coauthVersionLast="47" xr6:coauthVersionMax="47" xr10:uidLastSave="{00000000-0000-0000-0000-000000000000}"/>
  <bookViews>
    <workbookView xWindow="1420" yWindow="2310" windowWidth="14500" windowHeight="13150" xr2:uid="{7D6E8C32-CACD-498D-B92F-BBC7DE0016F8}"/>
  </bookViews>
  <sheets>
    <sheet name="Analysis" sheetId="5" r:id="rId1"/>
    <sheet name="Triplex" sheetId="2" r:id="rId2"/>
    <sheet name="Transformers" sheetId="4" r:id="rId3"/>
    <sheet name="Network" sheetId="6" r:id="rId4"/>
  </sheets>
  <definedNames>
    <definedName name="DP">#REF!</definedName>
    <definedName name="DQ">#REF!</definedName>
    <definedName name="dsect">Analysis!$B$18</definedName>
    <definedName name="IbaseDER">#REF!</definedName>
    <definedName name="IBRAng">#REF!</definedName>
    <definedName name="IscIBR">#REF!</definedName>
    <definedName name="IscMach">#REF!</definedName>
    <definedName name="m">Analysis!$B$22</definedName>
    <definedName name="MachAng">#REF!</definedName>
    <definedName name="n">Analysis!$B$21</definedName>
    <definedName name="pf">Analysis!$B$25</definedName>
    <definedName name="RG">#REF!</definedName>
    <definedName name="Sbase">Analysis!$B$9</definedName>
    <definedName name="Sder">#REF!</definedName>
    <definedName name="Term1">#REF!</definedName>
    <definedName name="Term2">#REF!</definedName>
    <definedName name="Vbase">Analysis!$B$11</definedName>
    <definedName name="Vfdr">Analysis!$B$2</definedName>
    <definedName name="Vpu">Analysis!$B$3</definedName>
    <definedName name="VT">#REF!</definedName>
    <definedName name="VTf">#REF!</definedName>
    <definedName name="X">#REF!</definedName>
    <definedName name="XG">#REF!</definedName>
    <definedName name="Zbase">Analysis!$B$12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6" l="1"/>
  <c r="C10" i="6"/>
  <c r="C9" i="6"/>
  <c r="C8" i="6"/>
  <c r="C7" i="6"/>
  <c r="C6" i="6"/>
  <c r="C5" i="6"/>
  <c r="C4" i="6"/>
  <c r="C3" i="6"/>
  <c r="C2" i="6"/>
  <c r="B10" i="6"/>
  <c r="C26" i="5"/>
  <c r="C7" i="5" l="1"/>
  <c r="C14" i="5" s="1"/>
  <c r="B7" i="5"/>
  <c r="B14" i="5" s="1"/>
  <c r="E19" i="5"/>
  <c r="D19" i="5"/>
  <c r="C27" i="5"/>
  <c r="B26" i="5"/>
  <c r="B27" i="5" s="1"/>
  <c r="C19" i="5"/>
  <c r="B19" i="5"/>
  <c r="B12" i="5"/>
  <c r="B13" i="5" s="1"/>
  <c r="B4" i="5"/>
  <c r="E6" i="5"/>
  <c r="D6" i="5"/>
  <c r="E5" i="5"/>
  <c r="D5" i="5"/>
  <c r="B15" i="5" l="1"/>
  <c r="C13" i="5"/>
  <c r="C15" i="5" s="1"/>
  <c r="E27" i="5"/>
  <c r="D27" i="5"/>
  <c r="E7" i="5"/>
  <c r="D7" i="5"/>
  <c r="E15" i="5" l="1"/>
  <c r="D15" i="5"/>
  <c r="D29" i="5" s="1"/>
  <c r="D31" i="5"/>
  <c r="E31" i="5"/>
  <c r="E29" i="5"/>
  <c r="E10" i="4"/>
  <c r="E9" i="4"/>
  <c r="E8" i="4"/>
  <c r="E7" i="4"/>
  <c r="E6" i="4"/>
  <c r="E5" i="4"/>
  <c r="E4" i="4"/>
  <c r="E3" i="4"/>
  <c r="C29" i="5" l="1"/>
  <c r="C30" i="5" s="1"/>
  <c r="B29" i="5"/>
  <c r="B30" i="5" s="1" a="1"/>
  <c r="B30" i="5" s="1"/>
  <c r="C31" i="5"/>
  <c r="B31" i="5"/>
  <c r="B32" i="5" l="1"/>
  <c r="D30" i="5"/>
  <c r="E30" i="5"/>
  <c r="C32" i="5"/>
  <c r="E32" i="5" l="1"/>
  <c r="D32" i="5"/>
  <c r="D3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<sst xmlns="http://schemas.openxmlformats.org/spreadsheetml/2006/main" count="92" uniqueCount="85">
  <si>
    <t>Xs</t>
  </si>
  <si>
    <t>Rs</t>
  </si>
  <si>
    <t>Angle</t>
  </si>
  <si>
    <t>Total</t>
  </si>
  <si>
    <t>Phase Size</t>
  </si>
  <si>
    <t>Neutral Size</t>
  </si>
  <si>
    <t>Amps</t>
  </si>
  <si>
    <t>1/0</t>
  </si>
  <si>
    <t>2/0</t>
  </si>
  <si>
    <t>3/0</t>
  </si>
  <si>
    <t>4/0</t>
  </si>
  <si>
    <t>250</t>
  </si>
  <si>
    <t>350</t>
  </si>
  <si>
    <t>500</t>
  </si>
  <si>
    <t>4</t>
  </si>
  <si>
    <t>3</t>
  </si>
  <si>
    <t>2</t>
  </si>
  <si>
    <t>1</t>
  </si>
  <si>
    <t>300</t>
  </si>
  <si>
    <t>Rs1</t>
  </si>
  <si>
    <t>Xs1</t>
  </si>
  <si>
    <t>Notes:</t>
  </si>
  <si>
    <t>Data from pp 71-72 of T. A. Short's Electric Power Distribution Handbook</t>
  </si>
  <si>
    <t>Rs+jXs is the 240-volt loop impedance, Rs1+jXs1 is the 120-volt loop impedance</t>
  </si>
  <si>
    <t>With a full-size neutral, Zs1 = Zs</t>
  </si>
  <si>
    <t>Ampacity for 90C conductor and 40C ambient temperatures</t>
  </si>
  <si>
    <t>kVA</t>
  </si>
  <si>
    <t>NLL [%]</t>
  </si>
  <si>
    <t>LL [%]</t>
  </si>
  <si>
    <t>Impedance in Ohms / 1000 ft</t>
  </si>
  <si>
    <t>Newer</t>
  </si>
  <si>
    <t>Older</t>
  </si>
  <si>
    <t>No-load loss (NLL) and load loss (LL) for 15-kV class, single-phase transformers</t>
  </si>
  <si>
    <t>p. 200, "units under 50 kVA have impedances less than 2%"</t>
  </si>
  <si>
    <t>X [%]</t>
  </si>
  <si>
    <t>Z [%]</t>
  </si>
  <si>
    <t>Data on losses from pp. 239-240 of T. A. Short, Electric Power Distribution Handbook</t>
  </si>
  <si>
    <t>Vs [V]</t>
  </si>
  <si>
    <t>Vfdr [V]</t>
  </si>
  <si>
    <t>Vs [pu]</t>
  </si>
  <si>
    <t>Sxfmr [VA]</t>
  </si>
  <si>
    <r>
      <t>Z1 pcc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</si>
  <si>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r>
      <t>Z0 pcc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</si>
  <si>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r>
      <t>Z1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</si>
  <si>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t>Feeder Primary:</t>
  </si>
  <si>
    <t>Distribution Transformer:</t>
  </si>
  <si>
    <t>Mag.</t>
  </si>
  <si>
    <t>Xfmr [pu]</t>
  </si>
  <si>
    <r>
      <t>Zbase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</si>
  <si>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r>
      <t>Xfmr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</si>
  <si>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r>
      <t>Zpcc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</si>
  <si>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t>Vbase [V]</t>
  </si>
  <si>
    <r>
      <t>Zx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</si>
  <si>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t>n</t>
  </si>
  <si>
    <t>m</t>
  </si>
  <si>
    <r>
      <t>Zs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/kft]</t>
    </r>
  </si>
  <si>
    <t>d [ft]</t>
  </si>
  <si>
    <t>Loads:</t>
  </si>
  <si>
    <r>
      <t>Zs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</si>
  <si>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t>Service Drop Sections:</t>
  </si>
  <si>
    <t>Note: m is the total number of load/DER points on this transformer</t>
  </si>
  <si>
    <t>Note: n is the number of load/DER points in the longest radial drop</t>
  </si>
  <si>
    <t>DER [kW]</t>
  </si>
  <si>
    <t>Load [kW]</t>
  </si>
  <si>
    <t>Load pf</t>
  </si>
  <si>
    <t>Inject I [A]</t>
  </si>
  <si>
    <t>Inject S [kVA]</t>
  </si>
  <si>
    <t>Analysis:</t>
  </si>
  <si>
    <t>Vx [V]</t>
  </si>
  <si>
    <t>Vxf Rise [V]</t>
  </si>
  <si>
    <t>Vn Rise [V]</t>
  </si>
  <si>
    <t>Vn [V]</t>
  </si>
  <si>
    <t>Vp [pu]</t>
  </si>
  <si>
    <t>Bus</t>
  </si>
  <si>
    <t>s193</t>
  </si>
  <si>
    <t>s198</t>
  </si>
  <si>
    <t>s203</t>
  </si>
  <si>
    <t>s210</t>
  </si>
  <si>
    <t>s217</t>
  </si>
  <si>
    <t>s224</t>
  </si>
  <si>
    <t>s231</t>
  </si>
  <si>
    <t>s236</t>
  </si>
  <si>
    <t>Min DER [kW]</t>
  </si>
  <si>
    <t>Peak Load [kW]</t>
  </si>
  <si>
    <t>PV DER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</si>
</sst>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6" fontId="0" fillId="0" borderId="0" xfId="0" applyNumberFormat="1"/>
    <xf numFmtId="0" fontId="0" fillId="0" borderId="0" xfId="0" applyFont="1"/>
    <xf numFmtId="1" fontId="0" fillId="0" borderId="0" xfId="0" applyNumberFormat="1"/>
    <xf numFmtId="166" fontId="0" fillId="2" borderId="0" xfId="0" applyNumberFormat="1" applyFill="1"/>
    <xf numFmtId="0" fontId="0" fillId="0" borderId="0" xfId="0" applyFill="1"/>
    <xf numFmtId="1" fontId="0" fillId="2" borderId="0" xfId="0" applyNumberFormat="1" applyFill="1"/>
    <xf numFmtId="165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85DA-24DE-42B2-864F-9EC79DE6F504}">
  <dimension ref="A1:E33"/>
  <sheetViews>
    <sheetView tabSelected="1" workbookViewId="0">
      <selection activeCell="B4" sqref="B4"/>
    </sheetView>
  </sheetViews>
  <sheetFormatPr defaultRowHeight="14.5" x14ac:dyDescent="0.35"/>
  <cols>
    <col min="1" max="1" width="11.36328125" customWidth="1"/>
    <col min="2" max="2" width="7.81640625" customWidth="1"/>
    <col min="4" max="4" width="9.36328125" bestFit="1" customWidth="1"/>
  </cols>
  <sheetData>
    <row r="1" spans="1:5" x14ac:dyDescent="0.35">
      <c r="A1" s="1" t="s">
        <v>44</v>
      </c>
    </row>
    <row r="2" spans="1:5" x14ac:dyDescent="0.35">
      <c r="A2" t="s">
        <v>38</v>
      </c>
      <c r="B2" s="4">
        <v>7200</v>
      </c>
    </row>
    <row r="3" spans="1:5" x14ac:dyDescent="0.35">
      <c r="A3" t="s">
        <v>39</v>
      </c>
      <c r="B3" s="4">
        <v>1</v>
      </c>
    </row>
    <row r="4" spans="1:5" x14ac:dyDescent="0.35">
      <c r="A4" t="s">
        <v>37</v>
      </c>
      <c r="B4">
        <f>B2*B3</f>
        <v>7200</v>
      </c>
      <c r="D4" s="6" t="s">
        <v>46</v>
      </c>
      <c r="E4" s="6" t="s">
        <v>2</v>
      </c>
    </row>
    <row r="5" spans="1:5" x14ac:dyDescent="0.35">
      <c r="A5" s="23" t="s">
        <v>41</v>
      </c>
      <c r="B5" s="7">
        <v>0.19289999999999999</v>
      </c>
      <c r="C5" s="7">
        <v>0.86140000000000005</v>
      </c>
      <c r="D5" s="3">
        <f>SQRT(B5*B5+C5*C5)</f>
        <v>0.88273459771326512</v>
      </c>
      <c r="E5" s="5">
        <f>DEGREES(ATAN2(B5,C5))</f>
        <v>77.377558015175524</v>
      </c>
    </row>
    <row r="6" spans="1:5" x14ac:dyDescent="0.35">
      <c r="A6" s="23" t="s">
        <v>42</v>
      </c>
      <c r="B6" s="7">
        <v>0.31709999999999999</v>
      </c>
      <c r="C6" s="7">
        <v>1.2826</v>
      </c>
      <c r="D6" s="3">
        <f t="shared" ref="D6:D7" si="0">SQRT(B6*B6+C6*C6)</f>
        <v>1.3212173061234098</v>
      </c>
      <c r="E6" s="5">
        <f t="shared" ref="E6:E7" si="1">DEGREES(ATAN2(B6,C6))</f>
        <v>76.11310912065909</v>
      </c>
    </row>
    <row r="7" spans="1:5" x14ac:dyDescent="0.35">
      <c r="A7" t="s">
        <v>43</v>
      </c>
      <c r="B7" s="3">
        <f>(2*B5+B6)/3</f>
        <v>0.23429999999999998</v>
      </c>
      <c r="C7" s="3">
        <f>(2*C5+C6)/3</f>
        <v>1.0018</v>
      </c>
      <c r="D7" s="3">
        <f t="shared" si="0"/>
        <v>1.0288341605914921</v>
      </c>
      <c r="E7" s="5">
        <f t="shared" si="1"/>
        <v>76.83633019769276</v>
      </c>
    </row>
    <row r="8" spans="1:5" x14ac:dyDescent="0.35">
      <c r="A8" s="1" t="s">
        <v>45</v>
      </c>
    </row>
    <row r="9" spans="1:5" x14ac:dyDescent="0.35">
      <c r="A9" t="s">
        <v>40</v>
      </c>
      <c r="B9" s="4">
        <v>25000</v>
      </c>
      <c r="C9" s="26"/>
    </row>
    <row r="10" spans="1:5" x14ac:dyDescent="0.35">
      <c r="A10" t="s">
        <v>47</v>
      </c>
      <c r="B10" s="25">
        <v>8.1099999999999992E-3</v>
      </c>
      <c r="C10" s="25">
        <v>1.77E-2</v>
      </c>
    </row>
    <row r="11" spans="1:5" x14ac:dyDescent="0.35">
      <c r="A11" t="s">
        <v>51</v>
      </c>
      <c r="B11" s="27">
        <v>240</v>
      </c>
      <c r="C11" s="22"/>
    </row>
    <row r="12" spans="1:5" x14ac:dyDescent="0.35">
      <c r="A12" t="s">
        <v>48</v>
      </c>
      <c r="B12">
        <f>Vbase*Vbase/Sbase</f>
        <v>2.3039999999999998</v>
      </c>
    </row>
    <row r="13" spans="1:5" x14ac:dyDescent="0.35">
      <c r="A13" t="s">
        <v>49</v>
      </c>
      <c r="B13" s="3">
        <f>B10*Zbase</f>
        <v>1.8685439999999998E-2</v>
      </c>
      <c r="C13" s="3">
        <f>C10*Zbase</f>
        <v>4.0780799999999999E-2</v>
      </c>
    </row>
    <row r="14" spans="1:5" x14ac:dyDescent="0.35">
      <c r="A14" t="s">
        <v>50</v>
      </c>
      <c r="B14">
        <f>B7*(Vbase/Vfdr)^2</f>
        <v>2.6033333333333334E-4</v>
      </c>
      <c r="C14">
        <f>C7*(Vbase/Vfdr)^2</f>
        <v>1.1131111111111112E-3</v>
      </c>
    </row>
    <row r="15" spans="1:5" x14ac:dyDescent="0.35">
      <c r="A15" t="s">
        <v>52</v>
      </c>
      <c r="B15" s="3">
        <f>B13+B14</f>
        <v>1.8945773333333332E-2</v>
      </c>
      <c r="C15" s="3">
        <f>C13+C14</f>
        <v>4.1893911111111112E-2</v>
      </c>
      <c r="D15" s="3">
        <f t="shared" ref="D15" si="2">SQRT(B15*B15+C15*C15)</f>
        <v>4.597871372041331E-2</v>
      </c>
      <c r="E15" s="5">
        <f t="shared" ref="E15" si="3">DEGREES(ATAN2(B15,C15))</f>
        <v>65.66598801505431</v>
      </c>
    </row>
    <row r="16" spans="1:5" x14ac:dyDescent="0.35">
      <c r="A16" s="1" t="s">
        <v>59</v>
      </c>
    </row>
    <row r="17" spans="1:5" x14ac:dyDescent="0.35">
      <c r="A17" t="s">
        <v>55</v>
      </c>
      <c r="B17">
        <v>0.33500000000000002</v>
      </c>
      <c r="C17">
        <v>6.1600000000000002E-2</v>
      </c>
    </row>
    <row r="18" spans="1:5" x14ac:dyDescent="0.35">
      <c r="A18" t="s">
        <v>56</v>
      </c>
      <c r="B18">
        <v>100</v>
      </c>
    </row>
    <row r="19" spans="1:5" x14ac:dyDescent="0.35">
      <c r="A19" t="s">
        <v>58</v>
      </c>
      <c r="B19">
        <f>B17*dsect/1000</f>
        <v>3.3500000000000002E-2</v>
      </c>
      <c r="C19">
        <f>C17*dsect/1000</f>
        <v>6.1600000000000005E-3</v>
      </c>
      <c r="D19" s="3">
        <f t="shared" ref="D19" si="4">SQRT(B19*B19+C19*C19)</f>
        <v>3.406164411768757E-2</v>
      </c>
      <c r="E19" s="5">
        <f t="shared" ref="E19" si="5">DEGREES(ATAN2(B19,C19))</f>
        <v>10.419191131914298</v>
      </c>
    </row>
    <row r="20" spans="1:5" x14ac:dyDescent="0.35">
      <c r="A20" s="1" t="s">
        <v>57</v>
      </c>
    </row>
    <row r="21" spans="1:5" x14ac:dyDescent="0.35">
      <c r="A21" t="s">
        <v>53</v>
      </c>
      <c r="B21" s="4">
        <v>4</v>
      </c>
      <c r="D21" t="s">
        <v>61</v>
      </c>
    </row>
    <row r="22" spans="1:5" x14ac:dyDescent="0.35">
      <c r="A22" t="s">
        <v>54</v>
      </c>
      <c r="B22" s="4">
        <v>8</v>
      </c>
      <c r="D22" t="s">
        <v>60</v>
      </c>
    </row>
    <row r="23" spans="1:5" x14ac:dyDescent="0.35">
      <c r="A23" t="s">
        <v>62</v>
      </c>
      <c r="B23" s="4">
        <v>10</v>
      </c>
    </row>
    <row r="24" spans="1:5" x14ac:dyDescent="0.35">
      <c r="A24" t="s">
        <v>63</v>
      </c>
      <c r="B24" s="4">
        <v>5</v>
      </c>
    </row>
    <row r="25" spans="1:5" x14ac:dyDescent="0.35">
      <c r="A25" t="s">
        <v>64</v>
      </c>
      <c r="B25" s="4">
        <v>0.85</v>
      </c>
      <c r="D25" s="6"/>
      <c r="E25" s="6"/>
    </row>
    <row r="26" spans="1:5" x14ac:dyDescent="0.35">
      <c r="A26" t="s">
        <v>66</v>
      </c>
      <c r="B26" s="17">
        <f>B23-B24</f>
        <v>5</v>
      </c>
      <c r="C26" s="17">
        <f>-B24/B25*SQRT(1-pf*pf)</f>
        <v>-3.0987216920155123</v>
      </c>
      <c r="D26" s="3"/>
      <c r="E26" s="5"/>
    </row>
    <row r="27" spans="1:5" x14ac:dyDescent="0.35">
      <c r="A27" t="s">
        <v>65</v>
      </c>
      <c r="B27" s="17">
        <f>1000*B26/Vbase</f>
        <v>20.833333333333332</v>
      </c>
      <c r="C27" s="17">
        <f>1000*C26/Vbase</f>
        <v>-12.911340383397969</v>
      </c>
      <c r="D27" s="17">
        <f t="shared" ref="D26:D27" si="6">SQRT(B27*B27+C27*C27)</f>
        <v>24.509803921568629</v>
      </c>
      <c r="E27" s="5">
        <f t="shared" ref="E26:E27" si="7">DEGREES(ATAN2(B27,C27))</f>
        <v>-31.788330617051628</v>
      </c>
    </row>
    <row r="28" spans="1:5" x14ac:dyDescent="0.35">
      <c r="A28" s="1" t="s">
        <v>67</v>
      </c>
    </row>
    <row r="29" spans="1:5" x14ac:dyDescent="0.35">
      <c r="A29" t="s">
        <v>69</v>
      </c>
      <c r="B29" s="17">
        <f>D29*COS(RADIANS(E29))</f>
        <v>7.484881259667878</v>
      </c>
      <c r="C29" s="17">
        <f>D29*SIN(RADIANS(E29))</f>
        <v>5.0253958918515504</v>
      </c>
      <c r="D29" s="17">
        <f>m*D27*D15</f>
        <v>9.0154340628261398</v>
      </c>
      <c r="E29" s="5">
        <f>E15+E27</f>
        <v>33.877657398002682</v>
      </c>
    </row>
    <row r="30" spans="1:5" x14ac:dyDescent="0.35">
      <c r="A30" t="s">
        <v>68</v>
      </c>
      <c r="B30" s="17" cm="1">
        <f t="array" ref="B30">Vpu*Vbase+B29</f>
        <v>247.48488125966787</v>
      </c>
      <c r="C30" s="17">
        <f>C29</f>
        <v>5.0253958918515504</v>
      </c>
      <c r="D30" s="17">
        <f t="shared" ref="D30" si="8">SQRT(B30*B30+C30*C30)</f>
        <v>247.5358985197536</v>
      </c>
      <c r="E30" s="5">
        <f t="shared" ref="E30" si="9">DEGREES(ATAN2(B30,C30))</f>
        <v>1.1632807986461593</v>
      </c>
    </row>
    <row r="31" spans="1:5" x14ac:dyDescent="0.35">
      <c r="A31" t="s">
        <v>70</v>
      </c>
      <c r="B31" s="17">
        <f>D31*COS(RADIANS(E31))</f>
        <v>7.7745052342839829</v>
      </c>
      <c r="C31" s="17">
        <f>D31*SIN(RADIANS(E31))</f>
        <v>-3.0419656951049872</v>
      </c>
      <c r="D31" s="17">
        <f>(n*(n+1)/2)*D27*D19</f>
        <v>8.3484421857077393</v>
      </c>
      <c r="E31" s="5">
        <f>E19+E27</f>
        <v>-21.369139485137332</v>
      </c>
    </row>
    <row r="32" spans="1:5" x14ac:dyDescent="0.35">
      <c r="A32" t="s">
        <v>71</v>
      </c>
      <c r="B32" s="17">
        <f>B30+B31</f>
        <v>255.25938649395187</v>
      </c>
      <c r="C32" s="17">
        <f>C30+C31</f>
        <v>1.9834301967465633</v>
      </c>
      <c r="D32" s="28">
        <f t="shared" ref="D32" si="10">SQRT(B32*B32+C32*C32)</f>
        <v>255.26709225557073</v>
      </c>
      <c r="E32" s="5">
        <f t="shared" ref="E32" si="11">DEGREES(ATAN2(B32,C32))</f>
        <v>0.44519378408542187</v>
      </c>
    </row>
    <row r="33" spans="1:4" x14ac:dyDescent="0.35">
      <c r="A33" t="s">
        <v>72</v>
      </c>
      <c r="D33" s="28">
        <f>D32/Vbase</f>
        <v>1.0636128843982113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2BD4-7D2A-4E5E-8468-ECE48D3E7507}">
  <dimension ref="A1:I21"/>
  <sheetViews>
    <sheetView workbookViewId="0">
      <selection activeCell="I7" sqref="I7"/>
    </sheetView>
  </sheetViews>
  <sheetFormatPr defaultRowHeight="14.5" x14ac:dyDescent="0.35"/>
  <cols>
    <col min="1" max="1" width="11.81640625" style="13" customWidth="1"/>
    <col min="2" max="2" width="12.453125" style="13" customWidth="1"/>
    <col min="3" max="7" width="8.7265625" style="9"/>
  </cols>
  <sheetData>
    <row r="1" spans="1:9" x14ac:dyDescent="0.35">
      <c r="A1" s="12" t="s">
        <v>4</v>
      </c>
      <c r="B1" s="12" t="s">
        <v>5</v>
      </c>
      <c r="C1" s="8" t="s">
        <v>19</v>
      </c>
      <c r="D1" s="8" t="s">
        <v>20</v>
      </c>
      <c r="E1" s="8" t="s">
        <v>1</v>
      </c>
      <c r="F1" s="8" t="s">
        <v>0</v>
      </c>
      <c r="G1" s="8" t="s">
        <v>6</v>
      </c>
      <c r="I1" s="19" t="s">
        <v>21</v>
      </c>
    </row>
    <row r="2" spans="1:9" x14ac:dyDescent="0.35">
      <c r="A2" s="13">
        <v>2</v>
      </c>
      <c r="B2" s="13" t="s">
        <v>14</v>
      </c>
      <c r="C2" s="16">
        <v>0.69099999999999995</v>
      </c>
      <c r="D2" s="10">
        <v>6.5199999999999994E-2</v>
      </c>
      <c r="E2" s="16">
        <v>0.53400000000000003</v>
      </c>
      <c r="F2" s="10">
        <v>6.3299999999999995E-2</v>
      </c>
      <c r="G2" s="9">
        <v>150</v>
      </c>
      <c r="I2" t="s">
        <v>22</v>
      </c>
    </row>
    <row r="3" spans="1:9" x14ac:dyDescent="0.35">
      <c r="A3" s="13">
        <v>1</v>
      </c>
      <c r="B3" s="13" t="s">
        <v>15</v>
      </c>
      <c r="C3" s="16">
        <v>0.54700000000000004</v>
      </c>
      <c r="D3" s="10">
        <v>6.59E-2</v>
      </c>
      <c r="E3" s="16">
        <v>0.42399999999999999</v>
      </c>
      <c r="F3" s="10">
        <v>6.3589999999999994E-2</v>
      </c>
      <c r="I3" t="s">
        <v>23</v>
      </c>
    </row>
    <row r="4" spans="1:9" x14ac:dyDescent="0.35">
      <c r="A4" s="14" t="s">
        <v>7</v>
      </c>
      <c r="B4" s="13" t="s">
        <v>16</v>
      </c>
      <c r="C4" s="16">
        <v>0.435</v>
      </c>
      <c r="D4" s="10">
        <v>6.2799999999999995E-2</v>
      </c>
      <c r="E4" s="16">
        <v>0.33500000000000002</v>
      </c>
      <c r="F4" s="10">
        <v>6.1600000000000002E-2</v>
      </c>
      <c r="G4" s="9">
        <v>200</v>
      </c>
      <c r="I4" t="s">
        <v>24</v>
      </c>
    </row>
    <row r="5" spans="1:9" x14ac:dyDescent="0.35">
      <c r="A5" s="13" t="s">
        <v>8</v>
      </c>
      <c r="B5" s="13" t="s">
        <v>17</v>
      </c>
      <c r="C5" s="16">
        <v>0.34499999999999997</v>
      </c>
      <c r="D5" s="10">
        <v>6.2899999999999998E-2</v>
      </c>
      <c r="E5" s="16">
        <v>0.26600000000000001</v>
      </c>
      <c r="F5" s="10">
        <v>5.96E-2</v>
      </c>
      <c r="G5" s="9">
        <v>230</v>
      </c>
      <c r="I5" t="s">
        <v>25</v>
      </c>
    </row>
    <row r="6" spans="1:9" x14ac:dyDescent="0.35">
      <c r="A6" s="13" t="s">
        <v>9</v>
      </c>
      <c r="B6" s="13" t="s">
        <v>7</v>
      </c>
      <c r="C6" s="16">
        <v>0.27300000000000002</v>
      </c>
      <c r="D6" s="10">
        <v>6.0400000000000002E-2</v>
      </c>
      <c r="E6" s="16">
        <v>0.21099999999999999</v>
      </c>
      <c r="F6" s="10">
        <v>5.8900000000000001E-2</v>
      </c>
      <c r="G6" s="9">
        <v>265</v>
      </c>
      <c r="I6" t="s">
        <v>29</v>
      </c>
    </row>
    <row r="7" spans="1:9" x14ac:dyDescent="0.35">
      <c r="A7" s="13" t="s">
        <v>10</v>
      </c>
      <c r="B7" s="13" t="s">
        <v>8</v>
      </c>
      <c r="C7" s="16">
        <v>0.217</v>
      </c>
      <c r="D7" s="10">
        <v>5.8799999999999998E-2</v>
      </c>
      <c r="E7" s="16">
        <v>0.16700000000000001</v>
      </c>
      <c r="F7" s="10">
        <v>5.7599999999999998E-2</v>
      </c>
      <c r="G7" s="9">
        <v>310</v>
      </c>
    </row>
    <row r="8" spans="1:9" x14ac:dyDescent="0.35">
      <c r="A8" s="13" t="s">
        <v>11</v>
      </c>
      <c r="B8" s="13" t="s">
        <v>9</v>
      </c>
      <c r="C8" s="16">
        <v>0.17699999999999999</v>
      </c>
      <c r="D8" s="10">
        <v>5.8299999999999998E-2</v>
      </c>
      <c r="E8" s="16">
        <v>0.14199999999999999</v>
      </c>
      <c r="F8" s="10">
        <v>5.74E-2</v>
      </c>
    </row>
    <row r="9" spans="1:9" x14ac:dyDescent="0.35">
      <c r="A9" s="13" t="s">
        <v>12</v>
      </c>
      <c r="B9" s="13" t="s">
        <v>10</v>
      </c>
      <c r="C9" s="16">
        <v>0.13400000000000001</v>
      </c>
      <c r="D9" s="10">
        <v>5.7000000000000002E-2</v>
      </c>
      <c r="E9" s="16">
        <v>0.10199999999999999</v>
      </c>
      <c r="F9" s="10">
        <v>5.5800000000000002E-2</v>
      </c>
    </row>
    <row r="10" spans="1:9" x14ac:dyDescent="0.35">
      <c r="A10" s="15" t="s">
        <v>13</v>
      </c>
      <c r="B10" s="15" t="s">
        <v>18</v>
      </c>
      <c r="C10" s="18">
        <v>9.5000000000000001E-2</v>
      </c>
      <c r="D10" s="11">
        <v>5.4699999999999999E-2</v>
      </c>
      <c r="E10" s="16">
        <v>7.1999999999999995E-2</v>
      </c>
      <c r="F10" s="10">
        <v>5.2999999999999999E-2</v>
      </c>
    </row>
    <row r="11" spans="1:9" x14ac:dyDescent="0.35">
      <c r="A11" s="15"/>
      <c r="B11" s="15"/>
      <c r="C11" s="11"/>
      <c r="D11" s="11"/>
    </row>
    <row r="12" spans="1:9" x14ac:dyDescent="0.35">
      <c r="A12" s="15"/>
      <c r="B12" s="15"/>
      <c r="C12" s="11"/>
      <c r="D12" s="11"/>
    </row>
    <row r="13" spans="1:9" x14ac:dyDescent="0.35">
      <c r="A13" s="15"/>
      <c r="B13" s="15"/>
      <c r="C13" s="11"/>
      <c r="D13" s="11"/>
    </row>
    <row r="14" spans="1:9" x14ac:dyDescent="0.35">
      <c r="A14" s="15"/>
      <c r="B14" s="15"/>
      <c r="C14" s="11"/>
      <c r="D14" s="11"/>
    </row>
    <row r="15" spans="1:9" x14ac:dyDescent="0.35">
      <c r="A15" s="15"/>
      <c r="B15" s="15"/>
      <c r="C15" s="11"/>
      <c r="D15" s="11"/>
    </row>
    <row r="16" spans="1:9" x14ac:dyDescent="0.35">
      <c r="A16" s="15"/>
      <c r="B16" s="15"/>
      <c r="C16" s="11"/>
      <c r="D16" s="11"/>
    </row>
    <row r="17" spans="1:4" x14ac:dyDescent="0.35">
      <c r="A17" s="15"/>
      <c r="B17" s="15"/>
      <c r="C17" s="11"/>
      <c r="D17" s="11"/>
    </row>
    <row r="18" spans="1:4" x14ac:dyDescent="0.35">
      <c r="A18" s="15"/>
      <c r="B18" s="15"/>
      <c r="C18" s="11"/>
      <c r="D18" s="11"/>
    </row>
    <row r="19" spans="1:4" x14ac:dyDescent="0.35">
      <c r="A19" s="15"/>
      <c r="B19" s="15"/>
      <c r="C19" s="11"/>
      <c r="D19" s="11"/>
    </row>
    <row r="20" spans="1:4" x14ac:dyDescent="0.35">
      <c r="A20" s="15"/>
      <c r="B20" s="15"/>
      <c r="C20" s="11"/>
      <c r="D20" s="11"/>
    </row>
    <row r="21" spans="1:4" x14ac:dyDescent="0.35">
      <c r="A21" s="15"/>
      <c r="B21" s="15"/>
      <c r="C21" s="11"/>
      <c r="D21" s="1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293A-1EA9-4B9A-8A21-638A26D4FF93}">
  <dimension ref="A1:I10"/>
  <sheetViews>
    <sheetView workbookViewId="0">
      <selection activeCell="C7" sqref="C7"/>
    </sheetView>
  </sheetViews>
  <sheetFormatPr defaultRowHeight="14.5" x14ac:dyDescent="0.35"/>
  <cols>
    <col min="1" max="1" width="7" style="9" customWidth="1"/>
    <col min="2" max="2" width="9.26953125" customWidth="1"/>
    <col min="3" max="3" width="8.81640625" customWidth="1"/>
    <col min="4" max="4" width="8.08984375" customWidth="1"/>
    <col min="5" max="5" width="7.6328125" style="9" customWidth="1"/>
    <col min="8" max="8" width="2.81640625" customWidth="1"/>
  </cols>
  <sheetData>
    <row r="1" spans="1:9" x14ac:dyDescent="0.35">
      <c r="B1" s="20" t="s">
        <v>30</v>
      </c>
      <c r="C1" s="20"/>
      <c r="D1" s="20"/>
      <c r="E1" s="20"/>
      <c r="F1" s="20" t="s">
        <v>31</v>
      </c>
      <c r="G1" s="20"/>
      <c r="I1" s="1" t="s">
        <v>21</v>
      </c>
    </row>
    <row r="2" spans="1:9" x14ac:dyDescent="0.35">
      <c r="A2" s="8" t="s">
        <v>26</v>
      </c>
      <c r="B2" s="8" t="s">
        <v>27</v>
      </c>
      <c r="C2" s="8" t="s">
        <v>28</v>
      </c>
      <c r="D2" s="8" t="s">
        <v>34</v>
      </c>
      <c r="E2" s="8" t="s">
        <v>35</v>
      </c>
      <c r="F2" s="8" t="s">
        <v>27</v>
      </c>
      <c r="G2" s="8" t="s">
        <v>28</v>
      </c>
      <c r="I2" s="21" t="s">
        <v>36</v>
      </c>
    </row>
    <row r="3" spans="1:9" x14ac:dyDescent="0.35">
      <c r="A3" s="9">
        <v>10</v>
      </c>
      <c r="B3" s="16">
        <v>0.318</v>
      </c>
      <c r="C3" s="16">
        <v>1.153</v>
      </c>
      <c r="D3" s="16">
        <v>1.3</v>
      </c>
      <c r="E3" s="16">
        <f>SQRT(C3*C3+D3*D3)</f>
        <v>1.7376446702361219</v>
      </c>
      <c r="F3" s="16">
        <v>0.67</v>
      </c>
      <c r="G3" s="16">
        <v>1.83</v>
      </c>
      <c r="I3" t="s">
        <v>32</v>
      </c>
    </row>
    <row r="4" spans="1:9" x14ac:dyDescent="0.35">
      <c r="A4" s="9">
        <v>15</v>
      </c>
      <c r="B4" s="16">
        <v>0.28000000000000003</v>
      </c>
      <c r="C4" s="16">
        <v>1.0900000000000001</v>
      </c>
      <c r="D4" s="16">
        <v>1.47</v>
      </c>
      <c r="E4" s="16">
        <f t="shared" ref="E4:E10" si="0">SQRT(C4*C4+D4*D4)</f>
        <v>1.8300273222004091</v>
      </c>
      <c r="F4" s="16">
        <v>0.6</v>
      </c>
      <c r="G4" s="16">
        <v>1.7</v>
      </c>
      <c r="I4" t="s">
        <v>33</v>
      </c>
    </row>
    <row r="5" spans="1:9" x14ac:dyDescent="0.35">
      <c r="A5" s="9">
        <v>25</v>
      </c>
      <c r="B5" s="16">
        <v>0.23</v>
      </c>
      <c r="C5" s="16">
        <v>1.008</v>
      </c>
      <c r="D5" s="16">
        <v>1.51</v>
      </c>
      <c r="E5" s="16">
        <f t="shared" si="0"/>
        <v>1.8155340812003502</v>
      </c>
      <c r="F5" s="16">
        <v>0.52</v>
      </c>
      <c r="G5" s="16">
        <v>1.52</v>
      </c>
    </row>
    <row r="6" spans="1:9" x14ac:dyDescent="0.35">
      <c r="A6" s="9">
        <v>38</v>
      </c>
      <c r="B6" s="16">
        <v>0.219</v>
      </c>
      <c r="C6" s="16">
        <v>0.83099999999999996</v>
      </c>
      <c r="D6" s="16">
        <v>1.65</v>
      </c>
      <c r="E6" s="16">
        <f t="shared" si="0"/>
        <v>1.8474471575663538</v>
      </c>
      <c r="F6" s="16"/>
      <c r="G6" s="16"/>
    </row>
    <row r="7" spans="1:9" x14ac:dyDescent="0.35">
      <c r="A7" s="9">
        <v>50</v>
      </c>
      <c r="B7" s="16">
        <v>0.184</v>
      </c>
      <c r="C7" s="16">
        <v>0.81100000000000005</v>
      </c>
      <c r="D7" s="16">
        <v>1.77</v>
      </c>
      <c r="E7" s="16">
        <f t="shared" si="0"/>
        <v>1.9469517199971857</v>
      </c>
      <c r="F7" s="16">
        <v>0.43</v>
      </c>
      <c r="G7" s="16">
        <v>1.33</v>
      </c>
    </row>
    <row r="8" spans="1:9" x14ac:dyDescent="0.35">
      <c r="A8" s="9">
        <v>75</v>
      </c>
      <c r="B8" s="16">
        <v>0.17100000000000001</v>
      </c>
      <c r="C8" s="16">
        <v>0.749</v>
      </c>
      <c r="D8" s="16">
        <v>1.69</v>
      </c>
      <c r="E8" s="16">
        <f t="shared" si="0"/>
        <v>1.8485402348880589</v>
      </c>
      <c r="F8" s="16"/>
      <c r="G8" s="16"/>
    </row>
    <row r="9" spans="1:9" x14ac:dyDescent="0.35">
      <c r="A9" s="9">
        <v>100</v>
      </c>
      <c r="B9" s="16">
        <v>0.17299999999999999</v>
      </c>
      <c r="C9" s="16">
        <v>0.71499999999999997</v>
      </c>
      <c r="D9" s="16">
        <v>2.19</v>
      </c>
      <c r="E9" s="16">
        <f t="shared" si="0"/>
        <v>2.3037632256809726</v>
      </c>
      <c r="F9" s="16">
        <v>0.37</v>
      </c>
      <c r="G9" s="16">
        <v>1.1499999999999999</v>
      </c>
    </row>
    <row r="10" spans="1:9" x14ac:dyDescent="0.35">
      <c r="A10" s="9">
        <v>167</v>
      </c>
      <c r="B10" s="16">
        <v>0.156</v>
      </c>
      <c r="C10" s="16">
        <v>0.63300000000000001</v>
      </c>
      <c r="D10" s="16">
        <v>2.77</v>
      </c>
      <c r="E10" s="16">
        <f t="shared" si="0"/>
        <v>2.8414061659678294</v>
      </c>
    </row>
  </sheetData>
  <mergeCells count="2">
    <mergeCell ref="B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445A-2A06-426C-8667-199037231864}">
  <dimension ref="A1:D10"/>
  <sheetViews>
    <sheetView workbookViewId="0">
      <selection activeCell="F26" sqref="F26"/>
    </sheetView>
  </sheetViews>
  <sheetFormatPr defaultRowHeight="14.5" x14ac:dyDescent="0.35"/>
  <cols>
    <col min="2" max="2" width="15.26953125" customWidth="1"/>
    <col min="3" max="3" width="14.36328125" customWidth="1"/>
    <col min="4" max="4" width="13.6328125" customWidth="1"/>
  </cols>
  <sheetData>
    <row r="1" spans="1:4" x14ac:dyDescent="0.35">
      <c r="A1" s="1" t="s">
        <v>73</v>
      </c>
      <c r="B1" s="2" t="s">
        <v>83</v>
      </c>
      <c r="C1" s="2" t="s">
        <v>82</v>
      </c>
      <c r="D1" s="2" t="s">
        <v>84</v>
      </c>
    </row>
    <row r="2" spans="1:4" x14ac:dyDescent="0.35">
      <c r="A2" t="s">
        <v>74</v>
      </c>
      <c r="B2" s="24">
        <v>1461.92</v>
      </c>
      <c r="C2" s="24">
        <f>B2*0.55</f>
        <v>804.05600000000015</v>
      </c>
      <c r="D2" s="24">
        <v>1360</v>
      </c>
    </row>
    <row r="3" spans="1:4" x14ac:dyDescent="0.35">
      <c r="A3" t="s">
        <v>75</v>
      </c>
      <c r="B3" s="24">
        <v>868.15</v>
      </c>
      <c r="C3" s="24">
        <f t="shared" ref="C3:C9" si="0">B3*0.55</f>
        <v>477.48250000000002</v>
      </c>
      <c r="D3" s="24">
        <v>768</v>
      </c>
    </row>
    <row r="4" spans="1:4" x14ac:dyDescent="0.35">
      <c r="A4" t="s">
        <v>76</v>
      </c>
      <c r="B4" s="24">
        <v>2274.91</v>
      </c>
      <c r="C4" s="24">
        <f t="shared" si="0"/>
        <v>1251.2004999999999</v>
      </c>
      <c r="D4" s="24">
        <v>2100</v>
      </c>
    </row>
    <row r="5" spans="1:4" x14ac:dyDescent="0.35">
      <c r="A5" t="s">
        <v>77</v>
      </c>
      <c r="B5" s="24">
        <v>2703.6</v>
      </c>
      <c r="C5" s="24">
        <f t="shared" si="0"/>
        <v>1486.98</v>
      </c>
      <c r="D5" s="24">
        <v>2600</v>
      </c>
    </row>
    <row r="6" spans="1:4" x14ac:dyDescent="0.35">
      <c r="A6" t="s">
        <v>78</v>
      </c>
      <c r="B6" s="24">
        <v>2860.37</v>
      </c>
      <c r="C6" s="24">
        <f t="shared" si="0"/>
        <v>1573.2035000000001</v>
      </c>
      <c r="D6" s="24">
        <v>2700</v>
      </c>
    </row>
    <row r="7" spans="1:4" x14ac:dyDescent="0.35">
      <c r="A7" t="s">
        <v>79</v>
      </c>
      <c r="B7" s="24">
        <v>2879.72</v>
      </c>
      <c r="C7" s="24">
        <f t="shared" si="0"/>
        <v>1583.846</v>
      </c>
      <c r="D7" s="24">
        <v>2700</v>
      </c>
    </row>
    <row r="8" spans="1:4" x14ac:dyDescent="0.35">
      <c r="A8" t="s">
        <v>80</v>
      </c>
      <c r="B8" s="24">
        <v>426.15</v>
      </c>
      <c r="C8" s="24">
        <f t="shared" si="0"/>
        <v>234.38249999999999</v>
      </c>
      <c r="D8" s="24">
        <v>400</v>
      </c>
    </row>
    <row r="9" spans="1:4" x14ac:dyDescent="0.35">
      <c r="A9" t="s">
        <v>81</v>
      </c>
      <c r="B9" s="24">
        <v>2704.01</v>
      </c>
      <c r="C9" s="24">
        <f t="shared" si="0"/>
        <v>1487.2055000000003</v>
      </c>
      <c r="D9" s="24">
        <v>2600</v>
      </c>
    </row>
    <row r="10" spans="1:4" x14ac:dyDescent="0.35">
      <c r="A10" s="1" t="s">
        <v>3</v>
      </c>
      <c r="B10" s="29">
        <f>SUM(B2:B9)</f>
        <v>16178.83</v>
      </c>
      <c r="C10" s="29">
        <f t="shared" ref="C10:D10" si="1">SUM(C2:C9)</f>
        <v>8898.3564999999999</v>
      </c>
      <c r="D10" s="29">
        <f t="shared" si="1"/>
        <v>15228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Analysis</vt:lpstr>
      <vt:lpstr>Triplex</vt:lpstr>
      <vt:lpstr>Transformers</vt:lpstr>
      <vt:lpstr>Network</vt:lpstr>
      <vt:lpstr>dsect</vt:lpstr>
      <vt:lpstr>m</vt:lpstr>
      <vt:lpstr>n</vt:lpstr>
      <vt:lpstr>pf</vt:lpstr>
      <vt:lpstr>Sbase</vt:lpstr>
      <vt:lpstr>Vbase</vt:lpstr>
      <vt:lpstr>Vfdr</vt:lpstr>
      <vt:lpstr>Vpu</vt:lpstr>
      <vt:lpstr>Zbase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Tom McDermott</cp:lastModifiedBy>
  <dcterms:created xsi:type="dcterms:W3CDTF">2023-06-06T21:29:04Z</dcterms:created>
  <dcterms:modified xsi:type="dcterms:W3CDTF">2024-07-02T20:40:39Z</dcterms:modified>
</cp:coreProperties>
</file>