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IEEE1729DynamicsTF\HCA\"/>
    </mc:Choice>
  </mc:AlternateContent>
  <xr:revisionPtr revIDLastSave="0" documentId="13_ncr:1_{A3A62258-C981-4C5A-9FB9-3EBFABF55128}" xr6:coauthVersionLast="47" xr6:coauthVersionMax="47" xr10:uidLastSave="{00000000-0000-0000-0000-000000000000}"/>
  <bookViews>
    <workbookView xWindow="790" yWindow="2770" windowWidth="12510" windowHeight="15590" activeTab="1" xr2:uid="{7D6E8C32-CACD-498D-B92F-BBC7DE0016F8}"/>
  </bookViews>
  <sheets>
    <sheet name="RVC" sheetId="1" r:id="rId1"/>
    <sheet name="FaultsPOC" sheetId="3" r:id="rId2"/>
    <sheet name="LineCodes" sheetId="2" r:id="rId3"/>
  </sheets>
  <definedNames>
    <definedName name="DP">RVC!$B$9</definedName>
    <definedName name="DQ">RVC!$B$10</definedName>
    <definedName name="IbaseDER">FaultsPOC!$H$3</definedName>
    <definedName name="IBRAng">FaultsPOC!$I$2</definedName>
    <definedName name="IscIBR">FaultsPOC!$H$2</definedName>
    <definedName name="IscMach">FaultsPOC!$H$1</definedName>
    <definedName name="MachAng">FaultsPOC!$I$1</definedName>
    <definedName name="RG">RVC!$E$7</definedName>
    <definedName name="Sder">FaultsPOC!$B$2</definedName>
    <definedName name="Term1">RVC!$E$9</definedName>
    <definedName name="Term2">RVC!$E$10</definedName>
    <definedName name="VT">RVC!$B$8</definedName>
    <definedName name="VTf">FaultsPOC!$B$1</definedName>
    <definedName name="X">RVC!$F$7</definedName>
    <definedName name="XG">RVC!$F$7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2" l="1"/>
  <c r="C24" i="2"/>
  <c r="D23" i="2"/>
  <c r="C23" i="2"/>
  <c r="B24" i="2"/>
  <c r="B23" i="2"/>
  <c r="C5" i="3"/>
  <c r="B5" i="3"/>
  <c r="E5" i="3" s="1"/>
  <c r="C7" i="3" s="1"/>
  <c r="C9" i="3"/>
  <c r="H3" i="3"/>
  <c r="B9" i="3" s="1"/>
  <c r="C8" i="3"/>
  <c r="E4" i="3"/>
  <c r="E3" i="3"/>
  <c r="D4" i="3"/>
  <c r="D3" i="3"/>
  <c r="K6" i="1"/>
  <c r="K5" i="1"/>
  <c r="K4" i="1"/>
  <c r="J6" i="1"/>
  <c r="J5" i="1"/>
  <c r="J4" i="1"/>
  <c r="B21" i="2"/>
  <c r="B20" i="2"/>
  <c r="B19" i="2"/>
  <c r="B18" i="2"/>
  <c r="D17" i="2"/>
  <c r="C17" i="2"/>
  <c r="D16" i="2"/>
  <c r="C16" i="2"/>
  <c r="D15" i="2"/>
  <c r="C15" i="2"/>
  <c r="D14" i="2"/>
  <c r="C14" i="2"/>
  <c r="B17" i="2"/>
  <c r="B16" i="2"/>
  <c r="B15" i="2"/>
  <c r="B14" i="2"/>
  <c r="K2" i="1"/>
  <c r="J2" i="1"/>
  <c r="E12" i="1"/>
  <c r="F2" i="1"/>
  <c r="E2" i="1"/>
  <c r="F5" i="1"/>
  <c r="E5" i="1"/>
  <c r="F4" i="1"/>
  <c r="E4" i="1"/>
  <c r="F6" i="1"/>
  <c r="E6" i="1"/>
  <c r="B8" i="3" l="1"/>
  <c r="D5" i="3"/>
  <c r="B7" i="3" s="1"/>
  <c r="E9" i="3"/>
  <c r="D9" i="3"/>
  <c r="K7" i="1"/>
  <c r="J7" i="1"/>
  <c r="E7" i="1"/>
  <c r="D19" i="2"/>
  <c r="D21" i="2"/>
  <c r="D20" i="2"/>
  <c r="D18" i="2"/>
  <c r="C21" i="2"/>
  <c r="C19" i="2"/>
  <c r="C20" i="2"/>
  <c r="C18" i="2"/>
  <c r="F7" i="1"/>
  <c r="E10" i="1" l="1"/>
  <c r="E8" i="3"/>
  <c r="D8" i="3"/>
  <c r="B12" i="3"/>
  <c r="D7" i="3"/>
  <c r="B13" i="3"/>
  <c r="E7" i="3"/>
  <c r="J9" i="1"/>
  <c r="J8" i="1"/>
  <c r="E9" i="1"/>
  <c r="B12" i="1" l="1"/>
  <c r="C18" i="3"/>
  <c r="C17" i="3"/>
  <c r="B18" i="3"/>
  <c r="B17" i="3"/>
  <c r="D18" i="3" l="1"/>
  <c r="E18" i="3"/>
  <c r="E17" i="3"/>
  <c r="D17" i="3"/>
  <c r="B22" i="3" l="1"/>
  <c r="C22" i="3"/>
  <c r="B23" i="3"/>
  <c r="C23" i="3"/>
</calcChain>
</file>

<file path=xl/sharedStrings.xml><?xml version="1.0" encoding="utf-8"?>
<sst xmlns="http://schemas.openxmlformats.org/spreadsheetml/2006/main" count="87" uniqueCount="74">
  <si>
    <t>Linecode</t>
  </si>
  <si>
    <t>R</t>
  </si>
  <si>
    <t>X</t>
  </si>
  <si>
    <t>Len [ft]</t>
  </si>
  <si>
    <t>R/mi</t>
  </si>
  <si>
    <t>X/mi</t>
  </si>
  <si>
    <t>Term 1</t>
  </si>
  <si>
    <t>Term 2</t>
  </si>
  <si>
    <t>d</t>
  </si>
  <si>
    <t>kV</t>
  </si>
  <si>
    <t>Xfmr MVA</t>
  </si>
  <si>
    <r>
      <t>R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</si>
  <si>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r>
      <t>X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</si>
  <si>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I [A]</t>
    </r>
  </si>
  <si>
    <t>VT [V]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</si>
  <si>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1"/>
        <charset val="2"/>
        <scheme val="minor"/>
      </rPr>
      <t xml:space="preserve"> [W]</t>
    </r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</si>
  <si>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Q</t>
    </r>
    <r>
      <rPr>
        <b/>
        <sz val="11"/>
        <color theme="1"/>
        <rFont val="Calibri"/>
        <family val="1"/>
        <charset val="2"/>
        <scheme val="minor"/>
      </rPr>
      <t xml:space="preserve"> [VAR]</t>
    </r>
  </si>
  <si>
    <t>R0/mi</t>
  </si>
  <si>
    <t>X0/mi</t>
  </si>
  <si>
    <r>
      <t>R0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</si>
  <si>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r>
      <t>X0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</si>
  <si>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r>
      <t>Z1 pcc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</si>
  <si>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r>
      <t>Z0 pcc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</si>
  <si>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t>Code</t>
  </si>
  <si>
    <t>r11</t>
  </si>
  <si>
    <t>r22</t>
  </si>
  <si>
    <t>r31</t>
  </si>
  <si>
    <t>r32</t>
  </si>
  <si>
    <t>r33</t>
  </si>
  <si>
    <t>r21</t>
  </si>
  <si>
    <t>x11</t>
  </si>
  <si>
    <t>x21</t>
  </si>
  <si>
    <t>x22</t>
  </si>
  <si>
    <t>x31</t>
  </si>
  <si>
    <t>x32</t>
  </si>
  <si>
    <t>x33</t>
  </si>
  <si>
    <t>Xs</t>
  </si>
  <si>
    <t>Xm</t>
  </si>
  <si>
    <t>Rs</t>
  </si>
  <si>
    <t>Rm</t>
  </si>
  <si>
    <t>R1</t>
  </si>
  <si>
    <t>X1</t>
  </si>
  <si>
    <t>R0</t>
  </si>
  <si>
    <t>X0</t>
  </si>
  <si>
    <t>Check R0/X1 &lt; 1?</t>
  </si>
  <si>
    <t>Check X0/X1 &lt; 3?</t>
  </si>
  <si>
    <t>(pass)</t>
  </si>
  <si>
    <t>(fail)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</si>
  <si>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Y Xfmr</t>
    </r>
  </si>
  <si>
    <t>S [VA]</t>
  </si>
  <si>
    <r>
      <t>Zslgf [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>]</t>
    </r>
  </si>
  <si>
    <t>Mag</t>
  </si>
  <si>
    <t>Angle</t>
  </si>
  <si>
    <t>Re</t>
  </si>
  <si>
    <t>Im</t>
  </si>
  <si>
    <t>Imach [A]</t>
  </si>
  <si>
    <t>Mach Isc</t>
  </si>
  <si>
    <t>IBR Isc</t>
  </si>
  <si>
    <t>Ibase DER</t>
  </si>
  <si>
    <t>Iibr [A]</t>
  </si>
  <si>
    <t>At POC</t>
  </si>
  <si>
    <t>At Sub</t>
  </si>
  <si>
    <t>POC</t>
  </si>
  <si>
    <t>Sub</t>
  </si>
  <si>
    <t>Rslgf</t>
  </si>
  <si>
    <t>Xslgf</t>
  </si>
  <si>
    <t>Igrid_slgf [A]</t>
  </si>
  <si>
    <t>Adding Current Magnitudes for Total Islgf:</t>
  </si>
  <si>
    <t>Adding Phasors for Total Islgf:</t>
  </si>
  <si>
    <t>w/ IBR DER</t>
  </si>
  <si>
    <t>w/ Machine DER</t>
  </si>
  <si>
    <t>Errors from Adding Magnitudes vs. Phasor Arithmetic:</t>
  </si>
  <si>
    <t>in Total Ilsgf</t>
  </si>
  <si>
    <r>
      <t xml:space="preserve">in </t>
    </r>
    <r>
      <rPr>
        <sz val="11"/>
        <color theme="1"/>
        <rFont val="Symbol"/>
        <family val="1"/>
        <charset val="2"/>
      </rPr>
      <t>D I</t>
    </r>
    <r>
      <rPr>
        <sz val="11"/>
        <color theme="1"/>
        <rFont val="Calibri"/>
        <family val="2"/>
        <scheme val="minor"/>
      </rPr>
      <t>slgf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</si>
</sst>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1"/>
      <charset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4" fontId="0" fillId="0" borderId="0" xfId="0" applyNumberFormat="1"/>
    <xf numFmtId="0" fontId="4" fillId="0" borderId="0" xfId="0" applyFont="1"/>
    <xf numFmtId="0" fontId="0" fillId="2" borderId="0" xfId="0" applyFill="1"/>
    <xf numFmtId="11" fontId="0" fillId="2" borderId="0" xfId="0" applyNumberFormat="1" applyFill="1"/>
    <xf numFmtId="10" fontId="5" fillId="0" borderId="0" xfId="1" applyNumberFormat="1" applyFont="1"/>
    <xf numFmtId="9" fontId="0" fillId="2" borderId="0" xfId="1" applyFont="1" applyFill="1"/>
    <xf numFmtId="2" fontId="5" fillId="0" borderId="0" xfId="0" applyNumberFormat="1" applyFont="1"/>
    <xf numFmtId="0" fontId="6" fillId="0" borderId="0" xfId="0" applyFont="1"/>
    <xf numFmtId="164" fontId="2" fillId="0" borderId="0" xfId="0" applyNumberFormat="1" applyFont="1"/>
    <xf numFmtId="2" fontId="0" fillId="0" borderId="0" xfId="0" applyNumberForma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2" borderId="0" xfId="0" applyNumberFormat="1" applyFill="1"/>
    <xf numFmtId="10" fontId="0" fillId="3" borderId="0" xfId="1" applyNumberFormat="1" applyFont="1" applyFill="1"/>
    <xf numFmtId="11" fontId="0" fillId="0" borderId="0" xfId="0" applyNumberForma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43010-0F75-4F32-9C3A-9E872FD46926}">
  <dimension ref="A1:O12"/>
  <sheetViews>
    <sheetView zoomScaleNormal="100" workbookViewId="0">
      <selection activeCell="K7" sqref="K7"/>
    </sheetView>
  </sheetViews>
  <sheetFormatPr defaultRowHeight="14.5"/>
  <cols>
    <col min="1" max="1" width="9.26953125" customWidth="1"/>
    <col min="2" max="2" width="9" bestFit="1" customWidth="1"/>
    <col min="5" max="5" width="11.453125" customWidth="1"/>
  </cols>
  <sheetData>
    <row r="1" spans="1:15">
      <c r="A1" s="1" t="s">
        <v>10</v>
      </c>
      <c r="B1" s="2" t="s">
        <v>9</v>
      </c>
      <c r="C1" s="2" t="s">
        <v>1</v>
      </c>
      <c r="D1" s="2" t="s">
        <v>2</v>
      </c>
      <c r="E1" s="2" t="s">
        <v>11</v>
      </c>
      <c r="F1" s="2" t="s">
        <v>12</v>
      </c>
      <c r="J1" s="2" t="s">
        <v>19</v>
      </c>
      <c r="K1" s="2" t="s">
        <v>20</v>
      </c>
    </row>
    <row r="2" spans="1:15">
      <c r="A2" s="5">
        <v>20</v>
      </c>
      <c r="B2" s="5">
        <v>12.47</v>
      </c>
      <c r="C2" s="8">
        <v>0.01</v>
      </c>
      <c r="D2" s="8">
        <v>0.08</v>
      </c>
      <c r="E2" s="3">
        <f>C2*$B2*$B2/$A2</f>
        <v>7.7750449999999999E-2</v>
      </c>
      <c r="F2" s="3">
        <f>D2*$B2*$B2/$A2</f>
        <v>0.62200359999999999</v>
      </c>
      <c r="I2" s="13" t="s">
        <v>48</v>
      </c>
      <c r="J2" s="3">
        <f>E2</f>
        <v>7.7750449999999999E-2</v>
      </c>
      <c r="K2" s="3">
        <f>F2</f>
        <v>0.62200359999999999</v>
      </c>
    </row>
    <row r="3" spans="1:15">
      <c r="A3" s="1" t="s">
        <v>0</v>
      </c>
      <c r="B3" s="2" t="s">
        <v>4</v>
      </c>
      <c r="C3" s="2" t="s">
        <v>5</v>
      </c>
      <c r="D3" s="2" t="s">
        <v>3</v>
      </c>
      <c r="H3" s="2" t="s">
        <v>17</v>
      </c>
      <c r="I3" s="2" t="s">
        <v>18</v>
      </c>
      <c r="N3" s="1" t="s">
        <v>62</v>
      </c>
      <c r="O3" t="s">
        <v>63</v>
      </c>
    </row>
    <row r="4" spans="1:15">
      <c r="A4">
        <v>1</v>
      </c>
      <c r="B4" s="3">
        <v>0.30399999999999999</v>
      </c>
      <c r="C4" s="3">
        <v>0.63200000000000001</v>
      </c>
      <c r="D4" s="5">
        <v>6600</v>
      </c>
      <c r="E4" s="3">
        <f t="shared" ref="E4:E5" si="0">$D4/5280*B4</f>
        <v>0.38</v>
      </c>
      <c r="F4" s="3">
        <f t="shared" ref="F4:F5" si="1">$D4/5280*C4</f>
        <v>0.79</v>
      </c>
      <c r="H4" s="3">
        <v>0.63200000000000001</v>
      </c>
      <c r="I4" s="3">
        <v>1.744</v>
      </c>
      <c r="J4" s="3">
        <f t="shared" ref="J4:K6" si="2">H4*$D4/5280</f>
        <v>0.78999999999999992</v>
      </c>
      <c r="K4" s="3">
        <f t="shared" si="2"/>
        <v>2.1799999999999997</v>
      </c>
      <c r="N4">
        <v>6600</v>
      </c>
      <c r="O4">
        <v>2000</v>
      </c>
    </row>
    <row r="5" spans="1:15">
      <c r="A5">
        <v>2</v>
      </c>
      <c r="B5" s="3">
        <v>1.6879999999999999</v>
      </c>
      <c r="C5" s="3">
        <v>0.84799999999999998</v>
      </c>
      <c r="D5" s="5">
        <v>3960</v>
      </c>
      <c r="E5" s="3">
        <f t="shared" si="0"/>
        <v>1.266</v>
      </c>
      <c r="F5" s="3">
        <f t="shared" si="1"/>
        <v>0.63600000000000001</v>
      </c>
      <c r="H5" s="3">
        <v>2.3919999999999999</v>
      </c>
      <c r="I5" s="3">
        <v>2.5680000000000001</v>
      </c>
      <c r="J5" s="3">
        <f t="shared" si="2"/>
        <v>1.794</v>
      </c>
      <c r="K5" s="3">
        <f t="shared" si="2"/>
        <v>1.9260000000000002</v>
      </c>
      <c r="N5">
        <v>3960</v>
      </c>
      <c r="O5">
        <v>0</v>
      </c>
    </row>
    <row r="6" spans="1:15">
      <c r="A6">
        <v>3</v>
      </c>
      <c r="B6" s="3">
        <v>5.4386999999999999</v>
      </c>
      <c r="C6" s="3">
        <v>0.83730000000000004</v>
      </c>
      <c r="D6" s="5">
        <v>1320</v>
      </c>
      <c r="E6">
        <f>$D6/5280*B6</f>
        <v>1.359675</v>
      </c>
      <c r="F6">
        <f>$D6/5280*C6</f>
        <v>0.20932500000000001</v>
      </c>
      <c r="H6" s="3">
        <v>5.9946999999999999</v>
      </c>
      <c r="I6" s="3">
        <v>3.0253000000000001</v>
      </c>
      <c r="J6" s="3">
        <f t="shared" si="2"/>
        <v>1.498675</v>
      </c>
      <c r="K6" s="3">
        <f t="shared" si="2"/>
        <v>0.75632500000000003</v>
      </c>
      <c r="N6">
        <v>1320</v>
      </c>
      <c r="O6">
        <v>0</v>
      </c>
    </row>
    <row r="7" spans="1:15">
      <c r="A7" s="1" t="s">
        <v>21</v>
      </c>
      <c r="E7" s="3">
        <f>SUM(E2:E6)</f>
        <v>3.08342545</v>
      </c>
      <c r="F7" s="3">
        <f>SUM(F2:F6)</f>
        <v>2.2573286000000001</v>
      </c>
      <c r="I7" s="1" t="s">
        <v>22</v>
      </c>
      <c r="J7" s="3">
        <f>SUM(J2:J6)</f>
        <v>4.16042545</v>
      </c>
      <c r="K7" s="3">
        <f>SUM(K2:K6)</f>
        <v>5.4843286000000004</v>
      </c>
    </row>
    <row r="8" spans="1:15">
      <c r="A8" s="1" t="s">
        <v>14</v>
      </c>
      <c r="B8" s="5">
        <v>12470</v>
      </c>
      <c r="H8" t="s">
        <v>45</v>
      </c>
      <c r="J8" s="12">
        <f>K7/F7</f>
        <v>2.4295659036969628</v>
      </c>
      <c r="K8" t="s">
        <v>46</v>
      </c>
    </row>
    <row r="9" spans="1:15">
      <c r="A9" s="4" t="s">
        <v>15</v>
      </c>
      <c r="B9" s="6">
        <v>922000</v>
      </c>
      <c r="D9" s="10" t="s">
        <v>6</v>
      </c>
      <c r="E9" s="10">
        <f>VT*VT+RG*DP+XG*DQ</f>
        <v>158343818.2649</v>
      </c>
      <c r="H9" t="s">
        <v>44</v>
      </c>
      <c r="J9" s="12">
        <f>J7/F7</f>
        <v>1.8430747964651668</v>
      </c>
      <c r="K9" t="s">
        <v>47</v>
      </c>
      <c r="N9" s="17">
        <v>922000</v>
      </c>
      <c r="O9" s="17">
        <v>5000000</v>
      </c>
    </row>
    <row r="10" spans="1:15">
      <c r="A10" s="4" t="s">
        <v>16</v>
      </c>
      <c r="B10" s="6">
        <v>0</v>
      </c>
      <c r="D10" s="10" t="s">
        <v>7</v>
      </c>
      <c r="E10" s="10">
        <f>XG*DP-RG*DQ</f>
        <v>2081256.9692000002</v>
      </c>
    </row>
    <row r="12" spans="1:15">
      <c r="A12" s="1" t="s">
        <v>8</v>
      </c>
      <c r="B12" s="7">
        <f>SQRT(Term1*Term1+Term2*Term2)/VT/VT-1</f>
        <v>1.8370283399112841E-2</v>
      </c>
      <c r="D12" s="4" t="s">
        <v>13</v>
      </c>
      <c r="E12" s="9">
        <f>SQRT(DP*DP+DQ*DQ)/VT/SQRT(3)</f>
        <v>42.687806591245788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9EA4-2A18-469F-85DC-EDBA86EFCFA2}">
  <dimension ref="A1:R23"/>
  <sheetViews>
    <sheetView tabSelected="1" workbookViewId="0">
      <selection activeCell="D23" sqref="D23"/>
    </sheetView>
  </sheetViews>
  <sheetFormatPr defaultRowHeight="14.5"/>
  <cols>
    <col min="1" max="1" width="14.81640625" customWidth="1"/>
    <col min="2" max="2" width="9.90625" customWidth="1"/>
    <col min="3" max="3" width="11" customWidth="1"/>
    <col min="4" max="4" width="9.81640625" customWidth="1"/>
    <col min="5" max="5" width="10.54296875" customWidth="1"/>
    <col min="6" max="6" width="2.453125" customWidth="1"/>
    <col min="9" max="9" width="6.7265625" customWidth="1"/>
  </cols>
  <sheetData>
    <row r="1" spans="1:18">
      <c r="A1" s="1" t="s">
        <v>14</v>
      </c>
      <c r="B1" s="5">
        <v>12470</v>
      </c>
      <c r="G1" t="s">
        <v>56</v>
      </c>
      <c r="H1" s="5">
        <v>5</v>
      </c>
      <c r="I1" s="5">
        <v>-85</v>
      </c>
      <c r="M1" s="1" t="s">
        <v>60</v>
      </c>
      <c r="Q1" s="1" t="s">
        <v>61</v>
      </c>
    </row>
    <row r="2" spans="1:18">
      <c r="A2" s="4" t="s">
        <v>49</v>
      </c>
      <c r="B2" s="6">
        <v>5000000</v>
      </c>
      <c r="D2" s="14" t="s">
        <v>51</v>
      </c>
      <c r="E2" s="14" t="s">
        <v>52</v>
      </c>
      <c r="G2" t="s">
        <v>57</v>
      </c>
      <c r="H2" s="5">
        <v>1.2</v>
      </c>
      <c r="I2" s="5">
        <v>0</v>
      </c>
      <c r="M2" s="17">
        <v>922000</v>
      </c>
      <c r="Q2" s="17">
        <v>5000000</v>
      </c>
    </row>
    <row r="3" spans="1:18">
      <c r="A3" s="1" t="s">
        <v>21</v>
      </c>
      <c r="B3" s="15">
        <v>0.19290196515151514</v>
      </c>
      <c r="C3" s="15">
        <v>0.86139753939393937</v>
      </c>
      <c r="D3" s="3">
        <f>SQRT(B3*B3+C3*C3)</f>
        <v>0.88273262601608293</v>
      </c>
      <c r="E3" s="12">
        <f>DEGREES(ATAN2(B3,C3))</f>
        <v>77.377398644331976</v>
      </c>
      <c r="G3" t="s">
        <v>58</v>
      </c>
      <c r="H3" s="12">
        <f>Sder/SQRT(3)/VTf</f>
        <v>231.49569734948909</v>
      </c>
      <c r="M3">
        <v>3.08342545</v>
      </c>
      <c r="N3">
        <v>2.2573286000000001</v>
      </c>
      <c r="Q3">
        <v>0.19290196515151514</v>
      </c>
      <c r="R3">
        <v>0.86139753939393937</v>
      </c>
    </row>
    <row r="4" spans="1:18">
      <c r="A4" s="1" t="s">
        <v>22</v>
      </c>
      <c r="B4" s="15">
        <v>0.31714438939393941</v>
      </c>
      <c r="C4" s="15">
        <v>1.2826096606060606</v>
      </c>
      <c r="D4" s="3">
        <f t="shared" ref="D4:D5" si="0">SQRT(B4*B4+C4*C4)</f>
        <v>1.3212373387109708</v>
      </c>
      <c r="E4" s="12">
        <f t="shared" ref="E4:E5" si="1">DEGREES(ATAN2(B4,C4))</f>
        <v>76.111340974296184</v>
      </c>
      <c r="M4">
        <v>4.16042545</v>
      </c>
      <c r="N4">
        <v>5.4843286000000004</v>
      </c>
      <c r="Q4">
        <v>0.31714438939393941</v>
      </c>
      <c r="R4">
        <v>1.2826096606060606</v>
      </c>
    </row>
    <row r="5" spans="1:18">
      <c r="A5" t="s">
        <v>50</v>
      </c>
      <c r="B5" s="3">
        <f>(2*B3+B4)/3</f>
        <v>0.23431610656565657</v>
      </c>
      <c r="C5" s="3">
        <f>(2*C3+C4)/3</f>
        <v>1.0018015797979798</v>
      </c>
      <c r="D5" s="3">
        <f t="shared" si="0"/>
        <v>1.0288393669965279</v>
      </c>
      <c r="E5" s="12">
        <f t="shared" si="1"/>
        <v>76.835476832401341</v>
      </c>
    </row>
    <row r="6" spans="1:18">
      <c r="B6" s="14" t="s">
        <v>51</v>
      </c>
      <c r="C6" s="14" t="s">
        <v>52</v>
      </c>
      <c r="D6" s="14" t="s">
        <v>53</v>
      </c>
      <c r="E6" s="14" t="s">
        <v>54</v>
      </c>
    </row>
    <row r="7" spans="1:18">
      <c r="A7" t="s">
        <v>66</v>
      </c>
      <c r="B7" s="12">
        <f>VTf/SQRT(3)/D5</f>
        <v>6997.7472555430813</v>
      </c>
      <c r="C7" s="12">
        <f>-E5</f>
        <v>-76.835476832401341</v>
      </c>
      <c r="D7" s="12">
        <f>$B7*COS(RADIANS($C7))</f>
        <v>1593.7229311472265</v>
      </c>
      <c r="E7" s="12">
        <f>$B7*SIN(RADIANS($C7))</f>
        <v>-6813.8472151345031</v>
      </c>
    </row>
    <row r="8" spans="1:18">
      <c r="A8" t="s">
        <v>55</v>
      </c>
      <c r="B8">
        <f>IscMach*IbaseDER</f>
        <v>1157.4784867474455</v>
      </c>
      <c r="C8" s="12">
        <f>MachAng</f>
        <v>-85</v>
      </c>
      <c r="D8" s="12">
        <f t="shared" ref="D8:D9" si="2">$B8*COS(RADIANS($C8))</f>
        <v>100.88089722690898</v>
      </c>
      <c r="E8" s="12">
        <f t="shared" ref="E8:E9" si="3">$B8*SIN(RADIANS($C8))</f>
        <v>-1153.0739316530619</v>
      </c>
    </row>
    <row r="9" spans="1:18">
      <c r="A9" t="s">
        <v>59</v>
      </c>
      <c r="B9">
        <f>IscIBR*IbaseDER</f>
        <v>277.79483681938689</v>
      </c>
      <c r="C9">
        <f>IBRAng</f>
        <v>0</v>
      </c>
      <c r="D9" s="12">
        <f t="shared" si="2"/>
        <v>277.79483681938689</v>
      </c>
      <c r="E9" s="12">
        <f t="shared" si="3"/>
        <v>0</v>
      </c>
    </row>
    <row r="11" spans="1:18">
      <c r="A11" s="1" t="s">
        <v>67</v>
      </c>
    </row>
    <row r="12" spans="1:18">
      <c r="A12" t="s">
        <v>70</v>
      </c>
      <c r="B12" s="12">
        <f>B7+B8</f>
        <v>8155.2257422905268</v>
      </c>
    </row>
    <row r="13" spans="1:18">
      <c r="A13" t="s">
        <v>69</v>
      </c>
      <c r="B13" s="12">
        <f>B7+B9</f>
        <v>7275.5420923624679</v>
      </c>
    </row>
    <row r="15" spans="1:18">
      <c r="A15" s="1" t="s">
        <v>68</v>
      </c>
    </row>
    <row r="16" spans="1:18">
      <c r="B16" s="14" t="s">
        <v>53</v>
      </c>
      <c r="C16" s="14" t="s">
        <v>54</v>
      </c>
      <c r="D16" s="14" t="s">
        <v>51</v>
      </c>
      <c r="E16" s="14" t="s">
        <v>52</v>
      </c>
    </row>
    <row r="17" spans="1:5">
      <c r="A17" t="s">
        <v>70</v>
      </c>
      <c r="B17" s="12">
        <f>D7+D8</f>
        <v>1694.6038283741354</v>
      </c>
      <c r="C17" s="12">
        <f>E7+E8</f>
        <v>-7966.9211467875648</v>
      </c>
      <c r="D17" s="12">
        <f>SQRT(B17*B17+C17*C17)</f>
        <v>8145.15283431018</v>
      </c>
      <c r="E17" s="12">
        <f>DEGREES(ATAN2(B17,C17))</f>
        <v>-77.991863922075368</v>
      </c>
    </row>
    <row r="18" spans="1:5">
      <c r="A18" t="s">
        <v>69</v>
      </c>
      <c r="B18" s="12">
        <f>D7+D9</f>
        <v>1871.5177679666135</v>
      </c>
      <c r="C18" s="12">
        <f>E7+E9</f>
        <v>-6813.8472151345031</v>
      </c>
      <c r="D18" s="12">
        <f>SQRT(B18*B18+C18*C18)</f>
        <v>7066.1936448848437</v>
      </c>
      <c r="E18" s="12">
        <f>DEGREES(ATAN2(B18,C18))</f>
        <v>-74.641654114679824</v>
      </c>
    </row>
    <row r="20" spans="1:5">
      <c r="A20" s="1" t="s">
        <v>71</v>
      </c>
    </row>
    <row r="21" spans="1:5">
      <c r="B21" s="14" t="s">
        <v>72</v>
      </c>
      <c r="C21" s="14" t="s">
        <v>73</v>
      </c>
    </row>
    <row r="22" spans="1:5">
      <c r="A22" t="s">
        <v>70</v>
      </c>
      <c r="B22" s="16">
        <f>B12/D17-1</f>
        <v>1.2366751349239813E-3</v>
      </c>
      <c r="C22" s="16">
        <f>(B12-B7)/(D17-B7)-1</f>
        <v>8.778855678190256E-3</v>
      </c>
    </row>
    <row r="23" spans="1:5">
      <c r="A23" t="s">
        <v>69</v>
      </c>
      <c r="B23" s="16">
        <f>B13/D18-1</f>
        <v>2.9626763431422454E-2</v>
      </c>
      <c r="C23" s="16">
        <f>(B13-B7)/(D18-B7)-1</f>
        <v>3.0585754703921371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C2BD4-7D2A-4E5E-8468-ECE48D3E7507}">
  <dimension ref="A1:D24"/>
  <sheetViews>
    <sheetView topLeftCell="A7" workbookViewId="0">
      <selection activeCell="C26" sqref="C26"/>
    </sheetView>
  </sheetViews>
  <sheetFormatPr defaultRowHeight="14.5"/>
  <sheetData>
    <row r="1" spans="1:4">
      <c r="A1" s="1" t="s">
        <v>23</v>
      </c>
      <c r="B1" s="1">
        <v>1</v>
      </c>
      <c r="C1" s="1">
        <v>2</v>
      </c>
      <c r="D1" s="1">
        <v>3</v>
      </c>
    </row>
    <row r="2" spans="1:4">
      <c r="A2" t="s">
        <v>24</v>
      </c>
      <c r="B2" s="3">
        <v>0.41599999999999998</v>
      </c>
      <c r="C2" s="3">
        <v>1.92</v>
      </c>
      <c r="D2" s="3">
        <v>5.6239999999999997</v>
      </c>
    </row>
    <row r="3" spans="1:4">
      <c r="A3" t="s">
        <v>29</v>
      </c>
      <c r="B3" s="3">
        <v>0.112</v>
      </c>
      <c r="C3" s="3">
        <v>0.24</v>
      </c>
      <c r="D3" s="3">
        <v>0.188</v>
      </c>
    </row>
    <row r="4" spans="1:4">
      <c r="A4" t="s">
        <v>25</v>
      </c>
      <c r="B4" s="3">
        <v>0.41599999999999998</v>
      </c>
      <c r="C4" s="3">
        <v>1.9359999999999999</v>
      </c>
      <c r="D4" s="3">
        <v>5.6280000000000001</v>
      </c>
    </row>
    <row r="5" spans="1:4">
      <c r="A5" t="s">
        <v>26</v>
      </c>
      <c r="B5" s="3">
        <v>0.104</v>
      </c>
      <c r="C5" s="3">
        <v>0.23200000000000001</v>
      </c>
      <c r="D5" s="3">
        <v>0.184</v>
      </c>
    </row>
    <row r="6" spans="1:4">
      <c r="A6" t="s">
        <v>27</v>
      </c>
      <c r="B6" s="3">
        <v>0.112</v>
      </c>
      <c r="C6" s="3">
        <v>0.23200000000000001</v>
      </c>
      <c r="D6" s="3">
        <v>0.184</v>
      </c>
    </row>
    <row r="7" spans="1:4">
      <c r="A7" t="s">
        <v>28</v>
      </c>
      <c r="B7" s="3">
        <v>0.40799999999999997</v>
      </c>
      <c r="C7" s="3">
        <v>1.9119999999999999</v>
      </c>
      <c r="D7" s="3">
        <v>5.62</v>
      </c>
    </row>
    <row r="8" spans="1:4">
      <c r="A8" t="s">
        <v>30</v>
      </c>
      <c r="B8" s="3">
        <v>1.008</v>
      </c>
      <c r="C8" s="3">
        <v>1.4239999999999999</v>
      </c>
      <c r="D8" s="3">
        <v>1.5680000000000001</v>
      </c>
    </row>
    <row r="9" spans="1:4">
      <c r="A9" t="s">
        <v>31</v>
      </c>
      <c r="B9" s="3">
        <v>0.38400000000000001</v>
      </c>
      <c r="C9" s="3">
        <v>0.59199999999999997</v>
      </c>
      <c r="D9" s="3">
        <v>0.752</v>
      </c>
    </row>
    <row r="10" spans="1:4">
      <c r="A10" t="s">
        <v>32</v>
      </c>
      <c r="B10" s="3">
        <v>0.97599999999999998</v>
      </c>
      <c r="C10" s="3">
        <v>1.4079999999999999</v>
      </c>
      <c r="D10" s="3">
        <v>1.5640000000000001</v>
      </c>
    </row>
    <row r="11" spans="1:4">
      <c r="A11" t="s">
        <v>33</v>
      </c>
      <c r="B11" s="3">
        <v>0.32800000000000001</v>
      </c>
      <c r="C11" s="3">
        <v>0.52</v>
      </c>
      <c r="D11" s="3">
        <v>0.67600000000000005</v>
      </c>
    </row>
    <row r="12" spans="1:4">
      <c r="A12" t="s">
        <v>34</v>
      </c>
      <c r="B12" s="3">
        <v>0.4</v>
      </c>
      <c r="C12" s="3">
        <v>0.60799999999999998</v>
      </c>
      <c r="D12" s="3">
        <v>0.76</v>
      </c>
    </row>
    <row r="13" spans="1:4">
      <c r="A13" t="s">
        <v>35</v>
      </c>
      <c r="B13" s="3">
        <v>1.024</v>
      </c>
      <c r="C13" s="3">
        <v>1.4319999999999999</v>
      </c>
      <c r="D13" s="3">
        <v>1.5680000000000001</v>
      </c>
    </row>
    <row r="14" spans="1:4">
      <c r="A14" t="s">
        <v>38</v>
      </c>
      <c r="B14" s="3">
        <f>(B2+B4+B7)/3</f>
        <v>0.41333333333333333</v>
      </c>
      <c r="C14" s="3">
        <f t="shared" ref="C14:D14" si="0">(C2+C4+C7)/3</f>
        <v>1.9226666666666665</v>
      </c>
      <c r="D14" s="3">
        <f t="shared" si="0"/>
        <v>5.6239999999999997</v>
      </c>
    </row>
    <row r="15" spans="1:4">
      <c r="A15" t="s">
        <v>39</v>
      </c>
      <c r="B15" s="3">
        <f>(B3+B5+B6)/3</f>
        <v>0.10933333333333334</v>
      </c>
      <c r="C15" s="3">
        <f t="shared" ref="C15:D15" si="1">(C3+C5+C6)/3</f>
        <v>0.23466666666666666</v>
      </c>
      <c r="D15" s="3">
        <f t="shared" si="1"/>
        <v>0.18533333333333335</v>
      </c>
    </row>
    <row r="16" spans="1:4">
      <c r="A16" t="s">
        <v>36</v>
      </c>
      <c r="B16" s="3">
        <f>(B8+B10+B13)/3</f>
        <v>1.0026666666666666</v>
      </c>
      <c r="C16" s="3">
        <f t="shared" ref="C16:D16" si="2">(C8+C10+C13)/3</f>
        <v>1.4213333333333331</v>
      </c>
      <c r="D16" s="3">
        <f t="shared" si="2"/>
        <v>1.5666666666666667</v>
      </c>
    </row>
    <row r="17" spans="1:4">
      <c r="A17" t="s">
        <v>37</v>
      </c>
      <c r="B17" s="3">
        <f>(B9+B11+B12)/3</f>
        <v>0.3706666666666667</v>
      </c>
      <c r="C17" s="3">
        <f t="shared" ref="C17:D17" si="3">(C9+C11+C12)/3</f>
        <v>0.57333333333333336</v>
      </c>
      <c r="D17" s="3">
        <f t="shared" si="3"/>
        <v>0.72933333333333328</v>
      </c>
    </row>
    <row r="18" spans="1:4">
      <c r="A18" s="1" t="s">
        <v>40</v>
      </c>
      <c r="B18" s="11">
        <f>B14-B15</f>
        <v>0.30399999999999999</v>
      </c>
      <c r="C18" s="11">
        <f t="shared" ref="C18:D18" si="4">C14-C15</f>
        <v>1.6879999999999999</v>
      </c>
      <c r="D18" s="11">
        <f t="shared" si="4"/>
        <v>5.4386666666666663</v>
      </c>
    </row>
    <row r="19" spans="1:4">
      <c r="A19" s="1" t="s">
        <v>41</v>
      </c>
      <c r="B19" s="11">
        <f>B16-B17</f>
        <v>0.6319999999999999</v>
      </c>
      <c r="C19" s="11">
        <f t="shared" ref="C19:D19" si="5">C16-C17</f>
        <v>0.84799999999999975</v>
      </c>
      <c r="D19" s="11">
        <f t="shared" si="5"/>
        <v>0.83733333333333337</v>
      </c>
    </row>
    <row r="20" spans="1:4">
      <c r="A20" s="1" t="s">
        <v>42</v>
      </c>
      <c r="B20" s="11">
        <f>B14+2*B15</f>
        <v>0.63200000000000001</v>
      </c>
      <c r="C20" s="11">
        <f t="shared" ref="C20:D20" si="6">C14+2*C15</f>
        <v>2.3919999999999999</v>
      </c>
      <c r="D20" s="11">
        <f t="shared" si="6"/>
        <v>5.9946666666666664</v>
      </c>
    </row>
    <row r="21" spans="1:4">
      <c r="A21" s="1" t="s">
        <v>43</v>
      </c>
      <c r="B21" s="11">
        <f>B16+2*B17</f>
        <v>1.744</v>
      </c>
      <c r="C21" s="11">
        <f t="shared" ref="C21:D21" si="7">C16+2*C17</f>
        <v>2.5679999999999996</v>
      </c>
      <c r="D21" s="11">
        <f t="shared" si="7"/>
        <v>3.0253333333333332</v>
      </c>
    </row>
    <row r="23" spans="1:4">
      <c r="A23" s="1" t="s">
        <v>64</v>
      </c>
      <c r="B23" s="18">
        <f>(2*B18+B20)/3</f>
        <v>0.41333333333333333</v>
      </c>
      <c r="C23" s="18">
        <f t="shared" ref="C23:D23" si="8">(2*C18+C20)/3</f>
        <v>1.9226666666666665</v>
      </c>
      <c r="D23" s="18">
        <f t="shared" si="8"/>
        <v>5.6239999999999997</v>
      </c>
    </row>
    <row r="24" spans="1:4">
      <c r="A24" s="1" t="s">
        <v>65</v>
      </c>
      <c r="B24" s="18">
        <f>(2*B19+B21)/3</f>
        <v>1.0026666666666666</v>
      </c>
      <c r="C24" s="18">
        <f t="shared" ref="C24:D24" si="9">(2*C19+C21)/3</f>
        <v>1.4213333333333331</v>
      </c>
      <c r="D24" s="18">
        <f t="shared" si="9"/>
        <v>1.5666666666666667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RVC</vt:lpstr>
      <vt:lpstr>FaultsPOC</vt:lpstr>
      <vt:lpstr>LineCodes</vt:lpstr>
      <vt:lpstr>DP</vt:lpstr>
      <vt:lpstr>DQ</vt:lpstr>
      <vt:lpstr>IbaseDER</vt:lpstr>
      <vt:lpstr>IBRAng</vt:lpstr>
      <vt:lpstr>IscIBR</vt:lpstr>
      <vt:lpstr>IscMach</vt:lpstr>
      <vt:lpstr>MachAng</vt:lpstr>
      <vt:lpstr>RG</vt:lpstr>
      <vt:lpstr>Sder</vt:lpstr>
      <vt:lpstr>Term1</vt:lpstr>
      <vt:lpstr>Term2</vt:lpstr>
      <vt:lpstr>VT</vt:lpstr>
      <vt:lpstr>VTf</vt:lpstr>
      <vt:lpstr>X</vt:lpstr>
      <vt:lpstr>XG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McDermott, Thomas E</dc:creator>
  <cp:lastModifiedBy>Tom McDermott</cp:lastModifiedBy>
  <dcterms:created xsi:type="dcterms:W3CDTF">2023-06-06T21:29:04Z</dcterms:created>
  <dcterms:modified xsi:type="dcterms:W3CDTF">2024-07-17T19:00:36Z</dcterms:modified>
</cp:coreProperties>
</file>