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ferguson/Desktop/repos/portfolio/static/resources/"/>
    </mc:Choice>
  </mc:AlternateContent>
  <xr:revisionPtr revIDLastSave="0" documentId="8_{7860CF35-8CC7-5A43-83BE-8ACE55DDA2E6}" xr6:coauthVersionLast="45" xr6:coauthVersionMax="45" xr10:uidLastSave="{00000000-0000-0000-0000-000000000000}"/>
  <bookViews>
    <workbookView xWindow="1080" yWindow="460" windowWidth="25100" windowHeight="20540" activeTab="3" xr2:uid="{27F796D1-9062-614C-8E17-42B62BDD3D4E}"/>
  </bookViews>
  <sheets>
    <sheet name="bandera" sheetId="2" r:id="rId1"/>
    <sheet name="resource" sheetId="7" r:id="rId2"/>
    <sheet name="Sheet2" sheetId="6" r:id="rId3"/>
    <sheet name="stats" sheetId="5" r:id="rId4"/>
    <sheet name="rosas" sheetId="1" state="hidden" r:id="rId5"/>
    <sheet name="total" sheetId="4" state="hidden" r:id="rId6"/>
    <sheet name="Sheet3" sheetId="3" state="hidden" r:id="rId7"/>
  </sheets>
  <definedNames>
    <definedName name="_xlnm._FilterDatabase" localSheetId="0" hidden="1">bandera!$A$1:$H$48</definedName>
  </definedNames>
  <calcPr calcId="191029"/>
  <pivotCaches>
    <pivotCache cacheId="2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2" l="1"/>
  <c r="A42" i="2"/>
  <c r="E2" i="2"/>
  <c r="E3" i="2"/>
  <c r="E4" i="2"/>
  <c r="E5" i="2"/>
  <c r="E6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3" i="2"/>
  <c r="E44" i="2"/>
  <c r="E45" i="2"/>
  <c r="E46" i="2"/>
  <c r="E47" i="2"/>
  <c r="E48" i="2"/>
  <c r="G48" i="2"/>
  <c r="H48" i="2" s="1"/>
  <c r="F45" i="2"/>
  <c r="F47" i="2"/>
  <c r="F44" i="2"/>
  <c r="F43" i="2"/>
  <c r="F46" i="2"/>
  <c r="G46" i="2" s="1"/>
  <c r="H46" i="2" s="1"/>
  <c r="A48" i="2"/>
  <c r="A43" i="2"/>
  <c r="A44" i="2"/>
  <c r="A45" i="2"/>
  <c r="A46" i="2"/>
  <c r="A47" i="2"/>
  <c r="G44" i="2" l="1"/>
  <c r="H44" i="2" s="1"/>
  <c r="G43" i="2"/>
  <c r="H43" i="2" s="1"/>
  <c r="G47" i="2"/>
  <c r="H47" i="2" s="1"/>
  <c r="G45" i="2"/>
  <c r="H45" i="2" s="1"/>
  <c r="F40" i="2"/>
  <c r="G40" i="2" s="1"/>
  <c r="H40" i="2" s="1"/>
  <c r="F39" i="2"/>
  <c r="G39" i="2" s="1"/>
  <c r="H39" i="2" s="1"/>
  <c r="F33" i="2"/>
  <c r="F36" i="2"/>
  <c r="G36" i="2" s="1"/>
  <c r="H36" i="2" s="1"/>
  <c r="F37" i="2"/>
  <c r="G37" i="2" s="1"/>
  <c r="H37" i="2" s="1"/>
  <c r="F41" i="2"/>
  <c r="G41" i="2" s="1"/>
  <c r="H41" i="2" s="1"/>
  <c r="F34" i="2"/>
  <c r="G34" i="2" s="1"/>
  <c r="H34" i="2" s="1"/>
  <c r="F38" i="2"/>
  <c r="G38" i="2" s="1"/>
  <c r="H38" i="2" s="1"/>
  <c r="L35" i="2"/>
  <c r="A33" i="2"/>
  <c r="G33" i="2"/>
  <c r="H33" i="2" s="1"/>
  <c r="A34" i="2"/>
  <c r="A35" i="2"/>
  <c r="G35" i="2"/>
  <c r="H35" i="2" s="1"/>
  <c r="A36" i="2"/>
  <c r="A37" i="2"/>
  <c r="A38" i="2"/>
  <c r="A39" i="2"/>
  <c r="A40" i="2"/>
  <c r="A41" i="2"/>
  <c r="F32" i="2"/>
  <c r="G32" i="2" s="1"/>
  <c r="H32" i="2" s="1"/>
  <c r="F31" i="2"/>
  <c r="G31" i="2" s="1"/>
  <c r="H31" i="2" s="1"/>
  <c r="A31" i="2"/>
  <c r="A32" i="2"/>
  <c r="F8" i="2"/>
  <c r="F30" i="2"/>
  <c r="G30" i="2" s="1"/>
  <c r="H30" i="2" s="1"/>
  <c r="A30" i="2"/>
  <c r="F28" i="2"/>
  <c r="G28" i="2" s="1"/>
  <c r="H28" i="2" s="1"/>
  <c r="A28" i="2"/>
  <c r="A29" i="2"/>
  <c r="G29" i="2"/>
  <c r="H29" i="2" s="1"/>
  <c r="F27" i="2"/>
  <c r="G27" i="2" s="1"/>
  <c r="H27" i="2" s="1"/>
  <c r="A27" i="2"/>
  <c r="F26" i="2"/>
  <c r="G26" i="2" s="1"/>
  <c r="H26" i="2" s="1"/>
  <c r="A26" i="2"/>
  <c r="J2" i="2"/>
  <c r="F22" i="2"/>
  <c r="G22" i="2" s="1"/>
  <c r="H22" i="2" s="1"/>
  <c r="F24" i="2"/>
  <c r="G24" i="2" s="1"/>
  <c r="H24" i="2" s="1"/>
  <c r="F25" i="2"/>
  <c r="G25" i="2" s="1"/>
  <c r="H25" i="2" s="1"/>
  <c r="A25" i="2"/>
  <c r="F23" i="2"/>
  <c r="G23" i="2" s="1"/>
  <c r="H23" i="2" s="1"/>
  <c r="A23" i="2"/>
  <c r="A24" i="2"/>
  <c r="A22" i="2"/>
  <c r="F21" i="2"/>
  <c r="G21" i="2" s="1"/>
  <c r="H21" i="2" s="1"/>
  <c r="A21" i="2"/>
  <c r="F20" i="2"/>
  <c r="G20" i="2" s="1"/>
  <c r="H20" i="2" s="1"/>
  <c r="A20" i="2"/>
  <c r="F19" i="2"/>
  <c r="G19" i="2" s="1"/>
  <c r="H19" i="2" s="1"/>
  <c r="A19" i="2"/>
  <c r="F18" i="2"/>
  <c r="G18" i="2" s="1"/>
  <c r="H18" i="2" s="1"/>
  <c r="A18" i="2"/>
  <c r="F17" i="2" l="1"/>
  <c r="G17" i="2" s="1"/>
  <c r="H17" i="2" s="1"/>
  <c r="A17" i="2"/>
  <c r="F16" i="2"/>
  <c r="G16" i="2" s="1"/>
  <c r="H16" i="2" s="1"/>
  <c r="A16" i="2"/>
  <c r="F15" i="2"/>
  <c r="G15" i="2" s="1"/>
  <c r="H15" i="2" s="1"/>
  <c r="A15" i="2"/>
  <c r="F14" i="2"/>
  <c r="G14" i="2" s="1"/>
  <c r="H14" i="2" s="1"/>
  <c r="A14" i="2"/>
  <c r="F13" i="2"/>
  <c r="G13" i="2" s="1"/>
  <c r="H13" i="2" s="1"/>
  <c r="A13" i="2"/>
  <c r="F12" i="2"/>
  <c r="G12" i="2"/>
  <c r="H12" i="2" s="1"/>
  <c r="A12" i="2"/>
  <c r="A11" i="2" l="1"/>
  <c r="G11" i="2"/>
  <c r="A3" i="2"/>
  <c r="A4" i="2"/>
  <c r="A5" i="2"/>
  <c r="A6" i="2"/>
  <c r="A7" i="2"/>
  <c r="A8" i="2"/>
  <c r="A9" i="2"/>
  <c r="A10" i="2"/>
  <c r="A2" i="2"/>
  <c r="F10" i="2"/>
  <c r="G10" i="2" s="1"/>
  <c r="K8" i="2"/>
  <c r="L8" i="2" s="1"/>
  <c r="L9" i="2" s="1"/>
  <c r="F9" i="2"/>
  <c r="G9" i="2" s="1"/>
  <c r="E8" i="1"/>
  <c r="F8" i="1"/>
  <c r="G8" i="2"/>
  <c r="G7" i="2"/>
  <c r="G6" i="2"/>
  <c r="H6" i="2" s="1"/>
  <c r="F11" i="4"/>
  <c r="F12" i="4"/>
  <c r="F13" i="4"/>
  <c r="F14" i="4"/>
  <c r="F15" i="4"/>
  <c r="F16" i="4"/>
  <c r="G16" i="4"/>
  <c r="F17" i="4"/>
  <c r="G17" i="4"/>
  <c r="D11" i="4"/>
  <c r="D12" i="4"/>
  <c r="D13" i="4"/>
  <c r="D14" i="4"/>
  <c r="D15" i="4"/>
  <c r="E15" i="4" s="1"/>
  <c r="D16" i="4"/>
  <c r="D17" i="4"/>
  <c r="E17" i="4" s="1"/>
  <c r="C11" i="4"/>
  <c r="C12" i="4"/>
  <c r="C13" i="4"/>
  <c r="C14" i="4"/>
  <c r="C15" i="4"/>
  <c r="C16" i="4"/>
  <c r="C17" i="4"/>
  <c r="A11" i="4"/>
  <c r="A12" i="4"/>
  <c r="A13" i="4"/>
  <c r="A14" i="4"/>
  <c r="A15" i="4"/>
  <c r="A16" i="4"/>
  <c r="A17" i="4"/>
  <c r="F7" i="1"/>
  <c r="E7" i="1"/>
  <c r="F10" i="4" s="1"/>
  <c r="G5" i="2"/>
  <c r="H5" i="2" s="1"/>
  <c r="C8" i="4"/>
  <c r="D8" i="4"/>
  <c r="F8" i="4"/>
  <c r="C9" i="4"/>
  <c r="D9" i="4"/>
  <c r="F9" i="4"/>
  <c r="G9" i="4"/>
  <c r="C10" i="4"/>
  <c r="D10" i="4"/>
  <c r="A8" i="4"/>
  <c r="A9" i="4"/>
  <c r="A10" i="4"/>
  <c r="A3" i="4"/>
  <c r="A4" i="4"/>
  <c r="A5" i="4"/>
  <c r="A6" i="4"/>
  <c r="A7" i="4"/>
  <c r="A2" i="4"/>
  <c r="G5" i="4"/>
  <c r="G7" i="4"/>
  <c r="G2" i="4"/>
  <c r="D2" i="4"/>
  <c r="F4" i="4"/>
  <c r="F7" i="4"/>
  <c r="D3" i="4"/>
  <c r="D4" i="4"/>
  <c r="D5" i="4"/>
  <c r="D6" i="4"/>
  <c r="D7" i="4"/>
  <c r="C2" i="4"/>
  <c r="C3" i="4"/>
  <c r="C5" i="4"/>
  <c r="C6" i="4"/>
  <c r="C7" i="4"/>
  <c r="C4" i="4"/>
  <c r="E6" i="1"/>
  <c r="F6" i="1" s="1"/>
  <c r="E4" i="3"/>
  <c r="C2" i="3"/>
  <c r="C3" i="3"/>
  <c r="E1" i="3" s="1"/>
  <c r="C4" i="3"/>
  <c r="C5" i="3"/>
  <c r="C6" i="3"/>
  <c r="C7" i="3"/>
  <c r="C8" i="3"/>
  <c r="C9" i="3"/>
  <c r="C1" i="3"/>
  <c r="G3" i="2"/>
  <c r="H3" i="2" s="1"/>
  <c r="G4" i="2"/>
  <c r="H4" i="2" s="1"/>
  <c r="G2" i="2"/>
  <c r="H2" i="2" s="1"/>
  <c r="I5" i="1"/>
  <c r="I4" i="1"/>
  <c r="H7" i="1"/>
  <c r="I7" i="1" s="1"/>
  <c r="E3" i="1"/>
  <c r="F3" i="4" s="1"/>
  <c r="E4" i="1"/>
  <c r="F4" i="1" s="1"/>
  <c r="E5" i="1"/>
  <c r="F5" i="1" s="1"/>
  <c r="E2" i="1"/>
  <c r="F2" i="1" s="1"/>
  <c r="G10" i="4" l="1"/>
  <c r="H10" i="4" s="1"/>
  <c r="K2" i="2"/>
  <c r="K4" i="2" s="1"/>
  <c r="F5" i="4"/>
  <c r="F3" i="1"/>
  <c r="F6" i="4"/>
  <c r="F2" i="4"/>
  <c r="H2" i="4" s="1"/>
  <c r="E16" i="4"/>
  <c r="H10" i="2"/>
  <c r="G13" i="4"/>
  <c r="H13" i="4" s="1"/>
  <c r="H8" i="2"/>
  <c r="G11" i="4"/>
  <c r="H11" i="4" s="1"/>
  <c r="H7" i="2"/>
  <c r="G3" i="4"/>
  <c r="H3" i="4" s="1"/>
  <c r="G8" i="4"/>
  <c r="H8" i="4" s="1"/>
  <c r="H11" i="2"/>
  <c r="G15" i="4"/>
  <c r="H15" i="4" s="1"/>
  <c r="G14" i="4"/>
  <c r="H14" i="4" s="1"/>
  <c r="H9" i="2"/>
  <c r="G12" i="4"/>
  <c r="H12" i="4" s="1"/>
  <c r="E12" i="4"/>
  <c r="E11" i="4"/>
  <c r="E14" i="4"/>
  <c r="E13" i="4"/>
  <c r="H16" i="4"/>
  <c r="G6" i="4"/>
  <c r="G4" i="4"/>
  <c r="H4" i="4" s="1"/>
  <c r="H17" i="4"/>
  <c r="I17" i="4" s="1"/>
  <c r="E10" i="4"/>
  <c r="E8" i="4"/>
  <c r="E9" i="4"/>
  <c r="H9" i="4"/>
  <c r="H5" i="4"/>
  <c r="E4" i="4"/>
  <c r="H7" i="4"/>
  <c r="E7" i="4"/>
  <c r="E6" i="4"/>
  <c r="E3" i="4"/>
  <c r="E5" i="4"/>
  <c r="E2" i="4"/>
  <c r="K3" i="2" l="1"/>
  <c r="H6" i="4"/>
  <c r="I6" i="4" s="1"/>
  <c r="I16" i="4"/>
  <c r="I12" i="4"/>
  <c r="I9" i="4"/>
  <c r="I13" i="4"/>
  <c r="J16" i="4"/>
  <c r="I14" i="4"/>
  <c r="I11" i="4"/>
  <c r="I8" i="4"/>
  <c r="K16" i="4"/>
  <c r="I15" i="4"/>
  <c r="I10" i="4"/>
  <c r="I3" i="4"/>
  <c r="J9" i="4"/>
  <c r="I5" i="4"/>
  <c r="I2" i="4"/>
  <c r="I7" i="4"/>
  <c r="I4" i="4"/>
  <c r="K9" i="4" l="1"/>
  <c r="L9" i="4" s="1"/>
  <c r="L16" i="4"/>
</calcChain>
</file>

<file path=xl/sharedStrings.xml><?xml version="1.0" encoding="utf-8"?>
<sst xmlns="http://schemas.openxmlformats.org/spreadsheetml/2006/main" count="107" uniqueCount="34">
  <si>
    <t xml:space="preserve">Tip </t>
  </si>
  <si>
    <t>Date</t>
  </si>
  <si>
    <t>Hours</t>
  </si>
  <si>
    <t>Silver</t>
  </si>
  <si>
    <t>Total</t>
  </si>
  <si>
    <t>Per Hour</t>
  </si>
  <si>
    <t>Rate</t>
  </si>
  <si>
    <t>Rosas</t>
  </si>
  <si>
    <t>Bandera</t>
  </si>
  <si>
    <t>W</t>
  </si>
  <si>
    <t xml:space="preserve">  </t>
  </si>
  <si>
    <t>Day</t>
  </si>
  <si>
    <t>Mon</t>
  </si>
  <si>
    <t>Tue</t>
  </si>
  <si>
    <t>Wed</t>
  </si>
  <si>
    <t>Thu</t>
  </si>
  <si>
    <t>Fri</t>
  </si>
  <si>
    <t>Sat</t>
  </si>
  <si>
    <t>Sun</t>
  </si>
  <si>
    <t>Count of Day</t>
  </si>
  <si>
    <t>Row Labels</t>
  </si>
  <si>
    <t>Grand Total</t>
  </si>
  <si>
    <t xml:space="preserve">Average of Tip </t>
  </si>
  <si>
    <t>Average of Hours</t>
  </si>
  <si>
    <t>Average of Per Hour</t>
  </si>
  <si>
    <t>Position</t>
  </si>
  <si>
    <t>Hourly</t>
  </si>
  <si>
    <t>Tipped?</t>
  </si>
  <si>
    <t>RBR</t>
  </si>
  <si>
    <t>Server Train</t>
  </si>
  <si>
    <t>Server</t>
  </si>
  <si>
    <t>Meeting</t>
  </si>
  <si>
    <t>Type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</si>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</sst>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2" fillId="0" borderId="0" xfId="1" applyFont="1" applyAlignment="1">
      <alignment horizontal="center" vertical="center"/>
    </xf>
    <xf numFmtId="44" fontId="0" fillId="0" borderId="0" xfId="1" applyFont="1"/>
    <xf numFmtId="44" fontId="0" fillId="0" borderId="0" xfId="0" applyNumberFormat="1"/>
    <xf numFmtId="9" fontId="0" fillId="0" borderId="0" xfId="2" applyFont="1"/>
    <xf numFmtId="9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44" fontId="0" fillId="0" borderId="0" xfId="0" applyNumberForma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11"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alignment horizontal="left"/>
    </dxf>
    <dxf>
      <alignment horizontal="left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e Ferguson (Student)" refreshedDate="44242.1073869213" createdVersion="6" refreshedVersion="6" minRefreshableVersion="3" recordCount="56" xr:uid="{51152029-DB74-2445-BE34-95759DD58A9B}">
  <cacheSource type="worksheet">
    <worksheetSource ref="A1:H1048576" sheet="bandera"/>
  </cacheSource>
  <cacheFields count="10">
    <cacheField name="Day" numFmtId="0">
      <sharedItems containsBlank="1" count="8">
        <s v="Mon"/>
        <s v="Tue"/>
        <s v="Thu"/>
        <s v="Sat"/>
        <s v="Sun"/>
        <s v="Wed"/>
        <s v="Fri"/>
        <m/>
      </sharedItems>
    </cacheField>
    <cacheField name="Date" numFmtId="0">
      <sharedItems containsNonDate="0" containsDate="1" containsString="0" containsBlank="1" minDate="2020-12-14T00:00:00" maxDate="2021-02-15T00:00:00" count="47">
        <d v="2020-12-14T00:00:00"/>
        <d v="2020-12-15T00:00:00"/>
        <d v="2020-12-17T00:00:00"/>
        <d v="2020-12-19T00:00:00"/>
        <d v="2020-12-20T00:00:00"/>
        <d v="2020-12-21T00:00:00"/>
        <d v="2020-12-22T00:00:00"/>
        <d v="2020-12-23T00:00:00"/>
        <d v="2020-12-24T00:00:00"/>
        <d v="2020-12-26T00:00:00"/>
        <d v="2020-12-27T00:00:00"/>
        <d v="2020-12-28T00:00:00"/>
        <d v="2020-12-30T00:00:00"/>
        <d v="2020-12-31T00:00:00"/>
        <d v="2021-01-01T00:00:00"/>
        <d v="2021-01-02T00:00:00"/>
        <d v="2021-01-03T00:00:00"/>
        <d v="2021-01-04T00:00:00"/>
        <d v="2021-01-06T00:00:00"/>
        <d v="2021-01-07T00:00:00"/>
        <d v="2021-01-08T00:00:00"/>
        <d v="2021-01-09T00:00:00"/>
        <d v="2021-01-10T00:00:00"/>
        <d v="2021-01-11T00:00:00"/>
        <d v="2021-01-13T00:00:00"/>
        <d v="2021-01-14T00:00:00"/>
        <d v="2021-01-15T00:00:00"/>
        <d v="2021-01-16T00:00:00"/>
        <d v="2021-01-17T00:00:00"/>
        <d v="2021-01-18T00:00:00"/>
        <d v="2021-01-21T00:00:00"/>
        <d v="2021-01-22T00:00:00"/>
        <d v="2021-01-23T00:00:00"/>
        <d v="2021-01-24T00:00:00"/>
        <d v="2021-01-25T00:00:00"/>
        <d v="2021-01-27T00:00:00"/>
        <d v="2021-01-29T00:00:00"/>
        <d v="2021-01-30T00:00:00"/>
        <d v="2021-01-31T00:00:00"/>
        <d v="2021-02-01T00:00:00"/>
        <d v="2021-02-06T00:00:00"/>
        <d v="2021-02-07T00:00:00"/>
        <d v="2021-02-10T00:00:00"/>
        <d v="2021-02-12T00:00:00"/>
        <d v="2021-02-13T00:00:00"/>
        <d v="2021-02-14T00:00:00"/>
        <m/>
      </sharedItems>
      <fieldGroup par="9" base="1">
        <rangePr groupBy="months" startDate="2020-12-14T00:00:00" endDate="2021-02-15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5/21"/>
        </groupItems>
      </fieldGroup>
    </cacheField>
    <cacheField name="Type" numFmtId="0">
      <sharedItems containsBlank="1" count="6">
        <s v="Server Train"/>
        <s v="Server"/>
        <s v="Meeting"/>
        <s v="Missing"/>
        <s v="RBR"/>
        <m/>
      </sharedItems>
    </cacheField>
    <cacheField name="Hours" numFmtId="0">
      <sharedItems containsString="0" containsBlank="1" containsNumber="1" minValue="1.25" maxValue="7.9"/>
    </cacheField>
    <cacheField name="Rate" numFmtId="44">
      <sharedItems containsString="0" containsBlank="1" containsNumber="1" minValue="9" maxValue="15"/>
    </cacheField>
    <cacheField name="Tip " numFmtId="44">
      <sharedItems containsString="0" containsBlank="1" containsNumber="1" minValue="0" maxValue="246.84999999999997"/>
    </cacheField>
    <cacheField name="Total" numFmtId="44">
      <sharedItems containsString="0" containsBlank="1" containsNumber="1" minValue="15.1875" maxValue="312.54699999999997"/>
    </cacheField>
    <cacheField name="Per Hour" numFmtId="44">
      <sharedItems containsString="0" containsBlank="1" containsNumber="1" minValue="12" maxValue="53.214141414141416"/>
    </cacheField>
    <cacheField name="Quarters" numFmtId="0" databaseField="0">
      <fieldGroup base="1">
        <rangePr groupBy="quarters" startDate="2020-12-14T00:00:00" endDate="2021-02-15T00:00:00"/>
        <groupItems count="6">
          <s v="&lt;12/14/20"/>
          <s v="Qtr1"/>
          <s v="Qtr2"/>
          <s v="Qtr3"/>
          <s v="Qtr4"/>
          <s v="&gt;2/15/21"/>
        </groupItems>
      </fieldGroup>
    </cacheField>
    <cacheField name="Years" numFmtId="0" databaseField="0">
      <fieldGroup base="1">
        <rangePr groupBy="years" startDate="2020-12-14T00:00:00" endDate="2021-02-15T00:00:00"/>
        <groupItems count="4">
          <s v="&lt;12/14/20"/>
          <s v="2020"/>
          <s v="2021"/>
          <s v="&gt;2/15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n v="6.55"/>
    <n v="12"/>
    <n v="0"/>
    <n v="78.599999999999994"/>
    <n v="12"/>
  </r>
  <r>
    <x v="1"/>
    <x v="1"/>
    <x v="0"/>
    <n v="6.53"/>
    <n v="12"/>
    <n v="0"/>
    <n v="78.36"/>
    <n v="12"/>
  </r>
  <r>
    <x v="2"/>
    <x v="2"/>
    <x v="0"/>
    <n v="6.2"/>
    <n v="12"/>
    <n v="0"/>
    <n v="74.400000000000006"/>
    <n v="12"/>
  </r>
  <r>
    <x v="3"/>
    <x v="3"/>
    <x v="0"/>
    <n v="7.02"/>
    <n v="12"/>
    <n v="0"/>
    <n v="84.24"/>
    <n v="12"/>
  </r>
  <r>
    <x v="4"/>
    <x v="4"/>
    <x v="0"/>
    <n v="6.75"/>
    <n v="12"/>
    <n v="0"/>
    <n v="81"/>
    <n v="12"/>
  </r>
  <r>
    <x v="0"/>
    <x v="5"/>
    <x v="1"/>
    <n v="4.88"/>
    <n v="9"/>
    <n v="103.99"/>
    <n v="147.91"/>
    <n v="30.309426229508198"/>
  </r>
  <r>
    <x v="1"/>
    <x v="6"/>
    <x v="1"/>
    <n v="4.7"/>
    <n v="9"/>
    <n v="100.22"/>
    <n v="142.52000000000001"/>
    <n v="30.323404255319151"/>
  </r>
  <r>
    <x v="5"/>
    <x v="7"/>
    <x v="1"/>
    <n v="4.95"/>
    <n v="9"/>
    <n v="218.86"/>
    <n v="263.41000000000003"/>
    <n v="53.214141414141416"/>
  </r>
  <r>
    <x v="2"/>
    <x v="8"/>
    <x v="1"/>
    <n v="6.58"/>
    <n v="9"/>
    <n v="153"/>
    <n v="212.22"/>
    <n v="32.252279635258361"/>
  </r>
  <r>
    <x v="3"/>
    <x v="9"/>
    <x v="1"/>
    <n v="6.65"/>
    <n v="9"/>
    <n v="139.57"/>
    <n v="199.42"/>
    <n v="29.987969924812028"/>
  </r>
  <r>
    <x v="4"/>
    <x v="10"/>
    <x v="1"/>
    <n v="5.96"/>
    <n v="9"/>
    <n v="153.94"/>
    <n v="207.57999999999998"/>
    <n v="34.828859060402685"/>
  </r>
  <r>
    <x v="0"/>
    <x v="11"/>
    <x v="1"/>
    <n v="6.22"/>
    <n v="9"/>
    <n v="174.8"/>
    <n v="230.78"/>
    <n v="37.10289389067524"/>
  </r>
  <r>
    <x v="5"/>
    <x v="12"/>
    <x v="1"/>
    <n v="5.28"/>
    <n v="9"/>
    <n v="167.06"/>
    <n v="214.58"/>
    <n v="40.640151515151516"/>
  </r>
  <r>
    <x v="2"/>
    <x v="13"/>
    <x v="1"/>
    <n v="7.9"/>
    <n v="9"/>
    <n v="232.07999999999998"/>
    <n v="303.18"/>
    <n v="38.377215189873418"/>
  </r>
  <r>
    <x v="6"/>
    <x v="14"/>
    <x v="1"/>
    <n v="6.83"/>
    <n v="9.15"/>
    <n v="162.11000000000001"/>
    <n v="224.60450000000003"/>
    <n v="32.88499267935579"/>
  </r>
  <r>
    <x v="3"/>
    <x v="15"/>
    <x v="1"/>
    <n v="6.56"/>
    <n v="9.15"/>
    <n v="188.42"/>
    <n v="248.44399999999999"/>
    <n v="37.872560975609758"/>
  </r>
  <r>
    <x v="4"/>
    <x v="16"/>
    <x v="1"/>
    <n v="6.55"/>
    <n v="9.15"/>
    <n v="96.350000000000009"/>
    <n v="156.2825"/>
    <n v="23.859923664122139"/>
  </r>
  <r>
    <x v="0"/>
    <x v="17"/>
    <x v="1"/>
    <n v="5.18"/>
    <n v="9.15"/>
    <n v="153.14000000000001"/>
    <n v="200.53700000000001"/>
    <n v="38.713706563706566"/>
  </r>
  <r>
    <x v="5"/>
    <x v="18"/>
    <x v="1"/>
    <n v="4.13"/>
    <n v="9.15"/>
    <n v="107.7"/>
    <n v="145.48950000000002"/>
    <n v="35.227481840193711"/>
  </r>
  <r>
    <x v="2"/>
    <x v="19"/>
    <x v="1"/>
    <n v="4.9000000000000004"/>
    <n v="9.15"/>
    <n v="144.41999999999999"/>
    <n v="189.255"/>
    <n v="38.623469387755101"/>
  </r>
  <r>
    <x v="6"/>
    <x v="20"/>
    <x v="1"/>
    <n v="6.95"/>
    <n v="9.15"/>
    <n v="112.73"/>
    <n v="176.32249999999999"/>
    <n v="25.370143884892084"/>
  </r>
  <r>
    <x v="3"/>
    <x v="21"/>
    <x v="1"/>
    <n v="6.88"/>
    <n v="9.15"/>
    <n v="231.3"/>
    <n v="294.25200000000001"/>
    <n v="42.769186046511628"/>
  </r>
  <r>
    <x v="4"/>
    <x v="22"/>
    <x v="1"/>
    <n v="5.4"/>
    <n v="9.15"/>
    <n v="77.990000000000009"/>
    <n v="127.4"/>
    <n v="23.592592592592592"/>
  </r>
  <r>
    <x v="0"/>
    <x v="23"/>
    <x v="1"/>
    <n v="4.8499999999999996"/>
    <n v="9.15"/>
    <n v="85.82"/>
    <n v="130.19749999999999"/>
    <n v="26.844845360824742"/>
  </r>
  <r>
    <x v="5"/>
    <x v="24"/>
    <x v="1"/>
    <n v="4.43"/>
    <n v="9.15"/>
    <n v="122.1"/>
    <n v="162.6345"/>
    <n v="36.712076749435667"/>
  </r>
  <r>
    <x v="2"/>
    <x v="25"/>
    <x v="1"/>
    <n v="5.46"/>
    <n v="9.15"/>
    <n v="140.62"/>
    <n v="190.57900000000001"/>
    <n v="34.904578754578758"/>
  </r>
  <r>
    <x v="6"/>
    <x v="26"/>
    <x v="1"/>
    <n v="6.9"/>
    <n v="9.15"/>
    <n v="145.13999999999999"/>
    <n v="208.27499999999998"/>
    <n v="30.184782608695649"/>
  </r>
  <r>
    <x v="3"/>
    <x v="27"/>
    <x v="2"/>
    <n v="1.25"/>
    <n v="12.15"/>
    <n v="0"/>
    <n v="15.1875"/>
    <n v="12.15"/>
  </r>
  <r>
    <x v="3"/>
    <x v="27"/>
    <x v="1"/>
    <n v="6.83"/>
    <n v="9.15"/>
    <n v="210.14"/>
    <n v="272.6345"/>
    <n v="39.917203513909222"/>
  </r>
  <r>
    <x v="4"/>
    <x v="28"/>
    <x v="1"/>
    <n v="6.23"/>
    <n v="9.15"/>
    <n v="74.460000000000008"/>
    <n v="131.46450000000002"/>
    <n v="21.101845906902089"/>
  </r>
  <r>
    <x v="0"/>
    <x v="29"/>
    <x v="1"/>
    <n v="5.9"/>
    <n v="9.15"/>
    <n v="163.21"/>
    <n v="217.19500000000002"/>
    <n v="36.812711864406779"/>
  </r>
  <r>
    <x v="2"/>
    <x v="30"/>
    <x v="1"/>
    <n v="4.92"/>
    <n v="9.15"/>
    <n v="65.139999999999986"/>
    <n v="110.15799999999999"/>
    <n v="22.389837398373981"/>
  </r>
  <r>
    <x v="6"/>
    <x v="31"/>
    <x v="1"/>
    <n v="6.7"/>
    <n v="9.15"/>
    <n v="170.05"/>
    <n v="231.35500000000002"/>
    <n v="34.530597014925377"/>
  </r>
  <r>
    <x v="3"/>
    <x v="32"/>
    <x v="1"/>
    <n v="6.88"/>
    <n v="9.15"/>
    <n v="167.16000000000003"/>
    <n v="230.11200000000002"/>
    <n v="33.446511627906979"/>
  </r>
  <r>
    <x v="4"/>
    <x v="33"/>
    <x v="1"/>
    <n v="5.68"/>
    <n v="9.15"/>
    <n v="159.5"/>
    <n v="211.47200000000001"/>
    <n v="37.230985915492958"/>
  </r>
  <r>
    <x v="0"/>
    <x v="34"/>
    <x v="1"/>
    <n v="4.4800000000000004"/>
    <n v="9.15"/>
    <n v="90.84"/>
    <n v="131.83199999999999"/>
    <n v="29.42678571428571"/>
  </r>
  <r>
    <x v="5"/>
    <x v="35"/>
    <x v="1"/>
    <n v="5.27"/>
    <n v="9.15"/>
    <n v="86.93"/>
    <n v="135.15050000000002"/>
    <n v="25.645256166982929"/>
  </r>
  <r>
    <x v="6"/>
    <x v="36"/>
    <x v="1"/>
    <n v="6.77"/>
    <n v="9.15"/>
    <n v="200.12"/>
    <n v="262.06549999999999"/>
    <n v="38.709822747415068"/>
  </r>
  <r>
    <x v="3"/>
    <x v="37"/>
    <x v="1"/>
    <n v="7.18"/>
    <n v="9.15"/>
    <n v="246.84999999999997"/>
    <n v="312.54699999999997"/>
    <n v="43.530222841225623"/>
  </r>
  <r>
    <x v="4"/>
    <x v="38"/>
    <x v="1"/>
    <n v="5.83"/>
    <n v="9.15"/>
    <n v="101.38"/>
    <n v="154.72450000000001"/>
    <n v="26.539365351629502"/>
  </r>
  <r>
    <x v="0"/>
    <x v="39"/>
    <x v="3"/>
    <m/>
    <m/>
    <m/>
    <m/>
    <m/>
  </r>
  <r>
    <x v="3"/>
    <x v="40"/>
    <x v="1"/>
    <n v="7.5"/>
    <n v="9.15"/>
    <n v="175.32999999999998"/>
    <n v="243.95499999999998"/>
    <n v="32.527333333333331"/>
  </r>
  <r>
    <x v="4"/>
    <x v="41"/>
    <x v="1"/>
    <n v="5.23"/>
    <n v="9.15"/>
    <n v="62.379999999999995"/>
    <n v="110.2345"/>
    <n v="21.077342256214148"/>
  </r>
  <r>
    <x v="5"/>
    <x v="42"/>
    <x v="1"/>
    <n v="4.83"/>
    <n v="9.15"/>
    <n v="156.86000000000001"/>
    <n v="201.05450000000002"/>
    <n v="41.62619047619048"/>
  </r>
  <r>
    <x v="6"/>
    <x v="43"/>
    <x v="1"/>
    <n v="6.95"/>
    <n v="9.15"/>
    <n v="196.15"/>
    <n v="259.74250000000001"/>
    <n v="37.373021582733813"/>
  </r>
  <r>
    <x v="3"/>
    <x v="44"/>
    <x v="1"/>
    <n v="6.82"/>
    <n v="9.15"/>
    <n v="238.65"/>
    <n v="301.053"/>
    <n v="44.142668621700878"/>
  </r>
  <r>
    <x v="4"/>
    <x v="45"/>
    <x v="4"/>
    <n v="5.05"/>
    <n v="15"/>
    <n v="0"/>
    <n v="75.75"/>
    <n v="15"/>
  </r>
  <r>
    <x v="7"/>
    <x v="46"/>
    <x v="5"/>
    <m/>
    <m/>
    <m/>
    <m/>
    <m/>
  </r>
  <r>
    <x v="7"/>
    <x v="46"/>
    <x v="5"/>
    <m/>
    <m/>
    <m/>
    <m/>
    <m/>
  </r>
  <r>
    <x v="7"/>
    <x v="46"/>
    <x v="5"/>
    <m/>
    <m/>
    <m/>
    <m/>
    <m/>
  </r>
  <r>
    <x v="7"/>
    <x v="46"/>
    <x v="5"/>
    <m/>
    <m/>
    <m/>
    <m/>
    <m/>
  </r>
  <r>
    <x v="7"/>
    <x v="46"/>
    <x v="5"/>
    <m/>
    <m/>
    <m/>
    <m/>
    <m/>
  </r>
  <r>
    <x v="7"/>
    <x v="46"/>
    <x v="5"/>
    <m/>
    <m/>
    <m/>
    <m/>
    <m/>
  </r>
  <r>
    <x v="7"/>
    <x v="46"/>
    <x v="5"/>
    <m/>
    <m/>
    <m/>
    <m/>
    <m/>
  </r>
  <r>
    <x v="7"/>
    <x v="46"/>
    <x v="5"/>
    <m/>
    <m/>
    <m/>
    <m/>
    <m/>
  </r>
  <r>
    <x v="7"/>
    <x v="46"/>
    <x v="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F98FF-EE6F-0A46-ABF0-4CAF6487854B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F12" firstHeaderRow="0" firstDataRow="1" firstDataCol="1" rowPageCount="1" colPageCount="1"/>
  <pivotFields count="10">
    <pivotField axis="axisRow" dataField="1" showAll="0" countASubtotal="1">
      <items count="9">
        <item x="4"/>
        <item x="0"/>
        <item x="1"/>
        <item x="5"/>
        <item x="2"/>
        <item x="6"/>
        <item x="3"/>
        <item x="7"/>
        <item t="countA"/>
      </items>
    </pivotField>
    <pivotField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 defaultSubtotal="0">
      <items count="6">
        <item h="1" x="2"/>
        <item h="1" x="4"/>
        <item x="1"/>
        <item h="1" x="0"/>
        <item h="1" x="5"/>
        <item h="1" x="3"/>
      </items>
    </pivotField>
    <pivotField dataField="1" showAll="0"/>
    <pivotField showAll="0"/>
    <pivotField dataField="1" multipleItemSelectionAllowed="1"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hier="-1"/>
  </pageFields>
  <dataFields count="4">
    <dataField name="Count of Day" fld="0" subtotal="count" baseField="0" baseItem="0"/>
    <dataField name="Average of Tip " fld="5" subtotal="average" baseField="0" baseItem="0"/>
    <dataField name="Average of Hours" fld="3" subtotal="average" baseField="0" baseItem="0"/>
    <dataField name="Average of Per Hour" fld="7" subtotal="average" baseField="0" baseItem="0"/>
  </dataFields>
  <formats count="5">
    <format dxfId="9">
      <pivotArea dataOnly="0" outline="0" fieldPosition="0">
        <references count="1">
          <reference field="4294967294" count="1">
            <x v="1"/>
          </reference>
        </references>
      </pivotArea>
    </format>
    <format dxfId="8">
      <pivotArea dataOnly="0" outline="0" fieldPosition="0">
        <references count="1">
          <reference field="4294967294" count="1">
            <x v="2"/>
          </reference>
        </references>
      </pivotArea>
    </format>
    <format dxfId="7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6">
      <pivotArea dataOnly="0" outline="0" fieldPosition="0">
        <references count="1">
          <reference field="4294967294" count="1">
            <x v="3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74E44-3AB5-DE45-80DE-7833D3A8B0EB}" name="Table1" displayName="Table1" ref="A1:G7" totalsRowShown="0">
  <autoFilter ref="A1:G7" xr:uid="{7CA5A566-D754-C04D-B77A-EC2A4DB922FE}"/>
  <tableColumns count="7">
    <tableColumn id="1" xr3:uid="{CC3DD82B-35F5-2549-A2C7-32A98727BBC1}" name="Day"/>
    <tableColumn id="2" xr3:uid="{E66B5656-C078-FB4E-922D-11CC5E450F06}" name="Date" dataDxfId="10"/>
    <tableColumn id="3" xr3:uid="{F428A9C5-6C44-3E46-93D6-C11CDC6CF4F6}" name="Hours"/>
    <tableColumn id="4" xr3:uid="{AA2925D7-E093-7D4D-B1D6-B02DEA43867C}" name="Rate"/>
    <tableColumn id="5" xr3:uid="{D3B5FB0F-A933-A744-8C3D-819F0DB160B2}" name="Tip "/>
    <tableColumn id="6" xr3:uid="{2C879ECF-D57B-C243-97BC-5356F199563E}" name="Total"/>
    <tableColumn id="7" xr3:uid="{68F272C2-D381-664B-8198-BC87B4DA182F}" name="Per H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5F97-B192-874D-92BA-59133AFAEB53}">
  <sheetPr filterMode="1"/>
  <dimension ref="A1:L48"/>
  <sheetViews>
    <sheetView zoomScale="165" workbookViewId="0">
      <selection activeCell="C64" sqref="C64"/>
    </sheetView>
  </sheetViews>
  <sheetFormatPr baseColWidth="10" defaultRowHeight="16" x14ac:dyDescent="0.2"/>
  <cols>
    <col min="1" max="1" width="5.6640625" style="1" customWidth="1"/>
    <col min="2" max="3" width="10.83203125" style="1"/>
    <col min="4" max="4" width="9.6640625" style="1" customWidth="1"/>
    <col min="5" max="5" width="9.33203125" style="4" customWidth="1"/>
    <col min="6" max="6" width="10.83203125" style="4"/>
    <col min="7" max="8" width="10.83203125" style="6"/>
    <col min="9" max="9" width="4.83203125" customWidth="1"/>
    <col min="10" max="10" width="5.33203125" customWidth="1"/>
    <col min="11" max="11" width="12.5" bestFit="1" customWidth="1"/>
  </cols>
  <sheetData>
    <row r="1" spans="1:12" ht="26" customHeight="1" x14ac:dyDescent="0.2">
      <c r="A1" s="2" t="s">
        <v>11</v>
      </c>
      <c r="B1" s="2" t="s">
        <v>1</v>
      </c>
      <c r="C1" s="2" t="s">
        <v>32</v>
      </c>
      <c r="D1" s="2" t="s">
        <v>2</v>
      </c>
      <c r="E1" s="5" t="s">
        <v>6</v>
      </c>
      <c r="F1" s="5" t="s">
        <v>0</v>
      </c>
      <c r="G1" s="5" t="s">
        <v>4</v>
      </c>
      <c r="H1" s="5" t="s">
        <v>5</v>
      </c>
    </row>
    <row r="2" spans="1:12" hidden="1" x14ac:dyDescent="0.2">
      <c r="A2" s="13" t="str">
        <f>TEXT(WEEKDAY(B2),"ddd")</f>
        <v>Mon</v>
      </c>
      <c r="B2" s="3">
        <v>44179</v>
      </c>
      <c r="C2" s="3" t="s">
        <v>29</v>
      </c>
      <c r="D2" s="1">
        <v>6.55</v>
      </c>
      <c r="E2" s="4">
        <f>_xlfn.XLOOKUP(bandera!C2,resource!$A$2:$A$5,resource!$B$2:$B$5,12.15,0)</f>
        <v>12</v>
      </c>
      <c r="F2" s="4">
        <v>0</v>
      </c>
      <c r="G2" s="6">
        <f>D2*E2+F2</f>
        <v>78.599999999999994</v>
      </c>
      <c r="H2" s="6">
        <f>G2/D2</f>
        <v>12</v>
      </c>
      <c r="J2">
        <f>SUM(D$7:D$1048576)</f>
        <v>238.43999999999997</v>
      </c>
      <c r="K2" s="7">
        <f>SUM(G$7:G$1048576)</f>
        <v>7983.5604999999996</v>
      </c>
    </row>
    <row r="3" spans="1:12" hidden="1" x14ac:dyDescent="0.2">
      <c r="A3" s="13" t="str">
        <f t="shared" ref="A3:A11" si="0">TEXT(WEEKDAY(B3),"ddd")</f>
        <v>Tue</v>
      </c>
      <c r="B3" s="3">
        <v>44180</v>
      </c>
      <c r="C3" s="3" t="s">
        <v>29</v>
      </c>
      <c r="D3" s="1">
        <v>6.53</v>
      </c>
      <c r="E3" s="4">
        <f>_xlfn.XLOOKUP(bandera!C3,resource!$A$2:$A$5,resource!$B$2:$B$5,12.15,0)</f>
        <v>12</v>
      </c>
      <c r="F3" s="4">
        <v>0</v>
      </c>
      <c r="G3" s="6">
        <f>D3*E3+F3</f>
        <v>78.36</v>
      </c>
      <c r="H3" s="6">
        <f t="shared" ref="H3:H6" si="1">G3/D3</f>
        <v>12</v>
      </c>
      <c r="K3" s="7">
        <f>AVERAGE(H7:H988)</f>
        <v>32.872545964805987</v>
      </c>
    </row>
    <row r="4" spans="1:12" hidden="1" x14ac:dyDescent="0.2">
      <c r="A4" s="13" t="str">
        <f t="shared" si="0"/>
        <v>Thu</v>
      </c>
      <c r="B4" s="3">
        <v>44182</v>
      </c>
      <c r="C4" s="3" t="s">
        <v>29</v>
      </c>
      <c r="D4" s="1">
        <v>6.2</v>
      </c>
      <c r="E4" s="4">
        <f>_xlfn.XLOOKUP(bandera!C4,resource!$A$2:$A$5,resource!$B$2:$B$5,12.15,0)</f>
        <v>12</v>
      </c>
      <c r="F4" s="4">
        <v>0</v>
      </c>
      <c r="G4" s="6">
        <f>D4*E4+F4</f>
        <v>74.400000000000006</v>
      </c>
      <c r="H4" s="6">
        <f t="shared" si="1"/>
        <v>12</v>
      </c>
      <c r="K4" s="7">
        <f>K2/J2</f>
        <v>33.482471481295086</v>
      </c>
    </row>
    <row r="5" spans="1:12" hidden="1" x14ac:dyDescent="0.2">
      <c r="A5" s="13" t="str">
        <f t="shared" si="0"/>
        <v>Sat</v>
      </c>
      <c r="B5" s="3">
        <v>44184</v>
      </c>
      <c r="C5" s="3" t="s">
        <v>29</v>
      </c>
      <c r="D5" s="1">
        <v>7.02</v>
      </c>
      <c r="E5" s="4">
        <f>_xlfn.XLOOKUP(bandera!C5,resource!$A$2:$A$5,resource!$B$2:$B$5,12.15,0)</f>
        <v>12</v>
      </c>
      <c r="F5" s="4">
        <v>0</v>
      </c>
      <c r="G5" s="6">
        <f t="shared" ref="G5:G6" si="2">D5*E5+F5</f>
        <v>84.24</v>
      </c>
      <c r="H5" s="6">
        <f t="shared" si="1"/>
        <v>12</v>
      </c>
    </row>
    <row r="6" spans="1:12" hidden="1" x14ac:dyDescent="0.2">
      <c r="A6" s="13" t="str">
        <f t="shared" si="0"/>
        <v>Sun</v>
      </c>
      <c r="B6" s="3">
        <v>44185</v>
      </c>
      <c r="C6" s="3" t="s">
        <v>29</v>
      </c>
      <c r="D6" s="1">
        <v>6.75</v>
      </c>
      <c r="E6" s="4">
        <f>_xlfn.XLOOKUP(bandera!C6,resource!$A$2:$A$5,resource!$B$2:$B$5,12.15,0)</f>
        <v>12</v>
      </c>
      <c r="F6" s="4">
        <v>0</v>
      </c>
      <c r="G6" s="6">
        <f t="shared" si="2"/>
        <v>81</v>
      </c>
      <c r="H6" s="6">
        <f t="shared" si="1"/>
        <v>12</v>
      </c>
      <c r="J6" s="7"/>
      <c r="K6" s="7"/>
    </row>
    <row r="7" spans="1:12" hidden="1" x14ac:dyDescent="0.2">
      <c r="A7" s="13" t="str">
        <f t="shared" si="0"/>
        <v>Mon</v>
      </c>
      <c r="B7" s="3">
        <v>44186</v>
      </c>
      <c r="C7" s="3" t="s">
        <v>30</v>
      </c>
      <c r="D7" s="1">
        <v>4.88</v>
      </c>
      <c r="E7" s="4">
        <v>9</v>
      </c>
      <c r="F7" s="4">
        <v>103.99</v>
      </c>
      <c r="G7" s="6">
        <f t="shared" ref="G7:G8" si="3">D7*E7+F7</f>
        <v>147.91</v>
      </c>
      <c r="H7" s="6">
        <f t="shared" ref="H7:H8" si="4">G7/D7</f>
        <v>30.309426229508198</v>
      </c>
    </row>
    <row r="8" spans="1:12" hidden="1" x14ac:dyDescent="0.2">
      <c r="A8" s="13" t="str">
        <f t="shared" si="0"/>
        <v>Tue</v>
      </c>
      <c r="B8" s="3">
        <v>44187</v>
      </c>
      <c r="C8" s="3" t="s">
        <v>30</v>
      </c>
      <c r="D8" s="1">
        <v>4.7</v>
      </c>
      <c r="E8" s="4">
        <v>9</v>
      </c>
      <c r="F8" s="4">
        <f>121.06-20.84</f>
        <v>100.22</v>
      </c>
      <c r="G8" s="6">
        <f t="shared" si="3"/>
        <v>142.52000000000001</v>
      </c>
      <c r="H8" s="6">
        <f t="shared" si="4"/>
        <v>30.323404255319151</v>
      </c>
      <c r="K8">
        <f>553/3</f>
        <v>184.33333333333334</v>
      </c>
      <c r="L8">
        <f>K8*5</f>
        <v>921.66666666666674</v>
      </c>
    </row>
    <row r="9" spans="1:12" hidden="1" x14ac:dyDescent="0.2">
      <c r="A9" s="13" t="str">
        <f t="shared" si="0"/>
        <v>Wed</v>
      </c>
      <c r="B9" s="3">
        <v>44188</v>
      </c>
      <c r="C9" s="3" t="s">
        <v>30</v>
      </c>
      <c r="D9" s="1">
        <v>4.95</v>
      </c>
      <c r="E9" s="4">
        <v>9</v>
      </c>
      <c r="F9" s="4">
        <f>115+137-33.14</f>
        <v>218.86</v>
      </c>
      <c r="G9" s="6">
        <f t="shared" ref="G9" si="5">D9*E9+F9</f>
        <v>263.41000000000003</v>
      </c>
      <c r="H9" s="6">
        <f t="shared" ref="H9" si="6">G9/D9</f>
        <v>53.214141414141416</v>
      </c>
      <c r="L9">
        <f>L8*52</f>
        <v>47926.666666666672</v>
      </c>
    </row>
    <row r="10" spans="1:12" hidden="1" x14ac:dyDescent="0.2">
      <c r="A10" s="13" t="str">
        <f t="shared" si="0"/>
        <v>Thu</v>
      </c>
      <c r="B10" s="3">
        <v>44189</v>
      </c>
      <c r="C10" s="3" t="s">
        <v>30</v>
      </c>
      <c r="D10" s="1">
        <v>6.58</v>
      </c>
      <c r="E10" s="4">
        <v>9</v>
      </c>
      <c r="F10" s="4">
        <f>176-23</f>
        <v>153</v>
      </c>
      <c r="G10" s="6">
        <f t="shared" ref="G10" si="7">D10*E10+F10</f>
        <v>212.22</v>
      </c>
      <c r="H10" s="6">
        <f t="shared" ref="H10" si="8">G10/D10</f>
        <v>32.252279635258361</v>
      </c>
      <c r="L10" t="s">
        <v>10</v>
      </c>
    </row>
    <row r="11" spans="1:12" hidden="1" x14ac:dyDescent="0.2">
      <c r="A11" s="13" t="str">
        <f t="shared" si="0"/>
        <v>Sat</v>
      </c>
      <c r="B11" s="3">
        <v>44191</v>
      </c>
      <c r="C11" s="3" t="s">
        <v>30</v>
      </c>
      <c r="D11" s="1">
        <v>6.65</v>
      </c>
      <c r="E11" s="4">
        <v>9</v>
      </c>
      <c r="F11" s="4">
        <v>139.57</v>
      </c>
      <c r="G11" s="6">
        <f t="shared" ref="G11" si="9">D11*E11+F11</f>
        <v>199.42</v>
      </c>
      <c r="H11" s="6">
        <f t="shared" ref="H11" si="10">G11/D11</f>
        <v>29.987969924812028</v>
      </c>
    </row>
    <row r="12" spans="1:12" hidden="1" x14ac:dyDescent="0.2">
      <c r="A12" s="13" t="str">
        <f t="shared" ref="A12" si="11">TEXT(WEEKDAY(B12),"ddd")</f>
        <v>Sun</v>
      </c>
      <c r="B12" s="3">
        <v>44192</v>
      </c>
      <c r="C12" s="3" t="s">
        <v>30</v>
      </c>
      <c r="D12" s="1">
        <v>5.96</v>
      </c>
      <c r="E12" s="4">
        <v>9</v>
      </c>
      <c r="F12" s="4">
        <f>161-27.06+20</f>
        <v>153.94</v>
      </c>
      <c r="G12" s="6">
        <f t="shared" ref="G12" si="12">D12*E12+F12</f>
        <v>207.57999999999998</v>
      </c>
      <c r="H12" s="6">
        <f t="shared" ref="H12" si="13">G12/D12</f>
        <v>34.828859060402685</v>
      </c>
    </row>
    <row r="13" spans="1:12" hidden="1" x14ac:dyDescent="0.2">
      <c r="A13" s="13" t="str">
        <f t="shared" ref="A13" si="14">TEXT(WEEKDAY(B13),"ddd")</f>
        <v>Mon</v>
      </c>
      <c r="B13" s="3">
        <v>44193</v>
      </c>
      <c r="C13" s="3" t="s">
        <v>30</v>
      </c>
      <c r="D13" s="1">
        <v>6.22</v>
      </c>
      <c r="E13" s="4">
        <v>9</v>
      </c>
      <c r="F13" s="4">
        <f>226.09-34.29+5-22</f>
        <v>174.8</v>
      </c>
      <c r="G13" s="6">
        <f t="shared" ref="G13" si="15">D13*E13+F13</f>
        <v>230.78</v>
      </c>
      <c r="H13" s="6">
        <f t="shared" ref="H13" si="16">G13/D13</f>
        <v>37.10289389067524</v>
      </c>
    </row>
    <row r="14" spans="1:12" hidden="1" x14ac:dyDescent="0.2">
      <c r="A14" s="13" t="str">
        <f t="shared" ref="A14" si="17">TEXT(WEEKDAY(B14),"ddd")</f>
        <v>Wed</v>
      </c>
      <c r="B14" s="3">
        <v>44195</v>
      </c>
      <c r="C14" s="3" t="s">
        <v>30</v>
      </c>
      <c r="D14" s="1">
        <v>5.28</v>
      </c>
      <c r="E14" s="4">
        <v>9</v>
      </c>
      <c r="F14" s="4">
        <f>193-25.94</f>
        <v>167.06</v>
      </c>
      <c r="G14" s="6">
        <f t="shared" ref="G14" si="18">D14*E14+F14</f>
        <v>214.58</v>
      </c>
      <c r="H14" s="6">
        <f t="shared" ref="H14" si="19">G14/D14</f>
        <v>40.640151515151516</v>
      </c>
    </row>
    <row r="15" spans="1:12" hidden="1" x14ac:dyDescent="0.2">
      <c r="A15" s="13" t="str">
        <f t="shared" ref="A15" si="20">TEXT(WEEKDAY(B15),"ddd")</f>
        <v>Thu</v>
      </c>
      <c r="B15" s="3">
        <v>44196</v>
      </c>
      <c r="C15" s="3" t="s">
        <v>30</v>
      </c>
      <c r="D15" s="1">
        <v>7.9</v>
      </c>
      <c r="E15" s="4">
        <v>9</v>
      </c>
      <c r="F15" s="4">
        <f>207.23-39.15+64</f>
        <v>232.07999999999998</v>
      </c>
      <c r="G15" s="6">
        <f t="shared" ref="G15" si="21">D15*E15+F15</f>
        <v>303.18</v>
      </c>
      <c r="H15" s="6">
        <f t="shared" ref="H15" si="22">G15/D15</f>
        <v>38.377215189873418</v>
      </c>
    </row>
    <row r="16" spans="1:12" x14ac:dyDescent="0.2">
      <c r="A16" s="13" t="str">
        <f t="shared" ref="A16" si="23">TEXT(WEEKDAY(B16),"ddd")</f>
        <v>Fri</v>
      </c>
      <c r="B16" s="3">
        <v>44197</v>
      </c>
      <c r="C16" s="3" t="s">
        <v>30</v>
      </c>
      <c r="D16" s="1">
        <v>6.83</v>
      </c>
      <c r="E16" s="4">
        <f>_xlfn.XLOOKUP(bandera!C16,resource!$A$2:$A$5,resource!$B$2:$B$5,12.15,0)</f>
        <v>9.15</v>
      </c>
      <c r="F16" s="4">
        <f>189.74-27.63</f>
        <v>162.11000000000001</v>
      </c>
      <c r="G16" s="6">
        <f t="shared" ref="G16" si="24">D16*E16+F16</f>
        <v>224.60450000000003</v>
      </c>
      <c r="H16" s="6">
        <f t="shared" ref="H16" si="25">G16/D16</f>
        <v>32.88499267935579</v>
      </c>
    </row>
    <row r="17" spans="1:8" hidden="1" x14ac:dyDescent="0.2">
      <c r="A17" s="13" t="str">
        <f t="shared" ref="A17" si="26">TEXT(WEEKDAY(B17),"ddd")</f>
        <v>Sat</v>
      </c>
      <c r="B17" s="3">
        <v>44198</v>
      </c>
      <c r="C17" s="3" t="s">
        <v>30</v>
      </c>
      <c r="D17" s="1">
        <v>6.56</v>
      </c>
      <c r="E17" s="4">
        <f>_xlfn.XLOOKUP(bandera!C17,resource!$A$2:$A$5,resource!$B$2:$B$5,12.15,0)</f>
        <v>9.15</v>
      </c>
      <c r="F17" s="4">
        <f>142.73-25.31+71</f>
        <v>188.42</v>
      </c>
      <c r="G17" s="6">
        <f t="shared" ref="G17" si="27">D17*E17+F17</f>
        <v>248.44399999999999</v>
      </c>
      <c r="H17" s="6">
        <f t="shared" ref="H17" si="28">G17/D17</f>
        <v>37.872560975609758</v>
      </c>
    </row>
    <row r="18" spans="1:8" hidden="1" x14ac:dyDescent="0.2">
      <c r="A18" s="13" t="str">
        <f t="shared" ref="A18" si="29">TEXT(WEEKDAY(B18),"ddd")</f>
        <v>Sun</v>
      </c>
      <c r="B18" s="3">
        <v>44199</v>
      </c>
      <c r="C18" s="3" t="s">
        <v>30</v>
      </c>
      <c r="D18" s="1">
        <v>6.55</v>
      </c>
      <c r="E18" s="4">
        <f>_xlfn.XLOOKUP(bandera!C18,resource!$A$2:$A$5,resource!$B$2:$B$5,12.15,0)</f>
        <v>9.15</v>
      </c>
      <c r="F18" s="4">
        <f>111.73-15.38</f>
        <v>96.350000000000009</v>
      </c>
      <c r="G18" s="6">
        <f t="shared" ref="G18" si="30">D18*E18+F18</f>
        <v>156.2825</v>
      </c>
      <c r="H18" s="6">
        <f t="shared" ref="H18" si="31">G18/D18</f>
        <v>23.859923664122139</v>
      </c>
    </row>
    <row r="19" spans="1:8" hidden="1" x14ac:dyDescent="0.2">
      <c r="A19" s="13" t="str">
        <f t="shared" ref="A19" si="32">TEXT(WEEKDAY(B19),"ddd")</f>
        <v>Mon</v>
      </c>
      <c r="B19" s="3">
        <v>44200</v>
      </c>
      <c r="C19" s="3" t="s">
        <v>30</v>
      </c>
      <c r="D19" s="1">
        <v>5.18</v>
      </c>
      <c r="E19" s="4">
        <f>_xlfn.XLOOKUP(bandera!C19,resource!$A$2:$A$5,resource!$B$2:$B$5,12.15,0)</f>
        <v>9.15</v>
      </c>
      <c r="F19" s="4">
        <f>151.9-23.76+25</f>
        <v>153.14000000000001</v>
      </c>
      <c r="G19" s="6">
        <f t="shared" ref="G19" si="33">D19*E19+F19</f>
        <v>200.53700000000001</v>
      </c>
      <c r="H19" s="6">
        <f t="shared" ref="H19" si="34">G19/D19</f>
        <v>38.713706563706566</v>
      </c>
    </row>
    <row r="20" spans="1:8" hidden="1" x14ac:dyDescent="0.2">
      <c r="A20" s="13" t="str">
        <f t="shared" ref="A20" si="35">TEXT(WEEKDAY(B20),"ddd")</f>
        <v>Wed</v>
      </c>
      <c r="B20" s="3">
        <v>44202</v>
      </c>
      <c r="C20" s="3" t="s">
        <v>30</v>
      </c>
      <c r="D20" s="1">
        <v>4.13</v>
      </c>
      <c r="E20" s="4">
        <f>_xlfn.XLOOKUP(bandera!C20,resource!$A$2:$A$5,resource!$B$2:$B$5,12.15,0)</f>
        <v>9.15</v>
      </c>
      <c r="F20" s="4">
        <f>57.77-20.07+70</f>
        <v>107.7</v>
      </c>
      <c r="G20" s="6">
        <f t="shared" ref="G20" si="36">D20*E20+F20</f>
        <v>145.48950000000002</v>
      </c>
      <c r="H20" s="6">
        <f t="shared" ref="H20" si="37">G20/D20</f>
        <v>35.227481840193711</v>
      </c>
    </row>
    <row r="21" spans="1:8" hidden="1" x14ac:dyDescent="0.2">
      <c r="A21" s="13" t="str">
        <f t="shared" ref="A21" si="38">TEXT(WEEKDAY(B21),"ddd")</f>
        <v>Thu</v>
      </c>
      <c r="B21" s="3">
        <v>44203</v>
      </c>
      <c r="C21" s="3" t="s">
        <v>30</v>
      </c>
      <c r="D21" s="1">
        <v>4.9000000000000004</v>
      </c>
      <c r="E21" s="4">
        <f>_xlfn.XLOOKUP(bandera!C21,resource!$A$2:$A$5,resource!$B$2:$B$5,12.15,0)</f>
        <v>9.15</v>
      </c>
      <c r="F21" s="4">
        <f>125.21-20.79+40</f>
        <v>144.41999999999999</v>
      </c>
      <c r="G21" s="6">
        <f t="shared" ref="G21" si="39">D21*E21+F21</f>
        <v>189.255</v>
      </c>
      <c r="H21" s="6">
        <f t="shared" ref="H21" si="40">G21/D21</f>
        <v>38.623469387755101</v>
      </c>
    </row>
    <row r="22" spans="1:8" x14ac:dyDescent="0.2">
      <c r="A22" s="13" t="str">
        <f t="shared" ref="A22" si="41">TEXT(WEEKDAY(B22),"ddd")</f>
        <v>Fri</v>
      </c>
      <c r="B22" s="3">
        <v>44204</v>
      </c>
      <c r="C22" s="3" t="s">
        <v>30</v>
      </c>
      <c r="D22" s="1">
        <v>6.95</v>
      </c>
      <c r="E22" s="4">
        <f>_xlfn.XLOOKUP(bandera!C22,resource!$A$2:$A$5,resource!$B$2:$B$5,12.15,0)</f>
        <v>9.15</v>
      </c>
      <c r="F22" s="4">
        <f>132.74-20.01</f>
        <v>112.73</v>
      </c>
      <c r="G22" s="6">
        <f t="shared" ref="G22" si="42">D22*E22+F22</f>
        <v>176.32249999999999</v>
      </c>
      <c r="H22" s="6">
        <f t="shared" ref="H22" si="43">G22/D22</f>
        <v>25.370143884892084</v>
      </c>
    </row>
    <row r="23" spans="1:8" hidden="1" x14ac:dyDescent="0.2">
      <c r="A23" s="13" t="str">
        <f t="shared" ref="A23:A24" si="44">TEXT(WEEKDAY(B23),"ddd")</f>
        <v>Sat</v>
      </c>
      <c r="B23" s="3">
        <v>44205</v>
      </c>
      <c r="C23" s="3" t="s">
        <v>30</v>
      </c>
      <c r="D23" s="1">
        <v>6.88</v>
      </c>
      <c r="E23" s="4">
        <f>_xlfn.XLOOKUP(bandera!C23,resource!$A$2:$A$5,resource!$B$2:$B$5,12.15,0)</f>
        <v>9.15</v>
      </c>
      <c r="F23" s="4">
        <f>217.62-31.32+45</f>
        <v>231.3</v>
      </c>
      <c r="G23" s="6">
        <f t="shared" ref="G23:G24" si="45">D23*E23+F23</f>
        <v>294.25200000000001</v>
      </c>
      <c r="H23" s="6">
        <f t="shared" ref="H23:H24" si="46">G23/D23</f>
        <v>42.769186046511628</v>
      </c>
    </row>
    <row r="24" spans="1:8" hidden="1" x14ac:dyDescent="0.2">
      <c r="A24" s="13" t="str">
        <f t="shared" si="44"/>
        <v>Sun</v>
      </c>
      <c r="B24" s="3">
        <v>44206</v>
      </c>
      <c r="C24" s="3" t="s">
        <v>30</v>
      </c>
      <c r="D24" s="1">
        <v>5.4</v>
      </c>
      <c r="E24" s="4">
        <f>_xlfn.XLOOKUP(bandera!C24,resource!$A$2:$A$5,resource!$B$2:$B$5,12.15,0)</f>
        <v>9.15</v>
      </c>
      <c r="F24" s="4">
        <f>90.95-12.96</f>
        <v>77.990000000000009</v>
      </c>
      <c r="G24" s="6">
        <f t="shared" si="45"/>
        <v>127.4</v>
      </c>
      <c r="H24" s="6">
        <f t="shared" si="46"/>
        <v>23.592592592592592</v>
      </c>
    </row>
    <row r="25" spans="1:8" hidden="1" x14ac:dyDescent="0.2">
      <c r="A25" s="13" t="str">
        <f t="shared" ref="A25" si="47">TEXT(WEEKDAY(B25),"ddd")</f>
        <v>Mon</v>
      </c>
      <c r="B25" s="3">
        <v>44207</v>
      </c>
      <c r="C25" s="3" t="s">
        <v>30</v>
      </c>
      <c r="D25" s="1">
        <v>4.8499999999999996</v>
      </c>
      <c r="E25" s="4">
        <f>_xlfn.XLOOKUP(bandera!C25,resource!$A$2:$A$5,resource!$B$2:$B$5,12.15,0)</f>
        <v>9.15</v>
      </c>
      <c r="F25" s="4">
        <f>99.14-13.32</f>
        <v>85.82</v>
      </c>
      <c r="G25" s="6">
        <f t="shared" ref="G25" si="48">D25*E25+F25</f>
        <v>130.19749999999999</v>
      </c>
      <c r="H25" s="6">
        <f t="shared" ref="H25" si="49">G25/D25</f>
        <v>26.844845360824742</v>
      </c>
    </row>
    <row r="26" spans="1:8" hidden="1" x14ac:dyDescent="0.2">
      <c r="A26" s="13" t="str">
        <f t="shared" ref="A26" si="50">TEXT(WEEKDAY(B26),"ddd")</f>
        <v>Wed</v>
      </c>
      <c r="B26" s="3">
        <v>44209</v>
      </c>
      <c r="C26" s="3" t="s">
        <v>30</v>
      </c>
      <c r="D26" s="1">
        <v>4.43</v>
      </c>
      <c r="E26" s="4">
        <f>_xlfn.XLOOKUP(bandera!C26,resource!$A$2:$A$5,resource!$B$2:$B$5,12.15,0)</f>
        <v>9.15</v>
      </c>
      <c r="F26" s="4">
        <f>146-23.9</f>
        <v>122.1</v>
      </c>
      <c r="G26" s="6">
        <f t="shared" ref="G26" si="51">D26*E26+F26</f>
        <v>162.6345</v>
      </c>
      <c r="H26" s="6">
        <f t="shared" ref="H26" si="52">G26/D26</f>
        <v>36.712076749435667</v>
      </c>
    </row>
    <row r="27" spans="1:8" hidden="1" x14ac:dyDescent="0.2">
      <c r="A27" s="13" t="str">
        <f t="shared" ref="A27" si="53">TEXT(WEEKDAY(B27),"ddd")</f>
        <v>Thu</v>
      </c>
      <c r="B27" s="3">
        <v>44210</v>
      </c>
      <c r="C27" s="3" t="s">
        <v>30</v>
      </c>
      <c r="D27" s="1">
        <v>5.46</v>
      </c>
      <c r="E27" s="4">
        <f>_xlfn.XLOOKUP(bandera!C27,resource!$A$2:$A$5,resource!$B$2:$B$5,12.15,0)</f>
        <v>9.15</v>
      </c>
      <c r="F27" s="4">
        <f>161.58-20.96</f>
        <v>140.62</v>
      </c>
      <c r="G27" s="6">
        <f t="shared" ref="G27" si="54">D27*E27+F27</f>
        <v>190.57900000000001</v>
      </c>
      <c r="H27" s="6">
        <f t="shared" ref="H27" si="55">G27/D27</f>
        <v>34.904578754578758</v>
      </c>
    </row>
    <row r="28" spans="1:8" x14ac:dyDescent="0.2">
      <c r="A28" s="13" t="str">
        <f t="shared" ref="A28:A29" si="56">TEXT(WEEKDAY(B28),"ddd")</f>
        <v>Fri</v>
      </c>
      <c r="B28" s="3">
        <v>44211</v>
      </c>
      <c r="C28" s="3" t="s">
        <v>30</v>
      </c>
      <c r="D28" s="1">
        <v>6.9</v>
      </c>
      <c r="E28" s="4">
        <f>_xlfn.XLOOKUP(bandera!C28,resource!$A$2:$A$5,resource!$B$2:$B$5,12.15,0)</f>
        <v>9.15</v>
      </c>
      <c r="F28" s="4">
        <f>169.22-24.08</f>
        <v>145.13999999999999</v>
      </c>
      <c r="G28" s="6">
        <f t="shared" ref="G28:G29" si="57">D28*E28+F28</f>
        <v>208.27499999999998</v>
      </c>
      <c r="H28" s="6">
        <f t="shared" ref="H28:H29" si="58">G28/D28</f>
        <v>30.184782608695649</v>
      </c>
    </row>
    <row r="29" spans="1:8" hidden="1" x14ac:dyDescent="0.2">
      <c r="A29" s="13" t="str">
        <f t="shared" si="56"/>
        <v>Sat</v>
      </c>
      <c r="B29" s="3">
        <v>44212</v>
      </c>
      <c r="C29" s="3" t="s">
        <v>31</v>
      </c>
      <c r="D29" s="1">
        <v>1.25</v>
      </c>
      <c r="E29" s="4">
        <f>_xlfn.XLOOKUP(bandera!C29,resource!$A$2:$A$5,resource!$B$2:$B$5,12.15,0)</f>
        <v>12.15</v>
      </c>
      <c r="F29" s="4">
        <v>0</v>
      </c>
      <c r="G29" s="6">
        <f t="shared" si="57"/>
        <v>15.1875</v>
      </c>
      <c r="H29" s="6">
        <f t="shared" si="58"/>
        <v>12.15</v>
      </c>
    </row>
    <row r="30" spans="1:8" hidden="1" x14ac:dyDescent="0.2">
      <c r="A30" s="13" t="str">
        <f t="shared" ref="A30" si="59">TEXT(WEEKDAY(B30),"ddd")</f>
        <v>Sat</v>
      </c>
      <c r="B30" s="3">
        <v>44212</v>
      </c>
      <c r="C30" s="3" t="s">
        <v>30</v>
      </c>
      <c r="D30" s="1">
        <v>6.83</v>
      </c>
      <c r="E30" s="4">
        <f>_xlfn.XLOOKUP(bandera!C30,resource!$A$2:$A$5,resource!$B$2:$B$5,12.15,0)</f>
        <v>9.15</v>
      </c>
      <c r="F30" s="4">
        <f>202-31.86+40</f>
        <v>210.14</v>
      </c>
      <c r="G30" s="6">
        <f t="shared" ref="G30" si="60">D30*E30+F30</f>
        <v>272.6345</v>
      </c>
      <c r="H30" s="6">
        <f t="shared" ref="H30" si="61">G30/D30</f>
        <v>39.917203513909222</v>
      </c>
    </row>
    <row r="31" spans="1:8" hidden="1" x14ac:dyDescent="0.2">
      <c r="A31" s="13" t="str">
        <f t="shared" ref="A31:A32" si="62">TEXT(WEEKDAY(B31),"ddd")</f>
        <v>Sun</v>
      </c>
      <c r="B31" s="3">
        <v>44213</v>
      </c>
      <c r="C31" s="3" t="s">
        <v>30</v>
      </c>
      <c r="D31" s="1">
        <v>6.23</v>
      </c>
      <c r="E31" s="4">
        <f>_xlfn.XLOOKUP(bandera!C31,resource!$A$2:$A$5,resource!$B$2:$B$5,12.15,0)</f>
        <v>9.15</v>
      </c>
      <c r="F31" s="4">
        <f>86.04-11.58</f>
        <v>74.460000000000008</v>
      </c>
      <c r="G31" s="6">
        <f t="shared" ref="G31:G32" si="63">D31*E31+F31</f>
        <v>131.46450000000002</v>
      </c>
      <c r="H31" s="6">
        <f t="shared" ref="H31:H32" si="64">G31/D31</f>
        <v>21.101845906902089</v>
      </c>
    </row>
    <row r="32" spans="1:8" hidden="1" x14ac:dyDescent="0.2">
      <c r="A32" s="13" t="str">
        <f t="shared" si="62"/>
        <v>Mon</v>
      </c>
      <c r="B32" s="3">
        <v>44214</v>
      </c>
      <c r="C32" s="3" t="s">
        <v>30</v>
      </c>
      <c r="D32" s="1">
        <v>5.9</v>
      </c>
      <c r="E32" s="4">
        <f>_xlfn.XLOOKUP(bandera!C32,resource!$A$2:$A$5,resource!$B$2:$B$5,12.15,0)</f>
        <v>9.15</v>
      </c>
      <c r="F32" s="4">
        <f>177-23.79+10</f>
        <v>163.21</v>
      </c>
      <c r="G32" s="6">
        <f t="shared" si="63"/>
        <v>217.19500000000002</v>
      </c>
      <c r="H32" s="6">
        <f t="shared" si="64"/>
        <v>36.812711864406779</v>
      </c>
    </row>
    <row r="33" spans="1:12" hidden="1" x14ac:dyDescent="0.2">
      <c r="A33" s="13" t="str">
        <f t="shared" ref="A33:A41" si="65">TEXT(WEEKDAY(B33),"ddd")</f>
        <v>Thu</v>
      </c>
      <c r="B33" s="3">
        <v>44217</v>
      </c>
      <c r="C33" s="3" t="s">
        <v>30</v>
      </c>
      <c r="D33" s="1">
        <v>4.92</v>
      </c>
      <c r="E33" s="4">
        <f>_xlfn.XLOOKUP(bandera!C33,resource!$A$2:$A$5,resource!$B$2:$B$5,12.15,0)</f>
        <v>9.15</v>
      </c>
      <c r="F33" s="4">
        <f>75.82-10.68</f>
        <v>65.139999999999986</v>
      </c>
      <c r="G33" s="6">
        <f t="shared" ref="G33:G41" si="66">D33*E33+F33</f>
        <v>110.15799999999999</v>
      </c>
      <c r="H33" s="6">
        <f t="shared" ref="H33:H41" si="67">G33/D33</f>
        <v>22.389837398373981</v>
      </c>
    </row>
    <row r="34" spans="1:12" x14ac:dyDescent="0.2">
      <c r="A34" s="13" t="str">
        <f t="shared" si="65"/>
        <v>Fri</v>
      </c>
      <c r="B34" s="3">
        <v>44218</v>
      </c>
      <c r="C34" s="3" t="s">
        <v>30</v>
      </c>
      <c r="D34" s="1">
        <v>6.7</v>
      </c>
      <c r="E34" s="4">
        <f>_xlfn.XLOOKUP(bandera!C34,resource!$A$2:$A$5,resource!$B$2:$B$5,12.15,0)</f>
        <v>9.15</v>
      </c>
      <c r="F34" s="4">
        <f>196.59-26.54</f>
        <v>170.05</v>
      </c>
      <c r="G34" s="6">
        <f t="shared" si="66"/>
        <v>231.35500000000002</v>
      </c>
      <c r="H34" s="6">
        <f t="shared" si="67"/>
        <v>34.530597014925377</v>
      </c>
    </row>
    <row r="35" spans="1:12" hidden="1" x14ac:dyDescent="0.2">
      <c r="A35" s="13" t="str">
        <f t="shared" si="65"/>
        <v>Sat</v>
      </c>
      <c r="B35" s="3">
        <v>44219</v>
      </c>
      <c r="C35" s="3" t="s">
        <v>30</v>
      </c>
      <c r="D35" s="1">
        <v>6.88</v>
      </c>
      <c r="E35" s="4">
        <f>_xlfn.XLOOKUP(bandera!C35,resource!$A$2:$A$5,resource!$B$2:$B$5,12.15,0)</f>
        <v>9.15</v>
      </c>
      <c r="F35" s="4">
        <f>176.05-28.89+20</f>
        <v>167.16000000000003</v>
      </c>
      <c r="G35" s="6">
        <f t="shared" si="66"/>
        <v>230.11200000000002</v>
      </c>
      <c r="H35" s="6">
        <f t="shared" si="67"/>
        <v>33.446511627906979</v>
      </c>
      <c r="K35">
        <v>53</v>
      </c>
      <c r="L35">
        <f>K35/60</f>
        <v>0.8833333333333333</v>
      </c>
    </row>
    <row r="36" spans="1:12" hidden="1" x14ac:dyDescent="0.2">
      <c r="A36" s="13" t="str">
        <f t="shared" si="65"/>
        <v>Sun</v>
      </c>
      <c r="B36" s="3">
        <v>44220</v>
      </c>
      <c r="C36" s="3" t="s">
        <v>30</v>
      </c>
      <c r="D36" s="1">
        <v>5.68</v>
      </c>
      <c r="E36" s="4">
        <f>_xlfn.XLOOKUP(bandera!C36,resource!$A$2:$A$5,resource!$B$2:$B$5,12.15,0)</f>
        <v>9.15</v>
      </c>
      <c r="F36" s="4">
        <f>159.5</f>
        <v>159.5</v>
      </c>
      <c r="G36" s="6">
        <f t="shared" si="66"/>
        <v>211.47200000000001</v>
      </c>
      <c r="H36" s="6">
        <f t="shared" si="67"/>
        <v>37.230985915492958</v>
      </c>
    </row>
    <row r="37" spans="1:12" hidden="1" x14ac:dyDescent="0.2">
      <c r="A37" s="13" t="str">
        <f t="shared" si="65"/>
        <v>Mon</v>
      </c>
      <c r="B37" s="3">
        <v>44221</v>
      </c>
      <c r="C37" s="3" t="s">
        <v>30</v>
      </c>
      <c r="D37" s="1">
        <v>4.4800000000000004</v>
      </c>
      <c r="E37" s="4">
        <f>_xlfn.XLOOKUP(bandera!C37,resource!$A$2:$A$5,resource!$B$2:$B$5,12.15,0)</f>
        <v>9.15</v>
      </c>
      <c r="F37" s="4">
        <f>105-14.16</f>
        <v>90.84</v>
      </c>
      <c r="G37" s="6">
        <f t="shared" si="66"/>
        <v>131.83199999999999</v>
      </c>
      <c r="H37" s="6">
        <f t="shared" si="67"/>
        <v>29.42678571428571</v>
      </c>
    </row>
    <row r="38" spans="1:12" hidden="1" x14ac:dyDescent="0.2">
      <c r="A38" s="13" t="str">
        <f t="shared" si="65"/>
        <v>Wed</v>
      </c>
      <c r="B38" s="3">
        <v>44223</v>
      </c>
      <c r="C38" s="3" t="s">
        <v>30</v>
      </c>
      <c r="D38" s="1">
        <v>5.27</v>
      </c>
      <c r="E38" s="4">
        <f>_xlfn.XLOOKUP(bandera!C38,resource!$A$2:$A$5,resource!$B$2:$B$5,12.15,0)</f>
        <v>9.15</v>
      </c>
      <c r="F38" s="4">
        <f>101.5-14.57</f>
        <v>86.93</v>
      </c>
      <c r="G38" s="6">
        <f t="shared" si="66"/>
        <v>135.15050000000002</v>
      </c>
      <c r="H38" s="6">
        <f t="shared" si="67"/>
        <v>25.645256166982929</v>
      </c>
    </row>
    <row r="39" spans="1:12" x14ac:dyDescent="0.2">
      <c r="A39" s="13" t="str">
        <f t="shared" si="65"/>
        <v>Fri</v>
      </c>
      <c r="B39" s="3">
        <v>44225</v>
      </c>
      <c r="C39" s="3" t="s">
        <v>30</v>
      </c>
      <c r="D39" s="1">
        <v>6.77</v>
      </c>
      <c r="E39" s="4">
        <f>_xlfn.XLOOKUP(bandera!C39,resource!$A$2:$A$5,resource!$B$2:$B$5,12.15,0)</f>
        <v>9.15</v>
      </c>
      <c r="F39" s="4">
        <f>232.79-32.67</f>
        <v>200.12</v>
      </c>
      <c r="G39" s="6">
        <f t="shared" si="66"/>
        <v>262.06549999999999</v>
      </c>
      <c r="H39" s="6">
        <f t="shared" si="67"/>
        <v>38.709822747415068</v>
      </c>
    </row>
    <row r="40" spans="1:12" hidden="1" x14ac:dyDescent="0.2">
      <c r="A40" s="13" t="str">
        <f t="shared" si="65"/>
        <v>Sat</v>
      </c>
      <c r="B40" s="3">
        <v>44226</v>
      </c>
      <c r="C40" s="3" t="s">
        <v>30</v>
      </c>
      <c r="D40" s="1">
        <v>7.18</v>
      </c>
      <c r="E40" s="4">
        <f>_xlfn.XLOOKUP(bandera!C40,resource!$A$2:$A$5,resource!$B$2:$B$5,12.15,0)</f>
        <v>9.15</v>
      </c>
      <c r="F40" s="4">
        <f>285.27-38.42</f>
        <v>246.84999999999997</v>
      </c>
      <c r="G40" s="6">
        <f t="shared" si="66"/>
        <v>312.54699999999997</v>
      </c>
      <c r="H40" s="6">
        <f t="shared" si="67"/>
        <v>43.530222841225623</v>
      </c>
    </row>
    <row r="41" spans="1:12" hidden="1" x14ac:dyDescent="0.2">
      <c r="A41" s="13" t="str">
        <f t="shared" si="65"/>
        <v>Sun</v>
      </c>
      <c r="B41" s="3">
        <v>44227</v>
      </c>
      <c r="C41" s="3" t="s">
        <v>30</v>
      </c>
      <c r="D41" s="1">
        <v>5.83</v>
      </c>
      <c r="E41" s="4">
        <f>_xlfn.XLOOKUP(bandera!C41,resource!$A$2:$A$5,resource!$B$2:$B$5,12.15,0)</f>
        <v>9.15</v>
      </c>
      <c r="F41" s="4">
        <f>88.6-17.22+30</f>
        <v>101.38</v>
      </c>
      <c r="G41" s="6">
        <f t="shared" si="66"/>
        <v>154.72450000000001</v>
      </c>
      <c r="H41" s="6">
        <f t="shared" si="67"/>
        <v>26.539365351629502</v>
      </c>
    </row>
    <row r="42" spans="1:12" hidden="1" x14ac:dyDescent="0.2">
      <c r="A42" s="13" t="str">
        <f t="shared" ref="A42" si="68">TEXT(WEEKDAY(B42),"ddd")</f>
        <v>Mon</v>
      </c>
      <c r="B42" s="3">
        <v>44228</v>
      </c>
      <c r="C42" s="3" t="s">
        <v>33</v>
      </c>
    </row>
    <row r="43" spans="1:12" hidden="1" x14ac:dyDescent="0.2">
      <c r="A43" s="13" t="str">
        <f t="shared" ref="A43:A48" si="69">TEXT(WEEKDAY(B43),"ddd")</f>
        <v>Sat</v>
      </c>
      <c r="B43" s="3">
        <v>44233</v>
      </c>
      <c r="C43" s="3" t="s">
        <v>30</v>
      </c>
      <c r="D43" s="1">
        <v>7.5</v>
      </c>
      <c r="E43" s="4">
        <f>_xlfn.XLOOKUP(bandera!C43,resource!$A$2:$A$5,resource!$B$2:$B$5,12.15,0)</f>
        <v>9.15</v>
      </c>
      <c r="F43" s="4">
        <f>184-32.67+24</f>
        <v>175.32999999999998</v>
      </c>
      <c r="G43" s="6">
        <f t="shared" ref="G43" si="70">D43*E43+F43</f>
        <v>243.95499999999998</v>
      </c>
      <c r="H43" s="6">
        <f t="shared" ref="H43" si="71">G43/D43</f>
        <v>32.527333333333331</v>
      </c>
    </row>
    <row r="44" spans="1:12" hidden="1" x14ac:dyDescent="0.2">
      <c r="A44" s="13" t="str">
        <f t="shared" si="69"/>
        <v>Sun</v>
      </c>
      <c r="B44" s="3">
        <v>44234</v>
      </c>
      <c r="C44" s="3" t="s">
        <v>30</v>
      </c>
      <c r="D44" s="1">
        <v>5.23</v>
      </c>
      <c r="E44" s="4">
        <f>_xlfn.XLOOKUP(bandera!C44,resource!$A$2:$A$5,resource!$B$2:$B$5,12.15,0)</f>
        <v>9.15</v>
      </c>
      <c r="F44" s="4">
        <f>68.6-10.22+4</f>
        <v>62.379999999999995</v>
      </c>
      <c r="G44" s="6">
        <f t="shared" ref="G44:G48" si="72">D44*E44+F44</f>
        <v>110.2345</v>
      </c>
      <c r="H44" s="6">
        <f t="shared" ref="H44:H48" si="73">G44/D44</f>
        <v>21.077342256214148</v>
      </c>
    </row>
    <row r="45" spans="1:12" hidden="1" x14ac:dyDescent="0.2">
      <c r="A45" s="13" t="str">
        <f t="shared" si="69"/>
        <v>Wed</v>
      </c>
      <c r="B45" s="3">
        <v>44237</v>
      </c>
      <c r="C45" s="3" t="s">
        <v>30</v>
      </c>
      <c r="D45" s="1">
        <v>4.83</v>
      </c>
      <c r="E45" s="4">
        <f>_xlfn.XLOOKUP(bandera!C45,resource!$A$2:$A$5,resource!$B$2:$B$5,12.15,0)</f>
        <v>9.15</v>
      </c>
      <c r="F45" s="4">
        <f>179.09-22.23</f>
        <v>156.86000000000001</v>
      </c>
      <c r="G45" s="6">
        <f t="shared" si="72"/>
        <v>201.05450000000002</v>
      </c>
      <c r="H45" s="6">
        <f t="shared" si="73"/>
        <v>41.62619047619048</v>
      </c>
    </row>
    <row r="46" spans="1:12" x14ac:dyDescent="0.2">
      <c r="A46" s="13" t="str">
        <f t="shared" si="69"/>
        <v>Fri</v>
      </c>
      <c r="B46" s="3">
        <v>44239</v>
      </c>
      <c r="C46" s="3" t="s">
        <v>30</v>
      </c>
      <c r="D46" s="1">
        <v>6.95</v>
      </c>
      <c r="E46" s="4">
        <f>_xlfn.XLOOKUP(bandera!C46,resource!$A$2:$A$5,resource!$B$2:$B$5,12.15,0)</f>
        <v>9.15</v>
      </c>
      <c r="F46" s="4">
        <f>228.9-32.75</f>
        <v>196.15</v>
      </c>
      <c r="G46" s="6">
        <f t="shared" si="72"/>
        <v>259.74250000000001</v>
      </c>
      <c r="H46" s="6">
        <f t="shared" si="73"/>
        <v>37.373021582733813</v>
      </c>
    </row>
    <row r="47" spans="1:12" hidden="1" x14ac:dyDescent="0.2">
      <c r="A47" s="13" t="str">
        <f t="shared" si="69"/>
        <v>Sat</v>
      </c>
      <c r="B47" s="3">
        <v>44240</v>
      </c>
      <c r="C47" s="3" t="s">
        <v>30</v>
      </c>
      <c r="D47" s="1">
        <v>6.82</v>
      </c>
      <c r="E47" s="4">
        <f>_xlfn.XLOOKUP(bandera!C47,resource!$A$2:$A$5,resource!$B$2:$B$5,12.15,0)</f>
        <v>9.15</v>
      </c>
      <c r="F47" s="4">
        <f>269.5-40.85+10</f>
        <v>238.65</v>
      </c>
      <c r="G47" s="6">
        <f t="shared" si="72"/>
        <v>301.053</v>
      </c>
      <c r="H47" s="6">
        <f t="shared" si="73"/>
        <v>44.142668621700878</v>
      </c>
    </row>
    <row r="48" spans="1:12" hidden="1" x14ac:dyDescent="0.2">
      <c r="A48" s="13" t="str">
        <f t="shared" si="69"/>
        <v>Sun</v>
      </c>
      <c r="B48" s="3">
        <v>44241</v>
      </c>
      <c r="C48" s="3" t="s">
        <v>28</v>
      </c>
      <c r="D48" s="1">
        <v>5.05</v>
      </c>
      <c r="E48" s="4">
        <f>_xlfn.XLOOKUP(bandera!C48,resource!$A$2:$A$5,resource!$B$2:$B$5,12.15,0)</f>
        <v>15</v>
      </c>
      <c r="F48" s="4">
        <v>0</v>
      </c>
      <c r="G48" s="6">
        <f t="shared" si="72"/>
        <v>75.75</v>
      </c>
      <c r="H48" s="6">
        <f t="shared" si="73"/>
        <v>15</v>
      </c>
    </row>
  </sheetData>
  <autoFilter ref="A1:H48" xr:uid="{0530B3BA-0B89-694D-999E-3A3239D630A5}">
    <filterColumn colId="0">
      <filters>
        <filter val="Fri"/>
      </filters>
    </filterColumn>
  </autoFilter>
  <conditionalFormatting sqref="F49:F1048576 F7:F28 F1 F30:F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H28 H30:H4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1720-BEC6-1745-8F7D-EC6580F7F4D9}">
  <dimension ref="A1:C5"/>
  <sheetViews>
    <sheetView zoomScale="150" workbookViewId="0">
      <selection activeCell="C26" sqref="C26"/>
    </sheetView>
  </sheetViews>
  <sheetFormatPr baseColWidth="10" defaultRowHeight="16" x14ac:dyDescent="0.2"/>
  <cols>
    <col min="1" max="3" width="10.83203125" style="1"/>
  </cols>
  <sheetData>
    <row r="1" spans="1:3" s="2" customFormat="1" x14ac:dyDescent="0.2">
      <c r="A1" s="2" t="s">
        <v>25</v>
      </c>
      <c r="B1" s="2" t="s">
        <v>26</v>
      </c>
      <c r="C1" s="2" t="s">
        <v>27</v>
      </c>
    </row>
    <row r="2" spans="1:3" x14ac:dyDescent="0.2">
      <c r="A2" s="1" t="s">
        <v>30</v>
      </c>
      <c r="B2" s="4">
        <v>9.15</v>
      </c>
      <c r="C2" s="1">
        <v>1</v>
      </c>
    </row>
    <row r="3" spans="1:3" x14ac:dyDescent="0.2">
      <c r="A3" s="1" t="s">
        <v>28</v>
      </c>
      <c r="B3" s="4">
        <v>15</v>
      </c>
      <c r="C3" s="1">
        <v>1</v>
      </c>
    </row>
    <row r="4" spans="1:3" x14ac:dyDescent="0.2">
      <c r="A4" s="1" t="s">
        <v>29</v>
      </c>
      <c r="B4" s="4">
        <v>12</v>
      </c>
      <c r="C4" s="1">
        <v>0</v>
      </c>
    </row>
    <row r="5" spans="1:3" x14ac:dyDescent="0.2">
      <c r="A5" s="1" t="s">
        <v>31</v>
      </c>
      <c r="B5" s="4">
        <v>12.15</v>
      </c>
      <c r="C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9F1F-9C06-E544-BD70-334D04F8658B}">
  <dimension ref="A1:G7"/>
  <sheetViews>
    <sheetView zoomScale="138" workbookViewId="0">
      <selection activeCell="E40" sqref="E40"/>
    </sheetView>
  </sheetViews>
  <sheetFormatPr baseColWidth="10" defaultRowHeight="16" x14ac:dyDescent="0.2"/>
  <sheetData>
    <row r="1" spans="1:7" x14ac:dyDescent="0.2">
      <c r="A1" t="s">
        <v>11</v>
      </c>
      <c r="B1" t="s">
        <v>1</v>
      </c>
      <c r="C1" t="s">
        <v>2</v>
      </c>
      <c r="D1" t="s">
        <v>6</v>
      </c>
      <c r="E1" t="s">
        <v>0</v>
      </c>
      <c r="F1" t="s">
        <v>4</v>
      </c>
      <c r="G1" t="s">
        <v>5</v>
      </c>
    </row>
    <row r="2" spans="1:7" x14ac:dyDescent="0.2">
      <c r="A2" t="s">
        <v>18</v>
      </c>
      <c r="B2" s="18">
        <v>44227</v>
      </c>
      <c r="C2">
        <v>5.83</v>
      </c>
      <c r="D2">
        <v>9.15</v>
      </c>
      <c r="E2">
        <v>101.38</v>
      </c>
      <c r="F2">
        <v>154.72450000000001</v>
      </c>
      <c r="G2">
        <v>26.539365351629502</v>
      </c>
    </row>
    <row r="3" spans="1:7" x14ac:dyDescent="0.2">
      <c r="A3" t="s">
        <v>18</v>
      </c>
      <c r="B3" s="18">
        <v>44220</v>
      </c>
      <c r="C3">
        <v>5.68</v>
      </c>
      <c r="D3">
        <v>9.15</v>
      </c>
      <c r="E3">
        <v>159.5</v>
      </c>
      <c r="F3">
        <v>211.47200000000001</v>
      </c>
      <c r="G3">
        <v>37.230985915492958</v>
      </c>
    </row>
    <row r="4" spans="1:7" x14ac:dyDescent="0.2">
      <c r="A4" t="s">
        <v>18</v>
      </c>
      <c r="B4" s="18">
        <v>44213</v>
      </c>
      <c r="C4">
        <v>6.23</v>
      </c>
      <c r="D4">
        <v>9.15</v>
      </c>
      <c r="E4">
        <v>74.460000000000008</v>
      </c>
      <c r="F4">
        <v>131.46450000000002</v>
      </c>
      <c r="G4">
        <v>21.101845906902089</v>
      </c>
    </row>
    <row r="5" spans="1:7" x14ac:dyDescent="0.2">
      <c r="A5" t="s">
        <v>18</v>
      </c>
      <c r="B5" s="18">
        <v>44206</v>
      </c>
      <c r="C5">
        <v>5.4</v>
      </c>
      <c r="D5">
        <v>9.15</v>
      </c>
      <c r="E5">
        <v>77.990000000000009</v>
      </c>
      <c r="F5">
        <v>127.4</v>
      </c>
      <c r="G5">
        <v>23.592592592592592</v>
      </c>
    </row>
    <row r="6" spans="1:7" x14ac:dyDescent="0.2">
      <c r="A6" t="s">
        <v>18</v>
      </c>
      <c r="B6" s="18">
        <v>44199</v>
      </c>
      <c r="C6">
        <v>6.55</v>
      </c>
      <c r="D6">
        <v>9.15</v>
      </c>
      <c r="E6">
        <v>96.350000000000009</v>
      </c>
      <c r="F6">
        <v>156.2825</v>
      </c>
      <c r="G6">
        <v>23.859923664122139</v>
      </c>
    </row>
    <row r="7" spans="1:7" x14ac:dyDescent="0.2">
      <c r="A7" t="s">
        <v>18</v>
      </c>
      <c r="B7" s="18">
        <v>44192</v>
      </c>
      <c r="C7">
        <v>5.96</v>
      </c>
      <c r="D7">
        <v>9</v>
      </c>
      <c r="E7">
        <v>153.94</v>
      </c>
      <c r="F7">
        <v>207.57999999999998</v>
      </c>
      <c r="G7">
        <v>34.828859060402685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B3BA-EBF8-A541-897B-D6AD50688CC9}">
  <dimension ref="B2:F12"/>
  <sheetViews>
    <sheetView tabSelected="1" zoomScale="131" workbookViewId="0">
      <selection activeCell="C21" sqref="C21"/>
    </sheetView>
  </sheetViews>
  <sheetFormatPr baseColWidth="10" defaultRowHeight="16" x14ac:dyDescent="0.2"/>
  <cols>
    <col min="1" max="1" width="4.1640625" customWidth="1"/>
    <col min="2" max="2" width="13" bestFit="1" customWidth="1"/>
    <col min="3" max="3" width="12" bestFit="1" customWidth="1"/>
    <col min="4" max="4" width="15.33203125" bestFit="1" customWidth="1"/>
    <col min="5" max="5" width="16" bestFit="1" customWidth="1"/>
    <col min="6" max="6" width="20" bestFit="1" customWidth="1"/>
    <col min="7" max="7" width="5.1640625" bestFit="1" customWidth="1"/>
    <col min="8" max="8" width="3.1640625" bestFit="1" customWidth="1"/>
    <col min="9" max="9" width="6.1640625" bestFit="1" customWidth="1"/>
    <col min="10" max="10" width="8.1640625" bestFit="1" customWidth="1"/>
    <col min="11" max="11" width="9.1640625" bestFit="1" customWidth="1"/>
    <col min="12" max="12" width="6.1640625" bestFit="1" customWidth="1"/>
    <col min="13" max="14" width="9.1640625" bestFit="1" customWidth="1"/>
    <col min="15" max="15" width="8.1640625" bestFit="1" customWidth="1"/>
    <col min="16" max="16" width="9.1640625" bestFit="1" customWidth="1"/>
    <col min="17" max="17" width="7.1640625" bestFit="1" customWidth="1"/>
    <col min="18" max="18" width="9.1640625" bestFit="1" customWidth="1"/>
    <col min="19" max="19" width="7.1640625" bestFit="1" customWidth="1"/>
    <col min="20" max="23" width="9.1640625" bestFit="1" customWidth="1"/>
    <col min="24" max="25" width="8.1640625" bestFit="1" customWidth="1"/>
    <col min="26" max="26" width="7.1640625" bestFit="1" customWidth="1"/>
    <col min="27" max="27" width="8.1640625" bestFit="1" customWidth="1"/>
    <col min="28" max="28" width="9.1640625" bestFit="1" customWidth="1"/>
    <col min="29" max="29" width="7.1640625" bestFit="1" customWidth="1"/>
    <col min="30" max="31" width="8.1640625" bestFit="1" customWidth="1"/>
    <col min="32" max="33" width="7.1640625" bestFit="1" customWidth="1"/>
    <col min="34" max="34" width="8.1640625" bestFit="1" customWidth="1"/>
    <col min="35" max="35" width="9.1640625" bestFit="1" customWidth="1"/>
    <col min="36" max="36" width="8.1640625" bestFit="1" customWidth="1"/>
    <col min="37" max="37" width="7.1640625" bestFit="1" customWidth="1"/>
    <col min="38" max="40" width="8.1640625" bestFit="1" customWidth="1"/>
    <col min="41" max="42" width="9.1640625" bestFit="1" customWidth="1"/>
    <col min="43" max="43" width="7.1640625" bestFit="1" customWidth="1"/>
    <col min="44" max="44" width="9.1640625" bestFit="1" customWidth="1"/>
    <col min="45" max="46" width="8.1640625" bestFit="1" customWidth="1"/>
    <col min="47" max="47" width="7.1640625" bestFit="1" customWidth="1"/>
    <col min="48" max="48" width="8.1640625" bestFit="1" customWidth="1"/>
    <col min="49" max="49" width="7" bestFit="1" customWidth="1"/>
    <col min="50" max="50" width="11.1640625" bestFit="1" customWidth="1"/>
    <col min="51" max="70" width="12.1640625" bestFit="1" customWidth="1"/>
    <col min="71" max="71" width="16" bestFit="1" customWidth="1"/>
    <col min="72" max="72" width="12.1640625" bestFit="1" customWidth="1"/>
    <col min="73" max="73" width="11.1640625" bestFit="1" customWidth="1"/>
    <col min="74" max="104" width="12.1640625" bestFit="1" customWidth="1"/>
    <col min="105" max="105" width="17.33203125" bestFit="1" customWidth="1"/>
    <col min="106" max="106" width="19.1640625" bestFit="1" customWidth="1"/>
    <col min="107" max="107" width="21" bestFit="1" customWidth="1"/>
  </cols>
  <sheetData>
    <row r="2" spans="2:6" x14ac:dyDescent="0.2">
      <c r="B2" s="15" t="s">
        <v>32</v>
      </c>
      <c r="C2" t="s">
        <v>30</v>
      </c>
    </row>
    <row r="4" spans="2:6" x14ac:dyDescent="0.2">
      <c r="B4" s="15" t="s">
        <v>20</v>
      </c>
      <c r="C4" t="s">
        <v>19</v>
      </c>
      <c r="D4" s="7" t="s">
        <v>22</v>
      </c>
      <c r="E4" s="17" t="s">
        <v>23</v>
      </c>
      <c r="F4" s="19" t="s">
        <v>24</v>
      </c>
    </row>
    <row r="5" spans="2:6" x14ac:dyDescent="0.2">
      <c r="B5" s="16" t="s">
        <v>18</v>
      </c>
      <c r="C5" s="14">
        <v>7</v>
      </c>
      <c r="D5" s="7">
        <v>103.71428571428571</v>
      </c>
      <c r="E5" s="17">
        <v>5.8400000000000007</v>
      </c>
      <c r="F5" s="7">
        <v>26.890130678193735</v>
      </c>
    </row>
    <row r="6" spans="2:6" x14ac:dyDescent="0.2">
      <c r="B6" s="16" t="s">
        <v>12</v>
      </c>
      <c r="C6" s="14">
        <v>6</v>
      </c>
      <c r="D6" s="7">
        <v>128.63333333333335</v>
      </c>
      <c r="E6" s="17">
        <v>5.2516666666666669</v>
      </c>
      <c r="F6" s="7">
        <v>33.201728270567877</v>
      </c>
    </row>
    <row r="7" spans="2:6" x14ac:dyDescent="0.2">
      <c r="B7" s="16" t="s">
        <v>13</v>
      </c>
      <c r="C7" s="14">
        <v>1</v>
      </c>
      <c r="D7" s="7">
        <v>100.22</v>
      </c>
      <c r="E7" s="17">
        <v>4.7</v>
      </c>
      <c r="F7" s="7">
        <v>30.323404255319151</v>
      </c>
    </row>
    <row r="8" spans="2:6" x14ac:dyDescent="0.2">
      <c r="B8" s="16" t="s">
        <v>14</v>
      </c>
      <c r="C8" s="14">
        <v>6</v>
      </c>
      <c r="D8" s="7">
        <v>143.25166666666667</v>
      </c>
      <c r="E8" s="17">
        <v>4.8150000000000004</v>
      </c>
      <c r="F8" s="7">
        <v>38.844216360349286</v>
      </c>
    </row>
    <row r="9" spans="2:6" x14ac:dyDescent="0.2">
      <c r="B9" s="16" t="s">
        <v>15</v>
      </c>
      <c r="C9" s="14">
        <v>5</v>
      </c>
      <c r="D9" s="7">
        <v>147.05199999999999</v>
      </c>
      <c r="E9" s="17">
        <v>5.9520000000000008</v>
      </c>
      <c r="F9" s="7">
        <v>33.309476073167922</v>
      </c>
    </row>
    <row r="10" spans="2:6" x14ac:dyDescent="0.2">
      <c r="B10" s="16" t="s">
        <v>16</v>
      </c>
      <c r="C10" s="14">
        <v>6</v>
      </c>
      <c r="D10" s="7">
        <v>164.38333333333335</v>
      </c>
      <c r="E10" s="17">
        <v>6.8500000000000014</v>
      </c>
      <c r="F10" s="7">
        <v>33.175560086336297</v>
      </c>
    </row>
    <row r="11" spans="2:6" x14ac:dyDescent="0.2">
      <c r="B11" s="16" t="s">
        <v>17</v>
      </c>
      <c r="C11" s="14">
        <v>8</v>
      </c>
      <c r="D11" s="7">
        <v>199.67749999999998</v>
      </c>
      <c r="E11" s="17">
        <v>6.9124999999999996</v>
      </c>
      <c r="F11" s="7">
        <v>38.024207110626179</v>
      </c>
    </row>
    <row r="12" spans="2:6" x14ac:dyDescent="0.2">
      <c r="B12" s="16" t="s">
        <v>21</v>
      </c>
      <c r="C12" s="14">
        <v>39</v>
      </c>
      <c r="D12" s="7">
        <v>148.11564102564103</v>
      </c>
      <c r="E12" s="17">
        <v>5.9523076923076923</v>
      </c>
      <c r="F12" s="7">
        <v>33.862163706590906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061D-2D24-8748-8469-9C5A1E16BA73}">
  <dimension ref="A1:I8"/>
  <sheetViews>
    <sheetView zoomScale="200" workbookViewId="0">
      <selection activeCell="E14" sqref="E14"/>
    </sheetView>
  </sheetViews>
  <sheetFormatPr baseColWidth="10" defaultRowHeight="16" x14ac:dyDescent="0.2"/>
  <cols>
    <col min="1" max="2" width="10.83203125" style="1"/>
    <col min="3" max="3" width="10.83203125" style="4"/>
    <col min="4" max="4" width="11" style="4" customWidth="1"/>
    <col min="5" max="6" width="10.83203125" style="6"/>
  </cols>
  <sheetData>
    <row r="1" spans="1:9" ht="26" customHeight="1" x14ac:dyDescent="0.2">
      <c r="A1" s="2" t="s">
        <v>1</v>
      </c>
      <c r="B1" s="2" t="s">
        <v>2</v>
      </c>
      <c r="C1" s="5" t="s">
        <v>0</v>
      </c>
      <c r="D1" s="5" t="s">
        <v>3</v>
      </c>
      <c r="E1" s="5" t="s">
        <v>4</v>
      </c>
      <c r="F1" s="5" t="s">
        <v>5</v>
      </c>
    </row>
    <row r="2" spans="1:9" x14ac:dyDescent="0.2">
      <c r="A2" s="3">
        <v>44175</v>
      </c>
      <c r="B2" s="1">
        <v>2.57</v>
      </c>
      <c r="C2" s="4">
        <v>0</v>
      </c>
      <c r="D2" s="4">
        <v>0</v>
      </c>
      <c r="E2" s="6">
        <f>C2-D2+(B2*9)</f>
        <v>23.13</v>
      </c>
      <c r="F2" s="6">
        <f>E2/B2</f>
        <v>9</v>
      </c>
    </row>
    <row r="3" spans="1:9" x14ac:dyDescent="0.2">
      <c r="A3" s="3">
        <v>44179</v>
      </c>
      <c r="B3" s="1">
        <v>3.83</v>
      </c>
      <c r="C3" s="4">
        <v>0</v>
      </c>
      <c r="D3" s="4">
        <v>0</v>
      </c>
      <c r="E3" s="6">
        <f t="shared" ref="E3:E5" si="0">C3-D3+(B3*9)</f>
        <v>34.47</v>
      </c>
      <c r="F3" s="6">
        <f t="shared" ref="F3:F5" si="1">E3/B3</f>
        <v>9</v>
      </c>
    </row>
    <row r="4" spans="1:9" x14ac:dyDescent="0.2">
      <c r="A4" s="3">
        <v>44181</v>
      </c>
      <c r="B4" s="1">
        <v>4.47</v>
      </c>
      <c r="C4" s="4">
        <v>51</v>
      </c>
      <c r="D4" s="4">
        <v>10</v>
      </c>
      <c r="E4" s="6">
        <f t="shared" si="0"/>
        <v>81.22999999999999</v>
      </c>
      <c r="F4" s="6">
        <f t="shared" si="1"/>
        <v>18.172259507829978</v>
      </c>
      <c r="H4">
        <v>15</v>
      </c>
      <c r="I4" s="7">
        <f>D4/H4</f>
        <v>0.66666666666666663</v>
      </c>
    </row>
    <row r="5" spans="1:9" x14ac:dyDescent="0.2">
      <c r="A5" s="3">
        <v>44182</v>
      </c>
      <c r="B5" s="1">
        <v>3.88</v>
      </c>
      <c r="C5" s="4">
        <v>35.659999999999997</v>
      </c>
      <c r="D5" s="4">
        <v>10</v>
      </c>
      <c r="E5" s="6">
        <f t="shared" si="0"/>
        <v>60.58</v>
      </c>
      <c r="F5" s="6">
        <f t="shared" si="1"/>
        <v>15.61340206185567</v>
      </c>
      <c r="H5">
        <v>8</v>
      </c>
      <c r="I5" s="7">
        <f>D5/H5</f>
        <v>1.25</v>
      </c>
    </row>
    <row r="6" spans="1:9" x14ac:dyDescent="0.2">
      <c r="A6" s="3">
        <v>44183</v>
      </c>
      <c r="B6" s="1">
        <v>4.8</v>
      </c>
      <c r="C6" s="4">
        <v>79.64</v>
      </c>
      <c r="D6" s="4">
        <v>10</v>
      </c>
      <c r="E6" s="6">
        <f t="shared" ref="E6:E8" si="2">C6-D6+(B6*9)</f>
        <v>112.84</v>
      </c>
      <c r="F6" s="6">
        <f t="shared" ref="F6:F8" si="3">E6/B6</f>
        <v>23.508333333333336</v>
      </c>
    </row>
    <row r="7" spans="1:9" x14ac:dyDescent="0.2">
      <c r="A7" s="3">
        <v>44186</v>
      </c>
      <c r="B7" s="1">
        <v>4.3</v>
      </c>
      <c r="C7" s="4">
        <v>47.17</v>
      </c>
      <c r="D7" s="4">
        <v>10</v>
      </c>
      <c r="E7" s="6">
        <f t="shared" si="2"/>
        <v>75.87</v>
      </c>
      <c r="F7" s="6">
        <f t="shared" si="3"/>
        <v>17.644186046511631</v>
      </c>
      <c r="H7" s="7">
        <f>SUM(B:B)*9+SUM(C:C)-SUM(D:D)</f>
        <v>479.53999999999996</v>
      </c>
      <c r="I7" s="7">
        <f>H7/SUM(B:B)</f>
        <v>16.808271994391866</v>
      </c>
    </row>
    <row r="8" spans="1:9" x14ac:dyDescent="0.2">
      <c r="A8" s="3">
        <v>44187</v>
      </c>
      <c r="B8" s="1">
        <v>4.68</v>
      </c>
      <c r="C8" s="4">
        <v>59.3</v>
      </c>
      <c r="D8" s="4">
        <v>10</v>
      </c>
      <c r="E8" s="6">
        <f t="shared" si="2"/>
        <v>91.419999999999987</v>
      </c>
      <c r="F8" s="6">
        <f t="shared" si="3"/>
        <v>19.534188034188034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B3D7-EDBB-844B-AC68-06D78E79F1CC}">
  <dimension ref="A1:L17"/>
  <sheetViews>
    <sheetView zoomScale="142" workbookViewId="0">
      <selection activeCell="M14" sqref="M14"/>
    </sheetView>
  </sheetViews>
  <sheetFormatPr baseColWidth="10" defaultRowHeight="16" x14ac:dyDescent="0.2"/>
  <cols>
    <col min="1" max="1" width="3.6640625" customWidth="1"/>
    <col min="2" max="5" width="10.83203125" style="1"/>
  </cols>
  <sheetData>
    <row r="1" spans="1:12" x14ac:dyDescent="0.2">
      <c r="A1" s="10" t="s">
        <v>9</v>
      </c>
      <c r="B1" s="10" t="s">
        <v>1</v>
      </c>
      <c r="C1" s="10" t="s">
        <v>7</v>
      </c>
      <c r="D1" s="10" t="s">
        <v>8</v>
      </c>
      <c r="E1" s="10" t="s">
        <v>2</v>
      </c>
      <c r="F1" s="10" t="s">
        <v>7</v>
      </c>
      <c r="G1" s="10" t="s">
        <v>8</v>
      </c>
      <c r="H1" s="10" t="s">
        <v>4</v>
      </c>
      <c r="I1" s="10" t="s">
        <v>5</v>
      </c>
    </row>
    <row r="2" spans="1:12" x14ac:dyDescent="0.2">
      <c r="A2">
        <f t="shared" ref="A2:A10" si="0">WEEKNUM(B2,2)</f>
        <v>50</v>
      </c>
      <c r="B2" s="11">
        <v>44175</v>
      </c>
      <c r="C2" s="12">
        <f>IFERROR(VLOOKUP(B2,rosas!A$1:F$100,2, FALSE), 0)</f>
        <v>2.57</v>
      </c>
      <c r="D2" s="12">
        <f>IFERROR(VLOOKUP(B2,bandera!B$1:H$85,2, FALSE), 0)</f>
        <v>0</v>
      </c>
      <c r="E2" s="10">
        <f>C2+D2</f>
        <v>2.57</v>
      </c>
      <c r="F2" s="6">
        <f>IFERROR(VLOOKUP(B2,rosas!A$1:F$100,5, FALSE), 0)</f>
        <v>23.13</v>
      </c>
      <c r="G2" s="6">
        <f>IFERROR(VLOOKUP(B2,bandera!B$1:H$85,5, FALSE), 0)</f>
        <v>0</v>
      </c>
      <c r="H2" s="7">
        <f>SUM(F2:G2)</f>
        <v>23.13</v>
      </c>
      <c r="I2" s="7">
        <f>H2/E2</f>
        <v>9</v>
      </c>
    </row>
    <row r="3" spans="1:12" x14ac:dyDescent="0.2">
      <c r="A3">
        <f t="shared" si="0"/>
        <v>51</v>
      </c>
      <c r="B3" s="3">
        <v>44179</v>
      </c>
      <c r="C3" s="12">
        <f>IFERROR(VLOOKUP(B3,rosas!A$1:F$100,2, FALSE), 0)</f>
        <v>3.83</v>
      </c>
      <c r="D3" s="12" t="str">
        <f>IFERROR(VLOOKUP(B3,bandera!B$1:H$85,2, FALSE), 0)</f>
        <v>Server Train</v>
      </c>
      <c r="E3" s="10" t="e">
        <f t="shared" ref="E3:E10" si="1">C3+D3</f>
        <v>#VALUE!</v>
      </c>
      <c r="F3" s="6">
        <f>IFERROR(VLOOKUP(B3,rosas!A$1:F$100,5, FALSE), 0)</f>
        <v>34.47</v>
      </c>
      <c r="G3" s="6">
        <f>IFERROR(VLOOKUP(B3,bandera!B$1:H$85,5, FALSE), 0)</f>
        <v>0</v>
      </c>
      <c r="H3" s="7">
        <f t="shared" ref="H3:H7" si="2">SUM(F3:G3)</f>
        <v>34.47</v>
      </c>
      <c r="I3" s="7" t="e">
        <f t="shared" ref="I3:I10" si="3">H3/E3</f>
        <v>#VALUE!</v>
      </c>
    </row>
    <row r="4" spans="1:12" x14ac:dyDescent="0.2">
      <c r="A4">
        <f t="shared" si="0"/>
        <v>51</v>
      </c>
      <c r="B4" s="3">
        <v>44180</v>
      </c>
      <c r="C4" s="12">
        <f>IFERROR(VLOOKUP(B4,rosas!A$1:F$100,2, FALSE), 0)</f>
        <v>0</v>
      </c>
      <c r="D4" s="12" t="str">
        <f>IFERROR(VLOOKUP(B4,bandera!B$1:H$85,2, FALSE), 0)</f>
        <v>Server Train</v>
      </c>
      <c r="E4" s="10" t="e">
        <f t="shared" si="1"/>
        <v>#VALUE!</v>
      </c>
      <c r="F4" s="6">
        <f>IFERROR(VLOOKUP(B4,rosas!A$1:F$100,5, FALSE), 0)</f>
        <v>0</v>
      </c>
      <c r="G4" s="6">
        <f>IFERROR(VLOOKUP(B4,bandera!B$1:H$85,5, FALSE), 0)</f>
        <v>0</v>
      </c>
      <c r="H4" s="7">
        <f t="shared" si="2"/>
        <v>0</v>
      </c>
      <c r="I4" s="7" t="e">
        <f t="shared" si="3"/>
        <v>#VALUE!</v>
      </c>
    </row>
    <row r="5" spans="1:12" x14ac:dyDescent="0.2">
      <c r="A5">
        <f t="shared" si="0"/>
        <v>51</v>
      </c>
      <c r="B5" s="3">
        <v>44181</v>
      </c>
      <c r="C5" s="12">
        <f>IFERROR(VLOOKUP(B5,rosas!A$1:F$100,2, FALSE), 0)</f>
        <v>4.47</v>
      </c>
      <c r="D5" s="12">
        <f>IFERROR(VLOOKUP(B5,bandera!B$1:H$85,2, FALSE), 0)</f>
        <v>0</v>
      </c>
      <c r="E5" s="10">
        <f t="shared" si="1"/>
        <v>4.47</v>
      </c>
      <c r="F5" s="6">
        <f>IFERROR(VLOOKUP(B5,rosas!A$1:F$100,5, FALSE), 0)</f>
        <v>81.22999999999999</v>
      </c>
      <c r="G5" s="6">
        <f>IFERROR(VLOOKUP(B5,bandera!B$1:H$85,5, FALSE), 0)</f>
        <v>0</v>
      </c>
      <c r="H5" s="7">
        <f t="shared" si="2"/>
        <v>81.22999999999999</v>
      </c>
      <c r="I5" s="7">
        <f t="shared" si="3"/>
        <v>18.172259507829978</v>
      </c>
    </row>
    <row r="6" spans="1:12" x14ac:dyDescent="0.2">
      <c r="A6">
        <f t="shared" si="0"/>
        <v>51</v>
      </c>
      <c r="B6" s="3">
        <v>44182</v>
      </c>
      <c r="C6" s="12">
        <f>IFERROR(VLOOKUP(B6,rosas!A$1:F$100,2, FALSE), 0)</f>
        <v>3.88</v>
      </c>
      <c r="D6" s="12" t="str">
        <f>IFERROR(VLOOKUP(B6,bandera!B$1:H$85,2, FALSE), 0)</f>
        <v>Server Train</v>
      </c>
      <c r="E6" s="10" t="e">
        <f t="shared" si="1"/>
        <v>#VALUE!</v>
      </c>
      <c r="F6" s="6">
        <f>IFERROR(VLOOKUP(B6,rosas!A$1:F$100,5, FALSE), 0)</f>
        <v>60.58</v>
      </c>
      <c r="G6" s="6">
        <f>IFERROR(VLOOKUP(B6,bandera!B$1:H$85,5, FALSE), 0)</f>
        <v>0</v>
      </c>
      <c r="H6" s="7">
        <f t="shared" si="2"/>
        <v>60.58</v>
      </c>
      <c r="I6" s="7" t="e">
        <f t="shared" si="3"/>
        <v>#VALUE!</v>
      </c>
    </row>
    <row r="7" spans="1:12" x14ac:dyDescent="0.2">
      <c r="A7">
        <f t="shared" si="0"/>
        <v>51</v>
      </c>
      <c r="B7" s="3">
        <v>44183</v>
      </c>
      <c r="C7" s="12">
        <f>IFERROR(VLOOKUP(B7,rosas!A$1:F$100,2, FALSE), 0)</f>
        <v>4.8</v>
      </c>
      <c r="D7" s="12">
        <f>IFERROR(VLOOKUP(B7,bandera!B$1:H$85,2, FALSE), 0)</f>
        <v>0</v>
      </c>
      <c r="E7" s="10">
        <f t="shared" si="1"/>
        <v>4.8</v>
      </c>
      <c r="F7" s="6">
        <f>IFERROR(VLOOKUP(B7,rosas!A$1:F$100,5, FALSE), 0)</f>
        <v>112.84</v>
      </c>
      <c r="G7" s="6">
        <f>IFERROR(VLOOKUP(B7,bandera!B$1:H$85,5, FALSE), 0)</f>
        <v>0</v>
      </c>
      <c r="H7" s="7">
        <f t="shared" si="2"/>
        <v>112.84</v>
      </c>
      <c r="I7" s="7">
        <f t="shared" si="3"/>
        <v>23.508333333333336</v>
      </c>
    </row>
    <row r="8" spans="1:12" x14ac:dyDescent="0.2">
      <c r="A8">
        <f t="shared" si="0"/>
        <v>51</v>
      </c>
      <c r="B8" s="3">
        <v>44184</v>
      </c>
      <c r="C8" s="12">
        <f>IFERROR(VLOOKUP(B8,rosas!A$1:F$100,2, FALSE), 0)</f>
        <v>0</v>
      </c>
      <c r="D8" s="12" t="str">
        <f>IFERROR(VLOOKUP(B8,bandera!B$1:H$85,2, FALSE), 0)</f>
        <v>Server Train</v>
      </c>
      <c r="E8" s="10" t="e">
        <f t="shared" si="1"/>
        <v>#VALUE!</v>
      </c>
      <c r="F8" s="6">
        <f>IFERROR(VLOOKUP(B8,rosas!A$1:F$100,5, FALSE), 0)</f>
        <v>0</v>
      </c>
      <c r="G8" s="6">
        <f>IFERROR(VLOOKUP(B8,bandera!B$1:H$85,5, FALSE), 0)</f>
        <v>0</v>
      </c>
      <c r="H8" s="7">
        <f t="shared" ref="H8:H9" si="4">SUM(F8:G8)</f>
        <v>0</v>
      </c>
      <c r="I8" s="7" t="e">
        <f t="shared" si="3"/>
        <v>#VALUE!</v>
      </c>
    </row>
    <row r="9" spans="1:12" x14ac:dyDescent="0.2">
      <c r="A9">
        <f t="shared" si="0"/>
        <v>51</v>
      </c>
      <c r="B9" s="3">
        <v>44185</v>
      </c>
      <c r="C9" s="12">
        <f>IFERROR(VLOOKUP(B9,rosas!A$1:F$100,2, FALSE), 0)</f>
        <v>0</v>
      </c>
      <c r="D9" s="12" t="str">
        <f>IFERROR(VLOOKUP(B9,bandera!B$1:H$85,2, FALSE), 0)</f>
        <v>Server Train</v>
      </c>
      <c r="E9" s="10" t="e">
        <f t="shared" si="1"/>
        <v>#VALUE!</v>
      </c>
      <c r="F9" s="6">
        <f>IFERROR(VLOOKUP(B9,rosas!A$1:F$100,5, FALSE), 0)</f>
        <v>0</v>
      </c>
      <c r="G9" s="6">
        <f>IFERROR(VLOOKUP(B9,bandera!B$1:H$85,5, FALSE), 0)</f>
        <v>0</v>
      </c>
      <c r="H9" s="7">
        <f t="shared" si="4"/>
        <v>0</v>
      </c>
      <c r="I9" s="7" t="e">
        <f t="shared" si="3"/>
        <v>#VALUE!</v>
      </c>
      <c r="J9" t="e">
        <f>SUM(E3:E9)</f>
        <v>#VALUE!</v>
      </c>
      <c r="K9" s="7">
        <f>SUM(H3:H9)</f>
        <v>289.12</v>
      </c>
      <c r="L9" s="7" t="e">
        <f>K9/J9</f>
        <v>#VALUE!</v>
      </c>
    </row>
    <row r="10" spans="1:12" x14ac:dyDescent="0.2">
      <c r="A10">
        <f t="shared" si="0"/>
        <v>52</v>
      </c>
      <c r="B10" s="3">
        <v>44186</v>
      </c>
      <c r="C10" s="12">
        <f>IFERROR(VLOOKUP(B10,rosas!A$1:F$100,2, FALSE), 0)</f>
        <v>4.3</v>
      </c>
      <c r="D10" s="12" t="str">
        <f>IFERROR(VLOOKUP(B10,bandera!B$1:H$85,2, FALSE), 0)</f>
        <v>Server</v>
      </c>
      <c r="E10" s="10" t="e">
        <f t="shared" si="1"/>
        <v>#VALUE!</v>
      </c>
      <c r="F10" s="6">
        <f>IFERROR(VLOOKUP(B10,rosas!A$1:F$100,5, FALSE), 0)</f>
        <v>75.87</v>
      </c>
      <c r="G10" s="6">
        <f>IFERROR(VLOOKUP(B10,bandera!B$1:H$85,5, FALSE), 0)</f>
        <v>103.99</v>
      </c>
      <c r="H10" s="7">
        <f>SUM(F10:G10)</f>
        <v>179.86</v>
      </c>
      <c r="I10" s="7" t="e">
        <f t="shared" si="3"/>
        <v>#VALUE!</v>
      </c>
    </row>
    <row r="11" spans="1:12" x14ac:dyDescent="0.2">
      <c r="A11">
        <f t="shared" ref="A11:A17" si="5">WEEKNUM(B11,2)</f>
        <v>52</v>
      </c>
      <c r="B11" s="3">
        <v>44187</v>
      </c>
      <c r="C11" s="12">
        <f>IFERROR(VLOOKUP(B11,rosas!A$1:F$100,2, FALSE), 0)</f>
        <v>4.68</v>
      </c>
      <c r="D11" s="12" t="str">
        <f>IFERROR(VLOOKUP(B11,bandera!B$1:H$85,2, FALSE), 0)</f>
        <v>Server</v>
      </c>
      <c r="E11" s="10" t="e">
        <f t="shared" ref="E11:E17" si="6">C11+D11</f>
        <v>#VALUE!</v>
      </c>
      <c r="F11" s="6">
        <f>IFERROR(VLOOKUP(B11,rosas!A$1:F$100,5, FALSE), 0)</f>
        <v>91.419999999999987</v>
      </c>
      <c r="G11" s="6">
        <f>IFERROR(VLOOKUP(B11,bandera!B$1:H$85,5, FALSE), 0)</f>
        <v>100.22</v>
      </c>
      <c r="H11" s="7">
        <f t="shared" ref="H11:H17" si="7">SUM(F11:G11)</f>
        <v>191.64</v>
      </c>
      <c r="I11" s="7" t="e">
        <f t="shared" ref="I11:I17" si="8">H11/E11</f>
        <v>#VALUE!</v>
      </c>
    </row>
    <row r="12" spans="1:12" x14ac:dyDescent="0.2">
      <c r="A12">
        <f t="shared" si="5"/>
        <v>52</v>
      </c>
      <c r="B12" s="3">
        <v>44188</v>
      </c>
      <c r="C12" s="12">
        <f>IFERROR(VLOOKUP(B12,rosas!A$1:F$100,2, FALSE), 0)</f>
        <v>0</v>
      </c>
      <c r="D12" s="12" t="str">
        <f>IFERROR(VLOOKUP(B12,bandera!B$1:H$85,2, FALSE), 0)</f>
        <v>Server</v>
      </c>
      <c r="E12" s="10" t="e">
        <f t="shared" si="6"/>
        <v>#VALUE!</v>
      </c>
      <c r="F12" s="6">
        <f>IFERROR(VLOOKUP(B12,rosas!A$1:F$100,5, FALSE), 0)</f>
        <v>0</v>
      </c>
      <c r="G12" s="6">
        <f>IFERROR(VLOOKUP(B12,bandera!B$1:H$85,5, FALSE), 0)</f>
        <v>218.86</v>
      </c>
      <c r="H12" s="7">
        <f t="shared" si="7"/>
        <v>218.86</v>
      </c>
      <c r="I12" s="7" t="e">
        <f t="shared" si="8"/>
        <v>#VALUE!</v>
      </c>
    </row>
    <row r="13" spans="1:12" x14ac:dyDescent="0.2">
      <c r="A13">
        <f t="shared" si="5"/>
        <v>52</v>
      </c>
      <c r="B13" s="3">
        <v>44189</v>
      </c>
      <c r="C13" s="12">
        <f>IFERROR(VLOOKUP(B13,rosas!A$1:F$100,2, FALSE), 0)</f>
        <v>0</v>
      </c>
      <c r="D13" s="12" t="str">
        <f>IFERROR(VLOOKUP(B13,bandera!B$1:H$85,2, FALSE), 0)</f>
        <v>Server</v>
      </c>
      <c r="E13" s="10" t="e">
        <f t="shared" si="6"/>
        <v>#VALUE!</v>
      </c>
      <c r="F13" s="6">
        <f>IFERROR(VLOOKUP(B13,rosas!A$1:F$100,5, FALSE), 0)</f>
        <v>0</v>
      </c>
      <c r="G13" s="6">
        <f>IFERROR(VLOOKUP(B13,bandera!B$1:H$85,5, FALSE), 0)</f>
        <v>153</v>
      </c>
      <c r="H13" s="7">
        <f t="shared" si="7"/>
        <v>153</v>
      </c>
      <c r="I13" s="7" t="e">
        <f t="shared" si="8"/>
        <v>#VALUE!</v>
      </c>
      <c r="J13" t="s">
        <v>10</v>
      </c>
    </row>
    <row r="14" spans="1:12" x14ac:dyDescent="0.2">
      <c r="A14">
        <f t="shared" si="5"/>
        <v>52</v>
      </c>
      <c r="B14" s="3">
        <v>44190</v>
      </c>
      <c r="C14" s="12">
        <f>IFERROR(VLOOKUP(B14,rosas!A$1:F$100,2, FALSE), 0)</f>
        <v>0</v>
      </c>
      <c r="D14" s="12">
        <f>IFERROR(VLOOKUP(B14,bandera!B$1:H$85,2, FALSE), 0)</f>
        <v>0</v>
      </c>
      <c r="E14" s="10">
        <f t="shared" si="6"/>
        <v>0</v>
      </c>
      <c r="F14" s="6">
        <f>IFERROR(VLOOKUP(B14,rosas!A$1:F$100,5, FALSE), 0)</f>
        <v>0</v>
      </c>
      <c r="G14" s="6">
        <f>IFERROR(VLOOKUP(B14,bandera!B$1:H$85,5, FALSE), 0)</f>
        <v>0</v>
      </c>
      <c r="H14" s="7">
        <f t="shared" si="7"/>
        <v>0</v>
      </c>
      <c r="I14" s="7" t="e">
        <f t="shared" si="8"/>
        <v>#DIV/0!</v>
      </c>
    </row>
    <row r="15" spans="1:12" x14ac:dyDescent="0.2">
      <c r="A15">
        <f t="shared" si="5"/>
        <v>52</v>
      </c>
      <c r="B15" s="3">
        <v>44191</v>
      </c>
      <c r="C15" s="12">
        <f>IFERROR(VLOOKUP(B15,rosas!A$1:F$100,2, FALSE), 0)</f>
        <v>0</v>
      </c>
      <c r="D15" s="12" t="str">
        <f>IFERROR(VLOOKUP(B15,bandera!B$1:H$85,2, FALSE), 0)</f>
        <v>Server</v>
      </c>
      <c r="E15" s="10" t="e">
        <f t="shared" si="6"/>
        <v>#VALUE!</v>
      </c>
      <c r="F15" s="6">
        <f>IFERROR(VLOOKUP(B15,rosas!A$1:F$100,5, FALSE), 0)</f>
        <v>0</v>
      </c>
      <c r="G15" s="6">
        <f>IFERROR(VLOOKUP(B15,bandera!B$1:H$85,5, FALSE), 0)</f>
        <v>139.57</v>
      </c>
      <c r="H15" s="7">
        <f t="shared" si="7"/>
        <v>139.57</v>
      </c>
      <c r="I15" s="7" t="e">
        <f t="shared" si="8"/>
        <v>#VALUE!</v>
      </c>
    </row>
    <row r="16" spans="1:12" x14ac:dyDescent="0.2">
      <c r="A16">
        <f t="shared" si="5"/>
        <v>52</v>
      </c>
      <c r="B16" s="3">
        <v>44192</v>
      </c>
      <c r="C16" s="12">
        <f>IFERROR(VLOOKUP(B16,rosas!A$1:F$100,2, FALSE), 0)</f>
        <v>0</v>
      </c>
      <c r="D16" s="12" t="str">
        <f>IFERROR(VLOOKUP(B16,bandera!B$1:H$85,2, FALSE), 0)</f>
        <v>Server</v>
      </c>
      <c r="E16" s="10" t="e">
        <f t="shared" si="6"/>
        <v>#VALUE!</v>
      </c>
      <c r="F16" s="6">
        <f>IFERROR(VLOOKUP(B16,rosas!A$1:F$100,5, FALSE), 0)</f>
        <v>0</v>
      </c>
      <c r="G16" s="6">
        <f>IFERROR(VLOOKUP(B16,bandera!B$1:H$85,5, FALSE), 0)</f>
        <v>153.94</v>
      </c>
      <c r="H16" s="7">
        <f t="shared" si="7"/>
        <v>153.94</v>
      </c>
      <c r="I16" s="7" t="e">
        <f t="shared" si="8"/>
        <v>#VALUE!</v>
      </c>
      <c r="J16" t="e">
        <f>SUM(E10:E16)</f>
        <v>#VALUE!</v>
      </c>
      <c r="K16" s="7">
        <f>SUM(H10:H16)</f>
        <v>1036.8700000000001</v>
      </c>
      <c r="L16" s="7" t="e">
        <f>K16/J16</f>
        <v>#VALUE!</v>
      </c>
    </row>
    <row r="17" spans="1:9" x14ac:dyDescent="0.2">
      <c r="A17">
        <f t="shared" si="5"/>
        <v>53</v>
      </c>
      <c r="B17" s="3">
        <v>44193</v>
      </c>
      <c r="C17" s="12">
        <f>IFERROR(VLOOKUP(B17,rosas!A$1:F$100,2, FALSE), 0)</f>
        <v>0</v>
      </c>
      <c r="D17" s="12" t="str">
        <f>IFERROR(VLOOKUP(B17,bandera!B$1:H$85,2, FALSE), 0)</f>
        <v>Server</v>
      </c>
      <c r="E17" s="10" t="e">
        <f t="shared" si="6"/>
        <v>#VALUE!</v>
      </c>
      <c r="F17" s="6">
        <f>IFERROR(VLOOKUP(B17,rosas!A$1:F$100,5, FALSE), 0)</f>
        <v>0</v>
      </c>
      <c r="G17" s="6">
        <f>IFERROR(VLOOKUP(B17,bandera!B$1:H$85,5, FALSE), 0)</f>
        <v>174.8</v>
      </c>
      <c r="H17" s="7">
        <f t="shared" si="7"/>
        <v>174.8</v>
      </c>
      <c r="I17" s="7" t="e">
        <f t="shared" si="8"/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EAA4-3B5E-9142-821C-022C209AA342}">
  <dimension ref="A1:E9"/>
  <sheetViews>
    <sheetView workbookViewId="0">
      <selection activeCell="B1" sqref="B1:B1048576"/>
    </sheetView>
  </sheetViews>
  <sheetFormatPr baseColWidth="10" defaultRowHeight="16" x14ac:dyDescent="0.2"/>
  <cols>
    <col min="1" max="2" width="10.83203125" style="6"/>
  </cols>
  <sheetData>
    <row r="1" spans="1:5" x14ac:dyDescent="0.2">
      <c r="A1" s="6">
        <v>16</v>
      </c>
      <c r="B1" s="6">
        <v>10</v>
      </c>
      <c r="C1" s="8">
        <f>B1/A1</f>
        <v>0.625</v>
      </c>
      <c r="E1" s="9">
        <f>AVERAGE(C:C)</f>
        <v>0.29508886175552845</v>
      </c>
    </row>
    <row r="2" spans="1:5" x14ac:dyDescent="0.2">
      <c r="A2" s="6">
        <v>18</v>
      </c>
      <c r="B2" s="6">
        <v>10</v>
      </c>
      <c r="C2" s="8">
        <f t="shared" ref="C2:C9" si="0">B2/A2</f>
        <v>0.55555555555555558</v>
      </c>
    </row>
    <row r="3" spans="1:5" x14ac:dyDescent="0.2">
      <c r="A3" s="6">
        <v>35</v>
      </c>
      <c r="B3" s="6">
        <v>10</v>
      </c>
      <c r="C3" s="8">
        <f t="shared" si="0"/>
        <v>0.2857142857142857</v>
      </c>
    </row>
    <row r="4" spans="1:5" x14ac:dyDescent="0.2">
      <c r="A4" s="6">
        <v>30</v>
      </c>
      <c r="B4" s="6">
        <v>6</v>
      </c>
      <c r="C4" s="8">
        <f t="shared" si="0"/>
        <v>0.2</v>
      </c>
      <c r="E4" s="8">
        <f>SUM(B:B)/SUM(A:A)</f>
        <v>0.23705722070844687</v>
      </c>
    </row>
    <row r="5" spans="1:5" x14ac:dyDescent="0.2">
      <c r="A5" s="6">
        <v>65</v>
      </c>
      <c r="B5" s="6">
        <v>13</v>
      </c>
      <c r="C5" s="8">
        <f t="shared" si="0"/>
        <v>0.2</v>
      </c>
    </row>
    <row r="6" spans="1:5" x14ac:dyDescent="0.2">
      <c r="A6" s="6">
        <v>26</v>
      </c>
      <c r="B6" s="6">
        <v>5</v>
      </c>
      <c r="C6" s="8">
        <f t="shared" si="0"/>
        <v>0.19230769230769232</v>
      </c>
    </row>
    <row r="7" spans="1:5" x14ac:dyDescent="0.2">
      <c r="A7" s="6">
        <v>45</v>
      </c>
      <c r="B7" s="6">
        <v>10</v>
      </c>
      <c r="C7" s="8">
        <f t="shared" si="0"/>
        <v>0.22222222222222221</v>
      </c>
    </row>
    <row r="8" spans="1:5" x14ac:dyDescent="0.2">
      <c r="A8" s="6">
        <v>108</v>
      </c>
      <c r="B8" s="6">
        <v>18</v>
      </c>
      <c r="C8" s="8">
        <f t="shared" si="0"/>
        <v>0.16666666666666666</v>
      </c>
    </row>
    <row r="9" spans="1:5" x14ac:dyDescent="0.2">
      <c r="A9" s="6">
        <v>24</v>
      </c>
      <c r="B9" s="6">
        <v>5</v>
      </c>
      <c r="C9" s="8">
        <f t="shared" si="0"/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bandera</vt:lpstr>
      <vt:lpstr>resource</vt:lpstr>
      <vt:lpstr>Sheet2</vt:lpstr>
      <vt:lpstr>stats</vt:lpstr>
      <vt:lpstr>rosas</vt:lpstr>
      <vt:lpstr>total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Ferguson (Student)</dc:creator>
  <cp:lastModifiedBy>Rene Ferguson (Student)</cp:lastModifiedBy>
  <dcterms:created xsi:type="dcterms:W3CDTF">2020-12-17T22:14:44Z</dcterms:created>
  <dcterms:modified xsi:type="dcterms:W3CDTF">2021-02-15T09:36:57Z</dcterms:modified>
</cp:coreProperties>
</file>